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Drives compartilhados\Area - FPA\FPA\29. Checks Contabilidade\2026\Nova pasta\Nova pasta\"/>
    </mc:Choice>
  </mc:AlternateContent>
  <xr:revisionPtr revIDLastSave="0" documentId="8_{6917E4E1-2AB7-41D7-AE17-6B8B1F95F631}" xr6:coauthVersionLast="47" xr6:coauthVersionMax="47" xr10:uidLastSave="{00000000-0000-0000-0000-000000000000}"/>
  <bookViews>
    <workbookView xWindow="20370" yWindow="-3630" windowWidth="29040" windowHeight="15720" tabRatio="891" firstSheet="2" activeTab="19" xr2:uid="{00000000-000D-0000-FFFF-FFFF00000000}"/>
  </bookViews>
  <sheets>
    <sheet name="Passo a Passo" sheetId="1" state="hidden" r:id="rId1"/>
    <sheet name="Premissas" sheetId="2" state="hidden" r:id="rId2"/>
    <sheet name="RESULTADO" sheetId="3" r:id="rId3"/>
    <sheet name="P&amp;L Mensal" sheetId="4" r:id="rId4"/>
    <sheet name="Realizado" sheetId="5" state="hidden" r:id="rId5"/>
    <sheet name="P&amp;L Acumulado" sheetId="6" r:id="rId6"/>
    <sheet name="Orçado " sheetId="7" state="hidden" r:id="rId7"/>
    <sheet name="Destaques" sheetId="8" state="hidden" r:id="rId8"/>
    <sheet name="Evolução acima de 10 k - Imob" sheetId="9" state="hidden" r:id="rId9"/>
    <sheet name="Base comparativo - Desp Admin" sheetId="10" state="hidden" r:id="rId10"/>
    <sheet name="Organização P&amp;L" sheetId="11" state="hidden" r:id="rId11"/>
    <sheet name="DRE Simplificado" sheetId="12" state="hidden" r:id="rId12"/>
    <sheet name="Evolução PDD Imobiliário" sheetId="13" state="hidden" r:id="rId13"/>
    <sheet name="Despesas" sheetId="14" state="hidden" r:id="rId14"/>
    <sheet name="Margem Financeira" sheetId="15" state="hidden" r:id="rId15"/>
    <sheet name="Lista de data para filtro" sheetId="16" state="hidden" r:id="rId16"/>
    <sheet name="BASE_DASH" sheetId="17" r:id="rId17"/>
    <sheet name="P&amp;L Mensal - Anualizado" sheetId="18" r:id="rId18"/>
    <sheet name="Comparativo 2026 x 2025" sheetId="19" r:id="rId19"/>
    <sheet name="2025 Acumulado" sheetId="20" r:id="rId20"/>
  </sheets>
  <externalReferences>
    <externalReference r:id="rId21"/>
    <externalReference r:id="rId22"/>
  </externalReferences>
  <definedNames>
    <definedName name="_xlnm._FilterDatabase" localSheetId="16" hidden="1">BASE_DASH!$A$1:$L$1314</definedName>
  </definedNames>
  <calcPr calcId="191029" forceFullCalc="1"/>
</workbook>
</file>

<file path=xl/calcChain.xml><?xml version="1.0" encoding="utf-8"?>
<calcChain xmlns="http://schemas.openxmlformats.org/spreadsheetml/2006/main">
  <c r="I1314" i="17" l="1"/>
  <c r="E1314" i="17"/>
  <c r="D1314" i="17"/>
  <c r="C1314" i="17"/>
  <c r="B1314" i="17"/>
  <c r="I1313" i="17"/>
  <c r="E1313" i="17"/>
  <c r="D1313" i="17"/>
  <c r="C1313" i="17"/>
  <c r="B1313" i="17"/>
  <c r="E1312" i="17"/>
  <c r="D1312" i="17"/>
  <c r="C1312" i="17"/>
  <c r="B1312" i="17"/>
  <c r="E1311" i="17"/>
  <c r="D1311" i="17"/>
  <c r="C1311" i="17"/>
  <c r="B1311" i="17"/>
  <c r="I1310" i="17"/>
  <c r="E1310" i="17"/>
  <c r="D1310" i="17"/>
  <c r="C1310" i="17"/>
  <c r="B1310" i="17"/>
  <c r="I1309" i="17"/>
  <c r="E1309" i="17"/>
  <c r="D1309" i="17"/>
  <c r="C1309" i="17"/>
  <c r="B1309" i="17"/>
  <c r="I1308" i="17"/>
  <c r="E1308" i="17"/>
  <c r="D1308" i="17"/>
  <c r="C1308" i="17"/>
  <c r="B1308" i="17"/>
  <c r="I1307" i="17"/>
  <c r="E1307" i="17"/>
  <c r="D1307" i="17"/>
  <c r="C1307" i="17"/>
  <c r="B1307" i="17"/>
  <c r="I1306" i="17"/>
  <c r="E1306" i="17"/>
  <c r="D1306" i="17"/>
  <c r="C1306" i="17"/>
  <c r="B1306" i="17"/>
  <c r="I1305" i="17"/>
  <c r="E1305" i="17"/>
  <c r="D1305" i="17"/>
  <c r="C1305" i="17"/>
  <c r="B1305" i="17"/>
  <c r="I1304" i="17"/>
  <c r="E1304" i="17"/>
  <c r="D1304" i="17"/>
  <c r="C1304" i="17"/>
  <c r="B1304" i="17"/>
  <c r="I1303" i="17"/>
  <c r="E1303" i="17"/>
  <c r="D1303" i="17"/>
  <c r="C1303" i="17"/>
  <c r="B1303" i="17"/>
  <c r="I1302" i="17"/>
  <c r="E1302" i="17"/>
  <c r="D1302" i="17"/>
  <c r="C1302" i="17"/>
  <c r="B1302" i="17"/>
  <c r="I1301" i="17"/>
  <c r="E1301" i="17"/>
  <c r="D1301" i="17"/>
  <c r="C1301" i="17"/>
  <c r="B1301" i="17"/>
  <c r="I1300" i="17"/>
  <c r="E1300" i="17"/>
  <c r="D1300" i="17"/>
  <c r="C1300" i="17"/>
  <c r="B1300" i="17"/>
  <c r="E1299" i="17"/>
  <c r="D1299" i="17"/>
  <c r="C1299" i="17"/>
  <c r="B1299" i="17"/>
  <c r="E1298" i="17"/>
  <c r="D1298" i="17"/>
  <c r="C1298" i="17"/>
  <c r="B1298" i="17"/>
  <c r="I1297" i="17"/>
  <c r="E1297" i="17"/>
  <c r="D1297" i="17"/>
  <c r="C1297" i="17"/>
  <c r="B1297" i="17"/>
  <c r="E1296" i="17"/>
  <c r="D1296" i="17"/>
  <c r="C1296" i="17"/>
  <c r="B1296" i="17"/>
  <c r="E1295" i="17"/>
  <c r="D1295" i="17"/>
  <c r="C1295" i="17"/>
  <c r="B1295" i="17"/>
  <c r="I1294" i="17"/>
  <c r="E1294" i="17"/>
  <c r="D1294" i="17"/>
  <c r="C1294" i="17"/>
  <c r="B1294" i="17"/>
  <c r="E1293" i="17"/>
  <c r="D1293" i="17"/>
  <c r="C1293" i="17"/>
  <c r="B1293" i="17"/>
  <c r="E1292" i="17"/>
  <c r="D1292" i="17"/>
  <c r="C1292" i="17"/>
  <c r="B1292" i="17"/>
  <c r="I1291" i="17"/>
  <c r="E1291" i="17"/>
  <c r="D1291" i="17"/>
  <c r="C1291" i="17"/>
  <c r="B1291" i="17"/>
  <c r="I1290" i="17"/>
  <c r="E1290" i="17"/>
  <c r="D1290" i="17"/>
  <c r="C1290" i="17"/>
  <c r="B1290" i="17"/>
  <c r="I1289" i="17"/>
  <c r="E1289" i="17"/>
  <c r="D1289" i="17"/>
  <c r="C1289" i="17"/>
  <c r="B1289" i="17"/>
  <c r="I1288" i="17"/>
  <c r="E1288" i="17"/>
  <c r="D1288" i="17"/>
  <c r="C1288" i="17"/>
  <c r="B1288" i="17"/>
  <c r="I1287" i="17"/>
  <c r="E1287" i="17"/>
  <c r="D1287" i="17"/>
  <c r="C1287" i="17"/>
  <c r="B1287" i="17"/>
  <c r="I1286" i="17"/>
  <c r="E1286" i="17"/>
  <c r="D1286" i="17"/>
  <c r="C1286" i="17"/>
  <c r="B1286" i="17"/>
  <c r="I1285" i="17"/>
  <c r="E1285" i="17"/>
  <c r="D1285" i="17"/>
  <c r="C1285" i="17"/>
  <c r="B1285" i="17"/>
  <c r="I1284" i="17"/>
  <c r="E1284" i="17"/>
  <c r="D1284" i="17"/>
  <c r="C1284" i="17"/>
  <c r="B1284" i="17"/>
  <c r="E1283" i="17"/>
  <c r="D1283" i="17"/>
  <c r="C1283" i="17"/>
  <c r="B1283" i="17"/>
  <c r="E1282" i="17"/>
  <c r="D1282" i="17"/>
  <c r="C1282" i="17"/>
  <c r="B1282" i="17"/>
  <c r="I1281" i="17"/>
  <c r="E1281" i="17"/>
  <c r="D1281" i="17"/>
  <c r="C1281" i="17"/>
  <c r="B1281" i="17"/>
  <c r="E1280" i="17"/>
  <c r="D1280" i="17"/>
  <c r="C1280" i="17"/>
  <c r="B1280" i="17"/>
  <c r="E1279" i="17"/>
  <c r="D1279" i="17"/>
  <c r="C1279" i="17"/>
  <c r="B1279" i="17"/>
  <c r="I1278" i="17"/>
  <c r="E1278" i="17"/>
  <c r="D1278" i="17"/>
  <c r="C1278" i="17"/>
  <c r="B1278" i="17"/>
  <c r="I1277" i="17"/>
  <c r="E1277" i="17"/>
  <c r="D1277" i="17"/>
  <c r="C1277" i="17"/>
  <c r="B1277" i="17"/>
  <c r="I1276" i="17"/>
  <c r="E1276" i="17"/>
  <c r="D1276" i="17"/>
  <c r="C1276" i="17"/>
  <c r="B1276" i="17"/>
  <c r="I1275" i="17"/>
  <c r="E1275" i="17"/>
  <c r="D1275" i="17"/>
  <c r="C1275" i="17"/>
  <c r="B1275" i="17"/>
  <c r="E1274" i="17"/>
  <c r="D1274" i="17"/>
  <c r="C1274" i="17"/>
  <c r="B1274" i="17"/>
  <c r="E1273" i="17"/>
  <c r="D1273" i="17"/>
  <c r="C1273" i="17"/>
  <c r="B1273" i="17"/>
  <c r="E1272" i="17"/>
  <c r="D1272" i="17"/>
  <c r="C1272" i="17"/>
  <c r="B1272" i="17"/>
  <c r="E1271" i="17"/>
  <c r="D1271" i="17"/>
  <c r="C1271" i="17"/>
  <c r="B1271" i="17"/>
  <c r="E1270" i="17"/>
  <c r="D1270" i="17"/>
  <c r="C1270" i="17"/>
  <c r="B1270" i="17"/>
  <c r="E1269" i="17"/>
  <c r="D1269" i="17"/>
  <c r="C1269" i="17"/>
  <c r="B1269" i="17"/>
  <c r="E1268" i="17"/>
  <c r="D1268" i="17"/>
  <c r="C1268" i="17"/>
  <c r="B1268" i="17"/>
  <c r="E1267" i="17"/>
  <c r="D1267" i="17"/>
  <c r="C1267" i="17"/>
  <c r="B1267" i="17"/>
  <c r="E1266" i="17"/>
  <c r="D1266" i="17"/>
  <c r="C1266" i="17"/>
  <c r="B1266" i="17"/>
  <c r="E1265" i="17"/>
  <c r="D1265" i="17"/>
  <c r="C1265" i="17"/>
  <c r="B1265" i="17"/>
  <c r="E1264" i="17"/>
  <c r="D1264" i="17"/>
  <c r="C1264" i="17"/>
  <c r="B1264" i="17"/>
  <c r="E1263" i="17"/>
  <c r="D1263" i="17"/>
  <c r="C1263" i="17"/>
  <c r="B1263" i="17"/>
  <c r="I1262" i="17"/>
  <c r="E1262" i="17"/>
  <c r="D1262" i="17"/>
  <c r="C1262" i="17"/>
  <c r="B1262" i="17"/>
  <c r="E1261" i="17"/>
  <c r="D1261" i="17"/>
  <c r="C1261" i="17"/>
  <c r="B1261" i="17"/>
  <c r="E1260" i="17"/>
  <c r="D1260" i="17"/>
  <c r="C1260" i="17"/>
  <c r="B1260" i="17"/>
  <c r="E1259" i="17"/>
  <c r="D1259" i="17"/>
  <c r="C1259" i="17"/>
  <c r="B1259" i="17"/>
  <c r="E1258" i="17"/>
  <c r="D1258" i="17"/>
  <c r="C1258" i="17"/>
  <c r="B1258" i="17"/>
  <c r="E1257" i="17"/>
  <c r="D1257" i="17"/>
  <c r="C1257" i="17"/>
  <c r="B1257" i="17"/>
  <c r="E1256" i="17"/>
  <c r="D1256" i="17"/>
  <c r="C1256" i="17"/>
  <c r="B1256" i="17"/>
  <c r="E1255" i="17"/>
  <c r="D1255" i="17"/>
  <c r="C1255" i="17"/>
  <c r="B1255" i="17"/>
  <c r="E1254" i="17"/>
  <c r="D1254" i="17"/>
  <c r="C1254" i="17"/>
  <c r="B1254" i="17"/>
  <c r="E1253" i="17"/>
  <c r="D1253" i="17"/>
  <c r="C1253" i="17"/>
  <c r="B1253" i="17"/>
  <c r="E1252" i="17"/>
  <c r="D1252" i="17"/>
  <c r="C1252" i="17"/>
  <c r="B1252" i="17"/>
  <c r="E1251" i="17"/>
  <c r="D1251" i="17"/>
  <c r="C1251" i="17"/>
  <c r="B1251" i="17"/>
  <c r="E1250" i="17"/>
  <c r="D1250" i="17"/>
  <c r="C1250" i="17"/>
  <c r="B1250" i="17"/>
  <c r="I1249" i="17"/>
  <c r="E1249" i="17"/>
  <c r="D1249" i="17"/>
  <c r="C1249" i="17"/>
  <c r="B1249" i="17"/>
  <c r="E1248" i="17"/>
  <c r="D1248" i="17"/>
  <c r="C1248" i="17"/>
  <c r="B1248" i="17"/>
  <c r="E1247" i="17"/>
  <c r="D1247" i="17"/>
  <c r="C1247" i="17"/>
  <c r="B1247" i="17"/>
  <c r="E1246" i="17"/>
  <c r="D1246" i="17"/>
  <c r="C1246" i="17"/>
  <c r="B1246" i="17"/>
  <c r="E1245" i="17"/>
  <c r="D1245" i="17"/>
  <c r="C1245" i="17"/>
  <c r="B1245" i="17"/>
  <c r="E1244" i="17"/>
  <c r="D1244" i="17"/>
  <c r="C1244" i="17"/>
  <c r="B1244" i="17"/>
  <c r="E1243" i="17"/>
  <c r="D1243" i="17"/>
  <c r="C1243" i="17"/>
  <c r="B1243" i="17"/>
  <c r="E1242" i="17"/>
  <c r="D1242" i="17"/>
  <c r="C1242" i="17"/>
  <c r="B1242" i="17"/>
  <c r="E1241" i="17"/>
  <c r="D1241" i="17"/>
  <c r="C1241" i="17"/>
  <c r="B1241" i="17"/>
  <c r="E1240" i="17"/>
  <c r="D1240" i="17"/>
  <c r="C1240" i="17"/>
  <c r="B1240" i="17"/>
  <c r="E1239" i="17"/>
  <c r="D1239" i="17"/>
  <c r="C1239" i="17"/>
  <c r="B1239" i="17"/>
  <c r="E1238" i="17"/>
  <c r="D1238" i="17"/>
  <c r="C1238" i="17"/>
  <c r="B1238" i="17"/>
  <c r="E1237" i="17"/>
  <c r="D1237" i="17"/>
  <c r="C1237" i="17"/>
  <c r="B1237" i="17"/>
  <c r="I1236" i="17"/>
  <c r="E1236" i="17"/>
  <c r="D1236" i="17"/>
  <c r="C1236" i="17"/>
  <c r="B1236" i="17"/>
  <c r="E1235" i="17"/>
  <c r="D1235" i="17"/>
  <c r="C1235" i="17"/>
  <c r="B1235" i="17"/>
  <c r="E1234" i="17"/>
  <c r="D1234" i="17"/>
  <c r="C1234" i="17"/>
  <c r="B1234" i="17"/>
  <c r="E1233" i="17"/>
  <c r="D1233" i="17"/>
  <c r="C1233" i="17"/>
  <c r="B1233" i="17"/>
  <c r="E1232" i="17"/>
  <c r="D1232" i="17"/>
  <c r="C1232" i="17"/>
  <c r="B1232" i="17"/>
  <c r="E1231" i="17"/>
  <c r="D1231" i="17"/>
  <c r="C1231" i="17"/>
  <c r="B1231" i="17"/>
  <c r="E1230" i="17"/>
  <c r="D1230" i="17"/>
  <c r="C1230" i="17"/>
  <c r="B1230" i="17"/>
  <c r="E1229" i="17"/>
  <c r="D1229" i="17"/>
  <c r="C1229" i="17"/>
  <c r="B1229" i="17"/>
  <c r="E1228" i="17"/>
  <c r="D1228" i="17"/>
  <c r="C1228" i="17"/>
  <c r="B1228" i="17"/>
  <c r="E1227" i="17"/>
  <c r="D1227" i="17"/>
  <c r="C1227" i="17"/>
  <c r="B1227" i="17"/>
  <c r="E1226" i="17"/>
  <c r="D1226" i="17"/>
  <c r="C1226" i="17"/>
  <c r="B1226" i="17"/>
  <c r="E1225" i="17"/>
  <c r="D1225" i="17"/>
  <c r="C1225" i="17"/>
  <c r="B1225" i="17"/>
  <c r="E1224" i="17"/>
  <c r="D1224" i="17"/>
  <c r="C1224" i="17"/>
  <c r="B1224" i="17"/>
  <c r="I1223" i="17"/>
  <c r="E1223" i="17"/>
  <c r="D1223" i="17"/>
  <c r="C1223" i="17"/>
  <c r="B1223" i="17"/>
  <c r="E1222" i="17"/>
  <c r="D1222" i="17"/>
  <c r="C1222" i="17"/>
  <c r="B1222" i="17"/>
  <c r="E1221" i="17"/>
  <c r="D1221" i="17"/>
  <c r="C1221" i="17"/>
  <c r="B1221" i="17"/>
  <c r="E1220" i="17"/>
  <c r="D1220" i="17"/>
  <c r="C1220" i="17"/>
  <c r="B1220" i="17"/>
  <c r="E1219" i="17"/>
  <c r="D1219" i="17"/>
  <c r="C1219" i="17"/>
  <c r="B1219" i="17"/>
  <c r="E1218" i="17"/>
  <c r="D1218" i="17"/>
  <c r="C1218" i="17"/>
  <c r="B1218" i="17"/>
  <c r="E1217" i="17"/>
  <c r="D1217" i="17"/>
  <c r="C1217" i="17"/>
  <c r="B1217" i="17"/>
  <c r="E1216" i="17"/>
  <c r="D1216" i="17"/>
  <c r="C1216" i="17"/>
  <c r="B1216" i="17"/>
  <c r="E1215" i="17"/>
  <c r="D1215" i="17"/>
  <c r="C1215" i="17"/>
  <c r="B1215" i="17"/>
  <c r="E1214" i="17"/>
  <c r="D1214" i="17"/>
  <c r="C1214" i="17"/>
  <c r="B1214" i="17"/>
  <c r="E1213" i="17"/>
  <c r="D1213" i="17"/>
  <c r="C1213" i="17"/>
  <c r="B1213" i="17"/>
  <c r="E1212" i="17"/>
  <c r="D1212" i="17"/>
  <c r="C1212" i="17"/>
  <c r="B1212" i="17"/>
  <c r="E1211" i="17"/>
  <c r="D1211" i="17"/>
  <c r="C1211" i="17"/>
  <c r="B1211" i="17"/>
  <c r="I1210" i="17"/>
  <c r="E1210" i="17"/>
  <c r="D1210" i="17"/>
  <c r="C1210" i="17"/>
  <c r="B1210" i="17"/>
  <c r="E1209" i="17"/>
  <c r="D1209" i="17"/>
  <c r="C1209" i="17"/>
  <c r="B1209" i="17"/>
  <c r="E1208" i="17"/>
  <c r="D1208" i="17"/>
  <c r="C1208" i="17"/>
  <c r="B1208" i="17"/>
  <c r="E1207" i="17"/>
  <c r="D1207" i="17"/>
  <c r="C1207" i="17"/>
  <c r="B1207" i="17"/>
  <c r="E1206" i="17"/>
  <c r="D1206" i="17"/>
  <c r="C1206" i="17"/>
  <c r="B1206" i="17"/>
  <c r="E1205" i="17"/>
  <c r="D1205" i="17"/>
  <c r="C1205" i="17"/>
  <c r="B1205" i="17"/>
  <c r="E1204" i="17"/>
  <c r="D1204" i="17"/>
  <c r="C1204" i="17"/>
  <c r="B1204" i="17"/>
  <c r="E1203" i="17"/>
  <c r="D1203" i="17"/>
  <c r="C1203" i="17"/>
  <c r="B1203" i="17"/>
  <c r="E1202" i="17"/>
  <c r="D1202" i="17"/>
  <c r="C1202" i="17"/>
  <c r="B1202" i="17"/>
  <c r="E1201" i="17"/>
  <c r="D1201" i="17"/>
  <c r="C1201" i="17"/>
  <c r="B1201" i="17"/>
  <c r="E1200" i="17"/>
  <c r="D1200" i="17"/>
  <c r="C1200" i="17"/>
  <c r="B1200" i="17"/>
  <c r="E1199" i="17"/>
  <c r="D1199" i="17"/>
  <c r="C1199" i="17"/>
  <c r="B1199" i="17"/>
  <c r="E1198" i="17"/>
  <c r="D1198" i="17"/>
  <c r="C1198" i="17"/>
  <c r="B1198" i="17"/>
  <c r="I1197" i="17"/>
  <c r="E1197" i="17"/>
  <c r="D1197" i="17"/>
  <c r="C1197" i="17"/>
  <c r="B1197" i="17"/>
  <c r="E1196" i="17"/>
  <c r="D1196" i="17"/>
  <c r="C1196" i="17"/>
  <c r="B1196" i="17"/>
  <c r="E1195" i="17"/>
  <c r="D1195" i="17"/>
  <c r="C1195" i="17"/>
  <c r="B1195" i="17"/>
  <c r="E1194" i="17"/>
  <c r="D1194" i="17"/>
  <c r="C1194" i="17"/>
  <c r="B1194" i="17"/>
  <c r="E1193" i="17"/>
  <c r="D1193" i="17"/>
  <c r="C1193" i="17"/>
  <c r="B1193" i="17"/>
  <c r="E1192" i="17"/>
  <c r="D1192" i="17"/>
  <c r="C1192" i="17"/>
  <c r="B1192" i="17"/>
  <c r="E1191" i="17"/>
  <c r="D1191" i="17"/>
  <c r="C1191" i="17"/>
  <c r="B1191" i="17"/>
  <c r="E1190" i="17"/>
  <c r="D1190" i="17"/>
  <c r="C1190" i="17"/>
  <c r="B1190" i="17"/>
  <c r="E1189" i="17"/>
  <c r="D1189" i="17"/>
  <c r="C1189" i="17"/>
  <c r="B1189" i="17"/>
  <c r="E1188" i="17"/>
  <c r="D1188" i="17"/>
  <c r="C1188" i="17"/>
  <c r="B1188" i="17"/>
  <c r="E1187" i="17"/>
  <c r="D1187" i="17"/>
  <c r="C1187" i="17"/>
  <c r="B1187" i="17"/>
  <c r="E1186" i="17"/>
  <c r="D1186" i="17"/>
  <c r="C1186" i="17"/>
  <c r="B1186" i="17"/>
  <c r="E1185" i="17"/>
  <c r="D1185" i="17"/>
  <c r="C1185" i="17"/>
  <c r="B1185" i="17"/>
  <c r="I1184" i="17"/>
  <c r="E1184" i="17"/>
  <c r="D1184" i="17"/>
  <c r="C1184" i="17"/>
  <c r="B1184" i="17"/>
  <c r="I1183" i="17"/>
  <c r="E1183" i="17"/>
  <c r="D1183" i="17"/>
  <c r="C1183" i="17"/>
  <c r="B1183" i="17"/>
  <c r="I1182" i="17"/>
  <c r="E1182" i="17"/>
  <c r="D1182" i="17"/>
  <c r="C1182" i="17"/>
  <c r="B1182" i="17"/>
  <c r="I1181" i="17"/>
  <c r="E1181" i="17"/>
  <c r="D1181" i="17"/>
  <c r="C1181" i="17"/>
  <c r="B1181" i="17"/>
  <c r="I1180" i="17"/>
  <c r="E1180" i="17"/>
  <c r="D1180" i="17"/>
  <c r="C1180" i="17"/>
  <c r="B1180" i="17"/>
  <c r="I1179" i="17"/>
  <c r="E1179" i="17"/>
  <c r="D1179" i="17"/>
  <c r="C1179" i="17"/>
  <c r="B1179" i="17"/>
  <c r="I1178" i="17"/>
  <c r="E1178" i="17"/>
  <c r="D1178" i="17"/>
  <c r="C1178" i="17"/>
  <c r="B1178" i="17"/>
  <c r="I1177" i="17"/>
  <c r="E1177" i="17"/>
  <c r="D1177" i="17"/>
  <c r="C1177" i="17"/>
  <c r="B1177" i="17"/>
  <c r="I1176" i="17"/>
  <c r="E1176" i="17"/>
  <c r="D1176" i="17"/>
  <c r="C1176" i="17"/>
  <c r="B1176" i="17"/>
  <c r="I1175" i="17"/>
  <c r="E1175" i="17"/>
  <c r="D1175" i="17"/>
  <c r="C1175" i="17"/>
  <c r="B1175" i="17"/>
  <c r="I1174" i="17"/>
  <c r="E1174" i="17"/>
  <c r="D1174" i="17"/>
  <c r="C1174" i="17"/>
  <c r="B1174" i="17"/>
  <c r="I1173" i="17"/>
  <c r="E1173" i="17"/>
  <c r="D1173" i="17"/>
  <c r="C1173" i="17"/>
  <c r="B1173" i="17"/>
  <c r="I1172" i="17"/>
  <c r="E1172" i="17"/>
  <c r="D1172" i="17"/>
  <c r="C1172" i="17"/>
  <c r="B1172" i="17"/>
  <c r="I1171" i="17"/>
  <c r="E1171" i="17"/>
  <c r="D1171" i="17"/>
  <c r="C1171" i="17"/>
  <c r="B1171" i="17"/>
  <c r="I1170" i="17"/>
  <c r="E1170" i="17"/>
  <c r="D1170" i="17"/>
  <c r="C1170" i="17"/>
  <c r="B1170" i="17"/>
  <c r="I1169" i="17"/>
  <c r="E1169" i="17"/>
  <c r="D1169" i="17"/>
  <c r="C1169" i="17"/>
  <c r="B1169" i="17"/>
  <c r="I1168" i="17"/>
  <c r="E1168" i="17"/>
  <c r="D1168" i="17"/>
  <c r="C1168" i="17"/>
  <c r="B1168" i="17"/>
  <c r="I1167" i="17"/>
  <c r="E1167" i="17"/>
  <c r="D1167" i="17"/>
  <c r="C1167" i="17"/>
  <c r="B1167" i="17"/>
  <c r="I1166" i="17"/>
  <c r="E1166" i="17"/>
  <c r="D1166" i="17"/>
  <c r="C1166" i="17"/>
  <c r="B1166" i="17"/>
  <c r="I1165" i="17"/>
  <c r="E1165" i="17"/>
  <c r="D1165" i="17"/>
  <c r="C1165" i="17"/>
  <c r="B1165" i="17"/>
  <c r="I1164" i="17"/>
  <c r="E1164" i="17"/>
  <c r="D1164" i="17"/>
  <c r="C1164" i="17"/>
  <c r="B1164" i="17"/>
  <c r="I1163" i="17"/>
  <c r="E1163" i="17"/>
  <c r="D1163" i="17"/>
  <c r="C1163" i="17"/>
  <c r="B1163" i="17"/>
  <c r="I1162" i="17"/>
  <c r="E1162" i="17"/>
  <c r="D1162" i="17"/>
  <c r="C1162" i="17"/>
  <c r="B1162" i="17"/>
  <c r="I1161" i="17"/>
  <c r="E1161" i="17"/>
  <c r="D1161" i="17"/>
  <c r="C1161" i="17"/>
  <c r="B1161" i="17"/>
  <c r="I1160" i="17"/>
  <c r="E1160" i="17"/>
  <c r="D1160" i="17"/>
  <c r="C1160" i="17"/>
  <c r="B1160" i="17"/>
  <c r="I1159" i="17"/>
  <c r="E1159" i="17"/>
  <c r="D1159" i="17"/>
  <c r="C1159" i="17"/>
  <c r="B1159" i="17"/>
  <c r="I1158" i="17"/>
  <c r="E1158" i="17"/>
  <c r="D1158" i="17"/>
  <c r="C1158" i="17"/>
  <c r="B1158" i="17"/>
  <c r="I1157" i="17"/>
  <c r="E1157" i="17"/>
  <c r="D1157" i="17"/>
  <c r="C1157" i="17"/>
  <c r="B1157" i="17"/>
  <c r="I1156" i="17"/>
  <c r="E1156" i="17"/>
  <c r="D1156" i="17"/>
  <c r="C1156" i="17"/>
  <c r="B1156" i="17"/>
  <c r="I1155" i="17"/>
  <c r="E1155" i="17"/>
  <c r="D1155" i="17"/>
  <c r="C1155" i="17"/>
  <c r="B1155" i="17"/>
  <c r="I1154" i="17"/>
  <c r="E1154" i="17"/>
  <c r="D1154" i="17"/>
  <c r="C1154" i="17"/>
  <c r="B1154" i="17"/>
  <c r="I1153" i="17"/>
  <c r="E1153" i="17"/>
  <c r="D1153" i="17"/>
  <c r="C1153" i="17"/>
  <c r="B1153" i="17"/>
  <c r="I1152" i="17"/>
  <c r="E1152" i="17"/>
  <c r="D1152" i="17"/>
  <c r="C1152" i="17"/>
  <c r="B1152" i="17"/>
  <c r="I1151" i="17"/>
  <c r="E1151" i="17"/>
  <c r="D1151" i="17"/>
  <c r="C1151" i="17"/>
  <c r="B1151" i="17"/>
  <c r="I1150" i="17"/>
  <c r="E1150" i="17"/>
  <c r="D1150" i="17"/>
  <c r="C1150" i="17"/>
  <c r="B1150" i="17"/>
  <c r="I1149" i="17"/>
  <c r="E1149" i="17"/>
  <c r="D1149" i="17"/>
  <c r="C1149" i="17"/>
  <c r="B1149" i="17"/>
  <c r="I1148" i="17"/>
  <c r="E1148" i="17"/>
  <c r="D1148" i="17"/>
  <c r="C1148" i="17"/>
  <c r="B1148" i="17"/>
  <c r="I1147" i="17"/>
  <c r="E1147" i="17"/>
  <c r="D1147" i="17"/>
  <c r="C1147" i="17"/>
  <c r="B1147" i="17"/>
  <c r="I1146" i="17"/>
  <c r="E1146" i="17"/>
  <c r="D1146" i="17"/>
  <c r="C1146" i="17"/>
  <c r="B1146" i="17"/>
  <c r="I1145" i="17"/>
  <c r="E1145" i="17"/>
  <c r="D1145" i="17"/>
  <c r="C1145" i="17"/>
  <c r="B1145" i="17"/>
  <c r="I1144" i="17"/>
  <c r="E1144" i="17"/>
  <c r="D1144" i="17"/>
  <c r="C1144" i="17"/>
  <c r="B1144" i="17"/>
  <c r="I1143" i="17"/>
  <c r="E1143" i="17"/>
  <c r="D1143" i="17"/>
  <c r="C1143" i="17"/>
  <c r="B1143" i="17"/>
  <c r="I1142" i="17"/>
  <c r="E1142" i="17"/>
  <c r="D1142" i="17"/>
  <c r="C1142" i="17"/>
  <c r="B1142" i="17"/>
  <c r="I1141" i="17"/>
  <c r="E1141" i="17"/>
  <c r="D1141" i="17"/>
  <c r="C1141" i="17"/>
  <c r="B1141" i="17"/>
  <c r="I1140" i="17"/>
  <c r="E1140" i="17"/>
  <c r="D1140" i="17"/>
  <c r="C1140" i="17"/>
  <c r="B1140" i="17"/>
  <c r="I1139" i="17"/>
  <c r="E1139" i="17"/>
  <c r="D1139" i="17"/>
  <c r="C1139" i="17"/>
  <c r="B1139" i="17"/>
  <c r="I1138" i="17"/>
  <c r="E1138" i="17"/>
  <c r="D1138" i="17"/>
  <c r="C1138" i="17"/>
  <c r="B1138" i="17"/>
  <c r="I1137" i="17"/>
  <c r="E1137" i="17"/>
  <c r="D1137" i="17"/>
  <c r="C1137" i="17"/>
  <c r="B1137" i="17"/>
  <c r="I1136" i="17"/>
  <c r="E1136" i="17"/>
  <c r="D1136" i="17"/>
  <c r="C1136" i="17"/>
  <c r="B1136" i="17"/>
  <c r="I1135" i="17"/>
  <c r="E1135" i="17"/>
  <c r="D1135" i="17"/>
  <c r="C1135" i="17"/>
  <c r="B1135" i="17"/>
  <c r="I1134" i="17"/>
  <c r="E1134" i="17"/>
  <c r="D1134" i="17"/>
  <c r="C1134" i="17"/>
  <c r="B1134" i="17"/>
  <c r="I1133" i="17"/>
  <c r="E1133" i="17"/>
  <c r="D1133" i="17"/>
  <c r="C1133" i="17"/>
  <c r="B1133" i="17"/>
  <c r="I1132" i="17"/>
  <c r="E1132" i="17"/>
  <c r="D1132" i="17"/>
  <c r="C1132" i="17"/>
  <c r="B1132" i="17"/>
  <c r="I1131" i="17"/>
  <c r="E1131" i="17"/>
  <c r="D1131" i="17"/>
  <c r="C1131" i="17"/>
  <c r="B1131" i="17"/>
  <c r="I1130" i="17"/>
  <c r="E1130" i="17"/>
  <c r="D1130" i="17"/>
  <c r="C1130" i="17"/>
  <c r="B1130" i="17"/>
  <c r="I1129" i="17"/>
  <c r="E1129" i="17"/>
  <c r="D1129" i="17"/>
  <c r="C1129" i="17"/>
  <c r="B1129" i="17"/>
  <c r="I1128" i="17"/>
  <c r="E1128" i="17"/>
  <c r="D1128" i="17"/>
  <c r="C1128" i="17"/>
  <c r="B1128" i="17"/>
  <c r="I1127" i="17"/>
  <c r="E1127" i="17"/>
  <c r="D1127" i="17"/>
  <c r="C1127" i="17"/>
  <c r="B1127" i="17"/>
  <c r="I1126" i="17"/>
  <c r="E1126" i="17"/>
  <c r="D1126" i="17"/>
  <c r="C1126" i="17"/>
  <c r="B1126" i="17"/>
  <c r="I1125" i="17"/>
  <c r="E1125" i="17"/>
  <c r="D1125" i="17"/>
  <c r="C1125" i="17"/>
  <c r="B1125" i="17"/>
  <c r="I1124" i="17"/>
  <c r="E1124" i="17"/>
  <c r="D1124" i="17"/>
  <c r="C1124" i="17"/>
  <c r="B1124" i="17"/>
  <c r="I1123" i="17"/>
  <c r="E1123" i="17"/>
  <c r="D1123" i="17"/>
  <c r="C1123" i="17"/>
  <c r="B1123" i="17"/>
  <c r="I1122" i="17"/>
  <c r="E1122" i="17"/>
  <c r="D1122" i="17"/>
  <c r="C1122" i="17"/>
  <c r="B1122" i="17"/>
  <c r="I1121" i="17"/>
  <c r="E1121" i="17"/>
  <c r="D1121" i="17"/>
  <c r="C1121" i="17"/>
  <c r="B1121" i="17"/>
  <c r="I1120" i="17"/>
  <c r="E1120" i="17"/>
  <c r="D1120" i="17"/>
  <c r="C1120" i="17"/>
  <c r="B1120" i="17"/>
  <c r="I1119" i="17"/>
  <c r="E1119" i="17"/>
  <c r="D1119" i="17"/>
  <c r="C1119" i="17"/>
  <c r="B1119" i="17"/>
  <c r="I1118" i="17"/>
  <c r="E1118" i="17"/>
  <c r="D1118" i="17"/>
  <c r="C1118" i="17"/>
  <c r="B1118" i="17"/>
  <c r="I1117" i="17"/>
  <c r="E1117" i="17"/>
  <c r="D1117" i="17"/>
  <c r="C1117" i="17"/>
  <c r="B1117" i="17"/>
  <c r="I1116" i="17"/>
  <c r="E1116" i="17"/>
  <c r="D1116" i="17"/>
  <c r="C1116" i="17"/>
  <c r="B1116" i="17"/>
  <c r="I1115" i="17"/>
  <c r="E1115" i="17"/>
  <c r="D1115" i="17"/>
  <c r="C1115" i="17"/>
  <c r="B1115" i="17"/>
  <c r="I1114" i="17"/>
  <c r="E1114" i="17"/>
  <c r="D1114" i="17"/>
  <c r="C1114" i="17"/>
  <c r="B1114" i="17"/>
  <c r="I1113" i="17"/>
  <c r="E1113" i="17"/>
  <c r="D1113" i="17"/>
  <c r="C1113" i="17"/>
  <c r="B1113" i="17"/>
  <c r="I1112" i="17"/>
  <c r="E1112" i="17"/>
  <c r="D1112" i="17"/>
  <c r="C1112" i="17"/>
  <c r="B1112" i="17"/>
  <c r="I1111" i="17"/>
  <c r="E1111" i="17"/>
  <c r="D1111" i="17"/>
  <c r="C1111" i="17"/>
  <c r="B1111" i="17"/>
  <c r="I1110" i="17"/>
  <c r="E1110" i="17"/>
  <c r="D1110" i="17"/>
  <c r="C1110" i="17"/>
  <c r="B1110" i="17"/>
  <c r="I1109" i="17"/>
  <c r="E1109" i="17"/>
  <c r="D1109" i="17"/>
  <c r="C1109" i="17"/>
  <c r="B1109" i="17"/>
  <c r="I1108" i="17"/>
  <c r="E1108" i="17"/>
  <c r="D1108" i="17"/>
  <c r="C1108" i="17"/>
  <c r="B1108" i="17"/>
  <c r="I1107" i="17"/>
  <c r="E1107" i="17"/>
  <c r="D1107" i="17"/>
  <c r="C1107" i="17"/>
  <c r="B1107" i="17"/>
  <c r="E1106" i="17"/>
  <c r="D1106" i="17"/>
  <c r="C1106" i="17"/>
  <c r="B1106" i="17"/>
  <c r="E1105" i="17"/>
  <c r="D1105" i="17"/>
  <c r="C1105" i="17"/>
  <c r="B1105" i="17"/>
  <c r="E1104" i="17"/>
  <c r="D1104" i="17"/>
  <c r="C1104" i="17"/>
  <c r="B1104" i="17"/>
  <c r="E1103" i="17"/>
  <c r="D1103" i="17"/>
  <c r="C1103" i="17"/>
  <c r="B1103" i="17"/>
  <c r="E1102" i="17"/>
  <c r="D1102" i="17"/>
  <c r="C1102" i="17"/>
  <c r="B1102" i="17"/>
  <c r="E1101" i="17"/>
  <c r="D1101" i="17"/>
  <c r="C1101" i="17"/>
  <c r="B1101" i="17"/>
  <c r="E1100" i="17"/>
  <c r="D1100" i="17"/>
  <c r="C1100" i="17"/>
  <c r="B1100" i="17"/>
  <c r="E1099" i="17"/>
  <c r="D1099" i="17"/>
  <c r="C1099" i="17"/>
  <c r="B1099" i="17"/>
  <c r="E1098" i="17"/>
  <c r="D1098" i="17"/>
  <c r="C1098" i="17"/>
  <c r="B1098" i="17"/>
  <c r="E1097" i="17"/>
  <c r="D1097" i="17"/>
  <c r="C1097" i="17"/>
  <c r="B1097" i="17"/>
  <c r="I1096" i="17"/>
  <c r="E1096" i="17"/>
  <c r="D1096" i="17"/>
  <c r="C1096" i="17"/>
  <c r="B1096" i="17"/>
  <c r="I1095" i="17"/>
  <c r="E1095" i="17"/>
  <c r="D1095" i="17"/>
  <c r="C1095" i="17"/>
  <c r="B1095" i="17"/>
  <c r="I1094" i="17"/>
  <c r="E1094" i="17"/>
  <c r="D1094" i="17"/>
  <c r="C1094" i="17"/>
  <c r="B1094" i="17"/>
  <c r="E1093" i="17"/>
  <c r="D1093" i="17"/>
  <c r="C1093" i="17"/>
  <c r="B1093" i="17"/>
  <c r="E1092" i="17"/>
  <c r="D1092" i="17"/>
  <c r="C1092" i="17"/>
  <c r="B1092" i="17"/>
  <c r="E1091" i="17"/>
  <c r="D1091" i="17"/>
  <c r="C1091" i="17"/>
  <c r="B1091" i="17"/>
  <c r="E1090" i="17"/>
  <c r="D1090" i="17"/>
  <c r="C1090" i="17"/>
  <c r="B1090" i="17"/>
  <c r="E1089" i="17"/>
  <c r="D1089" i="17"/>
  <c r="C1089" i="17"/>
  <c r="B1089" i="17"/>
  <c r="E1088" i="17"/>
  <c r="D1088" i="17"/>
  <c r="C1088" i="17"/>
  <c r="B1088" i="17"/>
  <c r="E1087" i="17"/>
  <c r="D1087" i="17"/>
  <c r="C1087" i="17"/>
  <c r="B1087" i="17"/>
  <c r="E1086" i="17"/>
  <c r="D1086" i="17"/>
  <c r="C1086" i="17"/>
  <c r="B1086" i="17"/>
  <c r="E1085" i="17"/>
  <c r="D1085" i="17"/>
  <c r="C1085" i="17"/>
  <c r="B1085" i="17"/>
  <c r="E1084" i="17"/>
  <c r="D1084" i="17"/>
  <c r="C1084" i="17"/>
  <c r="B1084" i="17"/>
  <c r="E1083" i="17"/>
  <c r="D1083" i="17"/>
  <c r="C1083" i="17"/>
  <c r="B1083" i="17"/>
  <c r="E1082" i="17"/>
  <c r="D1082" i="17"/>
  <c r="C1082" i="17"/>
  <c r="B1082" i="17"/>
  <c r="E1081" i="17"/>
  <c r="D1081" i="17"/>
  <c r="C1081" i="17"/>
  <c r="B1081" i="17"/>
  <c r="I1080" i="17"/>
  <c r="E1080" i="17"/>
  <c r="D1080" i="17"/>
  <c r="C1080" i="17"/>
  <c r="B1080" i="17"/>
  <c r="E1079" i="17"/>
  <c r="D1079" i="17"/>
  <c r="C1079" i="17"/>
  <c r="B1079" i="17"/>
  <c r="E1078" i="17"/>
  <c r="D1078" i="17"/>
  <c r="C1078" i="17"/>
  <c r="B1078" i="17"/>
  <c r="E1077" i="17"/>
  <c r="D1077" i="17"/>
  <c r="C1077" i="17"/>
  <c r="B1077" i="17"/>
  <c r="E1076" i="17"/>
  <c r="D1076" i="17"/>
  <c r="C1076" i="17"/>
  <c r="B1076" i="17"/>
  <c r="E1075" i="17"/>
  <c r="D1075" i="17"/>
  <c r="C1075" i="17"/>
  <c r="B1075" i="17"/>
  <c r="E1074" i="17"/>
  <c r="D1074" i="17"/>
  <c r="C1074" i="17"/>
  <c r="B1074" i="17"/>
  <c r="E1073" i="17"/>
  <c r="D1073" i="17"/>
  <c r="C1073" i="17"/>
  <c r="B1073" i="17"/>
  <c r="E1072" i="17"/>
  <c r="D1072" i="17"/>
  <c r="C1072" i="17"/>
  <c r="B1072" i="17"/>
  <c r="E1071" i="17"/>
  <c r="D1071" i="17"/>
  <c r="C1071" i="17"/>
  <c r="B1071" i="17"/>
  <c r="E1070" i="17"/>
  <c r="D1070" i="17"/>
  <c r="C1070" i="17"/>
  <c r="B1070" i="17"/>
  <c r="E1069" i="17"/>
  <c r="D1069" i="17"/>
  <c r="C1069" i="17"/>
  <c r="B1069" i="17"/>
  <c r="E1068" i="17"/>
  <c r="D1068" i="17"/>
  <c r="C1068" i="17"/>
  <c r="B1068" i="17"/>
  <c r="I1067" i="17"/>
  <c r="E1067" i="17"/>
  <c r="D1067" i="17"/>
  <c r="C1067" i="17"/>
  <c r="B1067" i="17"/>
  <c r="E1066" i="17"/>
  <c r="D1066" i="17"/>
  <c r="C1066" i="17"/>
  <c r="B1066" i="17"/>
  <c r="E1065" i="17"/>
  <c r="D1065" i="17"/>
  <c r="C1065" i="17"/>
  <c r="B1065" i="17"/>
  <c r="E1064" i="17"/>
  <c r="D1064" i="17"/>
  <c r="C1064" i="17"/>
  <c r="B1064" i="17"/>
  <c r="E1063" i="17"/>
  <c r="D1063" i="17"/>
  <c r="C1063" i="17"/>
  <c r="B1063" i="17"/>
  <c r="E1062" i="17"/>
  <c r="D1062" i="17"/>
  <c r="C1062" i="17"/>
  <c r="B1062" i="17"/>
  <c r="E1061" i="17"/>
  <c r="D1061" i="17"/>
  <c r="C1061" i="17"/>
  <c r="B1061" i="17"/>
  <c r="E1060" i="17"/>
  <c r="D1060" i="17"/>
  <c r="C1060" i="17"/>
  <c r="B1060" i="17"/>
  <c r="E1059" i="17"/>
  <c r="D1059" i="17"/>
  <c r="C1059" i="17"/>
  <c r="B1059" i="17"/>
  <c r="E1058" i="17"/>
  <c r="D1058" i="17"/>
  <c r="C1058" i="17"/>
  <c r="B1058" i="17"/>
  <c r="E1057" i="17"/>
  <c r="D1057" i="17"/>
  <c r="C1057" i="17"/>
  <c r="B1057" i="17"/>
  <c r="E1056" i="17"/>
  <c r="D1056" i="17"/>
  <c r="C1056" i="17"/>
  <c r="B1056" i="17"/>
  <c r="E1055" i="17"/>
  <c r="D1055" i="17"/>
  <c r="C1055" i="17"/>
  <c r="B1055" i="17"/>
  <c r="I1054" i="17"/>
  <c r="E1054" i="17"/>
  <c r="D1054" i="17"/>
  <c r="C1054" i="17"/>
  <c r="B1054" i="17"/>
  <c r="E1053" i="17"/>
  <c r="D1053" i="17"/>
  <c r="C1053" i="17"/>
  <c r="B1053" i="17"/>
  <c r="E1052" i="17"/>
  <c r="D1052" i="17"/>
  <c r="C1052" i="17"/>
  <c r="B1052" i="17"/>
  <c r="E1051" i="17"/>
  <c r="D1051" i="17"/>
  <c r="C1051" i="17"/>
  <c r="B1051" i="17"/>
  <c r="E1050" i="17"/>
  <c r="D1050" i="17"/>
  <c r="C1050" i="17"/>
  <c r="B1050" i="17"/>
  <c r="E1049" i="17"/>
  <c r="D1049" i="17"/>
  <c r="C1049" i="17"/>
  <c r="B1049" i="17"/>
  <c r="E1048" i="17"/>
  <c r="D1048" i="17"/>
  <c r="C1048" i="17"/>
  <c r="B1048" i="17"/>
  <c r="E1047" i="17"/>
  <c r="D1047" i="17"/>
  <c r="C1047" i="17"/>
  <c r="B1047" i="17"/>
  <c r="E1046" i="17"/>
  <c r="D1046" i="17"/>
  <c r="C1046" i="17"/>
  <c r="B1046" i="17"/>
  <c r="E1045" i="17"/>
  <c r="D1045" i="17"/>
  <c r="C1045" i="17"/>
  <c r="B1045" i="17"/>
  <c r="E1044" i="17"/>
  <c r="D1044" i="17"/>
  <c r="C1044" i="17"/>
  <c r="B1044" i="17"/>
  <c r="E1043" i="17"/>
  <c r="D1043" i="17"/>
  <c r="C1043" i="17"/>
  <c r="B1043" i="17"/>
  <c r="E1042" i="17"/>
  <c r="D1042" i="17"/>
  <c r="C1042" i="17"/>
  <c r="B1042" i="17"/>
  <c r="I1041" i="17"/>
  <c r="E1041" i="17"/>
  <c r="D1041" i="17"/>
  <c r="C1041" i="17"/>
  <c r="B1041" i="17"/>
  <c r="E1040" i="17"/>
  <c r="D1040" i="17"/>
  <c r="C1040" i="17"/>
  <c r="B1040" i="17"/>
  <c r="E1039" i="17"/>
  <c r="D1039" i="17"/>
  <c r="C1039" i="17"/>
  <c r="B1039" i="17"/>
  <c r="E1038" i="17"/>
  <c r="D1038" i="17"/>
  <c r="C1038" i="17"/>
  <c r="B1038" i="17"/>
  <c r="E1037" i="17"/>
  <c r="D1037" i="17"/>
  <c r="C1037" i="17"/>
  <c r="B1037" i="17"/>
  <c r="E1036" i="17"/>
  <c r="D1036" i="17"/>
  <c r="C1036" i="17"/>
  <c r="B1036" i="17"/>
  <c r="E1035" i="17"/>
  <c r="D1035" i="17"/>
  <c r="C1035" i="17"/>
  <c r="B1035" i="17"/>
  <c r="E1034" i="17"/>
  <c r="D1034" i="17"/>
  <c r="C1034" i="17"/>
  <c r="B1034" i="17"/>
  <c r="E1033" i="17"/>
  <c r="D1033" i="17"/>
  <c r="C1033" i="17"/>
  <c r="B1033" i="17"/>
  <c r="E1032" i="17"/>
  <c r="D1032" i="17"/>
  <c r="C1032" i="17"/>
  <c r="B1032" i="17"/>
  <c r="E1031" i="17"/>
  <c r="D1031" i="17"/>
  <c r="C1031" i="17"/>
  <c r="B1031" i="17"/>
  <c r="E1030" i="17"/>
  <c r="D1030" i="17"/>
  <c r="C1030" i="17"/>
  <c r="B1030" i="17"/>
  <c r="E1029" i="17"/>
  <c r="D1029" i="17"/>
  <c r="C1029" i="17"/>
  <c r="B1029" i="17"/>
  <c r="I1028" i="17"/>
  <c r="E1028" i="17"/>
  <c r="D1028" i="17"/>
  <c r="C1028" i="17"/>
  <c r="B1028" i="17"/>
  <c r="E1027" i="17"/>
  <c r="D1027" i="17"/>
  <c r="C1027" i="17"/>
  <c r="B1027" i="17"/>
  <c r="E1026" i="17"/>
  <c r="D1026" i="17"/>
  <c r="C1026" i="17"/>
  <c r="B1026" i="17"/>
  <c r="E1025" i="17"/>
  <c r="D1025" i="17"/>
  <c r="C1025" i="17"/>
  <c r="B1025" i="17"/>
  <c r="E1024" i="17"/>
  <c r="D1024" i="17"/>
  <c r="C1024" i="17"/>
  <c r="B1024" i="17"/>
  <c r="E1023" i="17"/>
  <c r="D1023" i="17"/>
  <c r="C1023" i="17"/>
  <c r="B1023" i="17"/>
  <c r="E1022" i="17"/>
  <c r="D1022" i="17"/>
  <c r="C1022" i="17"/>
  <c r="B1022" i="17"/>
  <c r="E1021" i="17"/>
  <c r="D1021" i="17"/>
  <c r="C1021" i="17"/>
  <c r="B1021" i="17"/>
  <c r="E1020" i="17"/>
  <c r="D1020" i="17"/>
  <c r="C1020" i="17"/>
  <c r="B1020" i="17"/>
  <c r="E1019" i="17"/>
  <c r="D1019" i="17"/>
  <c r="C1019" i="17"/>
  <c r="B1019" i="17"/>
  <c r="E1018" i="17"/>
  <c r="D1018" i="17"/>
  <c r="C1018" i="17"/>
  <c r="B1018" i="17"/>
  <c r="E1017" i="17"/>
  <c r="D1017" i="17"/>
  <c r="C1017" i="17"/>
  <c r="B1017" i="17"/>
  <c r="E1016" i="17"/>
  <c r="D1016" i="17"/>
  <c r="C1016" i="17"/>
  <c r="B1016" i="17"/>
  <c r="E1015" i="17"/>
  <c r="D1015" i="17"/>
  <c r="C1015" i="17"/>
  <c r="B1015" i="17"/>
  <c r="E1014" i="17"/>
  <c r="D1014" i="17"/>
  <c r="C1014" i="17"/>
  <c r="B1014" i="17"/>
  <c r="E1013" i="17"/>
  <c r="D1013" i="17"/>
  <c r="C1013" i="17"/>
  <c r="B1013" i="17"/>
  <c r="E1012" i="17"/>
  <c r="D1012" i="17"/>
  <c r="C1012" i="17"/>
  <c r="B1012" i="17"/>
  <c r="E1011" i="17"/>
  <c r="D1011" i="17"/>
  <c r="C1011" i="17"/>
  <c r="B1011" i="17"/>
  <c r="E1010" i="17"/>
  <c r="D1010" i="17"/>
  <c r="C1010" i="17"/>
  <c r="B1010" i="17"/>
  <c r="E1009" i="17"/>
  <c r="D1009" i="17"/>
  <c r="C1009" i="17"/>
  <c r="B1009" i="17"/>
  <c r="E1008" i="17"/>
  <c r="D1008" i="17"/>
  <c r="C1008" i="17"/>
  <c r="B1008" i="17"/>
  <c r="E1007" i="17"/>
  <c r="D1007" i="17"/>
  <c r="C1007" i="17"/>
  <c r="B1007" i="17"/>
  <c r="E1006" i="17"/>
  <c r="D1006" i="17"/>
  <c r="C1006" i="17"/>
  <c r="B1006" i="17"/>
  <c r="E1005" i="17"/>
  <c r="D1005" i="17"/>
  <c r="C1005" i="17"/>
  <c r="B1005" i="17"/>
  <c r="E1004" i="17"/>
  <c r="D1004" i="17"/>
  <c r="C1004" i="17"/>
  <c r="B1004" i="17"/>
  <c r="E1003" i="17"/>
  <c r="D1003" i="17"/>
  <c r="C1003" i="17"/>
  <c r="B1003" i="17"/>
  <c r="E1002" i="17"/>
  <c r="D1002" i="17"/>
  <c r="C1002" i="17"/>
  <c r="B1002" i="17"/>
  <c r="E1001" i="17"/>
  <c r="D1001" i="17"/>
  <c r="C1001" i="17"/>
  <c r="B1001" i="17"/>
  <c r="E1000" i="17"/>
  <c r="D1000" i="17"/>
  <c r="C1000" i="17"/>
  <c r="B1000" i="17"/>
  <c r="E999" i="17"/>
  <c r="D999" i="17"/>
  <c r="C999" i="17"/>
  <c r="B999" i="17"/>
  <c r="E998" i="17"/>
  <c r="D998" i="17"/>
  <c r="C998" i="17"/>
  <c r="B998" i="17"/>
  <c r="E997" i="17"/>
  <c r="D997" i="17"/>
  <c r="C997" i="17"/>
  <c r="B997" i="17"/>
  <c r="E996" i="17"/>
  <c r="D996" i="17"/>
  <c r="C996" i="17"/>
  <c r="B996" i="17"/>
  <c r="E995" i="17"/>
  <c r="D995" i="17"/>
  <c r="C995" i="17"/>
  <c r="B995" i="17"/>
  <c r="E994" i="17"/>
  <c r="D994" i="17"/>
  <c r="C994" i="17"/>
  <c r="B994" i="17"/>
  <c r="E993" i="17"/>
  <c r="D993" i="17"/>
  <c r="C993" i="17"/>
  <c r="B993" i="17"/>
  <c r="E992" i="17"/>
  <c r="D992" i="17"/>
  <c r="C992" i="17"/>
  <c r="B992" i="17"/>
  <c r="E991" i="17"/>
  <c r="D991" i="17"/>
  <c r="C991" i="17"/>
  <c r="B991" i="17"/>
  <c r="E990" i="17"/>
  <c r="D990" i="17"/>
  <c r="C990" i="17"/>
  <c r="B990" i="17"/>
  <c r="E989" i="17"/>
  <c r="D989" i="17"/>
  <c r="C989" i="17"/>
  <c r="B989" i="17"/>
  <c r="E988" i="17"/>
  <c r="D988" i="17"/>
  <c r="C988" i="17"/>
  <c r="B988" i="17"/>
  <c r="E987" i="17"/>
  <c r="D987" i="17"/>
  <c r="C987" i="17"/>
  <c r="B987" i="17"/>
  <c r="E986" i="17"/>
  <c r="D986" i="17"/>
  <c r="C986" i="17"/>
  <c r="B986" i="17"/>
  <c r="E985" i="17"/>
  <c r="D985" i="17"/>
  <c r="C985" i="17"/>
  <c r="B985" i="17"/>
  <c r="E984" i="17"/>
  <c r="D984" i="17"/>
  <c r="C984" i="17"/>
  <c r="B984" i="17"/>
  <c r="E983" i="17"/>
  <c r="D983" i="17"/>
  <c r="C983" i="17"/>
  <c r="B983" i="17"/>
  <c r="E982" i="17"/>
  <c r="D982" i="17"/>
  <c r="C982" i="17"/>
  <c r="B982" i="17"/>
  <c r="E981" i="17"/>
  <c r="D981" i="17"/>
  <c r="C981" i="17"/>
  <c r="B981" i="17"/>
  <c r="E980" i="17"/>
  <c r="D980" i="17"/>
  <c r="C980" i="17"/>
  <c r="B980" i="17"/>
  <c r="E979" i="17"/>
  <c r="D979" i="17"/>
  <c r="C979" i="17"/>
  <c r="B979" i="17"/>
  <c r="E978" i="17"/>
  <c r="D978" i="17"/>
  <c r="C978" i="17"/>
  <c r="B978" i="17"/>
  <c r="E977" i="17"/>
  <c r="D977" i="17"/>
  <c r="C977" i="17"/>
  <c r="B977" i="17"/>
  <c r="E976" i="17"/>
  <c r="D976" i="17"/>
  <c r="C976" i="17"/>
  <c r="B976" i="17"/>
  <c r="E975" i="17"/>
  <c r="D975" i="17"/>
  <c r="C975" i="17"/>
  <c r="B975" i="17"/>
  <c r="E974" i="17"/>
  <c r="D974" i="17"/>
  <c r="C974" i="17"/>
  <c r="B974" i="17"/>
  <c r="E973" i="17"/>
  <c r="D973" i="17"/>
  <c r="C973" i="17"/>
  <c r="B973" i="17"/>
  <c r="E972" i="17"/>
  <c r="D972" i="17"/>
  <c r="C972" i="17"/>
  <c r="B972" i="17"/>
  <c r="E971" i="17"/>
  <c r="D971" i="17"/>
  <c r="C971" i="17"/>
  <c r="B971" i="17"/>
  <c r="E970" i="17"/>
  <c r="D970" i="17"/>
  <c r="C970" i="17"/>
  <c r="B970" i="17"/>
  <c r="E969" i="17"/>
  <c r="D969" i="17"/>
  <c r="C969" i="17"/>
  <c r="B969" i="17"/>
  <c r="E968" i="17"/>
  <c r="D968" i="17"/>
  <c r="C968" i="17"/>
  <c r="B968" i="17"/>
  <c r="E967" i="17"/>
  <c r="D967" i="17"/>
  <c r="C967" i="17"/>
  <c r="B967" i="17"/>
  <c r="I966" i="17"/>
  <c r="E966" i="17"/>
  <c r="D966" i="17"/>
  <c r="C966" i="17"/>
  <c r="B966" i="17"/>
  <c r="I965" i="17"/>
  <c r="E965" i="17"/>
  <c r="D965" i="17"/>
  <c r="C965" i="17"/>
  <c r="B965" i="17"/>
  <c r="I964" i="17"/>
  <c r="E964" i="17"/>
  <c r="D964" i="17"/>
  <c r="C964" i="17"/>
  <c r="B964" i="17"/>
  <c r="E963" i="17"/>
  <c r="D963" i="17"/>
  <c r="C963" i="17"/>
  <c r="B963" i="17"/>
  <c r="E962" i="17"/>
  <c r="D962" i="17"/>
  <c r="C962" i="17"/>
  <c r="B962" i="17"/>
  <c r="E961" i="17"/>
  <c r="D961" i="17"/>
  <c r="C961" i="17"/>
  <c r="B961" i="17"/>
  <c r="E960" i="17"/>
  <c r="D960" i="17"/>
  <c r="C960" i="17"/>
  <c r="B960" i="17"/>
  <c r="E959" i="17"/>
  <c r="D959" i="17"/>
  <c r="C959" i="17"/>
  <c r="B959" i="17"/>
  <c r="E958" i="17"/>
  <c r="D958" i="17"/>
  <c r="C958" i="17"/>
  <c r="B958" i="17"/>
  <c r="E957" i="17"/>
  <c r="D957" i="17"/>
  <c r="C957" i="17"/>
  <c r="B957" i="17"/>
  <c r="E956" i="17"/>
  <c r="D956" i="17"/>
  <c r="C956" i="17"/>
  <c r="B956" i="17"/>
  <c r="E955" i="17"/>
  <c r="D955" i="17"/>
  <c r="C955" i="17"/>
  <c r="B955" i="17"/>
  <c r="E954" i="17"/>
  <c r="D954" i="17"/>
  <c r="C954" i="17"/>
  <c r="B954" i="17"/>
  <c r="E953" i="17"/>
  <c r="D953" i="17"/>
  <c r="C953" i="17"/>
  <c r="B953" i="17"/>
  <c r="E952" i="17"/>
  <c r="D952" i="17"/>
  <c r="C952" i="17"/>
  <c r="B952" i="17"/>
  <c r="E951" i="17"/>
  <c r="D951" i="17"/>
  <c r="C951" i="17"/>
  <c r="B951" i="17"/>
  <c r="E950" i="17"/>
  <c r="D950" i="17"/>
  <c r="C950" i="17"/>
  <c r="B950" i="17"/>
  <c r="E949" i="17"/>
  <c r="D949" i="17"/>
  <c r="C949" i="17"/>
  <c r="B949" i="17"/>
  <c r="E948" i="17"/>
  <c r="D948" i="17"/>
  <c r="C948" i="17"/>
  <c r="B948" i="17"/>
  <c r="E947" i="17"/>
  <c r="D947" i="17"/>
  <c r="C947" i="17"/>
  <c r="B947" i="17"/>
  <c r="E946" i="17"/>
  <c r="D946" i="17"/>
  <c r="C946" i="17"/>
  <c r="B946" i="17"/>
  <c r="E945" i="17"/>
  <c r="D945" i="17"/>
  <c r="C945" i="17"/>
  <c r="B945" i="17"/>
  <c r="E944" i="17"/>
  <c r="D944" i="17"/>
  <c r="C944" i="17"/>
  <c r="B944" i="17"/>
  <c r="E943" i="17"/>
  <c r="D943" i="17"/>
  <c r="C943" i="17"/>
  <c r="B943" i="17"/>
  <c r="E942" i="17"/>
  <c r="D942" i="17"/>
  <c r="C942" i="17"/>
  <c r="B942" i="17"/>
  <c r="E941" i="17"/>
  <c r="D941" i="17"/>
  <c r="C941" i="17"/>
  <c r="B941" i="17"/>
  <c r="E940" i="17"/>
  <c r="D940" i="17"/>
  <c r="C940" i="17"/>
  <c r="B940" i="17"/>
  <c r="E939" i="17"/>
  <c r="D939" i="17"/>
  <c r="C939" i="17"/>
  <c r="B939" i="17"/>
  <c r="E938" i="17"/>
  <c r="D938" i="17"/>
  <c r="C938" i="17"/>
  <c r="B938" i="17"/>
  <c r="E937" i="17"/>
  <c r="D937" i="17"/>
  <c r="C937" i="17"/>
  <c r="B937" i="17"/>
  <c r="E936" i="17"/>
  <c r="D936" i="17"/>
  <c r="C936" i="17"/>
  <c r="B936" i="17"/>
  <c r="E935" i="17"/>
  <c r="D935" i="17"/>
  <c r="C935" i="17"/>
  <c r="B935" i="17"/>
  <c r="E934" i="17"/>
  <c r="D934" i="17"/>
  <c r="C934" i="17"/>
  <c r="B934" i="17"/>
  <c r="E933" i="17"/>
  <c r="D933" i="17"/>
  <c r="C933" i="17"/>
  <c r="B933" i="17"/>
  <c r="E932" i="17"/>
  <c r="D932" i="17"/>
  <c r="C932" i="17"/>
  <c r="B932" i="17"/>
  <c r="E931" i="17"/>
  <c r="D931" i="17"/>
  <c r="C931" i="17"/>
  <c r="B931" i="17"/>
  <c r="E930" i="17"/>
  <c r="D930" i="17"/>
  <c r="C930" i="17"/>
  <c r="B930" i="17"/>
  <c r="E929" i="17"/>
  <c r="D929" i="17"/>
  <c r="C929" i="17"/>
  <c r="B929" i="17"/>
  <c r="E928" i="17"/>
  <c r="D928" i="17"/>
  <c r="C928" i="17"/>
  <c r="B928" i="17"/>
  <c r="E927" i="17"/>
  <c r="D927" i="17"/>
  <c r="C927" i="17"/>
  <c r="B927" i="17"/>
  <c r="E926" i="17"/>
  <c r="D926" i="17"/>
  <c r="C926" i="17"/>
  <c r="B926" i="17"/>
  <c r="E925" i="17"/>
  <c r="D925" i="17"/>
  <c r="C925" i="17"/>
  <c r="B925" i="17"/>
  <c r="E924" i="17"/>
  <c r="D924" i="17"/>
  <c r="C924" i="17"/>
  <c r="B924" i="17"/>
  <c r="E923" i="17"/>
  <c r="D923" i="17"/>
  <c r="C923" i="17"/>
  <c r="B923" i="17"/>
  <c r="E922" i="17"/>
  <c r="D922" i="17"/>
  <c r="C922" i="17"/>
  <c r="B922" i="17"/>
  <c r="E921" i="17"/>
  <c r="D921" i="17"/>
  <c r="C921" i="17"/>
  <c r="B921" i="17"/>
  <c r="E920" i="17"/>
  <c r="D920" i="17"/>
  <c r="C920" i="17"/>
  <c r="B920" i="17"/>
  <c r="E919" i="17"/>
  <c r="D919" i="17"/>
  <c r="C919" i="17"/>
  <c r="B919" i="17"/>
  <c r="E918" i="17"/>
  <c r="D918" i="17"/>
  <c r="C918" i="17"/>
  <c r="B918" i="17"/>
  <c r="E917" i="17"/>
  <c r="D917" i="17"/>
  <c r="C917" i="17"/>
  <c r="B917" i="17"/>
  <c r="E916" i="17"/>
  <c r="D916" i="17"/>
  <c r="C916" i="17"/>
  <c r="B916" i="17"/>
  <c r="E915" i="17"/>
  <c r="D915" i="17"/>
  <c r="C915" i="17"/>
  <c r="B915" i="17"/>
  <c r="E914" i="17"/>
  <c r="D914" i="17"/>
  <c r="C914" i="17"/>
  <c r="B914" i="17"/>
  <c r="E913" i="17"/>
  <c r="D913" i="17"/>
  <c r="C913" i="17"/>
  <c r="B913" i="17"/>
  <c r="E912" i="17"/>
  <c r="D912" i="17"/>
  <c r="C912" i="17"/>
  <c r="B912" i="17"/>
  <c r="E911" i="17"/>
  <c r="D911" i="17"/>
  <c r="C911" i="17"/>
  <c r="B911" i="17"/>
  <c r="E910" i="17"/>
  <c r="D910" i="17"/>
  <c r="C910" i="17"/>
  <c r="B910" i="17"/>
  <c r="E909" i="17"/>
  <c r="D909" i="17"/>
  <c r="C909" i="17"/>
  <c r="B909" i="17"/>
  <c r="E908" i="17"/>
  <c r="D908" i="17"/>
  <c r="C908" i="17"/>
  <c r="B908" i="17"/>
  <c r="E907" i="17"/>
  <c r="D907" i="17"/>
  <c r="C907" i="17"/>
  <c r="B907" i="17"/>
  <c r="E906" i="17"/>
  <c r="D906" i="17"/>
  <c r="C906" i="17"/>
  <c r="B906" i="17"/>
  <c r="E905" i="17"/>
  <c r="D905" i="17"/>
  <c r="C905" i="17"/>
  <c r="B905" i="17"/>
  <c r="E904" i="17"/>
  <c r="D904" i="17"/>
  <c r="C904" i="17"/>
  <c r="B904" i="17"/>
  <c r="E903" i="17"/>
  <c r="D903" i="17"/>
  <c r="C903" i="17"/>
  <c r="B903" i="17"/>
  <c r="E902" i="17"/>
  <c r="D902" i="17"/>
  <c r="C902" i="17"/>
  <c r="B902" i="17"/>
  <c r="E901" i="17"/>
  <c r="D901" i="17"/>
  <c r="C901" i="17"/>
  <c r="B901" i="17"/>
  <c r="E900" i="17"/>
  <c r="D900" i="17"/>
  <c r="C900" i="17"/>
  <c r="B900" i="17"/>
  <c r="E899" i="17"/>
  <c r="D899" i="17"/>
  <c r="C899" i="17"/>
  <c r="B899" i="17"/>
  <c r="E898" i="17"/>
  <c r="D898" i="17"/>
  <c r="C898" i="17"/>
  <c r="B898" i="17"/>
  <c r="E897" i="17"/>
  <c r="D897" i="17"/>
  <c r="C897" i="17"/>
  <c r="B897" i="17"/>
  <c r="E896" i="17"/>
  <c r="D896" i="17"/>
  <c r="C896" i="17"/>
  <c r="B896" i="17"/>
  <c r="E895" i="17"/>
  <c r="D895" i="17"/>
  <c r="C895" i="17"/>
  <c r="B895" i="17"/>
  <c r="E894" i="17"/>
  <c r="D894" i="17"/>
  <c r="C894" i="17"/>
  <c r="B894" i="17"/>
  <c r="I893" i="17"/>
  <c r="E893" i="17"/>
  <c r="D893" i="17"/>
  <c r="C893" i="17"/>
  <c r="B893" i="17"/>
  <c r="E892" i="17"/>
  <c r="D892" i="17"/>
  <c r="C892" i="17"/>
  <c r="B892" i="17"/>
  <c r="E891" i="17"/>
  <c r="D891" i="17"/>
  <c r="C891" i="17"/>
  <c r="B891" i="17"/>
  <c r="I890" i="17"/>
  <c r="E890" i="17"/>
  <c r="D890" i="17"/>
  <c r="C890" i="17"/>
  <c r="B890" i="17"/>
  <c r="E889" i="17"/>
  <c r="D889" i="17"/>
  <c r="C889" i="17"/>
  <c r="B889" i="17"/>
  <c r="E888" i="17"/>
  <c r="D888" i="17"/>
  <c r="C888" i="17"/>
  <c r="B888" i="17"/>
  <c r="I887" i="17"/>
  <c r="E887" i="17"/>
  <c r="D887" i="17"/>
  <c r="C887" i="17"/>
  <c r="B887" i="17"/>
  <c r="E886" i="17"/>
  <c r="D886" i="17"/>
  <c r="C886" i="17"/>
  <c r="B886" i="17"/>
  <c r="E885" i="17"/>
  <c r="D885" i="17"/>
  <c r="C885" i="17"/>
  <c r="B885" i="17"/>
  <c r="E884" i="17"/>
  <c r="D884" i="17"/>
  <c r="C884" i="17"/>
  <c r="B884" i="17"/>
  <c r="E883" i="17"/>
  <c r="D883" i="17"/>
  <c r="C883" i="17"/>
  <c r="B883" i="17"/>
  <c r="E882" i="17"/>
  <c r="D882" i="17"/>
  <c r="C882" i="17"/>
  <c r="B882" i="17"/>
  <c r="E881" i="17"/>
  <c r="D881" i="17"/>
  <c r="C881" i="17"/>
  <c r="B881" i="17"/>
  <c r="E880" i="17"/>
  <c r="D880" i="17"/>
  <c r="C880" i="17"/>
  <c r="B880" i="17"/>
  <c r="E879" i="17"/>
  <c r="D879" i="17"/>
  <c r="C879" i="17"/>
  <c r="B879" i="17"/>
  <c r="E878" i="17"/>
  <c r="D878" i="17"/>
  <c r="C878" i="17"/>
  <c r="B878" i="17"/>
  <c r="E877" i="17"/>
  <c r="D877" i="17"/>
  <c r="C877" i="17"/>
  <c r="B877" i="17"/>
  <c r="E876" i="17"/>
  <c r="D876" i="17"/>
  <c r="C876" i="17"/>
  <c r="B876" i="17"/>
  <c r="I875" i="17"/>
  <c r="E875" i="17"/>
  <c r="D875" i="17"/>
  <c r="C875" i="17"/>
  <c r="B875" i="17"/>
  <c r="I874" i="17"/>
  <c r="E874" i="17"/>
  <c r="D874" i="17"/>
  <c r="C874" i="17"/>
  <c r="B874" i="17"/>
  <c r="I873" i="17"/>
  <c r="E873" i="17"/>
  <c r="D873" i="17"/>
  <c r="C873" i="17"/>
  <c r="B873" i="17"/>
  <c r="E872" i="17"/>
  <c r="D872" i="17"/>
  <c r="C872" i="17"/>
  <c r="B872" i="17"/>
  <c r="E871" i="17"/>
  <c r="D871" i="17"/>
  <c r="C871" i="17"/>
  <c r="B871" i="17"/>
  <c r="E870" i="17"/>
  <c r="D870" i="17"/>
  <c r="C870" i="17"/>
  <c r="B870" i="17"/>
  <c r="E869" i="17"/>
  <c r="D869" i="17"/>
  <c r="C869" i="17"/>
  <c r="B869" i="17"/>
  <c r="E868" i="17"/>
  <c r="D868" i="17"/>
  <c r="C868" i="17"/>
  <c r="B868" i="17"/>
  <c r="E867" i="17"/>
  <c r="D867" i="17"/>
  <c r="C867" i="17"/>
  <c r="B867" i="17"/>
  <c r="E866" i="17"/>
  <c r="D866" i="17"/>
  <c r="C866" i="17"/>
  <c r="B866" i="17"/>
  <c r="E865" i="17"/>
  <c r="D865" i="17"/>
  <c r="C865" i="17"/>
  <c r="B865" i="17"/>
  <c r="E864" i="17"/>
  <c r="D864" i="17"/>
  <c r="C864" i="17"/>
  <c r="B864" i="17"/>
  <c r="E863" i="17"/>
  <c r="D863" i="17"/>
  <c r="C863" i="17"/>
  <c r="B863" i="17"/>
  <c r="E862" i="17"/>
  <c r="D862" i="17"/>
  <c r="C862" i="17"/>
  <c r="B862" i="17"/>
  <c r="E861" i="17"/>
  <c r="D861" i="17"/>
  <c r="C861" i="17"/>
  <c r="B861" i="17"/>
  <c r="E860" i="17"/>
  <c r="D860" i="17"/>
  <c r="C860" i="17"/>
  <c r="B860" i="17"/>
  <c r="E859" i="17"/>
  <c r="D859" i="17"/>
  <c r="C859" i="17"/>
  <c r="B859" i="17"/>
  <c r="E858" i="17"/>
  <c r="D858" i="17"/>
  <c r="C858" i="17"/>
  <c r="B858" i="17"/>
  <c r="E857" i="17"/>
  <c r="D857" i="17"/>
  <c r="C857" i="17"/>
  <c r="B857" i="17"/>
  <c r="E856" i="17"/>
  <c r="D856" i="17"/>
  <c r="C856" i="17"/>
  <c r="B856" i="17"/>
  <c r="E855" i="17"/>
  <c r="D855" i="17"/>
  <c r="C855" i="17"/>
  <c r="B855" i="17"/>
  <c r="E854" i="17"/>
  <c r="D854" i="17"/>
  <c r="C854" i="17"/>
  <c r="B854" i="17"/>
  <c r="E853" i="17"/>
  <c r="D853" i="17"/>
  <c r="C853" i="17"/>
  <c r="B853" i="17"/>
  <c r="E852" i="17"/>
  <c r="D852" i="17"/>
  <c r="C852" i="17"/>
  <c r="B852" i="17"/>
  <c r="E851" i="17"/>
  <c r="D851" i="17"/>
  <c r="C851" i="17"/>
  <c r="B851" i="17"/>
  <c r="E850" i="17"/>
  <c r="D850" i="17"/>
  <c r="C850" i="17"/>
  <c r="B850" i="17"/>
  <c r="E849" i="17"/>
  <c r="D849" i="17"/>
  <c r="C849" i="17"/>
  <c r="B849" i="17"/>
  <c r="E848" i="17"/>
  <c r="D848" i="17"/>
  <c r="C848" i="17"/>
  <c r="B848" i="17"/>
  <c r="E847" i="17"/>
  <c r="D847" i="17"/>
  <c r="C847" i="17"/>
  <c r="B847" i="17"/>
  <c r="E846" i="17"/>
  <c r="D846" i="17"/>
  <c r="C846" i="17"/>
  <c r="B846" i="17"/>
  <c r="E845" i="17"/>
  <c r="D845" i="17"/>
  <c r="C845" i="17"/>
  <c r="B845" i="17"/>
  <c r="E844" i="17"/>
  <c r="D844" i="17"/>
  <c r="C844" i="17"/>
  <c r="B844" i="17"/>
  <c r="E843" i="17"/>
  <c r="D843" i="17"/>
  <c r="C843" i="17"/>
  <c r="B843" i="17"/>
  <c r="E842" i="17"/>
  <c r="D842" i="17"/>
  <c r="C842" i="17"/>
  <c r="B842" i="17"/>
  <c r="E841" i="17"/>
  <c r="D841" i="17"/>
  <c r="C841" i="17"/>
  <c r="B841" i="17"/>
  <c r="E840" i="17"/>
  <c r="D840" i="17"/>
  <c r="C840" i="17"/>
  <c r="B840" i="17"/>
  <c r="E839" i="17"/>
  <c r="D839" i="17"/>
  <c r="C839" i="17"/>
  <c r="B839" i="17"/>
  <c r="E838" i="17"/>
  <c r="D838" i="17"/>
  <c r="C838" i="17"/>
  <c r="B838" i="17"/>
  <c r="E837" i="17"/>
  <c r="D837" i="17"/>
  <c r="C837" i="17"/>
  <c r="B837" i="17"/>
  <c r="E836" i="17"/>
  <c r="D836" i="17"/>
  <c r="C836" i="17"/>
  <c r="B836" i="17"/>
  <c r="E835" i="17"/>
  <c r="D835" i="17"/>
  <c r="C835" i="17"/>
  <c r="B835" i="17"/>
  <c r="E834" i="17"/>
  <c r="D834" i="17"/>
  <c r="C834" i="17"/>
  <c r="B834" i="17"/>
  <c r="E833" i="17"/>
  <c r="D833" i="17"/>
  <c r="C833" i="17"/>
  <c r="B833" i="17"/>
  <c r="E832" i="17"/>
  <c r="D832" i="17"/>
  <c r="C832" i="17"/>
  <c r="B832" i="17"/>
  <c r="E831" i="17"/>
  <c r="D831" i="17"/>
  <c r="C831" i="17"/>
  <c r="B831" i="17"/>
  <c r="E830" i="17"/>
  <c r="D830" i="17"/>
  <c r="C830" i="17"/>
  <c r="B830" i="17"/>
  <c r="E829" i="17"/>
  <c r="D829" i="17"/>
  <c r="C829" i="17"/>
  <c r="B829" i="17"/>
  <c r="E828" i="17"/>
  <c r="D828" i="17"/>
  <c r="C828" i="17"/>
  <c r="B828" i="17"/>
  <c r="E827" i="17"/>
  <c r="D827" i="17"/>
  <c r="C827" i="17"/>
  <c r="B827" i="17"/>
  <c r="E826" i="17"/>
  <c r="D826" i="17"/>
  <c r="C826" i="17"/>
  <c r="B826" i="17"/>
  <c r="E825" i="17"/>
  <c r="D825" i="17"/>
  <c r="C825" i="17"/>
  <c r="B825" i="17"/>
  <c r="E824" i="17"/>
  <c r="D824" i="17"/>
  <c r="C824" i="17"/>
  <c r="B824" i="17"/>
  <c r="E823" i="17"/>
  <c r="D823" i="17"/>
  <c r="C823" i="17"/>
  <c r="B823" i="17"/>
  <c r="E822" i="17"/>
  <c r="D822" i="17"/>
  <c r="C822" i="17"/>
  <c r="B822" i="17"/>
  <c r="E821" i="17"/>
  <c r="D821" i="17"/>
  <c r="C821" i="17"/>
  <c r="B821" i="17"/>
  <c r="E820" i="17"/>
  <c r="D820" i="17"/>
  <c r="C820" i="17"/>
  <c r="B820" i="17"/>
  <c r="E819" i="17"/>
  <c r="D819" i="17"/>
  <c r="C819" i="17"/>
  <c r="B819" i="17"/>
  <c r="E818" i="17"/>
  <c r="D818" i="17"/>
  <c r="C818" i="17"/>
  <c r="B818" i="17"/>
  <c r="E817" i="17"/>
  <c r="D817" i="17"/>
  <c r="C817" i="17"/>
  <c r="B817" i="17"/>
  <c r="E816" i="17"/>
  <c r="D816" i="17"/>
  <c r="C816" i="17"/>
  <c r="B816" i="17"/>
  <c r="E815" i="17"/>
  <c r="D815" i="17"/>
  <c r="C815" i="17"/>
  <c r="B815" i="17"/>
  <c r="E814" i="17"/>
  <c r="D814" i="17"/>
  <c r="C814" i="17"/>
  <c r="B814" i="17"/>
  <c r="E813" i="17"/>
  <c r="D813" i="17"/>
  <c r="C813" i="17"/>
  <c r="B813" i="17"/>
  <c r="E812" i="17"/>
  <c r="D812" i="17"/>
  <c r="C812" i="17"/>
  <c r="B812" i="17"/>
  <c r="E811" i="17"/>
  <c r="D811" i="17"/>
  <c r="C811" i="17"/>
  <c r="B811" i="17"/>
  <c r="E810" i="17"/>
  <c r="D810" i="17"/>
  <c r="C810" i="17"/>
  <c r="B810" i="17"/>
  <c r="E809" i="17"/>
  <c r="D809" i="17"/>
  <c r="C809" i="17"/>
  <c r="B809" i="17"/>
  <c r="E808" i="17"/>
  <c r="D808" i="17"/>
  <c r="C808" i="17"/>
  <c r="B808" i="17"/>
  <c r="E807" i="17"/>
  <c r="D807" i="17"/>
  <c r="C807" i="17"/>
  <c r="B807" i="17"/>
  <c r="E806" i="17"/>
  <c r="D806" i="17"/>
  <c r="C806" i="17"/>
  <c r="B806" i="17"/>
  <c r="E805" i="17"/>
  <c r="D805" i="17"/>
  <c r="C805" i="17"/>
  <c r="B805" i="17"/>
  <c r="E804" i="17"/>
  <c r="D804" i="17"/>
  <c r="C804" i="17"/>
  <c r="B804" i="17"/>
  <c r="E803" i="17"/>
  <c r="D803" i="17"/>
  <c r="C803" i="17"/>
  <c r="B803" i="17"/>
  <c r="E802" i="17"/>
  <c r="D802" i="17"/>
  <c r="C802" i="17"/>
  <c r="B802" i="17"/>
  <c r="E801" i="17"/>
  <c r="D801" i="17"/>
  <c r="C801" i="17"/>
  <c r="B801" i="17"/>
  <c r="E800" i="17"/>
  <c r="D800" i="17"/>
  <c r="C800" i="17"/>
  <c r="B800" i="17"/>
  <c r="E799" i="17"/>
  <c r="D799" i="17"/>
  <c r="C799" i="17"/>
  <c r="B799" i="17"/>
  <c r="E798" i="17"/>
  <c r="D798" i="17"/>
  <c r="C798" i="17"/>
  <c r="B798" i="17"/>
  <c r="E797" i="17"/>
  <c r="D797" i="17"/>
  <c r="C797" i="17"/>
  <c r="B797" i="17"/>
  <c r="E796" i="17"/>
  <c r="D796" i="17"/>
  <c r="C796" i="17"/>
  <c r="B796" i="17"/>
  <c r="E795" i="17"/>
  <c r="D795" i="17"/>
  <c r="C795" i="17"/>
  <c r="B795" i="17"/>
  <c r="E794" i="17"/>
  <c r="D794" i="17"/>
  <c r="C794" i="17"/>
  <c r="B794" i="17"/>
  <c r="E793" i="17"/>
  <c r="D793" i="17"/>
  <c r="C793" i="17"/>
  <c r="B793" i="17"/>
  <c r="E792" i="17"/>
  <c r="D792" i="17"/>
  <c r="C792" i="17"/>
  <c r="B792" i="17"/>
  <c r="E791" i="17"/>
  <c r="D791" i="17"/>
  <c r="C791" i="17"/>
  <c r="B791" i="17"/>
  <c r="E790" i="17"/>
  <c r="D790" i="17"/>
  <c r="C790" i="17"/>
  <c r="B790" i="17"/>
  <c r="E789" i="17"/>
  <c r="D789" i="17"/>
  <c r="C789" i="17"/>
  <c r="B789" i="17"/>
  <c r="E788" i="17"/>
  <c r="D788" i="17"/>
  <c r="C788" i="17"/>
  <c r="B788" i="17"/>
  <c r="E787" i="17"/>
  <c r="D787" i="17"/>
  <c r="C787" i="17"/>
  <c r="B787" i="17"/>
  <c r="E786" i="17"/>
  <c r="D786" i="17"/>
  <c r="C786" i="17"/>
  <c r="B786" i="17"/>
  <c r="E785" i="17"/>
  <c r="D785" i="17"/>
  <c r="C785" i="17"/>
  <c r="B785" i="17"/>
  <c r="E784" i="17"/>
  <c r="D784" i="17"/>
  <c r="C784" i="17"/>
  <c r="B784" i="17"/>
  <c r="E783" i="17"/>
  <c r="D783" i="17"/>
  <c r="C783" i="17"/>
  <c r="B783" i="17"/>
  <c r="E782" i="17"/>
  <c r="D782" i="17"/>
  <c r="C782" i="17"/>
  <c r="B782" i="17"/>
  <c r="E781" i="17"/>
  <c r="D781" i="17"/>
  <c r="C781" i="17"/>
  <c r="B781" i="17"/>
  <c r="E780" i="17"/>
  <c r="D780" i="17"/>
  <c r="C780" i="17"/>
  <c r="B780" i="17"/>
  <c r="E779" i="17"/>
  <c r="D779" i="17"/>
  <c r="C779" i="17"/>
  <c r="B779" i="17"/>
  <c r="E778" i="17"/>
  <c r="D778" i="17"/>
  <c r="C778" i="17"/>
  <c r="B778" i="17"/>
  <c r="E777" i="17"/>
  <c r="D777" i="17"/>
  <c r="C777" i="17"/>
  <c r="B777" i="17"/>
  <c r="E776" i="17"/>
  <c r="D776" i="17"/>
  <c r="C776" i="17"/>
  <c r="B776" i="17"/>
  <c r="E775" i="17"/>
  <c r="D775" i="17"/>
  <c r="C775" i="17"/>
  <c r="B775" i="17"/>
  <c r="E774" i="17"/>
  <c r="D774" i="17"/>
  <c r="C774" i="17"/>
  <c r="B774" i="17"/>
  <c r="E773" i="17"/>
  <c r="D773" i="17"/>
  <c r="C773" i="17"/>
  <c r="B773" i="17"/>
  <c r="E772" i="17"/>
  <c r="D772" i="17"/>
  <c r="C772" i="17"/>
  <c r="B772" i="17"/>
  <c r="E771" i="17"/>
  <c r="D771" i="17"/>
  <c r="C771" i="17"/>
  <c r="B771" i="17"/>
  <c r="E770" i="17"/>
  <c r="D770" i="17"/>
  <c r="C770" i="17"/>
  <c r="B770" i="17"/>
  <c r="E769" i="17"/>
  <c r="D769" i="17"/>
  <c r="C769" i="17"/>
  <c r="B769" i="17"/>
  <c r="E768" i="17"/>
  <c r="D768" i="17"/>
  <c r="C768" i="17"/>
  <c r="B768" i="17"/>
  <c r="E767" i="17"/>
  <c r="D767" i="17"/>
  <c r="C767" i="17"/>
  <c r="B767" i="17"/>
  <c r="E766" i="17"/>
  <c r="D766" i="17"/>
  <c r="C766" i="17"/>
  <c r="B766" i="17"/>
  <c r="E765" i="17"/>
  <c r="D765" i="17"/>
  <c r="C765" i="17"/>
  <c r="B765" i="17"/>
  <c r="E764" i="17"/>
  <c r="D764" i="17"/>
  <c r="C764" i="17"/>
  <c r="B764" i="17"/>
  <c r="E763" i="17"/>
  <c r="D763" i="17"/>
  <c r="C763" i="17"/>
  <c r="B763" i="17"/>
  <c r="E762" i="17"/>
  <c r="D762" i="17"/>
  <c r="C762" i="17"/>
  <c r="B762" i="17"/>
  <c r="E761" i="17"/>
  <c r="D761" i="17"/>
  <c r="C761" i="17"/>
  <c r="B761" i="17"/>
  <c r="E760" i="17"/>
  <c r="D760" i="17"/>
  <c r="C760" i="17"/>
  <c r="B760" i="17"/>
  <c r="E759" i="17"/>
  <c r="D759" i="17"/>
  <c r="C759" i="17"/>
  <c r="B759" i="17"/>
  <c r="E758" i="17"/>
  <c r="D758" i="17"/>
  <c r="C758" i="17"/>
  <c r="B758" i="17"/>
  <c r="E757" i="17"/>
  <c r="D757" i="17"/>
  <c r="C757" i="17"/>
  <c r="B757" i="17"/>
  <c r="E756" i="17"/>
  <c r="D756" i="17"/>
  <c r="C756" i="17"/>
  <c r="B756" i="17"/>
  <c r="E755" i="17"/>
  <c r="D755" i="17"/>
  <c r="C755" i="17"/>
  <c r="B755" i="17"/>
  <c r="E754" i="17"/>
  <c r="D754" i="17"/>
  <c r="C754" i="17"/>
  <c r="B754" i="17"/>
  <c r="E753" i="17"/>
  <c r="D753" i="17"/>
  <c r="C753" i="17"/>
  <c r="B753" i="17"/>
  <c r="E752" i="17"/>
  <c r="D752" i="17"/>
  <c r="C752" i="17"/>
  <c r="B752" i="17"/>
  <c r="E751" i="17"/>
  <c r="D751" i="17"/>
  <c r="C751" i="17"/>
  <c r="B751" i="17"/>
  <c r="E750" i="17"/>
  <c r="D750" i="17"/>
  <c r="C750" i="17"/>
  <c r="B750" i="17"/>
  <c r="E749" i="17"/>
  <c r="D749" i="17"/>
  <c r="C749" i="17"/>
  <c r="B749" i="17"/>
  <c r="E748" i="17"/>
  <c r="D748" i="17"/>
  <c r="C748" i="17"/>
  <c r="B748" i="17"/>
  <c r="E747" i="17"/>
  <c r="D747" i="17"/>
  <c r="C747" i="17"/>
  <c r="B747" i="17"/>
  <c r="E746" i="17"/>
  <c r="D746" i="17"/>
  <c r="C746" i="17"/>
  <c r="B746" i="17"/>
  <c r="E745" i="17"/>
  <c r="D745" i="17"/>
  <c r="C745" i="17"/>
  <c r="B745" i="17"/>
  <c r="E744" i="17"/>
  <c r="D744" i="17"/>
  <c r="C744" i="17"/>
  <c r="B744" i="17"/>
  <c r="E743" i="17"/>
  <c r="D743" i="17"/>
  <c r="C743" i="17"/>
  <c r="B743" i="17"/>
  <c r="E742" i="17"/>
  <c r="D742" i="17"/>
  <c r="C742" i="17"/>
  <c r="B742" i="17"/>
  <c r="E741" i="17"/>
  <c r="D741" i="17"/>
  <c r="C741" i="17"/>
  <c r="B741" i="17"/>
  <c r="E740" i="17"/>
  <c r="D740" i="17"/>
  <c r="C740" i="17"/>
  <c r="B740" i="17"/>
  <c r="E739" i="17"/>
  <c r="D739" i="17"/>
  <c r="C739" i="17"/>
  <c r="B739" i="17"/>
  <c r="E738" i="17"/>
  <c r="D738" i="17"/>
  <c r="C738" i="17"/>
  <c r="B738" i="17"/>
  <c r="E737" i="17"/>
  <c r="D737" i="17"/>
  <c r="C737" i="17"/>
  <c r="B737" i="17"/>
  <c r="E736" i="17"/>
  <c r="D736" i="17"/>
  <c r="C736" i="17"/>
  <c r="B736" i="17"/>
  <c r="E735" i="17"/>
  <c r="D735" i="17"/>
  <c r="C735" i="17"/>
  <c r="B735" i="17"/>
  <c r="E734" i="17"/>
  <c r="D734" i="17"/>
  <c r="C734" i="17"/>
  <c r="B734" i="17"/>
  <c r="E733" i="17"/>
  <c r="D733" i="17"/>
  <c r="C733" i="17"/>
  <c r="B733" i="17"/>
  <c r="I732" i="17"/>
  <c r="E732" i="17"/>
  <c r="D732" i="17"/>
  <c r="C732" i="17"/>
  <c r="B732" i="17"/>
  <c r="I731" i="17"/>
  <c r="E731" i="17"/>
  <c r="D731" i="17"/>
  <c r="C731" i="17"/>
  <c r="B731" i="17"/>
  <c r="I730" i="17"/>
  <c r="E730" i="17"/>
  <c r="D730" i="17"/>
  <c r="C730" i="17"/>
  <c r="B730" i="17"/>
  <c r="E729" i="17"/>
  <c r="D729" i="17"/>
  <c r="C729" i="17"/>
  <c r="B729" i="17"/>
  <c r="E728" i="17"/>
  <c r="D728" i="17"/>
  <c r="C728" i="17"/>
  <c r="B728" i="17"/>
  <c r="E727" i="17"/>
  <c r="D727" i="17"/>
  <c r="C727" i="17"/>
  <c r="B727" i="17"/>
  <c r="E726" i="17"/>
  <c r="D726" i="17"/>
  <c r="C726" i="17"/>
  <c r="B726" i="17"/>
  <c r="E725" i="17"/>
  <c r="D725" i="17"/>
  <c r="C725" i="17"/>
  <c r="B725" i="17"/>
  <c r="E724" i="17"/>
  <c r="D724" i="17"/>
  <c r="C724" i="17"/>
  <c r="B724" i="17"/>
  <c r="E723" i="17"/>
  <c r="D723" i="17"/>
  <c r="C723" i="17"/>
  <c r="B723" i="17"/>
  <c r="E722" i="17"/>
  <c r="D722" i="17"/>
  <c r="C722" i="17"/>
  <c r="B722" i="17"/>
  <c r="E721" i="17"/>
  <c r="D721" i="17"/>
  <c r="C721" i="17"/>
  <c r="B721" i="17"/>
  <c r="E720" i="17"/>
  <c r="D720" i="17"/>
  <c r="C720" i="17"/>
  <c r="B720" i="17"/>
  <c r="E719" i="17"/>
  <c r="D719" i="17"/>
  <c r="C719" i="17"/>
  <c r="B719" i="17"/>
  <c r="E718" i="17"/>
  <c r="D718" i="17"/>
  <c r="C718" i="17"/>
  <c r="B718" i="17"/>
  <c r="E717" i="17"/>
  <c r="D717" i="17"/>
  <c r="C717" i="17"/>
  <c r="B717" i="17"/>
  <c r="E716" i="17"/>
  <c r="D716" i="17"/>
  <c r="C716" i="17"/>
  <c r="B716" i="17"/>
  <c r="E715" i="17"/>
  <c r="D715" i="17"/>
  <c r="C715" i="17"/>
  <c r="B715" i="17"/>
  <c r="E714" i="17"/>
  <c r="D714" i="17"/>
  <c r="C714" i="17"/>
  <c r="B714" i="17"/>
  <c r="E713" i="17"/>
  <c r="D713" i="17"/>
  <c r="C713" i="17"/>
  <c r="B713" i="17"/>
  <c r="E712" i="17"/>
  <c r="D712" i="17"/>
  <c r="C712" i="17"/>
  <c r="B712" i="17"/>
  <c r="E711" i="17"/>
  <c r="D711" i="17"/>
  <c r="C711" i="17"/>
  <c r="B711" i="17"/>
  <c r="E710" i="17"/>
  <c r="D710" i="17"/>
  <c r="C710" i="17"/>
  <c r="B710" i="17"/>
  <c r="E709" i="17"/>
  <c r="D709" i="17"/>
  <c r="C709" i="17"/>
  <c r="B709" i="17"/>
  <c r="E708" i="17"/>
  <c r="D708" i="17"/>
  <c r="C708" i="17"/>
  <c r="B708" i="17"/>
  <c r="E707" i="17"/>
  <c r="D707" i="17"/>
  <c r="C707" i="17"/>
  <c r="B707" i="17"/>
  <c r="E706" i="17"/>
  <c r="D706" i="17"/>
  <c r="C706" i="17"/>
  <c r="B706" i="17"/>
  <c r="E705" i="17"/>
  <c r="D705" i="17"/>
  <c r="C705" i="17"/>
  <c r="B705" i="17"/>
  <c r="E704" i="17"/>
  <c r="D704" i="17"/>
  <c r="C704" i="17"/>
  <c r="B704" i="17"/>
  <c r="E703" i="17"/>
  <c r="D703" i="17"/>
  <c r="C703" i="17"/>
  <c r="B703" i="17"/>
  <c r="E702" i="17"/>
  <c r="D702" i="17"/>
  <c r="C702" i="17"/>
  <c r="B702" i="17"/>
  <c r="E701" i="17"/>
  <c r="D701" i="17"/>
  <c r="C701" i="17"/>
  <c r="B701" i="17"/>
  <c r="E700" i="17"/>
  <c r="D700" i="17"/>
  <c r="C700" i="17"/>
  <c r="B700" i="17"/>
  <c r="E699" i="17"/>
  <c r="D699" i="17"/>
  <c r="C699" i="17"/>
  <c r="B699" i="17"/>
  <c r="E698" i="17"/>
  <c r="D698" i="17"/>
  <c r="C698" i="17"/>
  <c r="B698" i="17"/>
  <c r="E697" i="17"/>
  <c r="D697" i="17"/>
  <c r="C697" i="17"/>
  <c r="B697" i="17"/>
  <c r="E696" i="17"/>
  <c r="D696" i="17"/>
  <c r="C696" i="17"/>
  <c r="B696" i="17"/>
  <c r="E695" i="17"/>
  <c r="D695" i="17"/>
  <c r="C695" i="17"/>
  <c r="B695" i="17"/>
  <c r="E694" i="17"/>
  <c r="D694" i="17"/>
  <c r="C694" i="17"/>
  <c r="B694" i="17"/>
  <c r="I693" i="17"/>
  <c r="E693" i="17"/>
  <c r="D693" i="17"/>
  <c r="C693" i="17"/>
  <c r="B693" i="17"/>
  <c r="I692" i="17"/>
  <c r="E692" i="17"/>
  <c r="D692" i="17"/>
  <c r="C692" i="17"/>
  <c r="B692" i="17"/>
  <c r="I691" i="17"/>
  <c r="E691" i="17"/>
  <c r="D691" i="17"/>
  <c r="C691" i="17"/>
  <c r="B691" i="17"/>
  <c r="E690" i="17"/>
  <c r="D690" i="17"/>
  <c r="C690" i="17"/>
  <c r="B690" i="17"/>
  <c r="E689" i="17"/>
  <c r="D689" i="17"/>
  <c r="C689" i="17"/>
  <c r="B689" i="17"/>
  <c r="E688" i="17"/>
  <c r="D688" i="17"/>
  <c r="C688" i="17"/>
  <c r="B688" i="17"/>
  <c r="E687" i="17"/>
  <c r="D687" i="17"/>
  <c r="C687" i="17"/>
  <c r="B687" i="17"/>
  <c r="E686" i="17"/>
  <c r="D686" i="17"/>
  <c r="C686" i="17"/>
  <c r="B686" i="17"/>
  <c r="E685" i="17"/>
  <c r="D685" i="17"/>
  <c r="C685" i="17"/>
  <c r="B685" i="17"/>
  <c r="E684" i="17"/>
  <c r="D684" i="17"/>
  <c r="C684" i="17"/>
  <c r="B684" i="17"/>
  <c r="E683" i="17"/>
  <c r="D683" i="17"/>
  <c r="C683" i="17"/>
  <c r="B683" i="17"/>
  <c r="E682" i="17"/>
  <c r="D682" i="17"/>
  <c r="C682" i="17"/>
  <c r="B682" i="17"/>
  <c r="E681" i="17"/>
  <c r="D681" i="17"/>
  <c r="C681" i="17"/>
  <c r="B681" i="17"/>
  <c r="E680" i="17"/>
  <c r="D680" i="17"/>
  <c r="C680" i="17"/>
  <c r="B680" i="17"/>
  <c r="E679" i="17"/>
  <c r="D679" i="17"/>
  <c r="C679" i="17"/>
  <c r="B679" i="17"/>
  <c r="E678" i="17"/>
  <c r="D678" i="17"/>
  <c r="C678" i="17"/>
  <c r="B678" i="17"/>
  <c r="E677" i="17"/>
  <c r="D677" i="17"/>
  <c r="C677" i="17"/>
  <c r="B677" i="17"/>
  <c r="E676" i="17"/>
  <c r="D676" i="17"/>
  <c r="C676" i="17"/>
  <c r="B676" i="17"/>
  <c r="E675" i="17"/>
  <c r="D675" i="17"/>
  <c r="C675" i="17"/>
  <c r="B675" i="17"/>
  <c r="E674" i="17"/>
  <c r="D674" i="17"/>
  <c r="C674" i="17"/>
  <c r="B674" i="17"/>
  <c r="E673" i="17"/>
  <c r="D673" i="17"/>
  <c r="C673" i="17"/>
  <c r="B673" i="17"/>
  <c r="E672" i="17"/>
  <c r="D672" i="17"/>
  <c r="C672" i="17"/>
  <c r="B672" i="17"/>
  <c r="E671" i="17"/>
  <c r="D671" i="17"/>
  <c r="C671" i="17"/>
  <c r="B671" i="17"/>
  <c r="E670" i="17"/>
  <c r="D670" i="17"/>
  <c r="C670" i="17"/>
  <c r="B670" i="17"/>
  <c r="E669" i="17"/>
  <c r="D669" i="17"/>
  <c r="C669" i="17"/>
  <c r="B669" i="17"/>
  <c r="E668" i="17"/>
  <c r="D668" i="17"/>
  <c r="C668" i="17"/>
  <c r="B668" i="17"/>
  <c r="E667" i="17"/>
  <c r="D667" i="17"/>
  <c r="C667" i="17"/>
  <c r="B667" i="17"/>
  <c r="E666" i="17"/>
  <c r="D666" i="17"/>
  <c r="C666" i="17"/>
  <c r="B666" i="17"/>
  <c r="E665" i="17"/>
  <c r="D665" i="17"/>
  <c r="C665" i="17"/>
  <c r="B665" i="17"/>
  <c r="E664" i="17"/>
  <c r="D664" i="17"/>
  <c r="C664" i="17"/>
  <c r="B664" i="17"/>
  <c r="E663" i="17"/>
  <c r="D663" i="17"/>
  <c r="C663" i="17"/>
  <c r="B663" i="17"/>
  <c r="E662" i="17"/>
  <c r="D662" i="17"/>
  <c r="C662" i="17"/>
  <c r="B662" i="17"/>
  <c r="E661" i="17"/>
  <c r="D661" i="17"/>
  <c r="C661" i="17"/>
  <c r="B661" i="17"/>
  <c r="E660" i="17"/>
  <c r="D660" i="17"/>
  <c r="C660" i="17"/>
  <c r="B660" i="17"/>
  <c r="E659" i="17"/>
  <c r="D659" i="17"/>
  <c r="C659" i="17"/>
  <c r="B659" i="17"/>
  <c r="E658" i="17"/>
  <c r="D658" i="17"/>
  <c r="C658" i="17"/>
  <c r="B658" i="17"/>
  <c r="E657" i="17"/>
  <c r="D657" i="17"/>
  <c r="C657" i="17"/>
  <c r="B657" i="17"/>
  <c r="E656" i="17"/>
  <c r="D656" i="17"/>
  <c r="C656" i="17"/>
  <c r="B656" i="17"/>
  <c r="E655" i="17"/>
  <c r="D655" i="17"/>
  <c r="C655" i="17"/>
  <c r="B655" i="17"/>
  <c r="E654" i="17"/>
  <c r="D654" i="17"/>
  <c r="C654" i="17"/>
  <c r="B654" i="17"/>
  <c r="E653" i="17"/>
  <c r="D653" i="17"/>
  <c r="C653" i="17"/>
  <c r="B653" i="17"/>
  <c r="E652" i="17"/>
  <c r="D652" i="17"/>
  <c r="C652" i="17"/>
  <c r="B652" i="17"/>
  <c r="E651" i="17"/>
  <c r="D651" i="17"/>
  <c r="C651" i="17"/>
  <c r="B651" i="17"/>
  <c r="E650" i="17"/>
  <c r="D650" i="17"/>
  <c r="C650" i="17"/>
  <c r="B650" i="17"/>
  <c r="E649" i="17"/>
  <c r="D649" i="17"/>
  <c r="C649" i="17"/>
  <c r="B649" i="17"/>
  <c r="E648" i="17"/>
  <c r="D648" i="17"/>
  <c r="C648" i="17"/>
  <c r="B648" i="17"/>
  <c r="E647" i="17"/>
  <c r="D647" i="17"/>
  <c r="C647" i="17"/>
  <c r="B647" i="17"/>
  <c r="E646" i="17"/>
  <c r="D646" i="17"/>
  <c r="C646" i="17"/>
  <c r="B646" i="17"/>
  <c r="E645" i="17"/>
  <c r="D645" i="17"/>
  <c r="C645" i="17"/>
  <c r="B645" i="17"/>
  <c r="E644" i="17"/>
  <c r="D644" i="17"/>
  <c r="C644" i="17"/>
  <c r="B644" i="17"/>
  <c r="E643" i="17"/>
  <c r="D643" i="17"/>
  <c r="C643" i="17"/>
  <c r="B643" i="17"/>
  <c r="E642" i="17"/>
  <c r="D642" i="17"/>
  <c r="C642" i="17"/>
  <c r="B642" i="17"/>
  <c r="E641" i="17"/>
  <c r="D641" i="17"/>
  <c r="C641" i="17"/>
  <c r="B641" i="17"/>
  <c r="E640" i="17"/>
  <c r="D640" i="17"/>
  <c r="C640" i="17"/>
  <c r="B640" i="17"/>
  <c r="E639" i="17"/>
  <c r="D639" i="17"/>
  <c r="C639" i="17"/>
  <c r="B639" i="17"/>
  <c r="E638" i="17"/>
  <c r="D638" i="17"/>
  <c r="C638" i="17"/>
  <c r="B638" i="17"/>
  <c r="E637" i="17"/>
  <c r="D637" i="17"/>
  <c r="C637" i="17"/>
  <c r="B637" i="17"/>
  <c r="E636" i="17"/>
  <c r="D636" i="17"/>
  <c r="C636" i="17"/>
  <c r="B636" i="17"/>
  <c r="E635" i="17"/>
  <c r="D635" i="17"/>
  <c r="C635" i="17"/>
  <c r="B635" i="17"/>
  <c r="E634" i="17"/>
  <c r="D634" i="17"/>
  <c r="C634" i="17"/>
  <c r="B634" i="17"/>
  <c r="E633" i="17"/>
  <c r="D633" i="17"/>
  <c r="C633" i="17"/>
  <c r="B633" i="17"/>
  <c r="E632" i="17"/>
  <c r="D632" i="17"/>
  <c r="C632" i="17"/>
  <c r="B632" i="17"/>
  <c r="E631" i="17"/>
  <c r="D631" i="17"/>
  <c r="C631" i="17"/>
  <c r="B631" i="17"/>
  <c r="E630" i="17"/>
  <c r="D630" i="17"/>
  <c r="C630" i="17"/>
  <c r="B630" i="17"/>
  <c r="E629" i="17"/>
  <c r="D629" i="17"/>
  <c r="C629" i="17"/>
  <c r="B629" i="17"/>
  <c r="E628" i="17"/>
  <c r="D628" i="17"/>
  <c r="C628" i="17"/>
  <c r="B628" i="17"/>
  <c r="E627" i="17"/>
  <c r="D627" i="17"/>
  <c r="C627" i="17"/>
  <c r="B627" i="17"/>
  <c r="E626" i="17"/>
  <c r="D626" i="17"/>
  <c r="C626" i="17"/>
  <c r="B626" i="17"/>
  <c r="E625" i="17"/>
  <c r="D625" i="17"/>
  <c r="C625" i="17"/>
  <c r="B625" i="17"/>
  <c r="E624" i="17"/>
  <c r="D624" i="17"/>
  <c r="C624" i="17"/>
  <c r="B624" i="17"/>
  <c r="E623" i="17"/>
  <c r="D623" i="17"/>
  <c r="C623" i="17"/>
  <c r="B623" i="17"/>
  <c r="E622" i="17"/>
  <c r="D622" i="17"/>
  <c r="C622" i="17"/>
  <c r="B622" i="17"/>
  <c r="E621" i="17"/>
  <c r="D621" i="17"/>
  <c r="C621" i="17"/>
  <c r="B621" i="17"/>
  <c r="E620" i="17"/>
  <c r="D620" i="17"/>
  <c r="C620" i="17"/>
  <c r="B620" i="17"/>
  <c r="E619" i="17"/>
  <c r="D619" i="17"/>
  <c r="C619" i="17"/>
  <c r="B619" i="17"/>
  <c r="E618" i="17"/>
  <c r="D618" i="17"/>
  <c r="C618" i="17"/>
  <c r="B618" i="17"/>
  <c r="E617" i="17"/>
  <c r="D617" i="17"/>
  <c r="C617" i="17"/>
  <c r="B617" i="17"/>
  <c r="E616" i="17"/>
  <c r="D616" i="17"/>
  <c r="C616" i="17"/>
  <c r="B616" i="17"/>
  <c r="E615" i="17"/>
  <c r="D615" i="17"/>
  <c r="C615" i="17"/>
  <c r="B615" i="17"/>
  <c r="E614" i="17"/>
  <c r="D614" i="17"/>
  <c r="C614" i="17"/>
  <c r="B614" i="17"/>
  <c r="E613" i="17"/>
  <c r="D613" i="17"/>
  <c r="C613" i="17"/>
  <c r="B613" i="17"/>
  <c r="E612" i="17"/>
  <c r="D612" i="17"/>
  <c r="C612" i="17"/>
  <c r="B612" i="17"/>
  <c r="E611" i="17"/>
  <c r="D611" i="17"/>
  <c r="C611" i="17"/>
  <c r="B611" i="17"/>
  <c r="E610" i="17"/>
  <c r="D610" i="17"/>
  <c r="C610" i="17"/>
  <c r="B610" i="17"/>
  <c r="E609" i="17"/>
  <c r="D609" i="17"/>
  <c r="C609" i="17"/>
  <c r="B609" i="17"/>
  <c r="E608" i="17"/>
  <c r="D608" i="17"/>
  <c r="C608" i="17"/>
  <c r="B608" i="17"/>
  <c r="E607" i="17"/>
  <c r="D607" i="17"/>
  <c r="C607" i="17"/>
  <c r="B607" i="17"/>
  <c r="E606" i="17"/>
  <c r="D606" i="17"/>
  <c r="C606" i="17"/>
  <c r="B606" i="17"/>
  <c r="E605" i="17"/>
  <c r="D605" i="17"/>
  <c r="C605" i="17"/>
  <c r="B605" i="17"/>
  <c r="E604" i="17"/>
  <c r="D604" i="17"/>
  <c r="C604" i="17"/>
  <c r="B604" i="17"/>
  <c r="E603" i="17"/>
  <c r="D603" i="17"/>
  <c r="C603" i="17"/>
  <c r="B603" i="17"/>
  <c r="E602" i="17"/>
  <c r="D602" i="17"/>
  <c r="C602" i="17"/>
  <c r="B602" i="17"/>
  <c r="E601" i="17"/>
  <c r="D601" i="17"/>
  <c r="C601" i="17"/>
  <c r="B601" i="17"/>
  <c r="E600" i="17"/>
  <c r="D600" i="17"/>
  <c r="C600" i="17"/>
  <c r="B600" i="17"/>
  <c r="E599" i="17"/>
  <c r="D599" i="17"/>
  <c r="C599" i="17"/>
  <c r="B599" i="17"/>
  <c r="E598" i="17"/>
  <c r="D598" i="17"/>
  <c r="C598" i="17"/>
  <c r="B598" i="17"/>
  <c r="E597" i="17"/>
  <c r="D597" i="17"/>
  <c r="C597" i="17"/>
  <c r="B597" i="17"/>
  <c r="E596" i="17"/>
  <c r="D596" i="17"/>
  <c r="C596" i="17"/>
  <c r="B596" i="17"/>
  <c r="E595" i="17"/>
  <c r="D595" i="17"/>
  <c r="C595" i="17"/>
  <c r="B595" i="17"/>
  <c r="E594" i="17"/>
  <c r="D594" i="17"/>
  <c r="C594" i="17"/>
  <c r="B594" i="17"/>
  <c r="E593" i="17"/>
  <c r="D593" i="17"/>
  <c r="C593" i="17"/>
  <c r="B593" i="17"/>
  <c r="E592" i="17"/>
  <c r="D592" i="17"/>
  <c r="C592" i="17"/>
  <c r="B592" i="17"/>
  <c r="E591" i="17"/>
  <c r="D591" i="17"/>
  <c r="C591" i="17"/>
  <c r="B591" i="17"/>
  <c r="E590" i="17"/>
  <c r="D590" i="17"/>
  <c r="C590" i="17"/>
  <c r="B590" i="17"/>
  <c r="E589" i="17"/>
  <c r="D589" i="17"/>
  <c r="C589" i="17"/>
  <c r="B589" i="17"/>
  <c r="E588" i="17"/>
  <c r="D588" i="17"/>
  <c r="C588" i="17"/>
  <c r="B588" i="17"/>
  <c r="E587" i="17"/>
  <c r="D587" i="17"/>
  <c r="C587" i="17"/>
  <c r="B587" i="17"/>
  <c r="E586" i="17"/>
  <c r="D586" i="17"/>
  <c r="C586" i="17"/>
  <c r="B586" i="17"/>
  <c r="E585" i="17"/>
  <c r="D585" i="17"/>
  <c r="C585" i="17"/>
  <c r="B585" i="17"/>
  <c r="E584" i="17"/>
  <c r="D584" i="17"/>
  <c r="C584" i="17"/>
  <c r="B584" i="17"/>
  <c r="E583" i="17"/>
  <c r="D583" i="17"/>
  <c r="C583" i="17"/>
  <c r="B583" i="17"/>
  <c r="E582" i="17"/>
  <c r="D582" i="17"/>
  <c r="C582" i="17"/>
  <c r="B582" i="17"/>
  <c r="E581" i="17"/>
  <c r="D581" i="17"/>
  <c r="C581" i="17"/>
  <c r="B581" i="17"/>
  <c r="E580" i="17"/>
  <c r="D580" i="17"/>
  <c r="C580" i="17"/>
  <c r="B580" i="17"/>
  <c r="E579" i="17"/>
  <c r="D579" i="17"/>
  <c r="C579" i="17"/>
  <c r="B579" i="17"/>
  <c r="E578" i="17"/>
  <c r="D578" i="17"/>
  <c r="C578" i="17"/>
  <c r="B578" i="17"/>
  <c r="E577" i="17"/>
  <c r="D577" i="17"/>
  <c r="C577" i="17"/>
  <c r="B577" i="17"/>
  <c r="E576" i="17"/>
  <c r="D576" i="17"/>
  <c r="C576" i="17"/>
  <c r="B576" i="17"/>
  <c r="E575" i="17"/>
  <c r="D575" i="17"/>
  <c r="C575" i="17"/>
  <c r="B575" i="17"/>
  <c r="E574" i="17"/>
  <c r="D574" i="17"/>
  <c r="C574" i="17"/>
  <c r="B574" i="17"/>
  <c r="E573" i="17"/>
  <c r="D573" i="17"/>
  <c r="C573" i="17"/>
  <c r="B573" i="17"/>
  <c r="E572" i="17"/>
  <c r="D572" i="17"/>
  <c r="C572" i="17"/>
  <c r="B572" i="17"/>
  <c r="E571" i="17"/>
  <c r="D571" i="17"/>
  <c r="C571" i="17"/>
  <c r="B571" i="17"/>
  <c r="E570" i="17"/>
  <c r="D570" i="17"/>
  <c r="C570" i="17"/>
  <c r="B570" i="17"/>
  <c r="E569" i="17"/>
  <c r="D569" i="17"/>
  <c r="C569" i="17"/>
  <c r="B569" i="17"/>
  <c r="E568" i="17"/>
  <c r="D568" i="17"/>
  <c r="C568" i="17"/>
  <c r="B568" i="17"/>
  <c r="E567" i="17"/>
  <c r="D567" i="17"/>
  <c r="C567" i="17"/>
  <c r="B567" i="17"/>
  <c r="E566" i="17"/>
  <c r="D566" i="17"/>
  <c r="C566" i="17"/>
  <c r="B566" i="17"/>
  <c r="E565" i="17"/>
  <c r="D565" i="17"/>
  <c r="C565" i="17"/>
  <c r="B565" i="17"/>
  <c r="E564" i="17"/>
  <c r="D564" i="17"/>
  <c r="C564" i="17"/>
  <c r="B564" i="17"/>
  <c r="E563" i="17"/>
  <c r="D563" i="17"/>
  <c r="C563" i="17"/>
  <c r="B563" i="17"/>
  <c r="E562" i="17"/>
  <c r="D562" i="17"/>
  <c r="C562" i="17"/>
  <c r="B562" i="17"/>
  <c r="E561" i="17"/>
  <c r="D561" i="17"/>
  <c r="C561" i="17"/>
  <c r="B561" i="17"/>
  <c r="E560" i="17"/>
  <c r="D560" i="17"/>
  <c r="C560" i="17"/>
  <c r="B560" i="17"/>
  <c r="E559" i="17"/>
  <c r="D559" i="17"/>
  <c r="C559" i="17"/>
  <c r="B559" i="17"/>
  <c r="E558" i="17"/>
  <c r="D558" i="17"/>
  <c r="C558" i="17"/>
  <c r="B558" i="17"/>
  <c r="E557" i="17"/>
  <c r="D557" i="17"/>
  <c r="C557" i="17"/>
  <c r="B557" i="17"/>
  <c r="E556" i="17"/>
  <c r="D556" i="17"/>
  <c r="C556" i="17"/>
  <c r="B556" i="17"/>
  <c r="E555" i="17"/>
  <c r="D555" i="17"/>
  <c r="C555" i="17"/>
  <c r="B555" i="17"/>
  <c r="E554" i="17"/>
  <c r="D554" i="17"/>
  <c r="C554" i="17"/>
  <c r="B554" i="17"/>
  <c r="E553" i="17"/>
  <c r="D553" i="17"/>
  <c r="C553" i="17"/>
  <c r="B553" i="17"/>
  <c r="E552" i="17"/>
  <c r="D552" i="17"/>
  <c r="C552" i="17"/>
  <c r="B552" i="17"/>
  <c r="E551" i="17"/>
  <c r="D551" i="17"/>
  <c r="C551" i="17"/>
  <c r="B551" i="17"/>
  <c r="E550" i="17"/>
  <c r="D550" i="17"/>
  <c r="C550" i="17"/>
  <c r="B550" i="17"/>
  <c r="E549" i="17"/>
  <c r="D549" i="17"/>
  <c r="C549" i="17"/>
  <c r="B549" i="17"/>
  <c r="E548" i="17"/>
  <c r="D548" i="17"/>
  <c r="C548" i="17"/>
  <c r="B548" i="17"/>
  <c r="E547" i="17"/>
  <c r="D547" i="17"/>
  <c r="C547" i="17"/>
  <c r="B547" i="17"/>
  <c r="E546" i="17"/>
  <c r="D546" i="17"/>
  <c r="C546" i="17"/>
  <c r="B546" i="17"/>
  <c r="E545" i="17"/>
  <c r="D545" i="17"/>
  <c r="C545" i="17"/>
  <c r="B545" i="17"/>
  <c r="E544" i="17"/>
  <c r="D544" i="17"/>
  <c r="C544" i="17"/>
  <c r="B544" i="17"/>
  <c r="E543" i="17"/>
  <c r="D543" i="17"/>
  <c r="C543" i="17"/>
  <c r="B543" i="17"/>
  <c r="E542" i="17"/>
  <c r="D542" i="17"/>
  <c r="C542" i="17"/>
  <c r="B542" i="17"/>
  <c r="E541" i="17"/>
  <c r="D541" i="17"/>
  <c r="C541" i="17"/>
  <c r="B541" i="17"/>
  <c r="E540" i="17"/>
  <c r="D540" i="17"/>
  <c r="C540" i="17"/>
  <c r="B540" i="17"/>
  <c r="E539" i="17"/>
  <c r="D539" i="17"/>
  <c r="C539" i="17"/>
  <c r="B539" i="17"/>
  <c r="E538" i="17"/>
  <c r="D538" i="17"/>
  <c r="C538" i="17"/>
  <c r="B538" i="17"/>
  <c r="E537" i="17"/>
  <c r="D537" i="17"/>
  <c r="C537" i="17"/>
  <c r="B537" i="17"/>
  <c r="E536" i="17"/>
  <c r="D536" i="17"/>
  <c r="C536" i="17"/>
  <c r="B536" i="17"/>
  <c r="E535" i="17"/>
  <c r="D535" i="17"/>
  <c r="C535" i="17"/>
  <c r="B535" i="17"/>
  <c r="E534" i="17"/>
  <c r="D534" i="17"/>
  <c r="C534" i="17"/>
  <c r="B534" i="17"/>
  <c r="E533" i="17"/>
  <c r="D533" i="17"/>
  <c r="C533" i="17"/>
  <c r="B533" i="17"/>
  <c r="E532" i="17"/>
  <c r="D532" i="17"/>
  <c r="C532" i="17"/>
  <c r="B532" i="17"/>
  <c r="E531" i="17"/>
  <c r="D531" i="17"/>
  <c r="C531" i="17"/>
  <c r="B531" i="17"/>
  <c r="E530" i="17"/>
  <c r="D530" i="17"/>
  <c r="C530" i="17"/>
  <c r="B530" i="17"/>
  <c r="E529" i="17"/>
  <c r="D529" i="17"/>
  <c r="C529" i="17"/>
  <c r="B529" i="17"/>
  <c r="E528" i="17"/>
  <c r="D528" i="17"/>
  <c r="C528" i="17"/>
  <c r="B528" i="17"/>
  <c r="E527" i="17"/>
  <c r="D527" i="17"/>
  <c r="C527" i="17"/>
  <c r="B527" i="17"/>
  <c r="E526" i="17"/>
  <c r="D526" i="17"/>
  <c r="C526" i="17"/>
  <c r="B526" i="17"/>
  <c r="E525" i="17"/>
  <c r="D525" i="17"/>
  <c r="C525" i="17"/>
  <c r="B525" i="17"/>
  <c r="E524" i="17"/>
  <c r="D524" i="17"/>
  <c r="C524" i="17"/>
  <c r="B524" i="17"/>
  <c r="E523" i="17"/>
  <c r="D523" i="17"/>
  <c r="C523" i="17"/>
  <c r="B523" i="17"/>
  <c r="E522" i="17"/>
  <c r="D522" i="17"/>
  <c r="C522" i="17"/>
  <c r="B522" i="17"/>
  <c r="I521" i="17"/>
  <c r="E521" i="17"/>
  <c r="D521" i="17"/>
  <c r="C521" i="17"/>
  <c r="B521" i="17"/>
  <c r="I520" i="17"/>
  <c r="E520" i="17"/>
  <c r="D520" i="17"/>
  <c r="C520" i="17"/>
  <c r="B520" i="17"/>
  <c r="E519" i="17"/>
  <c r="D519" i="17"/>
  <c r="C519" i="17"/>
  <c r="B519" i="17"/>
  <c r="E518" i="17"/>
  <c r="D518" i="17"/>
  <c r="C518" i="17"/>
  <c r="B518" i="17"/>
  <c r="I517" i="17"/>
  <c r="E517" i="17"/>
  <c r="D517" i="17"/>
  <c r="C517" i="17"/>
  <c r="B517" i="17"/>
  <c r="E516" i="17"/>
  <c r="D516" i="17"/>
  <c r="C516" i="17"/>
  <c r="B516" i="17"/>
  <c r="E515" i="17"/>
  <c r="D515" i="17"/>
  <c r="C515" i="17"/>
  <c r="B515" i="17"/>
  <c r="I514" i="17"/>
  <c r="E514" i="17"/>
  <c r="D514" i="17"/>
  <c r="C514" i="17"/>
  <c r="B514" i="17"/>
  <c r="E513" i="17"/>
  <c r="D513" i="17"/>
  <c r="C513" i="17"/>
  <c r="B513" i="17"/>
  <c r="E512" i="17"/>
  <c r="D512" i="17"/>
  <c r="C512" i="17"/>
  <c r="B512" i="17"/>
  <c r="I511" i="17"/>
  <c r="E511" i="17"/>
  <c r="D511" i="17"/>
  <c r="C511" i="17"/>
  <c r="B511" i="17"/>
  <c r="E510" i="17"/>
  <c r="D510" i="17"/>
  <c r="C510" i="17"/>
  <c r="B510" i="17"/>
  <c r="E509" i="17"/>
  <c r="D509" i="17"/>
  <c r="C509" i="17"/>
  <c r="B509" i="17"/>
  <c r="E508" i="17"/>
  <c r="D508" i="17"/>
  <c r="C508" i="17"/>
  <c r="B508" i="17"/>
  <c r="E507" i="17"/>
  <c r="D507" i="17"/>
  <c r="C507" i="17"/>
  <c r="B507" i="17"/>
  <c r="E506" i="17"/>
  <c r="D506" i="17"/>
  <c r="C506" i="17"/>
  <c r="B506" i="17"/>
  <c r="E505" i="17"/>
  <c r="D505" i="17"/>
  <c r="C505" i="17"/>
  <c r="B505" i="17"/>
  <c r="E504" i="17"/>
  <c r="D504" i="17"/>
  <c r="C504" i="17"/>
  <c r="B504" i="17"/>
  <c r="E503" i="17"/>
  <c r="D503" i="17"/>
  <c r="C503" i="17"/>
  <c r="B503" i="17"/>
  <c r="E502" i="17"/>
  <c r="D502" i="17"/>
  <c r="C502" i="17"/>
  <c r="B502" i="17"/>
  <c r="I501" i="17"/>
  <c r="E501" i="17"/>
  <c r="D501" i="17"/>
  <c r="C501" i="17"/>
  <c r="B501" i="17"/>
  <c r="I500" i="17"/>
  <c r="E500" i="17"/>
  <c r="D500" i="17"/>
  <c r="C500" i="17"/>
  <c r="B500" i="17"/>
  <c r="I499" i="17"/>
  <c r="E499" i="17"/>
  <c r="D499" i="17"/>
  <c r="C499" i="17"/>
  <c r="B499" i="17"/>
  <c r="E498" i="17"/>
  <c r="D498" i="17"/>
  <c r="C498" i="17"/>
  <c r="B498" i="17"/>
  <c r="I497" i="17"/>
  <c r="E497" i="17"/>
  <c r="D497" i="17"/>
  <c r="C497" i="17"/>
  <c r="B497" i="17"/>
  <c r="I496" i="17"/>
  <c r="E496" i="17"/>
  <c r="D496" i="17"/>
  <c r="C496" i="17"/>
  <c r="B496" i="17"/>
  <c r="I495" i="17"/>
  <c r="E495" i="17"/>
  <c r="D495" i="17"/>
  <c r="C495" i="17"/>
  <c r="B495" i="17"/>
  <c r="I494" i="17"/>
  <c r="E494" i="17"/>
  <c r="D494" i="17"/>
  <c r="C494" i="17"/>
  <c r="B494" i="17"/>
  <c r="I493" i="17"/>
  <c r="E493" i="17"/>
  <c r="D493" i="17"/>
  <c r="C493" i="17"/>
  <c r="B493" i="17"/>
  <c r="I492" i="17"/>
  <c r="E492" i="17"/>
  <c r="D492" i="17"/>
  <c r="C492" i="17"/>
  <c r="B492" i="17"/>
  <c r="I491" i="17"/>
  <c r="E491" i="17"/>
  <c r="D491" i="17"/>
  <c r="C491" i="17"/>
  <c r="B491" i="17"/>
  <c r="E490" i="17"/>
  <c r="D490" i="17"/>
  <c r="C490" i="17"/>
  <c r="B490" i="17"/>
  <c r="E489" i="17"/>
  <c r="D489" i="17"/>
  <c r="C489" i="17"/>
  <c r="B489" i="17"/>
  <c r="E488" i="17"/>
  <c r="D488" i="17"/>
  <c r="C488" i="17"/>
  <c r="B488" i="17"/>
  <c r="I487" i="17"/>
  <c r="E487" i="17"/>
  <c r="D487" i="17"/>
  <c r="C487" i="17"/>
  <c r="B487" i="17"/>
  <c r="I486" i="17"/>
  <c r="E486" i="17"/>
  <c r="D486" i="17"/>
  <c r="C486" i="17"/>
  <c r="B486" i="17"/>
  <c r="I485" i="17"/>
  <c r="E485" i="17"/>
  <c r="D485" i="17"/>
  <c r="C485" i="17"/>
  <c r="B485" i="17"/>
  <c r="I484" i="17"/>
  <c r="E484" i="17"/>
  <c r="D484" i="17"/>
  <c r="C484" i="17"/>
  <c r="B484" i="17"/>
  <c r="I483" i="17"/>
  <c r="E483" i="17"/>
  <c r="D483" i="17"/>
  <c r="C483" i="17"/>
  <c r="B483" i="17"/>
  <c r="I482" i="17"/>
  <c r="E482" i="17"/>
  <c r="D482" i="17"/>
  <c r="C482" i="17"/>
  <c r="B482" i="17"/>
  <c r="I481" i="17"/>
  <c r="E481" i="17"/>
  <c r="D481" i="17"/>
  <c r="C481" i="17"/>
  <c r="B481" i="17"/>
  <c r="E480" i="17"/>
  <c r="D480" i="17"/>
  <c r="C480" i="17"/>
  <c r="B480" i="17"/>
  <c r="E479" i="17"/>
  <c r="D479" i="17"/>
  <c r="C479" i="17"/>
  <c r="B479" i="17"/>
  <c r="E478" i="17"/>
  <c r="D478" i="17"/>
  <c r="C478" i="17"/>
  <c r="B478" i="17"/>
  <c r="E477" i="17"/>
  <c r="D477" i="17"/>
  <c r="C477" i="17"/>
  <c r="B477" i="17"/>
  <c r="E476" i="17"/>
  <c r="D476" i="17"/>
  <c r="C476" i="17"/>
  <c r="B476" i="17"/>
  <c r="E475" i="17"/>
  <c r="D475" i="17"/>
  <c r="C475" i="17"/>
  <c r="B475" i="17"/>
  <c r="E474" i="17"/>
  <c r="D474" i="17"/>
  <c r="C474" i="17"/>
  <c r="B474" i="17"/>
  <c r="E473" i="17"/>
  <c r="D473" i="17"/>
  <c r="C473" i="17"/>
  <c r="B473" i="17"/>
  <c r="E472" i="17"/>
  <c r="D472" i="17"/>
  <c r="C472" i="17"/>
  <c r="B472" i="17"/>
  <c r="I471" i="17"/>
  <c r="E471" i="17"/>
  <c r="D471" i="17"/>
  <c r="C471" i="17"/>
  <c r="B471" i="17"/>
  <c r="E470" i="17"/>
  <c r="D470" i="17"/>
  <c r="C470" i="17"/>
  <c r="B470" i="17"/>
  <c r="E469" i="17"/>
  <c r="D469" i="17"/>
  <c r="C469" i="17"/>
  <c r="B469" i="17"/>
  <c r="E468" i="17"/>
  <c r="D468" i="17"/>
  <c r="C468" i="17"/>
  <c r="B468" i="17"/>
  <c r="E467" i="17"/>
  <c r="D467" i="17"/>
  <c r="C467" i="17"/>
  <c r="B467" i="17"/>
  <c r="E466" i="17"/>
  <c r="D466" i="17"/>
  <c r="C466" i="17"/>
  <c r="B466" i="17"/>
  <c r="E465" i="17"/>
  <c r="D465" i="17"/>
  <c r="C465" i="17"/>
  <c r="B465" i="17"/>
  <c r="E464" i="17"/>
  <c r="D464" i="17"/>
  <c r="C464" i="17"/>
  <c r="B464" i="17"/>
  <c r="E463" i="17"/>
  <c r="D463" i="17"/>
  <c r="C463" i="17"/>
  <c r="B463" i="17"/>
  <c r="E462" i="17"/>
  <c r="D462" i="17"/>
  <c r="C462" i="17"/>
  <c r="B462" i="17"/>
  <c r="I461" i="17"/>
  <c r="E461" i="17"/>
  <c r="D461" i="17"/>
  <c r="C461" i="17"/>
  <c r="B461" i="17"/>
  <c r="I460" i="17"/>
  <c r="E460" i="17"/>
  <c r="D460" i="17"/>
  <c r="C460" i="17"/>
  <c r="B460" i="17"/>
  <c r="E459" i="17"/>
  <c r="D459" i="17"/>
  <c r="C459" i="17"/>
  <c r="B459" i="17"/>
  <c r="E458" i="17"/>
  <c r="D458" i="17"/>
  <c r="C458" i="17"/>
  <c r="B458" i="17"/>
  <c r="I457" i="17"/>
  <c r="E457" i="17"/>
  <c r="D457" i="17"/>
  <c r="C457" i="17"/>
  <c r="B457" i="17"/>
  <c r="E456" i="17"/>
  <c r="D456" i="17"/>
  <c r="C456" i="17"/>
  <c r="B456" i="17"/>
  <c r="E455" i="17"/>
  <c r="D455" i="17"/>
  <c r="C455" i="17"/>
  <c r="B455" i="17"/>
  <c r="I454" i="17"/>
  <c r="E454" i="17"/>
  <c r="D454" i="17"/>
  <c r="C454" i="17"/>
  <c r="B454" i="17"/>
  <c r="E453" i="17"/>
  <c r="D453" i="17"/>
  <c r="C453" i="17"/>
  <c r="B453" i="17"/>
  <c r="E452" i="17"/>
  <c r="D452" i="17"/>
  <c r="C452" i="17"/>
  <c r="B452" i="17"/>
  <c r="I451" i="17"/>
  <c r="E451" i="17"/>
  <c r="D451" i="17"/>
  <c r="C451" i="17"/>
  <c r="B451" i="17"/>
  <c r="I450" i="17"/>
  <c r="E450" i="17"/>
  <c r="D450" i="17"/>
  <c r="C450" i="17"/>
  <c r="B450" i="17"/>
  <c r="E449" i="17"/>
  <c r="D449" i="17"/>
  <c r="C449" i="17"/>
  <c r="B449" i="17"/>
  <c r="E448" i="17"/>
  <c r="D448" i="17"/>
  <c r="C448" i="17"/>
  <c r="B448" i="17"/>
  <c r="I447" i="17"/>
  <c r="E447" i="17"/>
  <c r="D447" i="17"/>
  <c r="C447" i="17"/>
  <c r="B447" i="17"/>
  <c r="E446" i="17"/>
  <c r="D446" i="17"/>
  <c r="C446" i="17"/>
  <c r="B446" i="17"/>
  <c r="E445" i="17"/>
  <c r="D445" i="17"/>
  <c r="C445" i="17"/>
  <c r="B445" i="17"/>
  <c r="I444" i="17"/>
  <c r="E444" i="17"/>
  <c r="D444" i="17"/>
  <c r="C444" i="17"/>
  <c r="B444" i="17"/>
  <c r="E443" i="17"/>
  <c r="D443" i="17"/>
  <c r="C443" i="17"/>
  <c r="B443" i="17"/>
  <c r="E442" i="17"/>
  <c r="D442" i="17"/>
  <c r="C442" i="17"/>
  <c r="B442" i="17"/>
  <c r="E441" i="17"/>
  <c r="D441" i="17"/>
  <c r="C441" i="17"/>
  <c r="B441" i="17"/>
  <c r="E440" i="17"/>
  <c r="D440" i="17"/>
  <c r="C440" i="17"/>
  <c r="B440" i="17"/>
  <c r="E439" i="17"/>
  <c r="D439" i="17"/>
  <c r="C439" i="17"/>
  <c r="B439" i="17"/>
  <c r="E438" i="17"/>
  <c r="D438" i="17"/>
  <c r="C438" i="17"/>
  <c r="B438" i="17"/>
  <c r="E437" i="17"/>
  <c r="D437" i="17"/>
  <c r="C437" i="17"/>
  <c r="B437" i="17"/>
  <c r="E436" i="17"/>
  <c r="D436" i="17"/>
  <c r="C436" i="17"/>
  <c r="B436" i="17"/>
  <c r="E435" i="17"/>
  <c r="D435" i="17"/>
  <c r="C435" i="17"/>
  <c r="B435" i="17"/>
  <c r="E434" i="17"/>
  <c r="D434" i="17"/>
  <c r="C434" i="17"/>
  <c r="B434" i="17"/>
  <c r="E433" i="17"/>
  <c r="D433" i="17"/>
  <c r="C433" i="17"/>
  <c r="B433" i="17"/>
  <c r="E432" i="17"/>
  <c r="D432" i="17"/>
  <c r="C432" i="17"/>
  <c r="B432" i="17"/>
  <c r="E431" i="17"/>
  <c r="D431" i="17"/>
  <c r="C431" i="17"/>
  <c r="B431" i="17"/>
  <c r="E430" i="17"/>
  <c r="D430" i="17"/>
  <c r="C430" i="17"/>
  <c r="B430" i="17"/>
  <c r="E429" i="17"/>
  <c r="D429" i="17"/>
  <c r="C429" i="17"/>
  <c r="B429" i="17"/>
  <c r="E428" i="17"/>
  <c r="D428" i="17"/>
  <c r="C428" i="17"/>
  <c r="B428" i="17"/>
  <c r="E427" i="17"/>
  <c r="D427" i="17"/>
  <c r="C427" i="17"/>
  <c r="B427" i="17"/>
  <c r="E426" i="17"/>
  <c r="D426" i="17"/>
  <c r="C426" i="17"/>
  <c r="B426" i="17"/>
  <c r="E425" i="17"/>
  <c r="D425" i="17"/>
  <c r="C425" i="17"/>
  <c r="B425" i="17"/>
  <c r="E424" i="17"/>
  <c r="D424" i="17"/>
  <c r="C424" i="17"/>
  <c r="B424" i="17"/>
  <c r="E423" i="17"/>
  <c r="D423" i="17"/>
  <c r="C423" i="17"/>
  <c r="B423" i="17"/>
  <c r="E422" i="17"/>
  <c r="D422" i="17"/>
  <c r="C422" i="17"/>
  <c r="B422" i="17"/>
  <c r="I421" i="17"/>
  <c r="E421" i="17"/>
  <c r="D421" i="17"/>
  <c r="C421" i="17"/>
  <c r="B421" i="17"/>
  <c r="E420" i="17"/>
  <c r="D420" i="17"/>
  <c r="C420" i="17"/>
  <c r="B420" i="17"/>
  <c r="E419" i="17"/>
  <c r="D419" i="17"/>
  <c r="C419" i="17"/>
  <c r="B419" i="17"/>
  <c r="E418" i="17"/>
  <c r="D418" i="17"/>
  <c r="C418" i="17"/>
  <c r="B418" i="17"/>
  <c r="E417" i="17"/>
  <c r="D417" i="17"/>
  <c r="C417" i="17"/>
  <c r="B417" i="17"/>
  <c r="E416" i="17"/>
  <c r="D416" i="17"/>
  <c r="C416" i="17"/>
  <c r="B416" i="17"/>
  <c r="E415" i="17"/>
  <c r="D415" i="17"/>
  <c r="C415" i="17"/>
  <c r="B415" i="17"/>
  <c r="E414" i="17"/>
  <c r="D414" i="17"/>
  <c r="C414" i="17"/>
  <c r="B414" i="17"/>
  <c r="E413" i="17"/>
  <c r="D413" i="17"/>
  <c r="C413" i="17"/>
  <c r="B413" i="17"/>
  <c r="E412" i="17"/>
  <c r="D412" i="17"/>
  <c r="C412" i="17"/>
  <c r="B412" i="17"/>
  <c r="I411" i="17"/>
  <c r="E411" i="17"/>
  <c r="D411" i="17"/>
  <c r="C411" i="17"/>
  <c r="B411" i="17"/>
  <c r="E410" i="17"/>
  <c r="D410" i="17"/>
  <c r="C410" i="17"/>
  <c r="B410" i="17"/>
  <c r="E409" i="17"/>
  <c r="D409" i="17"/>
  <c r="C409" i="17"/>
  <c r="B409" i="17"/>
  <c r="E408" i="17"/>
  <c r="D408" i="17"/>
  <c r="C408" i="17"/>
  <c r="B408" i="17"/>
  <c r="E407" i="17"/>
  <c r="D407" i="17"/>
  <c r="C407" i="17"/>
  <c r="B407" i="17"/>
  <c r="E406" i="17"/>
  <c r="D406" i="17"/>
  <c r="C406" i="17"/>
  <c r="B406" i="17"/>
  <c r="E405" i="17"/>
  <c r="D405" i="17"/>
  <c r="C405" i="17"/>
  <c r="B405" i="17"/>
  <c r="E404" i="17"/>
  <c r="D404" i="17"/>
  <c r="C404" i="17"/>
  <c r="B404" i="17"/>
  <c r="E403" i="17"/>
  <c r="D403" i="17"/>
  <c r="C403" i="17"/>
  <c r="B403" i="17"/>
  <c r="E402" i="17"/>
  <c r="D402" i="17"/>
  <c r="C402" i="17"/>
  <c r="B402" i="17"/>
  <c r="I401" i="17"/>
  <c r="E401" i="17"/>
  <c r="D401" i="17"/>
  <c r="C401" i="17"/>
  <c r="B401" i="17"/>
  <c r="E400" i="17"/>
  <c r="D400" i="17"/>
  <c r="C400" i="17"/>
  <c r="B400" i="17"/>
  <c r="E399" i="17"/>
  <c r="D399" i="17"/>
  <c r="C399" i="17"/>
  <c r="B399" i="17"/>
  <c r="E398" i="17"/>
  <c r="D398" i="17"/>
  <c r="C398" i="17"/>
  <c r="B398" i="17"/>
  <c r="E397" i="17"/>
  <c r="D397" i="17"/>
  <c r="C397" i="17"/>
  <c r="B397" i="17"/>
  <c r="E396" i="17"/>
  <c r="D396" i="17"/>
  <c r="C396" i="17"/>
  <c r="B396" i="17"/>
  <c r="E395" i="17"/>
  <c r="D395" i="17"/>
  <c r="C395" i="17"/>
  <c r="B395" i="17"/>
  <c r="E394" i="17"/>
  <c r="D394" i="17"/>
  <c r="C394" i="17"/>
  <c r="B394" i="17"/>
  <c r="E393" i="17"/>
  <c r="D393" i="17"/>
  <c r="C393" i="17"/>
  <c r="B393" i="17"/>
  <c r="E392" i="17"/>
  <c r="D392" i="17"/>
  <c r="C392" i="17"/>
  <c r="B392" i="17"/>
  <c r="I391" i="17"/>
  <c r="E391" i="17"/>
  <c r="D391" i="17"/>
  <c r="C391" i="17"/>
  <c r="B391" i="17"/>
  <c r="E390" i="17"/>
  <c r="D390" i="17"/>
  <c r="C390" i="17"/>
  <c r="B390" i="17"/>
  <c r="E389" i="17"/>
  <c r="D389" i="17"/>
  <c r="C389" i="17"/>
  <c r="B389" i="17"/>
  <c r="E388" i="17"/>
  <c r="D388" i="17"/>
  <c r="C388" i="17"/>
  <c r="B388" i="17"/>
  <c r="E387" i="17"/>
  <c r="D387" i="17"/>
  <c r="C387" i="17"/>
  <c r="B387" i="17"/>
  <c r="E386" i="17"/>
  <c r="D386" i="17"/>
  <c r="C386" i="17"/>
  <c r="B386" i="17"/>
  <c r="E385" i="17"/>
  <c r="D385" i="17"/>
  <c r="C385" i="17"/>
  <c r="B385" i="17"/>
  <c r="E384" i="17"/>
  <c r="D384" i="17"/>
  <c r="C384" i="17"/>
  <c r="B384" i="17"/>
  <c r="E383" i="17"/>
  <c r="D383" i="17"/>
  <c r="C383" i="17"/>
  <c r="B383" i="17"/>
  <c r="E382" i="17"/>
  <c r="D382" i="17"/>
  <c r="C382" i="17"/>
  <c r="B382" i="17"/>
  <c r="I381" i="17"/>
  <c r="E381" i="17"/>
  <c r="D381" i="17"/>
  <c r="C381" i="17"/>
  <c r="B381" i="17"/>
  <c r="E380" i="17"/>
  <c r="D380" i="17"/>
  <c r="C380" i="17"/>
  <c r="B380" i="17"/>
  <c r="E379" i="17"/>
  <c r="D379" i="17"/>
  <c r="C379" i="17"/>
  <c r="B379" i="17"/>
  <c r="E378" i="17"/>
  <c r="D378" i="17"/>
  <c r="C378" i="17"/>
  <c r="B378" i="17"/>
  <c r="E377" i="17"/>
  <c r="D377" i="17"/>
  <c r="C377" i="17"/>
  <c r="B377" i="17"/>
  <c r="E376" i="17"/>
  <c r="D376" i="17"/>
  <c r="C376" i="17"/>
  <c r="B376" i="17"/>
  <c r="E375" i="17"/>
  <c r="D375" i="17"/>
  <c r="C375" i="17"/>
  <c r="B375" i="17"/>
  <c r="E374" i="17"/>
  <c r="D374" i="17"/>
  <c r="C374" i="17"/>
  <c r="B374" i="17"/>
  <c r="E373" i="17"/>
  <c r="D373" i="17"/>
  <c r="C373" i="17"/>
  <c r="B373" i="17"/>
  <c r="E372" i="17"/>
  <c r="D372" i="17"/>
  <c r="C372" i="17"/>
  <c r="B372" i="17"/>
  <c r="E371" i="17"/>
  <c r="D371" i="17"/>
  <c r="C371" i="17"/>
  <c r="B371" i="17"/>
  <c r="E370" i="17"/>
  <c r="D370" i="17"/>
  <c r="C370" i="17"/>
  <c r="B370" i="17"/>
  <c r="E369" i="17"/>
  <c r="D369" i="17"/>
  <c r="C369" i="17"/>
  <c r="B369" i="17"/>
  <c r="E368" i="17"/>
  <c r="D368" i="17"/>
  <c r="C368" i="17"/>
  <c r="B368" i="17"/>
  <c r="E367" i="17"/>
  <c r="D367" i="17"/>
  <c r="C367" i="17"/>
  <c r="B367" i="17"/>
  <c r="E366" i="17"/>
  <c r="D366" i="17"/>
  <c r="C366" i="17"/>
  <c r="B366" i="17"/>
  <c r="E365" i="17"/>
  <c r="D365" i="17"/>
  <c r="C365" i="17"/>
  <c r="B365" i="17"/>
  <c r="E364" i="17"/>
  <c r="D364" i="17"/>
  <c r="C364" i="17"/>
  <c r="B364" i="17"/>
  <c r="E363" i="17"/>
  <c r="D363" i="17"/>
  <c r="C363" i="17"/>
  <c r="B363" i="17"/>
  <c r="E362" i="17"/>
  <c r="D362" i="17"/>
  <c r="C362" i="17"/>
  <c r="B362" i="17"/>
  <c r="E361" i="17"/>
  <c r="D361" i="17"/>
  <c r="C361" i="17"/>
  <c r="B361" i="17"/>
  <c r="E360" i="17"/>
  <c r="D360" i="17"/>
  <c r="C360" i="17"/>
  <c r="B360" i="17"/>
  <c r="E359" i="17"/>
  <c r="D359" i="17"/>
  <c r="C359" i="17"/>
  <c r="B359" i="17"/>
  <c r="E358" i="17"/>
  <c r="D358" i="17"/>
  <c r="C358" i="17"/>
  <c r="B358" i="17"/>
  <c r="E357" i="17"/>
  <c r="D357" i="17"/>
  <c r="C357" i="17"/>
  <c r="B357" i="17"/>
  <c r="E356" i="17"/>
  <c r="D356" i="17"/>
  <c r="C356" i="17"/>
  <c r="B356" i="17"/>
  <c r="E355" i="17"/>
  <c r="D355" i="17"/>
  <c r="C355" i="17"/>
  <c r="B355" i="17"/>
  <c r="E354" i="17"/>
  <c r="D354" i="17"/>
  <c r="C354" i="17"/>
  <c r="B354" i="17"/>
  <c r="E353" i="17"/>
  <c r="D353" i="17"/>
  <c r="C353" i="17"/>
  <c r="B353" i="17"/>
  <c r="E352" i="17"/>
  <c r="D352" i="17"/>
  <c r="C352" i="17"/>
  <c r="B352" i="17"/>
  <c r="E351" i="17"/>
  <c r="D351" i="17"/>
  <c r="C351" i="17"/>
  <c r="B351" i="17"/>
  <c r="E350" i="17"/>
  <c r="D350" i="17"/>
  <c r="C350" i="17"/>
  <c r="B350" i="17"/>
  <c r="E349" i="17"/>
  <c r="D349" i="17"/>
  <c r="C349" i="17"/>
  <c r="B349" i="17"/>
  <c r="E348" i="17"/>
  <c r="D348" i="17"/>
  <c r="C348" i="17"/>
  <c r="B348" i="17"/>
  <c r="E347" i="17"/>
  <c r="D347" i="17"/>
  <c r="C347" i="17"/>
  <c r="B347" i="17"/>
  <c r="E346" i="17"/>
  <c r="D346" i="17"/>
  <c r="C346" i="17"/>
  <c r="B346" i="17"/>
  <c r="E345" i="17"/>
  <c r="D345" i="17"/>
  <c r="C345" i="17"/>
  <c r="B345" i="17"/>
  <c r="E344" i="17"/>
  <c r="D344" i="17"/>
  <c r="C344" i="17"/>
  <c r="B344" i="17"/>
  <c r="E343" i="17"/>
  <c r="D343" i="17"/>
  <c r="C343" i="17"/>
  <c r="B343" i="17"/>
  <c r="E342" i="17"/>
  <c r="D342" i="17"/>
  <c r="C342" i="17"/>
  <c r="B342" i="17"/>
  <c r="E341" i="17"/>
  <c r="D341" i="17"/>
  <c r="C341" i="17"/>
  <c r="B341" i="17"/>
  <c r="E340" i="17"/>
  <c r="D340" i="17"/>
  <c r="C340" i="17"/>
  <c r="B340" i="17"/>
  <c r="E339" i="17"/>
  <c r="D339" i="17"/>
  <c r="C339" i="17"/>
  <c r="B339" i="17"/>
  <c r="E338" i="17"/>
  <c r="D338" i="17"/>
  <c r="C338" i="17"/>
  <c r="B338" i="17"/>
  <c r="E337" i="17"/>
  <c r="D337" i="17"/>
  <c r="C337" i="17"/>
  <c r="B337" i="17"/>
  <c r="E336" i="17"/>
  <c r="D336" i="17"/>
  <c r="C336" i="17"/>
  <c r="B336" i="17"/>
  <c r="E335" i="17"/>
  <c r="D335" i="17"/>
  <c r="C335" i="17"/>
  <c r="B335" i="17"/>
  <c r="E334" i="17"/>
  <c r="D334" i="17"/>
  <c r="C334" i="17"/>
  <c r="B334" i="17"/>
  <c r="E333" i="17"/>
  <c r="D333" i="17"/>
  <c r="C333" i="17"/>
  <c r="B333" i="17"/>
  <c r="E332" i="17"/>
  <c r="D332" i="17"/>
  <c r="C332" i="17"/>
  <c r="B332" i="17"/>
  <c r="E331" i="17"/>
  <c r="D331" i="17"/>
  <c r="C331" i="17"/>
  <c r="B331" i="17"/>
  <c r="E330" i="17"/>
  <c r="D330" i="17"/>
  <c r="C330" i="17"/>
  <c r="B330" i="17"/>
  <c r="E329" i="17"/>
  <c r="D329" i="17"/>
  <c r="C329" i="17"/>
  <c r="B329" i="17"/>
  <c r="E328" i="17"/>
  <c r="D328" i="17"/>
  <c r="C328" i="17"/>
  <c r="B328" i="17"/>
  <c r="E327" i="17"/>
  <c r="D327" i="17"/>
  <c r="C327" i="17"/>
  <c r="B327" i="17"/>
  <c r="E326" i="17"/>
  <c r="D326" i="17"/>
  <c r="C326" i="17"/>
  <c r="B326" i="17"/>
  <c r="E325" i="17"/>
  <c r="D325" i="17"/>
  <c r="C325" i="17"/>
  <c r="B325" i="17"/>
  <c r="E324" i="17"/>
  <c r="D324" i="17"/>
  <c r="C324" i="17"/>
  <c r="B324" i="17"/>
  <c r="E323" i="17"/>
  <c r="D323" i="17"/>
  <c r="C323" i="17"/>
  <c r="B323" i="17"/>
  <c r="E322" i="17"/>
  <c r="D322" i="17"/>
  <c r="C322" i="17"/>
  <c r="B322" i="17"/>
  <c r="E321" i="17"/>
  <c r="D321" i="17"/>
  <c r="C321" i="17"/>
  <c r="B321" i="17"/>
  <c r="E320" i="17"/>
  <c r="D320" i="17"/>
  <c r="C320" i="17"/>
  <c r="B320" i="17"/>
  <c r="E319" i="17"/>
  <c r="D319" i="17"/>
  <c r="C319" i="17"/>
  <c r="B319" i="17"/>
  <c r="E318" i="17"/>
  <c r="D318" i="17"/>
  <c r="C318" i="17"/>
  <c r="B318" i="17"/>
  <c r="E317" i="17"/>
  <c r="D317" i="17"/>
  <c r="C317" i="17"/>
  <c r="B317" i="17"/>
  <c r="E316" i="17"/>
  <c r="D316" i="17"/>
  <c r="C316" i="17"/>
  <c r="B316" i="17"/>
  <c r="E315" i="17"/>
  <c r="D315" i="17"/>
  <c r="C315" i="17"/>
  <c r="B315" i="17"/>
  <c r="E314" i="17"/>
  <c r="D314" i="17"/>
  <c r="C314" i="17"/>
  <c r="B314" i="17"/>
  <c r="E313" i="17"/>
  <c r="D313" i="17"/>
  <c r="C313" i="17"/>
  <c r="B313" i="17"/>
  <c r="E312" i="17"/>
  <c r="D312" i="17"/>
  <c r="C312" i="17"/>
  <c r="B312" i="17"/>
  <c r="E311" i="17"/>
  <c r="D311" i="17"/>
  <c r="C311" i="17"/>
  <c r="B311" i="17"/>
  <c r="E310" i="17"/>
  <c r="D310" i="17"/>
  <c r="C310" i="17"/>
  <c r="B310" i="17"/>
  <c r="E309" i="17"/>
  <c r="D309" i="17"/>
  <c r="C309" i="17"/>
  <c r="B309" i="17"/>
  <c r="E308" i="17"/>
  <c r="D308" i="17"/>
  <c r="C308" i="17"/>
  <c r="B308" i="17"/>
  <c r="E307" i="17"/>
  <c r="D307" i="17"/>
  <c r="C307" i="17"/>
  <c r="B307" i="17"/>
  <c r="E306" i="17"/>
  <c r="D306" i="17"/>
  <c r="C306" i="17"/>
  <c r="B306" i="17"/>
  <c r="E305" i="17"/>
  <c r="D305" i="17"/>
  <c r="C305" i="17"/>
  <c r="B305" i="17"/>
  <c r="E304" i="17"/>
  <c r="D304" i="17"/>
  <c r="C304" i="17"/>
  <c r="B304" i="17"/>
  <c r="E303" i="17"/>
  <c r="D303" i="17"/>
  <c r="C303" i="17"/>
  <c r="B303" i="17"/>
  <c r="E302" i="17"/>
  <c r="D302" i="17"/>
  <c r="C302" i="17"/>
  <c r="B302" i="17"/>
  <c r="E301" i="17"/>
  <c r="D301" i="17"/>
  <c r="C301" i="17"/>
  <c r="B301" i="17"/>
  <c r="E300" i="17"/>
  <c r="D300" i="17"/>
  <c r="C300" i="17"/>
  <c r="B300" i="17"/>
  <c r="E299" i="17"/>
  <c r="D299" i="17"/>
  <c r="C299" i="17"/>
  <c r="B299" i="17"/>
  <c r="E298" i="17"/>
  <c r="D298" i="17"/>
  <c r="C298" i="17"/>
  <c r="B298" i="17"/>
  <c r="E297" i="17"/>
  <c r="D297" i="17"/>
  <c r="C297" i="17"/>
  <c r="B297" i="17"/>
  <c r="E296" i="17"/>
  <c r="D296" i="17"/>
  <c r="C296" i="17"/>
  <c r="B296" i="17"/>
  <c r="E295" i="17"/>
  <c r="D295" i="17"/>
  <c r="C295" i="17"/>
  <c r="B295" i="17"/>
  <c r="E294" i="17"/>
  <c r="D294" i="17"/>
  <c r="C294" i="17"/>
  <c r="B294" i="17"/>
  <c r="E293" i="17"/>
  <c r="D293" i="17"/>
  <c r="C293" i="17"/>
  <c r="B293" i="17"/>
  <c r="E292" i="17"/>
  <c r="D292" i="17"/>
  <c r="C292" i="17"/>
  <c r="B292" i="17"/>
  <c r="E291" i="17"/>
  <c r="D291" i="17"/>
  <c r="C291" i="17"/>
  <c r="B291" i="17"/>
  <c r="E290" i="17"/>
  <c r="D290" i="17"/>
  <c r="C290" i="17"/>
  <c r="B290" i="17"/>
  <c r="E289" i="17"/>
  <c r="D289" i="17"/>
  <c r="C289" i="17"/>
  <c r="B289" i="17"/>
  <c r="E288" i="17"/>
  <c r="D288" i="17"/>
  <c r="C288" i="17"/>
  <c r="B288" i="17"/>
  <c r="E287" i="17"/>
  <c r="D287" i="17"/>
  <c r="C287" i="17"/>
  <c r="B287" i="17"/>
  <c r="E286" i="17"/>
  <c r="D286" i="17"/>
  <c r="C286" i="17"/>
  <c r="B286" i="17"/>
  <c r="E285" i="17"/>
  <c r="D285" i="17"/>
  <c r="C285" i="17"/>
  <c r="B285" i="17"/>
  <c r="E284" i="17"/>
  <c r="D284" i="17"/>
  <c r="C284" i="17"/>
  <c r="B284" i="17"/>
  <c r="E283" i="17"/>
  <c r="D283" i="17"/>
  <c r="C283" i="17"/>
  <c r="B283" i="17"/>
  <c r="E282" i="17"/>
  <c r="D282" i="17"/>
  <c r="C282" i="17"/>
  <c r="B282" i="17"/>
  <c r="E281" i="17"/>
  <c r="D281" i="17"/>
  <c r="C281" i="17"/>
  <c r="B281" i="17"/>
  <c r="E280" i="17"/>
  <c r="D280" i="17"/>
  <c r="C280" i="17"/>
  <c r="B280" i="17"/>
  <c r="E279" i="17"/>
  <c r="D279" i="17"/>
  <c r="C279" i="17"/>
  <c r="B279" i="17"/>
  <c r="E278" i="17"/>
  <c r="D278" i="17"/>
  <c r="C278" i="17"/>
  <c r="B278" i="17"/>
  <c r="E277" i="17"/>
  <c r="D277" i="17"/>
  <c r="C277" i="17"/>
  <c r="B277" i="17"/>
  <c r="E276" i="17"/>
  <c r="D276" i="17"/>
  <c r="C276" i="17"/>
  <c r="B276" i="17"/>
  <c r="E275" i="17"/>
  <c r="D275" i="17"/>
  <c r="C275" i="17"/>
  <c r="B275" i="17"/>
  <c r="E274" i="17"/>
  <c r="D274" i="17"/>
  <c r="C274" i="17"/>
  <c r="B274" i="17"/>
  <c r="E273" i="17"/>
  <c r="D273" i="17"/>
  <c r="C273" i="17"/>
  <c r="B273" i="17"/>
  <c r="E272" i="17"/>
  <c r="D272" i="17"/>
  <c r="C272" i="17"/>
  <c r="B272" i="17"/>
  <c r="E271" i="17"/>
  <c r="D271" i="17"/>
  <c r="C271" i="17"/>
  <c r="B271" i="17"/>
  <c r="E270" i="17"/>
  <c r="D270" i="17"/>
  <c r="C270" i="17"/>
  <c r="B270" i="17"/>
  <c r="E269" i="17"/>
  <c r="D269" i="17"/>
  <c r="C269" i="17"/>
  <c r="B269" i="17"/>
  <c r="E268" i="17"/>
  <c r="D268" i="17"/>
  <c r="C268" i="17"/>
  <c r="B268" i="17"/>
  <c r="E267" i="17"/>
  <c r="D267" i="17"/>
  <c r="C267" i="17"/>
  <c r="B267" i="17"/>
  <c r="I266" i="17"/>
  <c r="E266" i="17"/>
  <c r="D266" i="17"/>
  <c r="C266" i="17"/>
  <c r="B266" i="17"/>
  <c r="E265" i="17"/>
  <c r="D265" i="17"/>
  <c r="C265" i="17"/>
  <c r="B265" i="17"/>
  <c r="E264" i="17"/>
  <c r="D264" i="17"/>
  <c r="C264" i="17"/>
  <c r="B264" i="17"/>
  <c r="I263" i="17"/>
  <c r="E263" i="17"/>
  <c r="D263" i="17"/>
  <c r="C263" i="17"/>
  <c r="B263" i="17"/>
  <c r="E262" i="17"/>
  <c r="D262" i="17"/>
  <c r="C262" i="17"/>
  <c r="B262" i="17"/>
  <c r="E261" i="17"/>
  <c r="D261" i="17"/>
  <c r="C261" i="17"/>
  <c r="B261" i="17"/>
  <c r="E260" i="17"/>
  <c r="D260" i="17"/>
  <c r="C260" i="17"/>
  <c r="B260" i="17"/>
  <c r="E259" i="17"/>
  <c r="D259" i="17"/>
  <c r="C259" i="17"/>
  <c r="B259" i="17"/>
  <c r="E258" i="17"/>
  <c r="D258" i="17"/>
  <c r="C258" i="17"/>
  <c r="B258" i="17"/>
  <c r="E257" i="17"/>
  <c r="D257" i="17"/>
  <c r="C257" i="17"/>
  <c r="B257" i="17"/>
  <c r="E256" i="17"/>
  <c r="D256" i="17"/>
  <c r="C256" i="17"/>
  <c r="B256" i="17"/>
  <c r="E255" i="17"/>
  <c r="D255" i="17"/>
  <c r="C255" i="17"/>
  <c r="B255" i="17"/>
  <c r="E254" i="17"/>
  <c r="D254" i="17"/>
  <c r="C254" i="17"/>
  <c r="B254" i="17"/>
  <c r="E253" i="17"/>
  <c r="D253" i="17"/>
  <c r="C253" i="17"/>
  <c r="B253" i="17"/>
  <c r="E252" i="17"/>
  <c r="D252" i="17"/>
  <c r="C252" i="17"/>
  <c r="B252" i="17"/>
  <c r="E251" i="17"/>
  <c r="D251" i="17"/>
  <c r="C251" i="17"/>
  <c r="B251" i="17"/>
  <c r="E250" i="17"/>
  <c r="D250" i="17"/>
  <c r="C250" i="17"/>
  <c r="B250" i="17"/>
  <c r="E249" i="17"/>
  <c r="D249" i="17"/>
  <c r="C249" i="17"/>
  <c r="B249" i="17"/>
  <c r="E248" i="17"/>
  <c r="D248" i="17"/>
  <c r="C248" i="17"/>
  <c r="B248" i="17"/>
  <c r="E247" i="17"/>
  <c r="D247" i="17"/>
  <c r="C247" i="17"/>
  <c r="B247" i="17"/>
  <c r="E246" i="17"/>
  <c r="D246" i="17"/>
  <c r="C246" i="17"/>
  <c r="B246" i="17"/>
  <c r="E245" i="17"/>
  <c r="D245" i="17"/>
  <c r="C245" i="17"/>
  <c r="B245" i="17"/>
  <c r="E244" i="17"/>
  <c r="D244" i="17"/>
  <c r="C244" i="17"/>
  <c r="B244" i="17"/>
  <c r="E243" i="17"/>
  <c r="D243" i="17"/>
  <c r="C243" i="17"/>
  <c r="B243" i="17"/>
  <c r="E242" i="17"/>
  <c r="D242" i="17"/>
  <c r="C242" i="17"/>
  <c r="B242" i="17"/>
  <c r="E241" i="17"/>
  <c r="D241" i="17"/>
  <c r="C241" i="17"/>
  <c r="B241" i="17"/>
  <c r="E240" i="17"/>
  <c r="D240" i="17"/>
  <c r="C240" i="17"/>
  <c r="B240" i="17"/>
  <c r="E239" i="17"/>
  <c r="D239" i="17"/>
  <c r="C239" i="17"/>
  <c r="B239" i="17"/>
  <c r="E238" i="17"/>
  <c r="D238" i="17"/>
  <c r="C238" i="17"/>
  <c r="B238" i="17"/>
  <c r="E237" i="17"/>
  <c r="D237" i="17"/>
  <c r="C237" i="17"/>
  <c r="B237" i="17"/>
  <c r="E236" i="17"/>
  <c r="D236" i="17"/>
  <c r="C236" i="17"/>
  <c r="B236" i="17"/>
  <c r="E235" i="17"/>
  <c r="D235" i="17"/>
  <c r="C235" i="17"/>
  <c r="B235" i="17"/>
  <c r="E234" i="17"/>
  <c r="D234" i="17"/>
  <c r="C234" i="17"/>
  <c r="B234" i="17"/>
  <c r="E233" i="17"/>
  <c r="D233" i="17"/>
  <c r="C233" i="17"/>
  <c r="B233" i="17"/>
  <c r="E232" i="17"/>
  <c r="D232" i="17"/>
  <c r="C232" i="17"/>
  <c r="B232" i="17"/>
  <c r="E231" i="17"/>
  <c r="D231" i="17"/>
  <c r="C231" i="17"/>
  <c r="B231" i="17"/>
  <c r="E230" i="17"/>
  <c r="D230" i="17"/>
  <c r="C230" i="17"/>
  <c r="B230" i="17"/>
  <c r="E229" i="17"/>
  <c r="D229" i="17"/>
  <c r="C229" i="17"/>
  <c r="B229" i="17"/>
  <c r="E228" i="17"/>
  <c r="D228" i="17"/>
  <c r="C228" i="17"/>
  <c r="B228" i="17"/>
  <c r="E227" i="17"/>
  <c r="D227" i="17"/>
  <c r="C227" i="17"/>
  <c r="B227" i="17"/>
  <c r="E226" i="17"/>
  <c r="D226" i="17"/>
  <c r="C226" i="17"/>
  <c r="B226" i="17"/>
  <c r="E225" i="17"/>
  <c r="D225" i="17"/>
  <c r="C225" i="17"/>
  <c r="B225" i="17"/>
  <c r="E224" i="17"/>
  <c r="D224" i="17"/>
  <c r="C224" i="17"/>
  <c r="B224" i="17"/>
  <c r="E223" i="17"/>
  <c r="D223" i="17"/>
  <c r="C223" i="17"/>
  <c r="B223" i="17"/>
  <c r="E222" i="17"/>
  <c r="D222" i="17"/>
  <c r="C222" i="17"/>
  <c r="B222" i="17"/>
  <c r="E221" i="17"/>
  <c r="D221" i="17"/>
  <c r="C221" i="17"/>
  <c r="B221" i="17"/>
  <c r="E220" i="17"/>
  <c r="D220" i="17"/>
  <c r="C220" i="17"/>
  <c r="B220" i="17"/>
  <c r="E219" i="17"/>
  <c r="D219" i="17"/>
  <c r="C219" i="17"/>
  <c r="B219" i="17"/>
  <c r="E218" i="17"/>
  <c r="D218" i="17"/>
  <c r="C218" i="17"/>
  <c r="B218" i="17"/>
  <c r="E217" i="17"/>
  <c r="D217" i="17"/>
  <c r="C217" i="17"/>
  <c r="B217" i="17"/>
  <c r="E216" i="17"/>
  <c r="D216" i="17"/>
  <c r="C216" i="17"/>
  <c r="B216" i="17"/>
  <c r="E215" i="17"/>
  <c r="D215" i="17"/>
  <c r="C215" i="17"/>
  <c r="B215" i="17"/>
  <c r="E214" i="17"/>
  <c r="D214" i="17"/>
  <c r="C214" i="17"/>
  <c r="B214" i="17"/>
  <c r="E213" i="17"/>
  <c r="D213" i="17"/>
  <c r="C213" i="17"/>
  <c r="B213" i="17"/>
  <c r="E212" i="17"/>
  <c r="D212" i="17"/>
  <c r="C212" i="17"/>
  <c r="B212" i="17"/>
  <c r="E211" i="17"/>
  <c r="D211" i="17"/>
  <c r="C211" i="17"/>
  <c r="B211" i="17"/>
  <c r="E210" i="17"/>
  <c r="D210" i="17"/>
  <c r="C210" i="17"/>
  <c r="B210" i="17"/>
  <c r="E209" i="17"/>
  <c r="D209" i="17"/>
  <c r="C209" i="17"/>
  <c r="B209" i="17"/>
  <c r="E208" i="17"/>
  <c r="D208" i="17"/>
  <c r="C208" i="17"/>
  <c r="B208" i="17"/>
  <c r="E207" i="17"/>
  <c r="D207" i="17"/>
  <c r="C207" i="17"/>
  <c r="B207" i="17"/>
  <c r="E206" i="17"/>
  <c r="D206" i="17"/>
  <c r="C206" i="17"/>
  <c r="B206" i="17"/>
  <c r="E205" i="17"/>
  <c r="D205" i="17"/>
  <c r="C205" i="17"/>
  <c r="B205" i="17"/>
  <c r="E204" i="17"/>
  <c r="D204" i="17"/>
  <c r="C204" i="17"/>
  <c r="B204" i="17"/>
  <c r="E203" i="17"/>
  <c r="D203" i="17"/>
  <c r="C203" i="17"/>
  <c r="B203" i="17"/>
  <c r="E202" i="17"/>
  <c r="D202" i="17"/>
  <c r="C202" i="17"/>
  <c r="B202" i="17"/>
  <c r="E201" i="17"/>
  <c r="D201" i="17"/>
  <c r="C201" i="17"/>
  <c r="B201" i="17"/>
  <c r="E200" i="17"/>
  <c r="D200" i="17"/>
  <c r="C200" i="17"/>
  <c r="B200" i="17"/>
  <c r="E199" i="17"/>
  <c r="D199" i="17"/>
  <c r="C199" i="17"/>
  <c r="B199" i="17"/>
  <c r="E198" i="17"/>
  <c r="D198" i="17"/>
  <c r="C198" i="17"/>
  <c r="B198" i="17"/>
  <c r="E197" i="17"/>
  <c r="D197" i="17"/>
  <c r="C197" i="17"/>
  <c r="B197" i="17"/>
  <c r="E196" i="17"/>
  <c r="D196" i="17"/>
  <c r="C196" i="17"/>
  <c r="B196" i="17"/>
  <c r="E195" i="17"/>
  <c r="D195" i="17"/>
  <c r="C195" i="17"/>
  <c r="B195" i="17"/>
  <c r="E194" i="17"/>
  <c r="D194" i="17"/>
  <c r="C194" i="17"/>
  <c r="B194" i="17"/>
  <c r="E193" i="17"/>
  <c r="D193" i="17"/>
  <c r="C193" i="17"/>
  <c r="B193" i="17"/>
  <c r="E192" i="17"/>
  <c r="D192" i="17"/>
  <c r="C192" i="17"/>
  <c r="B192" i="17"/>
  <c r="I191" i="17"/>
  <c r="E191" i="17"/>
  <c r="D191" i="17"/>
  <c r="C191" i="17"/>
  <c r="B191" i="17"/>
  <c r="I190" i="17"/>
  <c r="E190" i="17"/>
  <c r="D190" i="17"/>
  <c r="C190" i="17"/>
  <c r="B190" i="17"/>
  <c r="E189" i="17"/>
  <c r="D189" i="17"/>
  <c r="C189" i="17"/>
  <c r="B189" i="17"/>
  <c r="E188" i="17"/>
  <c r="D188" i="17"/>
  <c r="C188" i="17"/>
  <c r="B188" i="17"/>
  <c r="I187" i="17"/>
  <c r="E187" i="17"/>
  <c r="D187" i="17"/>
  <c r="C187" i="17"/>
  <c r="B187" i="17"/>
  <c r="E186" i="17"/>
  <c r="D186" i="17"/>
  <c r="C186" i="17"/>
  <c r="B186" i="17"/>
  <c r="E185" i="17"/>
  <c r="D185" i="17"/>
  <c r="C185" i="17"/>
  <c r="B185" i="17"/>
  <c r="I184" i="17"/>
  <c r="E184" i="17"/>
  <c r="D184" i="17"/>
  <c r="C184" i="17"/>
  <c r="B184" i="17"/>
  <c r="I183" i="17"/>
  <c r="E183" i="17"/>
  <c r="D183" i="17"/>
  <c r="C183" i="17"/>
  <c r="B183" i="17"/>
  <c r="I182" i="17"/>
  <c r="E182" i="17"/>
  <c r="D182" i="17"/>
  <c r="C182" i="17"/>
  <c r="B182" i="17"/>
  <c r="I181" i="17"/>
  <c r="E181" i="17"/>
  <c r="D181" i="17"/>
  <c r="C181" i="17"/>
  <c r="B181" i="17"/>
  <c r="I180" i="17"/>
  <c r="E180" i="17"/>
  <c r="D180" i="17"/>
  <c r="C180" i="17"/>
  <c r="B180" i="17"/>
  <c r="E179" i="17"/>
  <c r="D179" i="17"/>
  <c r="C179" i="17"/>
  <c r="B179" i="17"/>
  <c r="E178" i="17"/>
  <c r="D178" i="17"/>
  <c r="C178" i="17"/>
  <c r="B178" i="17"/>
  <c r="I177" i="17"/>
  <c r="E177" i="17"/>
  <c r="D177" i="17"/>
  <c r="C177" i="17"/>
  <c r="B177" i="17"/>
  <c r="E176" i="17"/>
  <c r="D176" i="17"/>
  <c r="C176" i="17"/>
  <c r="B176" i="17"/>
  <c r="E175" i="17"/>
  <c r="D175" i="17"/>
  <c r="C175" i="17"/>
  <c r="B175" i="17"/>
  <c r="I174" i="17"/>
  <c r="E174" i="17"/>
  <c r="D174" i="17"/>
  <c r="C174" i="17"/>
  <c r="B174" i="17"/>
  <c r="I173" i="17"/>
  <c r="E173" i="17"/>
  <c r="D173" i="17"/>
  <c r="C173" i="17"/>
  <c r="B173" i="17"/>
  <c r="I172" i="17"/>
  <c r="E172" i="17"/>
  <c r="D172" i="17"/>
  <c r="C172" i="17"/>
  <c r="B172" i="17"/>
  <c r="E171" i="17"/>
  <c r="D171" i="17"/>
  <c r="C171" i="17"/>
  <c r="B171" i="17"/>
  <c r="E170" i="17"/>
  <c r="D170" i="17"/>
  <c r="C170" i="17"/>
  <c r="B170" i="17"/>
  <c r="E169" i="17"/>
  <c r="D169" i="17"/>
  <c r="C169" i="17"/>
  <c r="B169" i="17"/>
  <c r="E168" i="17"/>
  <c r="D168" i="17"/>
  <c r="C168" i="17"/>
  <c r="B168" i="17"/>
  <c r="E167" i="17"/>
  <c r="D167" i="17"/>
  <c r="C167" i="17"/>
  <c r="B167" i="17"/>
  <c r="E166" i="17"/>
  <c r="D166" i="17"/>
  <c r="C166" i="17"/>
  <c r="B166" i="17"/>
  <c r="E165" i="17"/>
  <c r="D165" i="17"/>
  <c r="C165" i="17"/>
  <c r="B165" i="17"/>
  <c r="E164" i="17"/>
  <c r="D164" i="17"/>
  <c r="C164" i="17"/>
  <c r="B164" i="17"/>
  <c r="E163" i="17"/>
  <c r="D163" i="17"/>
  <c r="C163" i="17"/>
  <c r="B163" i="17"/>
  <c r="E162" i="17"/>
  <c r="D162" i="17"/>
  <c r="C162" i="17"/>
  <c r="B162" i="17"/>
  <c r="E161" i="17"/>
  <c r="D161" i="17"/>
  <c r="C161" i="17"/>
  <c r="B161" i="17"/>
  <c r="E160" i="17"/>
  <c r="D160" i="17"/>
  <c r="C160" i="17"/>
  <c r="B160" i="17"/>
  <c r="E159" i="17"/>
  <c r="D159" i="17"/>
  <c r="C159" i="17"/>
  <c r="B159" i="17"/>
  <c r="E158" i="17"/>
  <c r="D158" i="17"/>
  <c r="C158" i="17"/>
  <c r="B158" i="17"/>
  <c r="E157" i="17"/>
  <c r="D157" i="17"/>
  <c r="C157" i="17"/>
  <c r="B157" i="17"/>
  <c r="E156" i="17"/>
  <c r="D156" i="17"/>
  <c r="C156" i="17"/>
  <c r="B156" i="17"/>
  <c r="E155" i="17"/>
  <c r="D155" i="17"/>
  <c r="C155" i="17"/>
  <c r="B155" i="17"/>
  <c r="E154" i="17"/>
  <c r="D154" i="17"/>
  <c r="C154" i="17"/>
  <c r="B154" i="17"/>
  <c r="E153" i="17"/>
  <c r="D153" i="17"/>
  <c r="C153" i="17"/>
  <c r="B153" i="17"/>
  <c r="E152" i="17"/>
  <c r="D152" i="17"/>
  <c r="C152" i="17"/>
  <c r="B152" i="17"/>
  <c r="E151" i="17"/>
  <c r="D151" i="17"/>
  <c r="C151" i="17"/>
  <c r="B151" i="17"/>
  <c r="E150" i="17"/>
  <c r="D150" i="17"/>
  <c r="C150" i="17"/>
  <c r="B150" i="17"/>
  <c r="E149" i="17"/>
  <c r="D149" i="17"/>
  <c r="C149" i="17"/>
  <c r="B149" i="17"/>
  <c r="E148" i="17"/>
  <c r="D148" i="17"/>
  <c r="C148" i="17"/>
  <c r="B148" i="17"/>
  <c r="E147" i="17"/>
  <c r="D147" i="17"/>
  <c r="C147" i="17"/>
  <c r="B147" i="17"/>
  <c r="E146" i="17"/>
  <c r="D146" i="17"/>
  <c r="C146" i="17"/>
  <c r="B146" i="17"/>
  <c r="E145" i="17"/>
  <c r="D145" i="17"/>
  <c r="C145" i="17"/>
  <c r="B145" i="17"/>
  <c r="E144" i="17"/>
  <c r="D144" i="17"/>
  <c r="C144" i="17"/>
  <c r="B144" i="17"/>
  <c r="E143" i="17"/>
  <c r="D143" i="17"/>
  <c r="C143" i="17"/>
  <c r="B143" i="17"/>
  <c r="E142" i="17"/>
  <c r="D142" i="17"/>
  <c r="C142" i="17"/>
  <c r="B142" i="17"/>
  <c r="E141" i="17"/>
  <c r="D141" i="17"/>
  <c r="C141" i="17"/>
  <c r="B141" i="17"/>
  <c r="E140" i="17"/>
  <c r="D140" i="17"/>
  <c r="C140" i="17"/>
  <c r="B140" i="17"/>
  <c r="E139" i="17"/>
  <c r="D139" i="17"/>
  <c r="C139" i="17"/>
  <c r="B139" i="17"/>
  <c r="E138" i="17"/>
  <c r="D138" i="17"/>
  <c r="C138" i="17"/>
  <c r="B138" i="17"/>
  <c r="E137" i="17"/>
  <c r="D137" i="17"/>
  <c r="C137" i="17"/>
  <c r="B137" i="17"/>
  <c r="E136" i="17"/>
  <c r="D136" i="17"/>
  <c r="C136" i="17"/>
  <c r="B136" i="17"/>
  <c r="E135" i="17"/>
  <c r="D135" i="17"/>
  <c r="C135" i="17"/>
  <c r="B135" i="17"/>
  <c r="E134" i="17"/>
  <c r="D134" i="17"/>
  <c r="C134" i="17"/>
  <c r="B134" i="17"/>
  <c r="I133" i="17"/>
  <c r="E133" i="17"/>
  <c r="D133" i="17"/>
  <c r="C133" i="17"/>
  <c r="B133" i="17"/>
  <c r="I132" i="17"/>
  <c r="E132" i="17"/>
  <c r="D132" i="17"/>
  <c r="C132" i="17"/>
  <c r="B132" i="17"/>
  <c r="E131" i="17"/>
  <c r="D131" i="17"/>
  <c r="C131" i="17"/>
  <c r="B131" i="17"/>
  <c r="E130" i="17"/>
  <c r="D130" i="17"/>
  <c r="C130" i="17"/>
  <c r="B130" i="17"/>
  <c r="E129" i="17"/>
  <c r="D129" i="17"/>
  <c r="C129" i="17"/>
  <c r="B129" i="17"/>
  <c r="E128" i="17"/>
  <c r="D128" i="17"/>
  <c r="C128" i="17"/>
  <c r="B128" i="17"/>
  <c r="E127" i="17"/>
  <c r="D127" i="17"/>
  <c r="C127" i="17"/>
  <c r="B127" i="17"/>
  <c r="E126" i="17"/>
  <c r="D126" i="17"/>
  <c r="C126" i="17"/>
  <c r="B126" i="17"/>
  <c r="E125" i="17"/>
  <c r="D125" i="17"/>
  <c r="C125" i="17"/>
  <c r="B125" i="17"/>
  <c r="E124" i="17"/>
  <c r="D124" i="17"/>
  <c r="C124" i="17"/>
  <c r="B124" i="17"/>
  <c r="E123" i="17"/>
  <c r="D123" i="17"/>
  <c r="C123" i="17"/>
  <c r="B123" i="17"/>
  <c r="E122" i="17"/>
  <c r="D122" i="17"/>
  <c r="C122" i="17"/>
  <c r="B122" i="17"/>
  <c r="E121" i="17"/>
  <c r="D121" i="17"/>
  <c r="C121" i="17"/>
  <c r="B121" i="17"/>
  <c r="E120" i="17"/>
  <c r="D120" i="17"/>
  <c r="C120" i="17"/>
  <c r="B120" i="17"/>
  <c r="E119" i="17"/>
  <c r="D119" i="17"/>
  <c r="C119" i="17"/>
  <c r="B119" i="17"/>
  <c r="E118" i="17"/>
  <c r="D118" i="17"/>
  <c r="C118" i="17"/>
  <c r="B118" i="17"/>
  <c r="E117" i="17"/>
  <c r="D117" i="17"/>
  <c r="C117" i="17"/>
  <c r="B117" i="17"/>
  <c r="E116" i="17"/>
  <c r="D116" i="17"/>
  <c r="C116" i="17"/>
  <c r="B116" i="17"/>
  <c r="E115" i="17"/>
  <c r="D115" i="17"/>
  <c r="C115" i="17"/>
  <c r="B115" i="17"/>
  <c r="E114" i="17"/>
  <c r="D114" i="17"/>
  <c r="C114" i="17"/>
  <c r="B114" i="17"/>
  <c r="E113" i="17"/>
  <c r="D113" i="17"/>
  <c r="C113" i="17"/>
  <c r="B113" i="17"/>
  <c r="E112" i="17"/>
  <c r="D112" i="17"/>
  <c r="C112" i="17"/>
  <c r="B112" i="17"/>
  <c r="E111" i="17"/>
  <c r="D111" i="17"/>
  <c r="C111" i="17"/>
  <c r="B111" i="17"/>
  <c r="E110" i="17"/>
  <c r="D110" i="17"/>
  <c r="C110" i="17"/>
  <c r="B110" i="17"/>
  <c r="E109" i="17"/>
  <c r="D109" i="17"/>
  <c r="C109" i="17"/>
  <c r="B109" i="17"/>
  <c r="E108" i="17"/>
  <c r="D108" i="17"/>
  <c r="C108" i="17"/>
  <c r="B108" i="17"/>
  <c r="E107" i="17"/>
  <c r="D107" i="17"/>
  <c r="C107" i="17"/>
  <c r="B107" i="17"/>
  <c r="E106" i="17"/>
  <c r="D106" i="17"/>
  <c r="C106" i="17"/>
  <c r="B106" i="17"/>
  <c r="E105" i="17"/>
  <c r="D105" i="17"/>
  <c r="C105" i="17"/>
  <c r="B105" i="17"/>
  <c r="E104" i="17"/>
  <c r="D104" i="17"/>
  <c r="C104" i="17"/>
  <c r="B104" i="17"/>
  <c r="E103" i="17"/>
  <c r="D103" i="17"/>
  <c r="C103" i="17"/>
  <c r="B103" i="17"/>
  <c r="E102" i="17"/>
  <c r="D102" i="17"/>
  <c r="C102" i="17"/>
  <c r="B102" i="17"/>
  <c r="E101" i="17"/>
  <c r="D101" i="17"/>
  <c r="C101" i="17"/>
  <c r="B101" i="17"/>
  <c r="E100" i="17"/>
  <c r="D100" i="17"/>
  <c r="C100" i="17"/>
  <c r="B100" i="17"/>
  <c r="E99" i="17"/>
  <c r="D99" i="17"/>
  <c r="C99" i="17"/>
  <c r="B99" i="17"/>
  <c r="E98" i="17"/>
  <c r="D98" i="17"/>
  <c r="C98" i="17"/>
  <c r="B98" i="17"/>
  <c r="E97" i="17"/>
  <c r="D97" i="17"/>
  <c r="C97" i="17"/>
  <c r="B97" i="17"/>
  <c r="E96" i="17"/>
  <c r="D96" i="17"/>
  <c r="C96" i="17"/>
  <c r="B96" i="17"/>
  <c r="E95" i="17"/>
  <c r="D95" i="17"/>
  <c r="C95" i="17"/>
  <c r="B95" i="17"/>
  <c r="E94" i="17"/>
  <c r="D94" i="17"/>
  <c r="C94" i="17"/>
  <c r="B94" i="17"/>
  <c r="E93" i="17"/>
  <c r="D93" i="17"/>
  <c r="C93" i="17"/>
  <c r="B93" i="17"/>
  <c r="E92" i="17"/>
  <c r="D92" i="17"/>
  <c r="C92" i="17"/>
  <c r="B92" i="17"/>
  <c r="E91" i="17"/>
  <c r="D91" i="17"/>
  <c r="C91" i="17"/>
  <c r="B91" i="17"/>
  <c r="E90" i="17"/>
  <c r="D90" i="17"/>
  <c r="C90" i="17"/>
  <c r="B90" i="17"/>
  <c r="E89" i="17"/>
  <c r="D89" i="17"/>
  <c r="C89" i="17"/>
  <c r="B89" i="17"/>
  <c r="E88" i="17"/>
  <c r="D88" i="17"/>
  <c r="C88" i="17"/>
  <c r="B88" i="17"/>
  <c r="E87" i="17"/>
  <c r="D87" i="17"/>
  <c r="C87" i="17"/>
  <c r="B87" i="17"/>
  <c r="E86" i="17"/>
  <c r="D86" i="17"/>
  <c r="C86" i="17"/>
  <c r="B86" i="17"/>
  <c r="E85" i="17"/>
  <c r="D85" i="17"/>
  <c r="C85" i="17"/>
  <c r="B85" i="17"/>
  <c r="E84" i="17"/>
  <c r="D84" i="17"/>
  <c r="C84" i="17"/>
  <c r="B84" i="17"/>
  <c r="E83" i="17"/>
  <c r="D83" i="17"/>
  <c r="C83" i="17"/>
  <c r="B83" i="17"/>
  <c r="E82" i="17"/>
  <c r="D82" i="17"/>
  <c r="C82" i="17"/>
  <c r="B82" i="17"/>
  <c r="E81" i="17"/>
  <c r="D81" i="17"/>
  <c r="C81" i="17"/>
  <c r="B81" i="17"/>
  <c r="E80" i="17"/>
  <c r="D80" i="17"/>
  <c r="C80" i="17"/>
  <c r="B80" i="17"/>
  <c r="E79" i="17"/>
  <c r="D79" i="17"/>
  <c r="C79" i="17"/>
  <c r="B79" i="17"/>
  <c r="E78" i="17"/>
  <c r="D78" i="17"/>
  <c r="C78" i="17"/>
  <c r="B78" i="17"/>
  <c r="E77" i="17"/>
  <c r="D77" i="17"/>
  <c r="C77" i="17"/>
  <c r="B77" i="17"/>
  <c r="E76" i="17"/>
  <c r="D76" i="17"/>
  <c r="C76" i="17"/>
  <c r="B76" i="17"/>
  <c r="E75" i="17"/>
  <c r="D75" i="17"/>
  <c r="C75" i="17"/>
  <c r="B75" i="17"/>
  <c r="E74" i="17"/>
  <c r="D74" i="17"/>
  <c r="C74" i="17"/>
  <c r="B74" i="17"/>
  <c r="E73" i="17"/>
  <c r="D73" i="17"/>
  <c r="C73" i="17"/>
  <c r="B73" i="17"/>
  <c r="E72" i="17"/>
  <c r="D72" i="17"/>
  <c r="C72" i="17"/>
  <c r="B72" i="17"/>
  <c r="E71" i="17"/>
  <c r="D71" i="17"/>
  <c r="C71" i="17"/>
  <c r="B71" i="17"/>
  <c r="E70" i="17"/>
  <c r="D70" i="17"/>
  <c r="C70" i="17"/>
  <c r="B70" i="17"/>
  <c r="E69" i="17"/>
  <c r="D69" i="17"/>
  <c r="C69" i="17"/>
  <c r="B69" i="17"/>
  <c r="E68" i="17"/>
  <c r="D68" i="17"/>
  <c r="C68" i="17"/>
  <c r="B68" i="17"/>
  <c r="E67" i="17"/>
  <c r="D67" i="17"/>
  <c r="C67" i="17"/>
  <c r="B67" i="17"/>
  <c r="E66" i="17"/>
  <c r="D66" i="17"/>
  <c r="C66" i="17"/>
  <c r="B66" i="17"/>
  <c r="E65" i="17"/>
  <c r="D65" i="17"/>
  <c r="C65" i="17"/>
  <c r="B65" i="17"/>
  <c r="E64" i="17"/>
  <c r="D64" i="17"/>
  <c r="C64" i="17"/>
  <c r="B64" i="17"/>
  <c r="E63" i="17"/>
  <c r="D63" i="17"/>
  <c r="C63" i="17"/>
  <c r="B63" i="17"/>
  <c r="E62" i="17"/>
  <c r="D62" i="17"/>
  <c r="C62" i="17"/>
  <c r="B62" i="17"/>
  <c r="E61" i="17"/>
  <c r="D61" i="17"/>
  <c r="C61" i="17"/>
  <c r="B61" i="17"/>
  <c r="E60" i="17"/>
  <c r="D60" i="17"/>
  <c r="C60" i="17"/>
  <c r="B60" i="17"/>
  <c r="E59" i="17"/>
  <c r="D59" i="17"/>
  <c r="C59" i="17"/>
  <c r="B59" i="17"/>
  <c r="E58" i="17"/>
  <c r="D58" i="17"/>
  <c r="C58" i="17"/>
  <c r="B58" i="17"/>
  <c r="E57" i="17"/>
  <c r="D57" i="17"/>
  <c r="C57" i="17"/>
  <c r="B57" i="17"/>
  <c r="E56" i="17"/>
  <c r="D56" i="17"/>
  <c r="C56" i="17"/>
  <c r="B56" i="17"/>
  <c r="E55" i="17"/>
  <c r="D55" i="17"/>
  <c r="C55" i="17"/>
  <c r="B55" i="17"/>
  <c r="E54" i="17"/>
  <c r="D54" i="17"/>
  <c r="C54" i="17"/>
  <c r="B54" i="17"/>
  <c r="E53" i="17"/>
  <c r="D53" i="17"/>
  <c r="C53" i="17"/>
  <c r="B53" i="17"/>
  <c r="E52" i="17"/>
  <c r="D52" i="17"/>
  <c r="C52" i="17"/>
  <c r="B52" i="17"/>
  <c r="E51" i="17"/>
  <c r="D51" i="17"/>
  <c r="C51" i="17"/>
  <c r="B51" i="17"/>
  <c r="E50" i="17"/>
  <c r="D50" i="17"/>
  <c r="C50" i="17"/>
  <c r="B50" i="17"/>
  <c r="E49" i="17"/>
  <c r="D49" i="17"/>
  <c r="C49" i="17"/>
  <c r="B49" i="17"/>
  <c r="E48" i="17"/>
  <c r="D48" i="17"/>
  <c r="C48" i="17"/>
  <c r="B48" i="17"/>
  <c r="E47" i="17"/>
  <c r="D47" i="17"/>
  <c r="C47" i="17"/>
  <c r="B47" i="17"/>
  <c r="E46" i="17"/>
  <c r="D46" i="17"/>
  <c r="C46" i="17"/>
  <c r="B46" i="17"/>
  <c r="E45" i="17"/>
  <c r="D45" i="17"/>
  <c r="C45" i="17"/>
  <c r="B45" i="17"/>
  <c r="E44" i="17"/>
  <c r="D44" i="17"/>
  <c r="C44" i="17"/>
  <c r="B44" i="17"/>
  <c r="E43" i="17"/>
  <c r="D43" i="17"/>
  <c r="C43" i="17"/>
  <c r="B43" i="17"/>
  <c r="E42" i="17"/>
  <c r="D42" i="17"/>
  <c r="C42" i="17"/>
  <c r="B42" i="17"/>
  <c r="E41" i="17"/>
  <c r="D41" i="17"/>
  <c r="C41" i="17"/>
  <c r="B41" i="17"/>
  <c r="E40" i="17"/>
  <c r="D40" i="17"/>
  <c r="C40" i="17"/>
  <c r="B40" i="17"/>
  <c r="E39" i="17"/>
  <c r="D39" i="17"/>
  <c r="C39" i="17"/>
  <c r="B39" i="17"/>
  <c r="E38" i="17"/>
  <c r="D38" i="17"/>
  <c r="C38" i="17"/>
  <c r="B38" i="17"/>
  <c r="E37" i="17"/>
  <c r="D37" i="17"/>
  <c r="C37" i="17"/>
  <c r="B37" i="17"/>
  <c r="E36" i="17"/>
  <c r="D36" i="17"/>
  <c r="C36" i="17"/>
  <c r="B36" i="17"/>
  <c r="E35" i="17"/>
  <c r="D35" i="17"/>
  <c r="C35" i="17"/>
  <c r="B35" i="17"/>
  <c r="E34" i="17"/>
  <c r="D34" i="17"/>
  <c r="C34" i="17"/>
  <c r="B34" i="17"/>
  <c r="E33" i="17"/>
  <c r="D33" i="17"/>
  <c r="C33" i="17"/>
  <c r="B33" i="17"/>
  <c r="E32" i="17"/>
  <c r="D32" i="17"/>
  <c r="C32" i="17"/>
  <c r="B32" i="17"/>
  <c r="E31" i="17"/>
  <c r="D31" i="17"/>
  <c r="C31" i="17"/>
  <c r="B31" i="17"/>
  <c r="E30" i="17"/>
  <c r="D30" i="17"/>
  <c r="C30" i="17"/>
  <c r="B30" i="17"/>
  <c r="E29" i="17"/>
  <c r="D29" i="17"/>
  <c r="C29" i="17"/>
  <c r="B29" i="17"/>
  <c r="E28" i="17"/>
  <c r="D28" i="17"/>
  <c r="C28" i="17"/>
  <c r="B28" i="17"/>
  <c r="E27" i="17"/>
  <c r="D27" i="17"/>
  <c r="C27" i="17"/>
  <c r="B27" i="17"/>
  <c r="E26" i="17"/>
  <c r="D26" i="17"/>
  <c r="C26" i="17"/>
  <c r="B26" i="17"/>
  <c r="E25" i="17"/>
  <c r="D25" i="17"/>
  <c r="C25" i="17"/>
  <c r="B25" i="17"/>
  <c r="E24" i="17"/>
  <c r="D24" i="17"/>
  <c r="C24" i="17"/>
  <c r="B24" i="17"/>
  <c r="E23" i="17"/>
  <c r="D23" i="17"/>
  <c r="C23" i="17"/>
  <c r="B23" i="17"/>
  <c r="E22" i="17"/>
  <c r="D22" i="17"/>
  <c r="C22" i="17"/>
  <c r="B22" i="17"/>
  <c r="E21" i="17"/>
  <c r="D21" i="17"/>
  <c r="C21" i="17"/>
  <c r="B21" i="17"/>
  <c r="E20" i="17"/>
  <c r="D20" i="17"/>
  <c r="C20" i="17"/>
  <c r="B20" i="17"/>
  <c r="E19" i="17"/>
  <c r="D19" i="17"/>
  <c r="C19" i="17"/>
  <c r="B19" i="17"/>
  <c r="E18" i="17"/>
  <c r="D18" i="17"/>
  <c r="C18" i="17"/>
  <c r="B18" i="17"/>
  <c r="E17" i="17"/>
  <c r="D17" i="17"/>
  <c r="C17" i="17"/>
  <c r="B17" i="17"/>
  <c r="E16" i="17"/>
  <c r="D16" i="17"/>
  <c r="C16" i="17"/>
  <c r="B16" i="17"/>
  <c r="E15" i="17"/>
  <c r="D15" i="17"/>
  <c r="C15" i="17"/>
  <c r="B15" i="17"/>
  <c r="E14" i="17"/>
  <c r="D14" i="17"/>
  <c r="C14" i="17"/>
  <c r="B14" i="17"/>
  <c r="E13" i="17"/>
  <c r="D13" i="17"/>
  <c r="C13" i="17"/>
  <c r="B13" i="17"/>
  <c r="E12" i="17"/>
  <c r="D12" i="17"/>
  <c r="C12" i="17"/>
  <c r="B12" i="17"/>
  <c r="E11" i="17"/>
  <c r="D11" i="17"/>
  <c r="C11" i="17"/>
  <c r="B11" i="17"/>
  <c r="E10" i="17"/>
  <c r="D10" i="17"/>
  <c r="C10" i="17"/>
  <c r="B10" i="17"/>
  <c r="E9" i="17"/>
  <c r="D9" i="17"/>
  <c r="C9" i="17"/>
  <c r="B9" i="17"/>
  <c r="E8" i="17"/>
  <c r="D8" i="17"/>
  <c r="C8" i="17"/>
  <c r="B8" i="17"/>
  <c r="E7" i="17"/>
  <c r="D7" i="17"/>
  <c r="C7" i="17"/>
  <c r="B7" i="17"/>
  <c r="E6" i="17"/>
  <c r="D6" i="17"/>
  <c r="C6" i="17"/>
  <c r="B6" i="17"/>
  <c r="E5" i="17"/>
  <c r="D5" i="17"/>
  <c r="C5" i="17"/>
  <c r="B5" i="17"/>
  <c r="E4" i="17"/>
  <c r="D4" i="17"/>
  <c r="C4" i="17"/>
  <c r="B4" i="17"/>
  <c r="E3" i="17"/>
  <c r="D3" i="17"/>
  <c r="C3" i="17"/>
  <c r="B3" i="17"/>
  <c r="E2" i="17"/>
  <c r="D2" i="17"/>
  <c r="C2" i="17"/>
  <c r="B2" i="17"/>
  <c r="K44" i="15"/>
  <c r="J44" i="15"/>
  <c r="I44" i="15"/>
  <c r="H44" i="15"/>
  <c r="G44" i="15"/>
  <c r="F44" i="15"/>
  <c r="E44" i="15"/>
  <c r="D44" i="15"/>
  <c r="C44" i="15"/>
  <c r="K43" i="15"/>
  <c r="J43" i="15"/>
  <c r="I43" i="15"/>
  <c r="H43" i="15"/>
  <c r="G43" i="15"/>
  <c r="F43" i="15"/>
  <c r="E43" i="15"/>
  <c r="D43" i="15"/>
  <c r="K41" i="15"/>
  <c r="J41" i="15"/>
  <c r="I41" i="15"/>
  <c r="H41" i="15"/>
  <c r="G41" i="15"/>
  <c r="F41" i="15"/>
  <c r="E41" i="15"/>
  <c r="D41" i="15"/>
  <c r="C41" i="15"/>
  <c r="K36" i="15"/>
  <c r="J36" i="15"/>
  <c r="I36" i="15"/>
  <c r="H36" i="15"/>
  <c r="G36" i="15"/>
  <c r="F36" i="15"/>
  <c r="E36" i="15"/>
  <c r="D36" i="15"/>
  <c r="N36" i="15" s="1"/>
  <c r="K35" i="15"/>
  <c r="J35" i="15"/>
  <c r="I35" i="15"/>
  <c r="H35" i="15"/>
  <c r="G35" i="15"/>
  <c r="F35" i="15"/>
  <c r="E35" i="15"/>
  <c r="D35" i="15"/>
  <c r="N35" i="15" s="1"/>
  <c r="K34" i="15"/>
  <c r="J34" i="15"/>
  <c r="I34" i="15"/>
  <c r="H34" i="15"/>
  <c r="G34" i="15"/>
  <c r="F34" i="15"/>
  <c r="E34" i="15"/>
  <c r="D34" i="15"/>
  <c r="K33" i="15"/>
  <c r="J33" i="15"/>
  <c r="I33" i="15"/>
  <c r="H33" i="15"/>
  <c r="G33" i="15"/>
  <c r="F33" i="15"/>
  <c r="E33" i="15"/>
  <c r="D33" i="15"/>
  <c r="K32" i="15"/>
  <c r="K55" i="15" s="1"/>
  <c r="J32" i="15"/>
  <c r="J55" i="15" s="1"/>
  <c r="I32" i="15"/>
  <c r="H32" i="15"/>
  <c r="G32" i="15"/>
  <c r="G55" i="15" s="1"/>
  <c r="F32" i="15"/>
  <c r="E32" i="15"/>
  <c r="D32" i="15"/>
  <c r="N32" i="15" s="1"/>
  <c r="K30" i="15"/>
  <c r="J30" i="15"/>
  <c r="I30" i="15"/>
  <c r="H30" i="15"/>
  <c r="G30" i="15"/>
  <c r="F30" i="15"/>
  <c r="E30" i="15"/>
  <c r="D30" i="15"/>
  <c r="N30" i="15" s="1"/>
  <c r="K29" i="15"/>
  <c r="J29" i="15"/>
  <c r="I29" i="15"/>
  <c r="H29" i="15"/>
  <c r="G29" i="15"/>
  <c r="F29" i="15"/>
  <c r="E29" i="15"/>
  <c r="D29" i="15"/>
  <c r="N29" i="15" s="1"/>
  <c r="K28" i="15"/>
  <c r="J28" i="15"/>
  <c r="I28" i="15"/>
  <c r="H28" i="15"/>
  <c r="G28" i="15"/>
  <c r="F28" i="15"/>
  <c r="E28" i="15"/>
  <c r="D28" i="15"/>
  <c r="N28" i="15" s="1"/>
  <c r="K27" i="15"/>
  <c r="J27" i="15"/>
  <c r="I27" i="15"/>
  <c r="H27" i="15"/>
  <c r="G27" i="15"/>
  <c r="F27" i="15"/>
  <c r="E27" i="15"/>
  <c r="D27" i="15"/>
  <c r="B24" i="15"/>
  <c r="K21" i="15"/>
  <c r="J21" i="15"/>
  <c r="I21" i="15"/>
  <c r="H21" i="15"/>
  <c r="G21" i="15"/>
  <c r="F21" i="15"/>
  <c r="E21" i="15"/>
  <c r="D21" i="15"/>
  <c r="C21" i="15"/>
  <c r="K20" i="15"/>
  <c r="J20" i="15"/>
  <c r="I20" i="15"/>
  <c r="H20" i="15"/>
  <c r="G20" i="15"/>
  <c r="F20" i="15"/>
  <c r="E20" i="15"/>
  <c r="D20" i="15"/>
  <c r="K17" i="15"/>
  <c r="J17" i="15"/>
  <c r="I17" i="15"/>
  <c r="H17" i="15"/>
  <c r="G17" i="15"/>
  <c r="F17" i="15"/>
  <c r="E17" i="15"/>
  <c r="D17" i="15"/>
  <c r="C17" i="15"/>
  <c r="K14" i="15"/>
  <c r="J14" i="15"/>
  <c r="I14" i="15"/>
  <c r="H14" i="15"/>
  <c r="G14" i="15"/>
  <c r="F14" i="15"/>
  <c r="E14" i="15"/>
  <c r="D14" i="15"/>
  <c r="N14" i="15" s="1"/>
  <c r="K13" i="15"/>
  <c r="J13" i="15"/>
  <c r="I13" i="15"/>
  <c r="H13" i="15"/>
  <c r="G13" i="15"/>
  <c r="F13" i="15"/>
  <c r="E13" i="15"/>
  <c r="D13" i="15"/>
  <c r="N13" i="15" s="1"/>
  <c r="K12" i="15"/>
  <c r="J12" i="15"/>
  <c r="I12" i="15"/>
  <c r="H12" i="15"/>
  <c r="G12" i="15"/>
  <c r="F12" i="15"/>
  <c r="E12" i="15"/>
  <c r="D12" i="15"/>
  <c r="N12" i="15" s="1"/>
  <c r="K11" i="15"/>
  <c r="J11" i="15"/>
  <c r="I11" i="15"/>
  <c r="H11" i="15"/>
  <c r="G11" i="15"/>
  <c r="F11" i="15"/>
  <c r="E11" i="15"/>
  <c r="D11" i="15"/>
  <c r="K10" i="15"/>
  <c r="J10" i="15"/>
  <c r="I10" i="15"/>
  <c r="H10" i="15"/>
  <c r="G10" i="15"/>
  <c r="F10" i="15"/>
  <c r="E10" i="15"/>
  <c r="D10" i="15"/>
  <c r="N10" i="15" s="1"/>
  <c r="K8" i="15"/>
  <c r="J8" i="15"/>
  <c r="I8" i="15"/>
  <c r="H8" i="15"/>
  <c r="G8" i="15"/>
  <c r="F8" i="15"/>
  <c r="E8" i="15"/>
  <c r="D8" i="15"/>
  <c r="N8" i="15" s="1"/>
  <c r="K7" i="15"/>
  <c r="J7" i="15"/>
  <c r="I7" i="15"/>
  <c r="H7" i="15"/>
  <c r="G7" i="15"/>
  <c r="F7" i="15"/>
  <c r="E7" i="15"/>
  <c r="D7" i="15"/>
  <c r="N7" i="15" s="1"/>
  <c r="K6" i="15"/>
  <c r="J6" i="15"/>
  <c r="I6" i="15"/>
  <c r="H6" i="15"/>
  <c r="G6" i="15"/>
  <c r="F6" i="15"/>
  <c r="E6" i="15"/>
  <c r="D6" i="15"/>
  <c r="N6" i="15" s="1"/>
  <c r="K5" i="15"/>
  <c r="J5" i="15"/>
  <c r="I5" i="15"/>
  <c r="H5" i="15"/>
  <c r="G5" i="15"/>
  <c r="F5" i="15"/>
  <c r="E5" i="15"/>
  <c r="D5" i="15"/>
  <c r="K3" i="15"/>
  <c r="K25" i="15" s="1"/>
  <c r="J3" i="15"/>
  <c r="J25" i="15" s="1"/>
  <c r="I3" i="15"/>
  <c r="I25" i="15" s="1"/>
  <c r="H3" i="15"/>
  <c r="H25" i="15" s="1"/>
  <c r="G3" i="15"/>
  <c r="G25" i="15" s="1"/>
  <c r="F3" i="15"/>
  <c r="F25" i="15" s="1"/>
  <c r="E3" i="15"/>
  <c r="E25" i="15" s="1"/>
  <c r="D3" i="15"/>
  <c r="D25" i="15" s="1"/>
  <c r="B2" i="15"/>
  <c r="C22" i="12"/>
  <c r="C21" i="12"/>
  <c r="C3" i="12"/>
  <c r="C4" i="12" s="1"/>
  <c r="B4" i="10"/>
  <c r="I3" i="10" s="1"/>
  <c r="J3" i="10" s="1"/>
  <c r="C2" i="10"/>
  <c r="B2" i="10"/>
  <c r="AY125" i="7"/>
  <c r="AX125" i="7"/>
  <c r="AW125" i="7"/>
  <c r="AV125" i="7"/>
  <c r="AU125" i="7"/>
  <c r="AT125" i="7"/>
  <c r="AS125" i="7"/>
  <c r="AR125" i="7"/>
  <c r="AQ125" i="7"/>
  <c r="AP125" i="7"/>
  <c r="AO124" i="7"/>
  <c r="AO125" i="7" s="1"/>
  <c r="AN124" i="7"/>
  <c r="AN125" i="7" s="1"/>
  <c r="M69" i="6"/>
  <c r="I1312" i="17" s="1"/>
  <c r="J66" i="6"/>
  <c r="I1270" i="17" s="1"/>
  <c r="G66" i="6"/>
  <c r="D66" i="6"/>
  <c r="I1264" i="17" s="1"/>
  <c r="J65" i="6"/>
  <c r="I1257" i="17" s="1"/>
  <c r="G65" i="6"/>
  <c r="I1254" i="17" s="1"/>
  <c r="D65" i="6"/>
  <c r="I1251" i="17" s="1"/>
  <c r="J50" i="6"/>
  <c r="G50" i="6"/>
  <c r="I1098" i="17" s="1"/>
  <c r="J49" i="6"/>
  <c r="I1088" i="17" s="1"/>
  <c r="G49" i="6"/>
  <c r="D49" i="6"/>
  <c r="I1082" i="17" s="1"/>
  <c r="M34" i="6"/>
  <c r="I896" i="17" s="1"/>
  <c r="G23" i="6"/>
  <c r="I747" i="17" s="1"/>
  <c r="N1" i="6"/>
  <c r="AO143" i="5"/>
  <c r="AN143" i="5"/>
  <c r="AO142" i="5"/>
  <c r="AN142" i="5"/>
  <c r="AL136" i="5"/>
  <c r="AM133" i="5"/>
  <c r="AK133" i="5"/>
  <c r="AM132" i="5"/>
  <c r="AK132" i="5"/>
  <c r="AM129" i="5"/>
  <c r="AK129" i="5"/>
  <c r="AM128" i="5"/>
  <c r="AK128" i="5"/>
  <c r="AK127" i="5"/>
  <c r="AL127" i="5" s="1"/>
  <c r="AM127" i="5" s="1"/>
  <c r="AP118" i="5"/>
  <c r="AK114" i="5"/>
  <c r="AN112" i="5"/>
  <c r="AM109" i="5"/>
  <c r="AL109" i="5"/>
  <c r="AK109" i="5"/>
  <c r="AO106" i="5"/>
  <c r="AN106" i="5"/>
  <c r="AK104" i="5"/>
  <c r="AN103" i="5"/>
  <c r="AM103" i="5"/>
  <c r="AK103" i="5"/>
  <c r="AO91" i="5"/>
  <c r="AO88" i="5"/>
  <c r="AP74" i="5"/>
  <c r="AK70" i="5"/>
  <c r="AN68" i="5"/>
  <c r="AM68" i="5"/>
  <c r="AL68" i="5"/>
  <c r="AK68" i="5"/>
  <c r="AM65" i="5"/>
  <c r="AL65" i="5"/>
  <c r="AK65" i="5"/>
  <c r="AO62" i="5"/>
  <c r="AN62" i="5"/>
  <c r="AN60" i="5"/>
  <c r="AM60" i="5"/>
  <c r="AL60" i="5"/>
  <c r="AK60" i="5"/>
  <c r="AN59" i="5"/>
  <c r="AM59" i="5"/>
  <c r="AK59" i="5"/>
  <c r="AK2" i="5"/>
  <c r="AL2" i="5" s="1"/>
  <c r="AL80" i="5" s="1"/>
  <c r="E2" i="5"/>
  <c r="C2" i="5"/>
  <c r="B2" i="5" s="1"/>
  <c r="BC26" i="3"/>
  <c r="BB26" i="3"/>
  <c r="BA26" i="3"/>
  <c r="BG26" i="3" s="1"/>
  <c r="AW26" i="3"/>
  <c r="AV26" i="3"/>
  <c r="AU26" i="3"/>
  <c r="AY26" i="3" s="1"/>
  <c r="AO26" i="3"/>
  <c r="AN26" i="3"/>
  <c r="AM26" i="3"/>
  <c r="AI26" i="3"/>
  <c r="AH26" i="3"/>
  <c r="AG26" i="3"/>
  <c r="Y26" i="3"/>
  <c r="X26" i="3"/>
  <c r="W26" i="3"/>
  <c r="S26" i="3"/>
  <c r="R26" i="3"/>
  <c r="Q26" i="3"/>
  <c r="U26" i="3" s="1"/>
  <c r="K26" i="3"/>
  <c r="J26" i="3"/>
  <c r="I26" i="3"/>
  <c r="F26" i="3"/>
  <c r="E26" i="3"/>
  <c r="D26" i="3"/>
  <c r="C26" i="3"/>
  <c r="CE25" i="3"/>
  <c r="CA25" i="3"/>
  <c r="BY23" i="3"/>
  <c r="BW23" i="3"/>
  <c r="BG23" i="3"/>
  <c r="BE23" i="3"/>
  <c r="AY23" i="3"/>
  <c r="AS23" i="3"/>
  <c r="AQ23" i="3"/>
  <c r="AK23" i="3"/>
  <c r="AC23" i="3"/>
  <c r="AA23" i="3"/>
  <c r="U23" i="3"/>
  <c r="O23" i="3"/>
  <c r="M23" i="3"/>
  <c r="G23" i="3"/>
  <c r="BG21" i="3"/>
  <c r="BE21" i="3"/>
  <c r="AY21" i="3"/>
  <c r="AS21" i="3"/>
  <c r="AQ21" i="3"/>
  <c r="AK21" i="3"/>
  <c r="AK26" i="3" s="1"/>
  <c r="AC21" i="3"/>
  <c r="AA21" i="3"/>
  <c r="U21" i="3"/>
  <c r="O21" i="3"/>
  <c r="M21" i="3"/>
  <c r="G21" i="3"/>
  <c r="G26" i="3" s="1"/>
  <c r="CE19" i="3"/>
  <c r="CD19" i="3"/>
  <c r="CC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G19" i="3"/>
  <c r="BE19" i="3"/>
  <c r="AY19" i="3"/>
  <c r="AS19" i="3"/>
  <c r="AQ19" i="3"/>
  <c r="AK19" i="3"/>
  <c r="AC19" i="3"/>
  <c r="AA19" i="3"/>
  <c r="U19" i="3"/>
  <c r="O19" i="3"/>
  <c r="M19" i="3"/>
  <c r="G19" i="3"/>
  <c r="CA18" i="3"/>
  <c r="BY18" i="3"/>
  <c r="BW18" i="3"/>
  <c r="CA17" i="3"/>
  <c r="BY17" i="3"/>
  <c r="BW17" i="3"/>
  <c r="BG17" i="3"/>
  <c r="BE17" i="3"/>
  <c r="AY17" i="3"/>
  <c r="AS17" i="3"/>
  <c r="AQ17" i="3"/>
  <c r="AK17" i="3"/>
  <c r="AC17" i="3"/>
  <c r="AA17" i="3"/>
  <c r="U17" i="3"/>
  <c r="O17" i="3"/>
  <c r="M17" i="3"/>
  <c r="G17" i="3"/>
  <c r="CA16" i="3"/>
  <c r="BY16" i="3"/>
  <c r="BW16" i="3"/>
  <c r="BG16" i="3"/>
  <c r="BE16" i="3"/>
  <c r="AY16" i="3"/>
  <c r="AS16" i="3"/>
  <c r="AQ16" i="3"/>
  <c r="AK16" i="3"/>
  <c r="AC16" i="3"/>
  <c r="AA16" i="3"/>
  <c r="U16" i="3"/>
  <c r="O16" i="3"/>
  <c r="M16" i="3"/>
  <c r="G16" i="3"/>
  <c r="CA15" i="3"/>
  <c r="BY15" i="3"/>
  <c r="BW15" i="3"/>
  <c r="BG15" i="3"/>
  <c r="BE15" i="3"/>
  <c r="AY15" i="3"/>
  <c r="AS15" i="3"/>
  <c r="AQ15" i="3"/>
  <c r="AK15" i="3"/>
  <c r="AC15" i="3"/>
  <c r="AA15" i="3"/>
  <c r="U15" i="3"/>
  <c r="O15" i="3"/>
  <c r="M15" i="3"/>
  <c r="G15" i="3"/>
  <c r="CA14" i="3"/>
  <c r="BY14" i="3"/>
  <c r="BW14" i="3"/>
  <c r="BG14" i="3"/>
  <c r="BE14" i="3"/>
  <c r="AY14" i="3"/>
  <c r="AS14" i="3"/>
  <c r="AQ14" i="3"/>
  <c r="AK14" i="3"/>
  <c r="AC14" i="3"/>
  <c r="AA14" i="3"/>
  <c r="U14" i="3"/>
  <c r="O14" i="3"/>
  <c r="M14" i="3"/>
  <c r="G14" i="3"/>
  <c r="CA13" i="3"/>
  <c r="BY13" i="3"/>
  <c r="BW13" i="3"/>
  <c r="BG13" i="3"/>
  <c r="BE13" i="3"/>
  <c r="AY13" i="3"/>
  <c r="AS13" i="3"/>
  <c r="AQ13" i="3"/>
  <c r="AK13" i="3"/>
  <c r="AC13" i="3"/>
  <c r="AA13" i="3"/>
  <c r="U13" i="3"/>
  <c r="O13" i="3"/>
  <c r="M13" i="3"/>
  <c r="G13" i="3"/>
  <c r="CA12" i="3"/>
  <c r="BY12" i="3"/>
  <c r="BW12" i="3"/>
  <c r="BG12" i="3"/>
  <c r="BE12" i="3"/>
  <c r="AY12" i="3"/>
  <c r="AS12" i="3"/>
  <c r="AQ12" i="3"/>
  <c r="AK12" i="3"/>
  <c r="AC12" i="3"/>
  <c r="AA12" i="3"/>
  <c r="U12" i="3"/>
  <c r="O12" i="3"/>
  <c r="M12" i="3"/>
  <c r="G12" i="3"/>
  <c r="CA11" i="3"/>
  <c r="BY11" i="3"/>
  <c r="BW11" i="3"/>
  <c r="BG11" i="3"/>
  <c r="BE11" i="3"/>
  <c r="AY11" i="3"/>
  <c r="AS11" i="3"/>
  <c r="AQ11" i="3"/>
  <c r="AK11" i="3"/>
  <c r="AC11" i="3"/>
  <c r="AA11" i="3"/>
  <c r="U11" i="3"/>
  <c r="O11" i="3"/>
  <c r="M11" i="3"/>
  <c r="G11" i="3"/>
  <c r="CA10" i="3"/>
  <c r="BY10" i="3"/>
  <c r="BW10" i="3"/>
  <c r="BG10" i="3"/>
  <c r="BE10" i="3"/>
  <c r="AY10" i="3"/>
  <c r="AS10" i="3"/>
  <c r="AQ10" i="3"/>
  <c r="AK10" i="3"/>
  <c r="AC10" i="3"/>
  <c r="AA10" i="3"/>
  <c r="U10" i="3"/>
  <c r="O10" i="3"/>
  <c r="M10" i="3"/>
  <c r="G10" i="3"/>
  <c r="CD8" i="3"/>
  <c r="CC8" i="3"/>
  <c r="BU8" i="3"/>
  <c r="BT8" i="3"/>
  <c r="BS8" i="3"/>
  <c r="BR8" i="3"/>
  <c r="BQ8" i="3"/>
  <c r="BP8" i="3"/>
  <c r="BO8" i="3"/>
  <c r="BN8" i="3"/>
  <c r="BM8" i="3"/>
  <c r="BL8" i="3"/>
  <c r="BK8" i="3"/>
  <c r="BJ8" i="3"/>
  <c r="BG8" i="3"/>
  <c r="BE8" i="3"/>
  <c r="AY8" i="3"/>
  <c r="AS8" i="3"/>
  <c r="AQ8" i="3"/>
  <c r="AK8" i="3"/>
  <c r="AC8" i="3"/>
  <c r="AA8" i="3"/>
  <c r="U8" i="3"/>
  <c r="O8" i="3"/>
  <c r="M8" i="3"/>
  <c r="G8" i="3"/>
  <c r="CA7" i="3"/>
  <c r="BY7" i="3"/>
  <c r="BW7" i="3"/>
  <c r="BG7" i="3"/>
  <c r="BE7" i="3"/>
  <c r="AY7" i="3"/>
  <c r="AS7" i="3"/>
  <c r="AQ7" i="3"/>
  <c r="AK7" i="3"/>
  <c r="AC7" i="3"/>
  <c r="AA7" i="3"/>
  <c r="U7" i="3"/>
  <c r="O7" i="3"/>
  <c r="M7" i="3"/>
  <c r="G7" i="3"/>
  <c r="CE6" i="3"/>
  <c r="CE8" i="3" s="1"/>
  <c r="CA6" i="3"/>
  <c r="BW6" i="3"/>
  <c r="BE6" i="3"/>
  <c r="AY6" i="3"/>
  <c r="AQ6" i="3"/>
  <c r="AK6" i="3"/>
  <c r="AA6" i="3"/>
  <c r="S6" i="3"/>
  <c r="R6" i="3"/>
  <c r="Q6" i="3"/>
  <c r="K6" i="3"/>
  <c r="J6" i="3"/>
  <c r="I6" i="3"/>
  <c r="F6" i="3"/>
  <c r="E6" i="3"/>
  <c r="D6" i="3"/>
  <c r="CA5" i="3"/>
  <c r="BY5" i="3"/>
  <c r="BW5" i="3"/>
  <c r="BG5" i="3"/>
  <c r="BE5" i="3"/>
  <c r="AY5" i="3"/>
  <c r="AS5" i="3"/>
  <c r="AQ5" i="3"/>
  <c r="AK5" i="3"/>
  <c r="AC5" i="3"/>
  <c r="AA5" i="3"/>
  <c r="U5" i="3"/>
  <c r="O5" i="3"/>
  <c r="M5" i="3"/>
  <c r="G5" i="3"/>
  <c r="CA4" i="3"/>
  <c r="BY4" i="3"/>
  <c r="BW4" i="3"/>
  <c r="BG4" i="3"/>
  <c r="BE4" i="3"/>
  <c r="AY4" i="3"/>
  <c r="AS4" i="3"/>
  <c r="AQ4" i="3"/>
  <c r="AK4" i="3"/>
  <c r="AC4" i="3"/>
  <c r="AA4" i="3"/>
  <c r="U4" i="3"/>
  <c r="O4" i="3"/>
  <c r="M4" i="3"/>
  <c r="G4" i="3"/>
  <c r="CA3" i="3"/>
  <c r="BY3" i="3"/>
  <c r="BW3" i="3"/>
  <c r="BG3" i="3"/>
  <c r="BE3" i="3"/>
  <c r="AY3" i="3"/>
  <c r="AS3" i="3"/>
  <c r="AQ3" i="3"/>
  <c r="AK3" i="3"/>
  <c r="AC3" i="3"/>
  <c r="AA3" i="3"/>
  <c r="U3" i="3"/>
  <c r="O3" i="3"/>
  <c r="M3" i="3"/>
  <c r="G3" i="3"/>
  <c r="BS2" i="3"/>
  <c r="BT2" i="3" s="1"/>
  <c r="BU2" i="3" s="1"/>
  <c r="CC2" i="3" s="1"/>
  <c r="CD2" i="3" s="1"/>
  <c r="CE2" i="3" s="1"/>
  <c r="AH2" i="3"/>
  <c r="AI2" i="3" s="1"/>
  <c r="AM2" i="3" s="1"/>
  <c r="AN2" i="3" s="1"/>
  <c r="AO2" i="3" s="1"/>
  <c r="AU2" i="3" s="1"/>
  <c r="AV2" i="3" s="1"/>
  <c r="AW2" i="3" s="1"/>
  <c r="BA2" i="3" s="1"/>
  <c r="BB2" i="3" s="1"/>
  <c r="BC2" i="3" s="1"/>
  <c r="BJ2" i="3" s="1"/>
  <c r="BK2" i="3" s="1"/>
  <c r="BL2" i="3" s="1"/>
  <c r="BM2" i="3" s="1"/>
  <c r="BN2" i="3" s="1"/>
  <c r="BO2" i="3" s="1"/>
  <c r="BP2" i="3" s="1"/>
  <c r="BQ2" i="3" s="1"/>
  <c r="Y2" i="3"/>
  <c r="I2" i="3"/>
  <c r="J2" i="3" s="1"/>
  <c r="K2" i="3" s="1"/>
  <c r="Q2" i="3" s="1"/>
  <c r="R2" i="3" s="1"/>
  <c r="S2" i="3" s="1"/>
  <c r="W2" i="3" s="1"/>
  <c r="C2" i="3"/>
  <c r="I44" i="1"/>
  <c r="D44" i="1"/>
  <c r="J43" i="1"/>
  <c r="E43" i="1"/>
  <c r="J42" i="1"/>
  <c r="E42" i="1"/>
  <c r="J41" i="1"/>
  <c r="E41" i="1"/>
  <c r="J40" i="1"/>
  <c r="E40" i="1"/>
  <c r="J39" i="1"/>
  <c r="E39" i="1"/>
  <c r="J38" i="1"/>
  <c r="E38" i="1"/>
  <c r="J37" i="1"/>
  <c r="E37" i="1"/>
  <c r="J36" i="1"/>
  <c r="E36" i="1"/>
  <c r="J35" i="1"/>
  <c r="E35" i="1"/>
  <c r="J34" i="1"/>
  <c r="E34" i="1"/>
  <c r="J33" i="1"/>
  <c r="E33" i="1"/>
  <c r="J32" i="1"/>
  <c r="E32" i="1"/>
  <c r="J58" i="4"/>
  <c r="G50" i="4"/>
  <c r="I436" i="17" s="1"/>
  <c r="D50" i="4"/>
  <c r="G49" i="4"/>
  <c r="I426" i="17" s="1"/>
  <c r="D49" i="4"/>
  <c r="I423" i="17" s="1"/>
  <c r="G41" i="4"/>
  <c r="D41" i="4"/>
  <c r="G39" i="4"/>
  <c r="I326" i="17" s="1"/>
  <c r="D39" i="4"/>
  <c r="I323" i="17" s="1"/>
  <c r="G38" i="4"/>
  <c r="I316" i="17" s="1"/>
  <c r="D38" i="4"/>
  <c r="I313" i="17" s="1"/>
  <c r="G36" i="4"/>
  <c r="I296" i="17" s="1"/>
  <c r="D36" i="4"/>
  <c r="I293" i="17" s="1"/>
  <c r="G35" i="4"/>
  <c r="D35" i="4"/>
  <c r="J33" i="4"/>
  <c r="I269" i="17" s="1"/>
  <c r="G32" i="4"/>
  <c r="I256" i="17" s="1"/>
  <c r="D32" i="4"/>
  <c r="G29" i="4"/>
  <c r="I226" i="17" s="1"/>
  <c r="D29" i="4"/>
  <c r="I223" i="17" s="1"/>
  <c r="G28" i="4"/>
  <c r="I216" i="17" s="1"/>
  <c r="D28" i="4"/>
  <c r="G27" i="4"/>
  <c r="I206" i="17" s="1"/>
  <c r="D27" i="4"/>
  <c r="I203" i="17" s="1"/>
  <c r="G26" i="4"/>
  <c r="I196" i="17" s="1"/>
  <c r="D26" i="4"/>
  <c r="I193" i="17" s="1"/>
  <c r="G25" i="4"/>
  <c r="I186" i="17" s="1"/>
  <c r="G24" i="4"/>
  <c r="G23" i="4"/>
  <c r="I166" i="17" s="1"/>
  <c r="D23" i="4"/>
  <c r="I163" i="17" s="1"/>
  <c r="G20" i="4"/>
  <c r="I136" i="17" s="1"/>
  <c r="E20" i="4"/>
  <c r="I134" i="17" s="1"/>
  <c r="G19" i="4"/>
  <c r="I126" i="17" s="1"/>
  <c r="D19" i="4"/>
  <c r="I123" i="17" s="1"/>
  <c r="G18" i="4"/>
  <c r="I116" i="17" s="1"/>
  <c r="D18" i="4"/>
  <c r="I113" i="17" s="1"/>
  <c r="G17" i="4"/>
  <c r="I106" i="17" s="1"/>
  <c r="D17" i="4"/>
  <c r="I103" i="17" s="1"/>
  <c r="G16" i="4"/>
  <c r="I96" i="17" s="1"/>
  <c r="D16" i="4"/>
  <c r="I93" i="17" s="1"/>
  <c r="G15" i="4"/>
  <c r="I86" i="17" s="1"/>
  <c r="D15" i="4"/>
  <c r="I83" i="17" s="1"/>
  <c r="G14" i="4"/>
  <c r="I76" i="17" s="1"/>
  <c r="D14" i="4"/>
  <c r="I73" i="17" s="1"/>
  <c r="G13" i="4"/>
  <c r="I66" i="17" s="1"/>
  <c r="D13" i="4"/>
  <c r="I63" i="17" s="1"/>
  <c r="G12" i="4"/>
  <c r="I56" i="17" s="1"/>
  <c r="D12" i="4"/>
  <c r="I53" i="17" s="1"/>
  <c r="G11" i="4"/>
  <c r="I46" i="17" s="1"/>
  <c r="D11" i="4"/>
  <c r="I43" i="17" s="1"/>
  <c r="G10" i="4"/>
  <c r="I36" i="17" s="1"/>
  <c r="D10" i="4"/>
  <c r="I33" i="17" s="1"/>
  <c r="G7" i="4"/>
  <c r="I26" i="17" s="1"/>
  <c r="D7" i="4"/>
  <c r="I23" i="17" s="1"/>
  <c r="J4" i="15" l="1"/>
  <c r="J42" i="15"/>
  <c r="J50" i="15" s="1"/>
  <c r="F4" i="15"/>
  <c r="BI14" i="3"/>
  <c r="AE16" i="3"/>
  <c r="BJ21" i="3"/>
  <c r="BJ26" i="3" s="1"/>
  <c r="K9" i="15"/>
  <c r="BI7" i="3"/>
  <c r="BR21" i="3"/>
  <c r="BR26" i="3" s="1"/>
  <c r="AE5" i="3"/>
  <c r="AE7" i="3"/>
  <c r="BQ21" i="3"/>
  <c r="BQ26" i="3" s="1"/>
  <c r="BM21" i="3"/>
  <c r="BM26" i="3" s="1"/>
  <c r="BU21" i="3"/>
  <c r="BU26" i="3" s="1"/>
  <c r="BI16" i="3"/>
  <c r="AE19" i="3"/>
  <c r="BP21" i="3"/>
  <c r="BP26" i="3" s="1"/>
  <c r="O11" i="15"/>
  <c r="AE14" i="3"/>
  <c r="BI19" i="3"/>
  <c r="BN21" i="3"/>
  <c r="BN26" i="3" s="1"/>
  <c r="CC21" i="3"/>
  <c r="CC26" i="3" s="1"/>
  <c r="G31" i="4"/>
  <c r="I246" i="17" s="1"/>
  <c r="O28" i="15"/>
  <c r="P28" i="15" s="1"/>
  <c r="Q28" i="15" s="1"/>
  <c r="R28" i="15" s="1"/>
  <c r="S28" i="15" s="1"/>
  <c r="AK80" i="5"/>
  <c r="J41" i="4"/>
  <c r="I349" i="17" s="1"/>
  <c r="F9" i="15"/>
  <c r="E44" i="1"/>
  <c r="J26" i="15"/>
  <c r="I42" i="15"/>
  <c r="I50" i="15" s="1"/>
  <c r="CE21" i="3"/>
  <c r="CE26" i="3" s="1"/>
  <c r="BI21" i="3"/>
  <c r="BI26" i="3" s="1"/>
  <c r="I9" i="15"/>
  <c r="K18" i="15"/>
  <c r="K49" i="15" s="1"/>
  <c r="BI4" i="3"/>
  <c r="AE8" i="3"/>
  <c r="BW19" i="3"/>
  <c r="D22" i="15"/>
  <c r="BI5" i="3"/>
  <c r="BI8" i="3"/>
  <c r="BI15" i="3"/>
  <c r="AE17" i="3"/>
  <c r="I22" i="15"/>
  <c r="CD21" i="3"/>
  <c r="CD26" i="3" s="1"/>
  <c r="BI13" i="3"/>
  <c r="AE15" i="3"/>
  <c r="BI23" i="3"/>
  <c r="BE26" i="3"/>
  <c r="O33" i="15"/>
  <c r="P33" i="15" s="1"/>
  <c r="Q33" i="15" s="1"/>
  <c r="R33" i="15" s="1"/>
  <c r="S33" i="15" s="1"/>
  <c r="J13" i="4"/>
  <c r="I69" i="17" s="1"/>
  <c r="AE3" i="3"/>
  <c r="AE13" i="3"/>
  <c r="AE23" i="3"/>
  <c r="E9" i="15"/>
  <c r="G26" i="15"/>
  <c r="F42" i="15"/>
  <c r="F50" i="15" s="1"/>
  <c r="O32" i="15"/>
  <c r="P32" i="15" s="1"/>
  <c r="Q32" i="15" s="1"/>
  <c r="R32" i="15" s="1"/>
  <c r="S32" i="15" s="1"/>
  <c r="O34" i="15"/>
  <c r="P34" i="15" s="1"/>
  <c r="Q34" i="15" s="1"/>
  <c r="R34" i="15" s="1"/>
  <c r="S34" i="15" s="1"/>
  <c r="AE12" i="3"/>
  <c r="E42" i="15"/>
  <c r="E50" i="15" s="1"/>
  <c r="BI10" i="3"/>
  <c r="AC6" i="3"/>
  <c r="CA8" i="3"/>
  <c r="AE11" i="3"/>
  <c r="BI17" i="3"/>
  <c r="H4" i="15"/>
  <c r="E45" i="15"/>
  <c r="J29" i="4"/>
  <c r="I229" i="17" s="1"/>
  <c r="O13" i="15"/>
  <c r="P13" i="15" s="1"/>
  <c r="Q13" i="15" s="1"/>
  <c r="R13" i="15" s="1"/>
  <c r="S13" i="15" s="1"/>
  <c r="J18" i="4"/>
  <c r="I119" i="17" s="1"/>
  <c r="BI12" i="3"/>
  <c r="D9" i="15"/>
  <c r="O29" i="15"/>
  <c r="P29" i="15" s="1"/>
  <c r="Q29" i="15" s="1"/>
  <c r="R29" i="15" s="1"/>
  <c r="S29" i="15" s="1"/>
  <c r="I4" i="15"/>
  <c r="I26" i="15"/>
  <c r="J10" i="4"/>
  <c r="I39" i="17" s="1"/>
  <c r="G6" i="3"/>
  <c r="I18" i="15"/>
  <c r="I49" i="15" s="1"/>
  <c r="J44" i="1"/>
  <c r="J14" i="4"/>
  <c r="I79" i="17" s="1"/>
  <c r="O12" i="15"/>
  <c r="P12" i="15" s="1"/>
  <c r="Q12" i="15" s="1"/>
  <c r="R12" i="15" s="1"/>
  <c r="S12" i="15" s="1"/>
  <c r="J27" i="4"/>
  <c r="I209" i="17" s="1"/>
  <c r="BG6" i="3"/>
  <c r="O5" i="15"/>
  <c r="P5" i="15" s="1"/>
  <c r="Q5" i="15" s="1"/>
  <c r="R5" i="15" s="1"/>
  <c r="S5" i="15" s="1"/>
  <c r="O7" i="15"/>
  <c r="P7" i="15" s="1"/>
  <c r="Q7" i="15" s="1"/>
  <c r="R7" i="15" s="1"/>
  <c r="S7" i="15" s="1"/>
  <c r="G22" i="15"/>
  <c r="D18" i="15"/>
  <c r="D49" i="15" s="1"/>
  <c r="O27" i="15"/>
  <c r="P27" i="15" s="1"/>
  <c r="Q27" i="15" s="1"/>
  <c r="R27" i="15" s="1"/>
  <c r="S27" i="15" s="1"/>
  <c r="J49" i="4"/>
  <c r="I429" i="17" s="1"/>
  <c r="BI11" i="3"/>
  <c r="M65" i="6"/>
  <c r="I1260" i="17" s="1"/>
  <c r="J31" i="15"/>
  <c r="BY6" i="3"/>
  <c r="O6" i="3"/>
  <c r="BT21" i="3"/>
  <c r="BT26" i="3" s="1"/>
  <c r="G4" i="15"/>
  <c r="O8" i="15"/>
  <c r="P8" i="15" s="1"/>
  <c r="Q8" i="15" s="1"/>
  <c r="R8" i="15" s="1"/>
  <c r="S8" i="15" s="1"/>
  <c r="F26" i="15"/>
  <c r="D55" i="15"/>
  <c r="AM2" i="5"/>
  <c r="AM80" i="5" s="1"/>
  <c r="J45" i="15"/>
  <c r="J17" i="4"/>
  <c r="I109" i="17" s="1"/>
  <c r="D22" i="4"/>
  <c r="I153" i="17" s="1"/>
  <c r="BO21" i="3"/>
  <c r="BO26" i="3" s="1"/>
  <c r="O6" i="15"/>
  <c r="G42" i="15"/>
  <c r="G50" i="15" s="1"/>
  <c r="J38" i="4"/>
  <c r="I319" i="17" s="1"/>
  <c r="M6" i="3"/>
  <c r="O30" i="15"/>
  <c r="P30" i="15" s="1"/>
  <c r="Q30" i="15" s="1"/>
  <c r="R30" i="15" s="1"/>
  <c r="S30" i="15" s="1"/>
  <c r="J7" i="4"/>
  <c r="I29" i="17" s="1"/>
  <c r="J25" i="4"/>
  <c r="I189" i="17" s="1"/>
  <c r="G61" i="4"/>
  <c r="I506" i="17" s="1"/>
  <c r="J39" i="4"/>
  <c r="I329" i="17" s="1"/>
  <c r="U6" i="3"/>
  <c r="BK21" i="3"/>
  <c r="BK26" i="3" s="1"/>
  <c r="BW8" i="3"/>
  <c r="F22" i="15"/>
  <c r="I45" i="15"/>
  <c r="CA19" i="3"/>
  <c r="O26" i="3"/>
  <c r="M26" i="3"/>
  <c r="G6" i="4"/>
  <c r="G22" i="4"/>
  <c r="I213" i="17"/>
  <c r="J28" i="4"/>
  <c r="I219" i="17" s="1"/>
  <c r="I55" i="15"/>
  <c r="I31" i="15"/>
  <c r="J11" i="4"/>
  <c r="I49" i="17" s="1"/>
  <c r="E4" i="15"/>
  <c r="I489" i="17"/>
  <c r="C64" i="6"/>
  <c r="D64" i="6"/>
  <c r="I1238" i="17" s="1"/>
  <c r="D61" i="6"/>
  <c r="I1199" i="17" s="1"/>
  <c r="J15" i="4"/>
  <c r="I89" i="17" s="1"/>
  <c r="J19" i="4"/>
  <c r="I129" i="17" s="1"/>
  <c r="J20" i="4"/>
  <c r="I139" i="17" s="1"/>
  <c r="J35" i="4"/>
  <c r="AE4" i="3"/>
  <c r="BL21" i="3"/>
  <c r="BL26" i="3" s="1"/>
  <c r="BS21" i="3"/>
  <c r="F2" i="5"/>
  <c r="I176" i="17"/>
  <c r="J24" i="4"/>
  <c r="I179" i="17" s="1"/>
  <c r="J12" i="4"/>
  <c r="I59" i="17" s="1"/>
  <c r="J16" i="4"/>
  <c r="I99" i="17" s="1"/>
  <c r="J23" i="4"/>
  <c r="I169" i="17" s="1"/>
  <c r="J26" i="4"/>
  <c r="I199" i="17" s="1"/>
  <c r="I253" i="17"/>
  <c r="J32" i="4"/>
  <c r="I259" i="17" s="1"/>
  <c r="D31" i="4"/>
  <c r="AE21" i="3"/>
  <c r="AE26" i="3" s="1"/>
  <c r="F18" i="15"/>
  <c r="F49" i="15" s="1"/>
  <c r="F51" i="15" s="1"/>
  <c r="G18" i="15"/>
  <c r="G49" i="15" s="1"/>
  <c r="D6" i="4"/>
  <c r="I283" i="17"/>
  <c r="D61" i="4"/>
  <c r="I503" i="17" s="1"/>
  <c r="AA26" i="3"/>
  <c r="AC26" i="3"/>
  <c r="I286" i="17"/>
  <c r="I1101" i="17"/>
  <c r="M50" i="6"/>
  <c r="J36" i="4"/>
  <c r="I299" i="17" s="1"/>
  <c r="I346" i="17"/>
  <c r="BY8" i="3"/>
  <c r="AS26" i="3"/>
  <c r="AQ26" i="3"/>
  <c r="I343" i="17"/>
  <c r="I433" i="17"/>
  <c r="J50" i="4"/>
  <c r="AE10" i="3"/>
  <c r="D2" i="10"/>
  <c r="B6" i="10"/>
  <c r="N39" i="15"/>
  <c r="AS6" i="3"/>
  <c r="BI3" i="3"/>
  <c r="I1267" i="17"/>
  <c r="M66" i="6"/>
  <c r="G67" i="6" s="1"/>
  <c r="BY19" i="3"/>
  <c r="D4" i="15"/>
  <c r="N5" i="15"/>
  <c r="O14" i="15"/>
  <c r="P14" i="15" s="1"/>
  <c r="Q14" i="15" s="1"/>
  <c r="R14" i="15" s="1"/>
  <c r="S14" i="15" s="1"/>
  <c r="I1085" i="17"/>
  <c r="M49" i="6"/>
  <c r="J18" i="15"/>
  <c r="J49" i="15" s="1"/>
  <c r="J22" i="15"/>
  <c r="J9" i="15"/>
  <c r="K45" i="15"/>
  <c r="K31" i="15"/>
  <c r="E26" i="15"/>
  <c r="D31" i="15"/>
  <c r="N31" i="15" s="1"/>
  <c r="N34" i="15"/>
  <c r="K42" i="15"/>
  <c r="K50" i="15" s="1"/>
  <c r="H9" i="15"/>
  <c r="K22" i="15"/>
  <c r="H31" i="15"/>
  <c r="D45" i="15"/>
  <c r="D42" i="15"/>
  <c r="D50" i="15" s="1"/>
  <c r="N33" i="15"/>
  <c r="O36" i="15"/>
  <c r="P36" i="15" s="1"/>
  <c r="Q36" i="15" s="1"/>
  <c r="R36" i="15" s="1"/>
  <c r="S36" i="15" s="1"/>
  <c r="E22" i="15"/>
  <c r="H42" i="15"/>
  <c r="H50" i="15" s="1"/>
  <c r="H45" i="15"/>
  <c r="O10" i="15"/>
  <c r="P10" i="15" s="1"/>
  <c r="Q10" i="15" s="1"/>
  <c r="R10" i="15" s="1"/>
  <c r="S10" i="15" s="1"/>
  <c r="H22" i="15"/>
  <c r="H18" i="15"/>
  <c r="H49" i="15" s="1"/>
  <c r="E31" i="15"/>
  <c r="E55" i="15"/>
  <c r="K4" i="15"/>
  <c r="G9" i="15"/>
  <c r="D26" i="15"/>
  <c r="N27" i="15"/>
  <c r="F55" i="15"/>
  <c r="F31" i="15"/>
  <c r="H55" i="15"/>
  <c r="E18" i="15"/>
  <c r="E49" i="15" s="1"/>
  <c r="H26" i="15"/>
  <c r="O35" i="15"/>
  <c r="P35" i="15" s="1"/>
  <c r="Q35" i="15" s="1"/>
  <c r="R35" i="15" s="1"/>
  <c r="S35" i="15" s="1"/>
  <c r="F45" i="15"/>
  <c r="G45" i="15"/>
  <c r="G31" i="15"/>
  <c r="K26" i="15"/>
  <c r="N11" i="15"/>
  <c r="J51" i="15" l="1"/>
  <c r="J15" i="15"/>
  <c r="O31" i="15"/>
  <c r="P31" i="15" s="1"/>
  <c r="Q31" i="15" s="1"/>
  <c r="R31" i="15" s="1"/>
  <c r="S31" i="15" s="1"/>
  <c r="F15" i="15"/>
  <c r="O39" i="15"/>
  <c r="K15" i="15"/>
  <c r="I15" i="15"/>
  <c r="O40" i="15"/>
  <c r="P11" i="15"/>
  <c r="P40" i="15" s="1"/>
  <c r="J37" i="15"/>
  <c r="H15" i="15"/>
  <c r="K51" i="15"/>
  <c r="I51" i="15"/>
  <c r="AE6" i="3"/>
  <c r="G51" i="15"/>
  <c r="I37" i="15"/>
  <c r="BI6" i="3"/>
  <c r="CA21" i="3"/>
  <c r="CA26" i="3" s="1"/>
  <c r="G37" i="15"/>
  <c r="AN2" i="5"/>
  <c r="AO2" i="5" s="1"/>
  <c r="E51" i="15"/>
  <c r="F37" i="15"/>
  <c r="G15" i="15"/>
  <c r="D55" i="4"/>
  <c r="D56" i="4" s="1"/>
  <c r="I473" i="17" s="1"/>
  <c r="N9" i="15"/>
  <c r="O9" i="15"/>
  <c r="P9" i="15" s="1"/>
  <c r="Q9" i="15" s="1"/>
  <c r="R9" i="15" s="1"/>
  <c r="S9" i="15" s="1"/>
  <c r="D21" i="4"/>
  <c r="I143" i="17" s="1"/>
  <c r="P6" i="15"/>
  <c r="P39" i="15" s="1"/>
  <c r="J22" i="4"/>
  <c r="I159" i="17" s="1"/>
  <c r="G55" i="4"/>
  <c r="I466" i="17" s="1"/>
  <c r="K37" i="15"/>
  <c r="H51" i="15"/>
  <c r="D51" i="15"/>
  <c r="I1280" i="17"/>
  <c r="G68" i="6"/>
  <c r="BY21" i="3"/>
  <c r="BW21" i="3"/>
  <c r="BS26" i="3"/>
  <c r="BW26" i="3" s="1"/>
  <c r="BY26" i="3" s="1"/>
  <c r="I16" i="17"/>
  <c r="G53" i="4"/>
  <c r="I456" i="17" s="1"/>
  <c r="G52" i="4"/>
  <c r="I446" i="17" s="1"/>
  <c r="G5" i="4"/>
  <c r="E37" i="15"/>
  <c r="O26" i="15"/>
  <c r="P26" i="15" s="1"/>
  <c r="Q26" i="15" s="1"/>
  <c r="R26" i="15" s="1"/>
  <c r="S26" i="15" s="1"/>
  <c r="I439" i="17"/>
  <c r="E15" i="15"/>
  <c r="O4" i="15"/>
  <c r="P4" i="15" s="1"/>
  <c r="Q4" i="15" s="1"/>
  <c r="R4" i="15" s="1"/>
  <c r="S4" i="15" s="1"/>
  <c r="D37" i="15"/>
  <c r="N37" i="15" s="1"/>
  <c r="N26" i="15"/>
  <c r="I1091" i="17"/>
  <c r="I1237" i="17"/>
  <c r="E64" i="6"/>
  <c r="I1239" i="17" s="1"/>
  <c r="I289" i="17"/>
  <c r="J61" i="4"/>
  <c r="I509" i="17" s="1"/>
  <c r="H37" i="15"/>
  <c r="I1273" i="17"/>
  <c r="J67" i="6"/>
  <c r="I13" i="17"/>
  <c r="D52" i="4"/>
  <c r="I443" i="17" s="1"/>
  <c r="D5" i="4"/>
  <c r="J6" i="4"/>
  <c r="D53" i="4"/>
  <c r="I453" i="17" s="1"/>
  <c r="I1104" i="17"/>
  <c r="N40" i="15"/>
  <c r="N41" i="15" s="1"/>
  <c r="D15" i="15"/>
  <c r="N4" i="15"/>
  <c r="I243" i="17"/>
  <c r="J31" i="4"/>
  <c r="I249" i="17" s="1"/>
  <c r="G2" i="5"/>
  <c r="I156" i="17"/>
  <c r="G21" i="4"/>
  <c r="I146" i="17" s="1"/>
  <c r="J39" i="15" l="1"/>
  <c r="Q11" i="15"/>
  <c r="Q40" i="15" s="1"/>
  <c r="F39" i="15"/>
  <c r="O41" i="15"/>
  <c r="K39" i="15"/>
  <c r="Q6" i="15"/>
  <c r="Q39" i="15" s="1"/>
  <c r="I39" i="15"/>
  <c r="H39" i="15"/>
  <c r="AN80" i="5"/>
  <c r="G39" i="15"/>
  <c r="J55" i="4"/>
  <c r="J56" i="4" s="1"/>
  <c r="I479" i="17" s="1"/>
  <c r="I463" i="17"/>
  <c r="G56" i="4"/>
  <c r="I476" i="17" s="1"/>
  <c r="J21" i="4"/>
  <c r="I149" i="17" s="1"/>
  <c r="O37" i="15"/>
  <c r="P37" i="15" s="1"/>
  <c r="Q37" i="15" s="1"/>
  <c r="R37" i="15" s="1"/>
  <c r="S37" i="15" s="1"/>
  <c r="P41" i="15"/>
  <c r="I6" i="17"/>
  <c r="G30" i="4"/>
  <c r="H2" i="5"/>
  <c r="I1283" i="17"/>
  <c r="J68" i="6"/>
  <c r="I1296" i="17" s="1"/>
  <c r="N15" i="15"/>
  <c r="D39" i="15"/>
  <c r="O15" i="15"/>
  <c r="P15" i="15" s="1"/>
  <c r="Q15" i="15" s="1"/>
  <c r="R15" i="15" s="1"/>
  <c r="S15" i="15" s="1"/>
  <c r="E39" i="15"/>
  <c r="I1293" i="17"/>
  <c r="AP2" i="5"/>
  <c r="AO80" i="5"/>
  <c r="I19" i="17"/>
  <c r="J52" i="4"/>
  <c r="I449" i="17" s="1"/>
  <c r="J53" i="4"/>
  <c r="I459" i="17" s="1"/>
  <c r="J5" i="4"/>
  <c r="I3" i="17"/>
  <c r="D30" i="4"/>
  <c r="R11" i="15" l="1"/>
  <c r="S11" i="15" s="1"/>
  <c r="S40" i="15" s="1"/>
  <c r="R6" i="15"/>
  <c r="S6" i="15" s="1"/>
  <c r="S39" i="15" s="1"/>
  <c r="I469" i="17"/>
  <c r="M68" i="6"/>
  <c r="I1299" i="17" s="1"/>
  <c r="I2" i="5"/>
  <c r="AQ2" i="5"/>
  <c r="AP80" i="5"/>
  <c r="I9" i="17"/>
  <c r="J30" i="4"/>
  <c r="Q41" i="15"/>
  <c r="I233" i="17"/>
  <c r="D34" i="4"/>
  <c r="D44" i="4"/>
  <c r="I373" i="17" s="1"/>
  <c r="D47" i="4"/>
  <c r="I403" i="17" s="1"/>
  <c r="D46" i="4"/>
  <c r="I393" i="17" s="1"/>
  <c r="I236" i="17"/>
  <c r="G44" i="4"/>
  <c r="I376" i="17" s="1"/>
  <c r="G34" i="4"/>
  <c r="G46" i="4"/>
  <c r="I396" i="17" s="1"/>
  <c r="G47" i="4"/>
  <c r="I406" i="17" s="1"/>
  <c r="R40" i="15" l="1"/>
  <c r="R39" i="15"/>
  <c r="AR2" i="5"/>
  <c r="AQ80" i="5"/>
  <c r="I239" i="17"/>
  <c r="J44" i="4"/>
  <c r="I379" i="17" s="1"/>
  <c r="J34" i="4"/>
  <c r="J46" i="4"/>
  <c r="I399" i="17" s="1"/>
  <c r="J47" i="4"/>
  <c r="I409" i="17" s="1"/>
  <c r="J2" i="5"/>
  <c r="I276" i="17"/>
  <c r="G45" i="4"/>
  <c r="I386" i="17" s="1"/>
  <c r="G37" i="4"/>
  <c r="I273" i="17"/>
  <c r="D37" i="4"/>
  <c r="D45" i="4"/>
  <c r="I383" i="17" s="1"/>
  <c r="S41" i="15"/>
  <c r="R41" i="15" l="1"/>
  <c r="I303" i="17"/>
  <c r="D40" i="4"/>
  <c r="I306" i="17"/>
  <c r="G40" i="4"/>
  <c r="K2" i="5"/>
  <c r="I279" i="17"/>
  <c r="J45" i="4"/>
  <c r="I389" i="17" s="1"/>
  <c r="J37" i="4"/>
  <c r="AR80" i="5"/>
  <c r="AS2" i="5"/>
  <c r="L2" i="5" l="1"/>
  <c r="I309" i="17"/>
  <c r="J40" i="4"/>
  <c r="AS80" i="5"/>
  <c r="AT2" i="5"/>
  <c r="I333" i="17"/>
  <c r="D43" i="4"/>
  <c r="D42" i="4"/>
  <c r="D63" i="4"/>
  <c r="I513" i="17" s="1"/>
  <c r="I336" i="17"/>
  <c r="G43" i="4"/>
  <c r="I366" i="17" s="1"/>
  <c r="G42" i="4"/>
  <c r="G63" i="4"/>
  <c r="I516" i="17" s="1"/>
  <c r="I339" i="17" l="1"/>
  <c r="J42" i="4"/>
  <c r="J63" i="4"/>
  <c r="I519" i="17" s="1"/>
  <c r="I353" i="17"/>
  <c r="D48" i="4"/>
  <c r="I413" i="17" s="1"/>
  <c r="AU2" i="5"/>
  <c r="AT80" i="5"/>
  <c r="I356" i="17"/>
  <c r="G48" i="4"/>
  <c r="I416" i="17" s="1"/>
  <c r="I363" i="17"/>
  <c r="J43" i="4"/>
  <c r="I369" i="17" s="1"/>
  <c r="M2" i="5"/>
  <c r="N2" i="5" l="1"/>
  <c r="AU80" i="5"/>
  <c r="AV2" i="5"/>
  <c r="I359" i="17"/>
  <c r="J48" i="4"/>
  <c r="I419" i="17" s="1"/>
  <c r="O2" i="5" l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V80" i="5"/>
  <c r="AW2" i="5"/>
  <c r="F23" i="4" l="1"/>
  <c r="H23" i="4" s="1"/>
  <c r="I167" i="17" s="1"/>
  <c r="C12" i="4"/>
  <c r="I52" i="17" s="1"/>
  <c r="C19" i="4"/>
  <c r="I122" i="17" s="1"/>
  <c r="F32" i="4"/>
  <c r="H32" i="4" s="1"/>
  <c r="I257" i="17" s="1"/>
  <c r="F13" i="4"/>
  <c r="I65" i="17" s="1"/>
  <c r="I50" i="6"/>
  <c r="I1100" i="17" s="1"/>
  <c r="C39" i="4"/>
  <c r="I322" i="17" s="1"/>
  <c r="F16" i="4"/>
  <c r="I95" i="17" s="1"/>
  <c r="AX2" i="5"/>
  <c r="AW80" i="5"/>
  <c r="I165" i="17" l="1"/>
  <c r="E12" i="4"/>
  <c r="I54" i="17" s="1"/>
  <c r="E19" i="4"/>
  <c r="I124" i="17" s="1"/>
  <c r="I255" i="17"/>
  <c r="H13" i="4"/>
  <c r="I67" i="17" s="1"/>
  <c r="E39" i="4"/>
  <c r="I324" i="17" s="1"/>
  <c r="K50" i="6"/>
  <c r="I1102" i="17" s="1"/>
  <c r="H16" i="4"/>
  <c r="I97" i="17" s="1"/>
  <c r="AY2" i="5"/>
  <c r="AX80" i="5"/>
  <c r="AY80" i="5" l="1"/>
  <c r="I42" i="6"/>
  <c r="C41" i="4"/>
  <c r="G40" i="6"/>
  <c r="I30" i="6"/>
  <c r="C14" i="12"/>
  <c r="D42" i="6"/>
  <c r="F26" i="4"/>
  <c r="D36" i="6"/>
  <c r="G12" i="6"/>
  <c r="I604" i="17" s="1"/>
  <c r="F66" i="6"/>
  <c r="J8" i="6"/>
  <c r="I568" i="17" s="1"/>
  <c r="D7" i="6"/>
  <c r="J15" i="6"/>
  <c r="I646" i="17" s="1"/>
  <c r="G32" i="6"/>
  <c r="I864" i="17" s="1"/>
  <c r="D39" i="6"/>
  <c r="I952" i="17" s="1"/>
  <c r="J14" i="6"/>
  <c r="I633" i="17" s="1"/>
  <c r="C65" i="6"/>
  <c r="G27" i="6"/>
  <c r="I799" i="17" s="1"/>
  <c r="J37" i="6"/>
  <c r="I932" i="17" s="1"/>
  <c r="I40" i="6"/>
  <c r="J29" i="6"/>
  <c r="I828" i="17" s="1"/>
  <c r="F12" i="6"/>
  <c r="I8" i="6"/>
  <c r="C42" i="6"/>
  <c r="J18" i="6"/>
  <c r="I685" i="17" s="1"/>
  <c r="G9" i="6"/>
  <c r="I578" i="17" s="1"/>
  <c r="J7" i="6"/>
  <c r="G8" i="6"/>
  <c r="I565" i="17" s="1"/>
  <c r="I34" i="6"/>
  <c r="F42" i="6"/>
  <c r="J32" i="6"/>
  <c r="I867" i="17" s="1"/>
  <c r="F49" i="6"/>
  <c r="D6" i="6"/>
  <c r="J21" i="6"/>
  <c r="I724" i="17" s="1"/>
  <c r="I66" i="6"/>
  <c r="G20" i="6"/>
  <c r="G16" i="6"/>
  <c r="I656" i="17" s="1"/>
  <c r="G15" i="6"/>
  <c r="I643" i="17" s="1"/>
  <c r="G17" i="6"/>
  <c r="I669" i="17" s="1"/>
  <c r="C15" i="6"/>
  <c r="G21" i="6"/>
  <c r="I721" i="17" s="1"/>
  <c r="G7" i="6"/>
  <c r="D13" i="6"/>
  <c r="D17" i="6"/>
  <c r="G14" i="6"/>
  <c r="I630" i="17" s="1"/>
  <c r="F40" i="6"/>
  <c r="C9" i="6"/>
  <c r="C19" i="12"/>
  <c r="G22" i="6"/>
  <c r="G36" i="6"/>
  <c r="D32" i="6"/>
  <c r="C18" i="6"/>
  <c r="C20" i="6"/>
  <c r="I11" i="6"/>
  <c r="F11" i="6"/>
  <c r="I18" i="6"/>
  <c r="C12" i="12"/>
  <c r="C49" i="4"/>
  <c r="F18" i="6"/>
  <c r="F30" i="6"/>
  <c r="C29" i="6"/>
  <c r="F38" i="4"/>
  <c r="C66" i="6"/>
  <c r="F23" i="6"/>
  <c r="G18" i="6"/>
  <c r="I682" i="17" s="1"/>
  <c r="D30" i="6"/>
  <c r="G13" i="6"/>
  <c r="I617" i="17" s="1"/>
  <c r="D11" i="6"/>
  <c r="J20" i="6"/>
  <c r="F11" i="4"/>
  <c r="G42" i="6"/>
  <c r="I994" i="17" s="1"/>
  <c r="C25" i="6"/>
  <c r="D9" i="6"/>
  <c r="I13" i="6"/>
  <c r="I14" i="6"/>
  <c r="G29" i="6"/>
  <c r="I825" i="17" s="1"/>
  <c r="C13" i="4"/>
  <c r="C32" i="4"/>
  <c r="C11" i="12"/>
  <c r="C34" i="6"/>
  <c r="C16" i="6"/>
  <c r="F33" i="6"/>
  <c r="F21" i="6"/>
  <c r="F65" i="6"/>
  <c r="I36" i="6"/>
  <c r="I28" i="6"/>
  <c r="F7" i="6"/>
  <c r="C16" i="4"/>
  <c r="C16" i="12"/>
  <c r="F12" i="4"/>
  <c r="J40" i="6"/>
  <c r="I971" i="17" s="1"/>
  <c r="D20" i="6"/>
  <c r="D25" i="6"/>
  <c r="J16" i="6"/>
  <c r="I659" i="17" s="1"/>
  <c r="F17" i="4"/>
  <c r="F26" i="6"/>
  <c r="F15" i="4"/>
  <c r="F13" i="6"/>
  <c r="F25" i="4"/>
  <c r="G25" i="6"/>
  <c r="I9" i="6"/>
  <c r="D23" i="6"/>
  <c r="F15" i="6"/>
  <c r="J12" i="6"/>
  <c r="I607" i="17" s="1"/>
  <c r="J23" i="6"/>
  <c r="I750" i="17" s="1"/>
  <c r="C23" i="6"/>
  <c r="I33" i="6"/>
  <c r="C27" i="4"/>
  <c r="C39" i="6"/>
  <c r="F41" i="4"/>
  <c r="F37" i="6"/>
  <c r="I27" i="6"/>
  <c r="I29" i="6"/>
  <c r="F14" i="6"/>
  <c r="F35" i="4"/>
  <c r="I49" i="6"/>
  <c r="F19" i="4"/>
  <c r="F18" i="4"/>
  <c r="D18" i="6"/>
  <c r="D8" i="6"/>
  <c r="D12" i="6"/>
  <c r="J25" i="6"/>
  <c r="F50" i="4"/>
  <c r="F36" i="4"/>
  <c r="F27" i="4"/>
  <c r="I21" i="6"/>
  <c r="C37" i="6"/>
  <c r="D26" i="6"/>
  <c r="C30" i="6"/>
  <c r="F50" i="6"/>
  <c r="F29" i="4"/>
  <c r="J39" i="6"/>
  <c r="I958" i="17" s="1"/>
  <c r="G33" i="6"/>
  <c r="I877" i="17" s="1"/>
  <c r="I26" i="6"/>
  <c r="C35" i="4"/>
  <c r="I37" i="6"/>
  <c r="A2" i="16"/>
  <c r="A3" i="16" s="1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I22" i="6"/>
  <c r="F17" i="6"/>
  <c r="F8" i="6"/>
  <c r="C27" i="6"/>
  <c r="C13" i="6"/>
  <c r="F20" i="4"/>
  <c r="C17" i="6"/>
  <c r="C14" i="6"/>
  <c r="F39" i="4"/>
  <c r="J26" i="6"/>
  <c r="I789" i="17" s="1"/>
  <c r="J33" i="6"/>
  <c r="J13" i="6"/>
  <c r="I620" i="17" s="1"/>
  <c r="G28" i="6"/>
  <c r="I812" i="17" s="1"/>
  <c r="C18" i="4"/>
  <c r="D15" i="6"/>
  <c r="I39" i="6"/>
  <c r="G26" i="6"/>
  <c r="I786" i="17" s="1"/>
  <c r="C11" i="6"/>
  <c r="F24" i="4"/>
  <c r="D28" i="6"/>
  <c r="J27" i="6"/>
  <c r="I802" i="17" s="1"/>
  <c r="I58" i="4"/>
  <c r="C7" i="4"/>
  <c r="C28" i="6"/>
  <c r="F28" i="6"/>
  <c r="F14" i="4"/>
  <c r="C6" i="6"/>
  <c r="I20" i="6"/>
  <c r="C18" i="12"/>
  <c r="F10" i="4"/>
  <c r="C13" i="12"/>
  <c r="F27" i="6"/>
  <c r="F16" i="6"/>
  <c r="J17" i="6"/>
  <c r="I672" i="17" s="1"/>
  <c r="D21" i="6"/>
  <c r="J30" i="6"/>
  <c r="I841" i="17" s="1"/>
  <c r="J28" i="6"/>
  <c r="I815" i="17" s="1"/>
  <c r="J36" i="6"/>
  <c r="C49" i="6"/>
  <c r="F36" i="6"/>
  <c r="I65" i="6"/>
  <c r="C21" i="6"/>
  <c r="C15" i="12"/>
  <c r="D29" i="6"/>
  <c r="G11" i="6"/>
  <c r="I591" i="17" s="1"/>
  <c r="C10" i="12"/>
  <c r="C38" i="4"/>
  <c r="C36" i="6"/>
  <c r="F49" i="4"/>
  <c r="F22" i="6"/>
  <c r="F9" i="6"/>
  <c r="C12" i="6"/>
  <c r="C50" i="4"/>
  <c r="I7" i="6"/>
  <c r="C33" i="4"/>
  <c r="C8" i="6"/>
  <c r="C11" i="4"/>
  <c r="J9" i="6"/>
  <c r="I581" i="17" s="1"/>
  <c r="D14" i="6"/>
  <c r="G37" i="6"/>
  <c r="I929" i="17" s="1"/>
  <c r="D16" i="6"/>
  <c r="F34" i="6"/>
  <c r="C26" i="6"/>
  <c r="I16" i="6"/>
  <c r="J22" i="6"/>
  <c r="I737" i="17" s="1"/>
  <c r="F20" i="6"/>
  <c r="I12" i="6"/>
  <c r="G39" i="6"/>
  <c r="I23" i="6"/>
  <c r="J42" i="6"/>
  <c r="I997" i="17" s="1"/>
  <c r="C26" i="4"/>
  <c r="F28" i="4"/>
  <c r="C23" i="4"/>
  <c r="F7" i="4"/>
  <c r="D37" i="6"/>
  <c r="L69" i="6"/>
  <c r="I1311" i="17" s="1"/>
  <c r="C17" i="4"/>
  <c r="C14" i="4"/>
  <c r="C10" i="4"/>
  <c r="F33" i="4"/>
  <c r="J11" i="6"/>
  <c r="I594" i="17" s="1"/>
  <c r="I59" i="4"/>
  <c r="I498" i="17" s="1"/>
  <c r="C36" i="4"/>
  <c r="C15" i="4"/>
  <c r="C28" i="4"/>
  <c r="G30" i="6"/>
  <c r="I838" i="17" s="1"/>
  <c r="D27" i="6"/>
  <c r="F29" i="6"/>
  <c r="C29" i="4"/>
  <c r="I15" i="6"/>
  <c r="C32" i="6"/>
  <c r="I17" i="6"/>
  <c r="C7" i="6"/>
  <c r="F39" i="6"/>
  <c r="C9" i="12" l="1"/>
  <c r="I782" i="17"/>
  <c r="L26" i="6"/>
  <c r="E26" i="6"/>
  <c r="I784" i="17" s="1"/>
  <c r="I554" i="17"/>
  <c r="I6" i="6"/>
  <c r="K7" i="6"/>
  <c r="I556" i="17" s="1"/>
  <c r="I35" i="17"/>
  <c r="H10" i="4"/>
  <c r="I37" i="17" s="1"/>
  <c r="I551" i="17"/>
  <c r="H7" i="6"/>
  <c r="I553" i="17" s="1"/>
  <c r="F6" i="6"/>
  <c r="I590" i="17"/>
  <c r="H11" i="6"/>
  <c r="I592" i="17" s="1"/>
  <c r="I212" i="17"/>
  <c r="E28" i="4"/>
  <c r="I214" i="17" s="1"/>
  <c r="I28" i="4"/>
  <c r="I102" i="17"/>
  <c r="I17" i="4"/>
  <c r="E17" i="4"/>
  <c r="I104" i="17" s="1"/>
  <c r="I613" i="17"/>
  <c r="E13" i="6"/>
  <c r="I615" i="17" s="1"/>
  <c r="L13" i="6"/>
  <c r="I45" i="17"/>
  <c r="H11" i="4"/>
  <c r="I47" i="17" s="1"/>
  <c r="I315" i="17"/>
  <c r="H38" i="4"/>
  <c r="I317" i="17" s="1"/>
  <c r="H42" i="6"/>
  <c r="I995" i="17" s="1"/>
  <c r="I993" i="17"/>
  <c r="I991" i="17"/>
  <c r="M42" i="6"/>
  <c r="I1000" i="17" s="1"/>
  <c r="I82" i="17"/>
  <c r="E15" i="4"/>
  <c r="I84" i="17" s="1"/>
  <c r="I15" i="4"/>
  <c r="I710" i="17"/>
  <c r="K20" i="6"/>
  <c r="I712" i="17" s="1"/>
  <c r="I19" i="6"/>
  <c r="M28" i="6"/>
  <c r="I818" i="17" s="1"/>
  <c r="I809" i="17"/>
  <c r="I795" i="17"/>
  <c r="L27" i="6"/>
  <c r="E27" i="6"/>
  <c r="I797" i="17" s="1"/>
  <c r="I205" i="17"/>
  <c r="H27" i="4"/>
  <c r="I207" i="17" s="1"/>
  <c r="I125" i="17"/>
  <c r="H19" i="4"/>
  <c r="I127" i="17" s="1"/>
  <c r="I19" i="4"/>
  <c r="E39" i="6"/>
  <c r="I953" i="17" s="1"/>
  <c r="I951" i="17"/>
  <c r="I580" i="17"/>
  <c r="K9" i="6"/>
  <c r="I582" i="17" s="1"/>
  <c r="I770" i="17"/>
  <c r="D24" i="6"/>
  <c r="I757" i="17" s="1"/>
  <c r="I918" i="17"/>
  <c r="K36" i="6"/>
  <c r="I920" i="17" s="1"/>
  <c r="I62" i="17"/>
  <c r="I13" i="4"/>
  <c r="E13" i="4"/>
  <c r="I64" i="17" s="1"/>
  <c r="I711" i="17"/>
  <c r="J19" i="6"/>
  <c r="I698" i="17" s="1"/>
  <c r="I821" i="17"/>
  <c r="L29" i="6"/>
  <c r="E29" i="6"/>
  <c r="I823" i="17" s="1"/>
  <c r="I704" i="17"/>
  <c r="E20" i="6"/>
  <c r="I706" i="17" s="1"/>
  <c r="L20" i="6"/>
  <c r="I892" i="17"/>
  <c r="K34" i="6"/>
  <c r="I894" i="17" s="1"/>
  <c r="I192" i="17"/>
  <c r="E26" i="4"/>
  <c r="I194" i="17" s="1"/>
  <c r="I26" i="4"/>
  <c r="I312" i="17"/>
  <c r="I38" i="4"/>
  <c r="E38" i="4"/>
  <c r="I314" i="17" s="1"/>
  <c r="I488" i="17"/>
  <c r="K58" i="4"/>
  <c r="I490" i="17" s="1"/>
  <c r="I135" i="17"/>
  <c r="H20" i="4"/>
  <c r="I137" i="17" s="1"/>
  <c r="I20" i="4"/>
  <c r="I282" i="17"/>
  <c r="C61" i="4"/>
  <c r="I35" i="4"/>
  <c r="E35" i="4"/>
  <c r="I284" i="17" s="1"/>
  <c r="I642" i="17"/>
  <c r="H15" i="6"/>
  <c r="I644" i="17" s="1"/>
  <c r="I105" i="17"/>
  <c r="H17" i="4"/>
  <c r="I107" i="17" s="1"/>
  <c r="I1263" i="17"/>
  <c r="E66" i="6"/>
  <c r="I1265" i="17" s="1"/>
  <c r="I567" i="17"/>
  <c r="K8" i="6"/>
  <c r="I569" i="17" s="1"/>
  <c r="I749" i="17"/>
  <c r="K23" i="6"/>
  <c r="I751" i="17" s="1"/>
  <c r="I788" i="17"/>
  <c r="I25" i="6"/>
  <c r="K26" i="6"/>
  <c r="I790" i="17" s="1"/>
  <c r="I744" i="17"/>
  <c r="D43" i="6"/>
  <c r="M23" i="6"/>
  <c r="I753" i="17" s="1"/>
  <c r="I593" i="17"/>
  <c r="K11" i="6"/>
  <c r="I595" i="17" s="1"/>
  <c r="I603" i="17"/>
  <c r="H12" i="6"/>
  <c r="I605" i="17" s="1"/>
  <c r="I671" i="17"/>
  <c r="K17" i="6"/>
  <c r="I673" i="17" s="1"/>
  <c r="I955" i="17"/>
  <c r="M39" i="6"/>
  <c r="I961" i="17" s="1"/>
  <c r="I822" i="17"/>
  <c r="M29" i="6"/>
  <c r="I831" i="17" s="1"/>
  <c r="I926" i="17"/>
  <c r="M37" i="6"/>
  <c r="I935" i="17" s="1"/>
  <c r="I606" i="17"/>
  <c r="K12" i="6"/>
  <c r="I608" i="17" s="1"/>
  <c r="I627" i="17"/>
  <c r="M14" i="6"/>
  <c r="I636" i="17" s="1"/>
  <c r="I577" i="17"/>
  <c r="H9" i="6"/>
  <c r="I579" i="17" s="1"/>
  <c r="I718" i="17"/>
  <c r="M21" i="6"/>
  <c r="I727" i="17" s="1"/>
  <c r="I535" i="17"/>
  <c r="E6" i="6"/>
  <c r="I537" i="17" s="1"/>
  <c r="C5" i="6"/>
  <c r="I175" i="17"/>
  <c r="I24" i="4"/>
  <c r="I178" i="17" s="1"/>
  <c r="I880" i="17"/>
  <c r="M33" i="6"/>
  <c r="I883" i="17" s="1"/>
  <c r="I564" i="17"/>
  <c r="H8" i="6"/>
  <c r="I566" i="17" s="1"/>
  <c r="I295" i="17"/>
  <c r="H36" i="4"/>
  <c r="I297" i="17" s="1"/>
  <c r="I1087" i="17"/>
  <c r="K49" i="6"/>
  <c r="I1089" i="17" s="1"/>
  <c r="I202" i="17"/>
  <c r="I27" i="4"/>
  <c r="E27" i="4"/>
  <c r="I204" i="17" s="1"/>
  <c r="I773" i="17"/>
  <c r="G24" i="6"/>
  <c r="I760" i="17" s="1"/>
  <c r="I705" i="17"/>
  <c r="M20" i="6"/>
  <c r="I1253" i="17"/>
  <c r="L65" i="6"/>
  <c r="F67" i="6" s="1"/>
  <c r="H65" i="6"/>
  <c r="I1255" i="17" s="1"/>
  <c r="I588" i="17"/>
  <c r="M11" i="6"/>
  <c r="I597" i="17" s="1"/>
  <c r="I837" i="17"/>
  <c r="H30" i="6"/>
  <c r="I839" i="17" s="1"/>
  <c r="I678" i="17"/>
  <c r="L18" i="6"/>
  <c r="E18" i="6"/>
  <c r="I680" i="17" s="1"/>
  <c r="I666" i="17"/>
  <c r="M17" i="6"/>
  <c r="I675" i="17" s="1"/>
  <c r="I708" i="17"/>
  <c r="G19" i="6"/>
  <c r="I695" i="17" s="1"/>
  <c r="I970" i="17"/>
  <c r="K40" i="6"/>
  <c r="I972" i="17" s="1"/>
  <c r="I549" i="17"/>
  <c r="M7" i="6"/>
  <c r="I558" i="17" s="1"/>
  <c r="I840" i="17"/>
  <c r="K30" i="6"/>
  <c r="I842" i="17" s="1"/>
  <c r="I32" i="17"/>
  <c r="E10" i="4"/>
  <c r="I34" i="17" s="1"/>
  <c r="I10" i="4"/>
  <c r="I262" i="17"/>
  <c r="E33" i="4"/>
  <c r="I264" i="17" s="1"/>
  <c r="I33" i="4"/>
  <c r="I1081" i="17"/>
  <c r="L49" i="6"/>
  <c r="E49" i="6"/>
  <c r="I1083" i="17" s="1"/>
  <c r="C8" i="12"/>
  <c r="C17" i="12" s="1"/>
  <c r="C20" i="12" s="1"/>
  <c r="I925" i="17"/>
  <c r="E37" i="6"/>
  <c r="I927" i="17" s="1"/>
  <c r="L37" i="6"/>
  <c r="I574" i="17"/>
  <c r="E9" i="6"/>
  <c r="I576" i="17" s="1"/>
  <c r="L9" i="6"/>
  <c r="I195" i="17"/>
  <c r="H26" i="4"/>
  <c r="I197" i="17" s="1"/>
  <c r="F22" i="4"/>
  <c r="I653" i="17"/>
  <c r="M16" i="6"/>
  <c r="I662" i="17" s="1"/>
  <c r="I432" i="17"/>
  <c r="E50" i="4"/>
  <c r="I434" i="17" s="1"/>
  <c r="I50" i="4"/>
  <c r="I723" i="17"/>
  <c r="K21" i="6"/>
  <c r="I725" i="17" s="1"/>
  <c r="I115" i="17"/>
  <c r="H18" i="4"/>
  <c r="I117" i="17" s="1"/>
  <c r="H41" i="4"/>
  <c r="I347" i="17" s="1"/>
  <c r="I345" i="17"/>
  <c r="I252" i="17"/>
  <c r="E32" i="4"/>
  <c r="I254" i="17" s="1"/>
  <c r="C31" i="4"/>
  <c r="I32" i="4"/>
  <c r="I967" i="17"/>
  <c r="L40" i="6"/>
  <c r="H40" i="6"/>
  <c r="I969" i="17" s="1"/>
  <c r="I600" i="17"/>
  <c r="L12" i="6"/>
  <c r="E12" i="6"/>
  <c r="I602" i="17" s="1"/>
  <c r="I860" i="17"/>
  <c r="E32" i="6"/>
  <c r="I862" i="17" s="1"/>
  <c r="I292" i="17"/>
  <c r="E36" i="4"/>
  <c r="I294" i="17" s="1"/>
  <c r="I36" i="4"/>
  <c r="I645" i="17"/>
  <c r="K15" i="6"/>
  <c r="I647" i="17" s="1"/>
  <c r="I25" i="17"/>
  <c r="H7" i="4"/>
  <c r="I27" i="17" s="1"/>
  <c r="F6" i="4"/>
  <c r="I707" i="17"/>
  <c r="F19" i="6"/>
  <c r="H20" i="6"/>
  <c r="I709" i="17" s="1"/>
  <c r="I733" i="17"/>
  <c r="H22" i="6"/>
  <c r="I735" i="17" s="1"/>
  <c r="L22" i="6"/>
  <c r="I717" i="17"/>
  <c r="L21" i="6"/>
  <c r="E21" i="6"/>
  <c r="I719" i="17" s="1"/>
  <c r="I75" i="17"/>
  <c r="H14" i="4"/>
  <c r="I77" i="17" s="1"/>
  <c r="I587" i="17"/>
  <c r="E11" i="6"/>
  <c r="I589" i="17" s="1"/>
  <c r="L11" i="6"/>
  <c r="I668" i="17"/>
  <c r="H17" i="6"/>
  <c r="I670" i="17" s="1"/>
  <c r="I225" i="17"/>
  <c r="H29" i="4"/>
  <c r="I227" i="17" s="1"/>
  <c r="I435" i="17"/>
  <c r="H50" i="4"/>
  <c r="I437" i="17" s="1"/>
  <c r="H51" i="4"/>
  <c r="I285" i="17"/>
  <c r="F61" i="4"/>
  <c r="H35" i="4"/>
  <c r="I287" i="17" s="1"/>
  <c r="I879" i="17"/>
  <c r="I32" i="6"/>
  <c r="K33" i="6"/>
  <c r="I881" i="17" s="1"/>
  <c r="L33" i="6"/>
  <c r="I185" i="17"/>
  <c r="I25" i="4"/>
  <c r="I188" i="17" s="1"/>
  <c r="I720" i="17"/>
  <c r="H21" i="6"/>
  <c r="I722" i="17" s="1"/>
  <c r="I632" i="17"/>
  <c r="K14" i="6"/>
  <c r="I634" i="17" s="1"/>
  <c r="I681" i="17"/>
  <c r="H18" i="6"/>
  <c r="I683" i="17" s="1"/>
  <c r="I861" i="17"/>
  <c r="M32" i="6"/>
  <c r="I870" i="17" s="1"/>
  <c r="I614" i="17"/>
  <c r="M13" i="6"/>
  <c r="I623" i="17" s="1"/>
  <c r="I1269" i="17"/>
  <c r="K66" i="6"/>
  <c r="I1271" i="17" s="1"/>
  <c r="I555" i="17"/>
  <c r="J6" i="6"/>
  <c r="I968" i="17"/>
  <c r="M40" i="6"/>
  <c r="I974" i="17" s="1"/>
  <c r="I954" i="17"/>
  <c r="L39" i="6"/>
  <c r="H39" i="6"/>
  <c r="I956" i="17" s="1"/>
  <c r="I889" i="17"/>
  <c r="H34" i="6"/>
  <c r="I891" i="17" s="1"/>
  <c r="I112" i="17"/>
  <c r="E18" i="4"/>
  <c r="I114" i="17" s="1"/>
  <c r="I18" i="4"/>
  <c r="I928" i="17"/>
  <c r="H37" i="6"/>
  <c r="I930" i="17" s="1"/>
  <c r="I548" i="17"/>
  <c r="L7" i="6"/>
  <c r="E7" i="6"/>
  <c r="I550" i="17" s="1"/>
  <c r="I814" i="17"/>
  <c r="K28" i="6"/>
  <c r="I816" i="17" s="1"/>
  <c r="I222" i="17"/>
  <c r="I29" i="4"/>
  <c r="E29" i="4"/>
  <c r="I224" i="17" s="1"/>
  <c r="I162" i="17"/>
  <c r="C22" i="4"/>
  <c r="E23" i="4"/>
  <c r="I164" i="17" s="1"/>
  <c r="I23" i="4"/>
  <c r="I42" i="17"/>
  <c r="E11" i="4"/>
  <c r="I44" i="17" s="1"/>
  <c r="I11" i="4"/>
  <c r="I425" i="17"/>
  <c r="H49" i="4"/>
  <c r="I427" i="17" s="1"/>
  <c r="I1256" i="17"/>
  <c r="K65" i="6"/>
  <c r="I1258" i="17" s="1"/>
  <c r="I655" i="17"/>
  <c r="H16" i="6"/>
  <c r="I657" i="17" s="1"/>
  <c r="I811" i="17"/>
  <c r="H28" i="6"/>
  <c r="I813" i="17" s="1"/>
  <c r="I325" i="17"/>
  <c r="H39" i="4"/>
  <c r="I327" i="17" s="1"/>
  <c r="I39" i="4"/>
  <c r="I736" i="17"/>
  <c r="K22" i="6"/>
  <c r="I738" i="17" s="1"/>
  <c r="H50" i="6"/>
  <c r="I1099" i="17" s="1"/>
  <c r="I1097" i="17"/>
  <c r="L50" i="6"/>
  <c r="I776" i="17"/>
  <c r="J24" i="6"/>
  <c r="I763" i="17" s="1"/>
  <c r="I629" i="17"/>
  <c r="H14" i="6"/>
  <c r="I631" i="17" s="1"/>
  <c r="C43" i="6"/>
  <c r="I743" i="17"/>
  <c r="E23" i="6"/>
  <c r="I745" i="17" s="1"/>
  <c r="L23" i="6"/>
  <c r="I616" i="17"/>
  <c r="H13" i="6"/>
  <c r="I618" i="17" s="1"/>
  <c r="I55" i="17"/>
  <c r="H12" i="4"/>
  <c r="I57" i="17" s="1"/>
  <c r="I12" i="4"/>
  <c r="I876" i="17"/>
  <c r="H33" i="6"/>
  <c r="I878" i="17" s="1"/>
  <c r="F32" i="6"/>
  <c r="I619" i="17"/>
  <c r="K13" i="6"/>
  <c r="I621" i="17" s="1"/>
  <c r="I835" i="17"/>
  <c r="M30" i="6"/>
  <c r="I844" i="17" s="1"/>
  <c r="I422" i="17"/>
  <c r="I49" i="4"/>
  <c r="C55" i="4" s="1"/>
  <c r="E49" i="4"/>
  <c r="I424" i="17" s="1"/>
  <c r="I916" i="17"/>
  <c r="I552" i="17"/>
  <c r="G6" i="6"/>
  <c r="I1266" i="17"/>
  <c r="L66" i="6"/>
  <c r="H66" i="6"/>
  <c r="I1268" i="17" s="1"/>
  <c r="I342" i="17"/>
  <c r="I41" i="4"/>
  <c r="E41" i="4"/>
  <c r="I344" i="17" s="1"/>
  <c r="I796" i="17"/>
  <c r="M27" i="6"/>
  <c r="I805" i="17" s="1"/>
  <c r="I72" i="17"/>
  <c r="E14" i="4"/>
  <c r="I74" i="17" s="1"/>
  <c r="I14" i="4"/>
  <c r="I919" i="17"/>
  <c r="I679" i="17"/>
  <c r="M18" i="6"/>
  <c r="I688" i="17" s="1"/>
  <c r="I824" i="17"/>
  <c r="H29" i="6"/>
  <c r="I826" i="17" s="1"/>
  <c r="I265" i="17"/>
  <c r="H33" i="4"/>
  <c r="I267" i="17" s="1"/>
  <c r="F31" i="4"/>
  <c r="I215" i="17"/>
  <c r="H28" i="4"/>
  <c r="I217" i="17" s="1"/>
  <c r="I658" i="17"/>
  <c r="K16" i="6"/>
  <c r="I660" i="17" s="1"/>
  <c r="I561" i="17"/>
  <c r="E8" i="6"/>
  <c r="I563" i="17" s="1"/>
  <c r="L8" i="6"/>
  <c r="I912" i="17"/>
  <c r="E36" i="6"/>
  <c r="I914" i="17" s="1"/>
  <c r="L36" i="6"/>
  <c r="I915" i="17"/>
  <c r="H36" i="6"/>
  <c r="I917" i="17" s="1"/>
  <c r="I798" i="17"/>
  <c r="H27" i="6"/>
  <c r="I800" i="17" s="1"/>
  <c r="I808" i="17"/>
  <c r="E28" i="6"/>
  <c r="I810" i="17" s="1"/>
  <c r="L28" i="6"/>
  <c r="I957" i="17"/>
  <c r="K39" i="6"/>
  <c r="I959" i="17" s="1"/>
  <c r="I626" i="17"/>
  <c r="L14" i="6"/>
  <c r="E14" i="6"/>
  <c r="I628" i="17" s="1"/>
  <c r="I834" i="17"/>
  <c r="E30" i="6"/>
  <c r="I836" i="17" s="1"/>
  <c r="L30" i="6"/>
  <c r="I601" i="17"/>
  <c r="M12" i="6"/>
  <c r="I610" i="17" s="1"/>
  <c r="I827" i="17"/>
  <c r="K29" i="6"/>
  <c r="I829" i="17" s="1"/>
  <c r="I85" i="17"/>
  <c r="H15" i="4"/>
  <c r="I87" i="17" s="1"/>
  <c r="I652" i="17"/>
  <c r="E16" i="6"/>
  <c r="I654" i="17" s="1"/>
  <c r="L16" i="6"/>
  <c r="I575" i="17"/>
  <c r="M9" i="6"/>
  <c r="I584" i="17" s="1"/>
  <c r="I734" i="17"/>
  <c r="M22" i="6"/>
  <c r="I740" i="17" s="1"/>
  <c r="I536" i="17"/>
  <c r="D5" i="6"/>
  <c r="I1250" i="17"/>
  <c r="C61" i="6"/>
  <c r="E65" i="6"/>
  <c r="I1252" i="17" s="1"/>
  <c r="I996" i="17"/>
  <c r="K42" i="6"/>
  <c r="I998" i="17" s="1"/>
  <c r="I22" i="17"/>
  <c r="I7" i="4"/>
  <c r="C6" i="4"/>
  <c r="E7" i="4"/>
  <c r="I24" i="17" s="1"/>
  <c r="I640" i="17"/>
  <c r="M15" i="6"/>
  <c r="I649" i="17" s="1"/>
  <c r="I665" i="17"/>
  <c r="E17" i="6"/>
  <c r="I667" i="17" s="1"/>
  <c r="L17" i="6"/>
  <c r="I931" i="17"/>
  <c r="K37" i="6"/>
  <c r="I933" i="17" s="1"/>
  <c r="I783" i="17"/>
  <c r="M26" i="6"/>
  <c r="I562" i="17"/>
  <c r="M8" i="6"/>
  <c r="I571" i="17" s="1"/>
  <c r="I801" i="17"/>
  <c r="K27" i="6"/>
  <c r="I803" i="17" s="1"/>
  <c r="I785" i="17"/>
  <c r="F25" i="6"/>
  <c r="H26" i="6"/>
  <c r="I787" i="17" s="1"/>
  <c r="I16" i="4"/>
  <c r="I92" i="17"/>
  <c r="E16" i="4"/>
  <c r="I94" i="17" s="1"/>
  <c r="I886" i="17"/>
  <c r="L34" i="6"/>
  <c r="E34" i="6"/>
  <c r="I888" i="17" s="1"/>
  <c r="I769" i="17"/>
  <c r="E25" i="6"/>
  <c r="I771" i="17" s="1"/>
  <c r="C24" i="6"/>
  <c r="I746" i="17"/>
  <c r="H23" i="6"/>
  <c r="I748" i="17" s="1"/>
  <c r="I684" i="17"/>
  <c r="K18" i="6"/>
  <c r="I686" i="17" s="1"/>
  <c r="I639" i="17"/>
  <c r="E15" i="6"/>
  <c r="I641" i="17" s="1"/>
  <c r="L15" i="6"/>
  <c r="I1084" i="17"/>
  <c r="H49" i="6"/>
  <c r="I1086" i="17" s="1"/>
  <c r="I990" i="17"/>
  <c r="L42" i="6"/>
  <c r="E42" i="6"/>
  <c r="I992" i="17" s="1"/>
  <c r="I913" i="17"/>
  <c r="M36" i="6"/>
  <c r="L6" i="6" l="1"/>
  <c r="M6" i="6"/>
  <c r="I545" i="17" s="1"/>
  <c r="F68" i="6"/>
  <c r="I1279" i="17"/>
  <c r="I462" i="17"/>
  <c r="E55" i="4"/>
  <c r="I464" i="17" s="1"/>
  <c r="C56" i="4"/>
  <c r="I557" i="17"/>
  <c r="O7" i="6"/>
  <c r="I560" i="17" s="1"/>
  <c r="N7" i="6"/>
  <c r="I559" i="17" s="1"/>
  <c r="I804" i="17"/>
  <c r="O27" i="6"/>
  <c r="I807" i="17" s="1"/>
  <c r="N27" i="6"/>
  <c r="I806" i="17" s="1"/>
  <c r="I218" i="17"/>
  <c r="L28" i="4"/>
  <c r="I221" i="17" s="1"/>
  <c r="K28" i="4"/>
  <c r="I220" i="17" s="1"/>
  <c r="I922" i="17"/>
  <c r="M73" i="6"/>
  <c r="I756" i="17"/>
  <c r="E24" i="6"/>
  <c r="I758" i="17" s="1"/>
  <c r="I98" i="17"/>
  <c r="K16" i="4"/>
  <c r="I100" i="17" s="1"/>
  <c r="L16" i="4"/>
  <c r="I101" i="17" s="1"/>
  <c r="I792" i="17"/>
  <c r="M25" i="6"/>
  <c r="I1198" i="17"/>
  <c r="E61" i="6"/>
  <c r="I1200" i="17" s="1"/>
  <c r="I863" i="17"/>
  <c r="H32" i="6"/>
  <c r="I865" i="17" s="1"/>
  <c r="I752" i="17"/>
  <c r="N23" i="6"/>
  <c r="I754" i="17" s="1"/>
  <c r="O23" i="6"/>
  <c r="I755" i="17" s="1"/>
  <c r="I1103" i="17"/>
  <c r="N50" i="6"/>
  <c r="I1105" i="17" s="1"/>
  <c r="O50" i="6"/>
  <c r="I1106" i="17" s="1"/>
  <c r="F55" i="4"/>
  <c r="I55" i="4" s="1"/>
  <c r="I298" i="17"/>
  <c r="L36" i="4"/>
  <c r="I301" i="17" s="1"/>
  <c r="K36" i="4"/>
  <c r="I300" i="17" s="1"/>
  <c r="I268" i="17"/>
  <c r="L33" i="4"/>
  <c r="I271" i="17" s="1"/>
  <c r="K33" i="4"/>
  <c r="I270" i="17" s="1"/>
  <c r="I208" i="17"/>
  <c r="L27" i="4"/>
  <c r="I211" i="17" s="1"/>
  <c r="K27" i="4"/>
  <c r="I210" i="17" s="1"/>
  <c r="I24" i="6"/>
  <c r="I775" i="17"/>
  <c r="K25" i="6"/>
  <c r="I777" i="17" s="1"/>
  <c r="I502" i="17"/>
  <c r="E61" i="4"/>
  <c r="I504" i="17" s="1"/>
  <c r="I152" i="17"/>
  <c r="C21" i="4"/>
  <c r="I22" i="4"/>
  <c r="E22" i="4"/>
  <c r="I154" i="17" s="1"/>
  <c r="I960" i="17"/>
  <c r="O39" i="6"/>
  <c r="I963" i="17" s="1"/>
  <c r="N39" i="6"/>
  <c r="I962" i="17" s="1"/>
  <c r="I1259" i="17"/>
  <c r="N65" i="6"/>
  <c r="I1261" i="17" s="1"/>
  <c r="I128" i="17"/>
  <c r="L19" i="4"/>
  <c r="I131" i="17" s="1"/>
  <c r="K19" i="4"/>
  <c r="I130" i="17" s="1"/>
  <c r="I622" i="17"/>
  <c r="O13" i="6"/>
  <c r="I625" i="17" s="1"/>
  <c r="N13" i="6"/>
  <c r="I624" i="17" s="1"/>
  <c r="I12" i="17"/>
  <c r="C52" i="4"/>
  <c r="I442" i="17" s="1"/>
  <c r="I6" i="4"/>
  <c r="C5" i="4"/>
  <c r="C53" i="4"/>
  <c r="I452" i="17" s="1"/>
  <c r="E6" i="4"/>
  <c r="I14" i="17" s="1"/>
  <c r="I843" i="17"/>
  <c r="O30" i="6"/>
  <c r="I846" i="17" s="1"/>
  <c r="N30" i="6"/>
  <c r="I845" i="17" s="1"/>
  <c r="I817" i="17"/>
  <c r="N28" i="6"/>
  <c r="I819" i="17" s="1"/>
  <c r="O28" i="6"/>
  <c r="I820" i="17" s="1"/>
  <c r="I570" i="17"/>
  <c r="N8" i="6"/>
  <c r="I572" i="17" s="1"/>
  <c r="O8" i="6"/>
  <c r="I573" i="17" s="1"/>
  <c r="I48" i="17"/>
  <c r="L11" i="4"/>
  <c r="I51" i="17" s="1"/>
  <c r="K11" i="4"/>
  <c r="I50" i="17" s="1"/>
  <c r="I228" i="17"/>
  <c r="L29" i="4"/>
  <c r="I231" i="17" s="1"/>
  <c r="K29" i="4"/>
  <c r="I230" i="17" s="1"/>
  <c r="I138" i="17"/>
  <c r="L20" i="4"/>
  <c r="I141" i="17" s="1"/>
  <c r="K20" i="4"/>
  <c r="I140" i="17" s="1"/>
  <c r="I713" i="17"/>
  <c r="O20" i="6"/>
  <c r="I716" i="17" s="1"/>
  <c r="L19" i="6"/>
  <c r="N20" i="6"/>
  <c r="I715" i="17" s="1"/>
  <c r="I541" i="17"/>
  <c r="I5" i="6"/>
  <c r="K6" i="6"/>
  <c r="I543" i="17" s="1"/>
  <c r="I1272" i="17"/>
  <c r="N66" i="6"/>
  <c r="I1274" i="17" s="1"/>
  <c r="I661" i="17"/>
  <c r="N16" i="6"/>
  <c r="I663" i="17" s="1"/>
  <c r="O16" i="6"/>
  <c r="I664" i="17" s="1"/>
  <c r="I694" i="17"/>
  <c r="H19" i="6"/>
  <c r="I696" i="17" s="1"/>
  <c r="I687" i="17"/>
  <c r="N18" i="6"/>
  <c r="I689" i="17" s="1"/>
  <c r="O18" i="6"/>
  <c r="I690" i="17" s="1"/>
  <c r="I523" i="17"/>
  <c r="D31" i="6"/>
  <c r="I348" i="17"/>
  <c r="K41" i="4"/>
  <c r="I350" i="17" s="1"/>
  <c r="L41" i="4"/>
  <c r="I351" i="17" s="1"/>
  <c r="I58" i="17"/>
  <c r="K12" i="4"/>
  <c r="I60" i="17" s="1"/>
  <c r="L12" i="4"/>
  <c r="I61" i="17" s="1"/>
  <c r="I1003" i="17"/>
  <c r="C48" i="6"/>
  <c r="E43" i="6"/>
  <c r="I1005" i="17" s="1"/>
  <c r="L18" i="4"/>
  <c r="I121" i="17" s="1"/>
  <c r="K18" i="4"/>
  <c r="I120" i="17" s="1"/>
  <c r="I118" i="17"/>
  <c r="I505" i="17"/>
  <c r="H61" i="4"/>
  <c r="I507" i="17" s="1"/>
  <c r="I726" i="17"/>
  <c r="N21" i="6"/>
  <c r="I728" i="17" s="1"/>
  <c r="O21" i="6"/>
  <c r="I729" i="17" s="1"/>
  <c r="I15" i="17"/>
  <c r="F52" i="4"/>
  <c r="I445" i="17" s="1"/>
  <c r="F53" i="4"/>
  <c r="I455" i="17" s="1"/>
  <c r="H6" i="4"/>
  <c r="I17" i="17" s="1"/>
  <c r="F5" i="4"/>
  <c r="I258" i="17"/>
  <c r="L32" i="4"/>
  <c r="I261" i="17" s="1"/>
  <c r="K32" i="4"/>
  <c r="I260" i="17" s="1"/>
  <c r="I155" i="17"/>
  <c r="H22" i="4"/>
  <c r="I157" i="17" s="1"/>
  <c r="F21" i="4"/>
  <c r="I38" i="17"/>
  <c r="L10" i="4"/>
  <c r="I41" i="17" s="1"/>
  <c r="K10" i="4"/>
  <c r="I40" i="17" s="1"/>
  <c r="I714" i="17"/>
  <c r="M19" i="6"/>
  <c r="I701" i="17" s="1"/>
  <c r="I318" i="17"/>
  <c r="L38" i="4"/>
  <c r="I321" i="17" s="1"/>
  <c r="K38" i="4"/>
  <c r="I320" i="17" s="1"/>
  <c r="I68" i="17"/>
  <c r="L13" i="4"/>
  <c r="I71" i="17" s="1"/>
  <c r="K13" i="4"/>
  <c r="I70" i="17" s="1"/>
  <c r="I697" i="17"/>
  <c r="K19" i="6"/>
  <c r="I699" i="17" s="1"/>
  <c r="I539" i="17"/>
  <c r="G5" i="6"/>
  <c r="I973" i="17"/>
  <c r="O40" i="6"/>
  <c r="I976" i="17" s="1"/>
  <c r="N40" i="6"/>
  <c r="I975" i="17" s="1"/>
  <c r="I772" i="17"/>
  <c r="H25" i="6"/>
  <c r="I774" i="17" s="1"/>
  <c r="F24" i="6"/>
  <c r="I895" i="17"/>
  <c r="N34" i="6"/>
  <c r="I897" i="17" s="1"/>
  <c r="O34" i="6"/>
  <c r="I898" i="17" s="1"/>
  <c r="I67" i="6"/>
  <c r="I242" i="17"/>
  <c r="E31" i="4"/>
  <c r="I244" i="17" s="1"/>
  <c r="I31" i="4"/>
  <c r="I522" i="17"/>
  <c r="C31" i="6"/>
  <c r="E5" i="6"/>
  <c r="I524" i="17" s="1"/>
  <c r="I538" i="17"/>
  <c r="H6" i="6"/>
  <c r="I540" i="17" s="1"/>
  <c r="F5" i="6"/>
  <c r="I648" i="17"/>
  <c r="O15" i="6"/>
  <c r="I651" i="17" s="1"/>
  <c r="N15" i="6"/>
  <c r="I650" i="17" s="1"/>
  <c r="I245" i="17"/>
  <c r="H31" i="4"/>
  <c r="I247" i="17" s="1"/>
  <c r="I428" i="17"/>
  <c r="K49" i="4"/>
  <c r="I430" i="17" s="1"/>
  <c r="L49" i="4"/>
  <c r="I431" i="17" s="1"/>
  <c r="I28" i="17"/>
  <c r="L7" i="4"/>
  <c r="I31" i="17" s="1"/>
  <c r="K7" i="4"/>
  <c r="I30" i="17" s="1"/>
  <c r="I999" i="17"/>
  <c r="O42" i="6"/>
  <c r="I1002" i="17" s="1"/>
  <c r="N42" i="6"/>
  <c r="I1001" i="17" s="1"/>
  <c r="L73" i="6"/>
  <c r="I921" i="17"/>
  <c r="O36" i="6"/>
  <c r="I924" i="17" s="1"/>
  <c r="N36" i="6"/>
  <c r="I923" i="17" s="1"/>
  <c r="I78" i="17"/>
  <c r="L14" i="4"/>
  <c r="I81" i="17" s="1"/>
  <c r="K14" i="4"/>
  <c r="I80" i="17" s="1"/>
  <c r="L39" i="4"/>
  <c r="I331" i="17" s="1"/>
  <c r="I328" i="17"/>
  <c r="K39" i="4"/>
  <c r="I330" i="17" s="1"/>
  <c r="I168" i="17"/>
  <c r="K23" i="4"/>
  <c r="I170" i="17" s="1"/>
  <c r="L23" i="4"/>
  <c r="I171" i="17" s="1"/>
  <c r="I542" i="17"/>
  <c r="J5" i="6"/>
  <c r="I882" i="17"/>
  <c r="O33" i="6"/>
  <c r="I885" i="17" s="1"/>
  <c r="N33" i="6"/>
  <c r="I884" i="17" s="1"/>
  <c r="L32" i="6"/>
  <c r="I596" i="17"/>
  <c r="O11" i="6"/>
  <c r="I599" i="17" s="1"/>
  <c r="N11" i="6"/>
  <c r="I598" i="17" s="1"/>
  <c r="I739" i="17"/>
  <c r="N22" i="6"/>
  <c r="I741" i="17" s="1"/>
  <c r="O22" i="6"/>
  <c r="I742" i="17" s="1"/>
  <c r="I1004" i="17"/>
  <c r="D48" i="6"/>
  <c r="I1069" i="17" s="1"/>
  <c r="I198" i="17"/>
  <c r="K26" i="4"/>
  <c r="I200" i="17" s="1"/>
  <c r="L26" i="4"/>
  <c r="I201" i="17" s="1"/>
  <c r="I108" i="17"/>
  <c r="L17" i="4"/>
  <c r="I111" i="17" s="1"/>
  <c r="K17" i="4"/>
  <c r="I110" i="17" s="1"/>
  <c r="I791" i="17"/>
  <c r="O26" i="6"/>
  <c r="I794" i="17" s="1"/>
  <c r="L25" i="6"/>
  <c r="N26" i="6"/>
  <c r="I793" i="17" s="1"/>
  <c r="I866" i="17"/>
  <c r="K32" i="6"/>
  <c r="I868" i="17" s="1"/>
  <c r="I934" i="17"/>
  <c r="N37" i="6"/>
  <c r="I936" i="17" s="1"/>
  <c r="O37" i="6"/>
  <c r="I937" i="17" s="1"/>
  <c r="I674" i="17"/>
  <c r="O17" i="6"/>
  <c r="I677" i="17" s="1"/>
  <c r="N17" i="6"/>
  <c r="I676" i="17" s="1"/>
  <c r="I635" i="17"/>
  <c r="O14" i="6"/>
  <c r="I638" i="17" s="1"/>
  <c r="N14" i="6"/>
  <c r="I637" i="17" s="1"/>
  <c r="I609" i="17"/>
  <c r="N12" i="6"/>
  <c r="I611" i="17" s="1"/>
  <c r="O12" i="6"/>
  <c r="I612" i="17" s="1"/>
  <c r="I438" i="17"/>
  <c r="K50" i="4"/>
  <c r="I440" i="17" s="1"/>
  <c r="L50" i="4"/>
  <c r="I441" i="17" s="1"/>
  <c r="I583" i="17"/>
  <c r="N9" i="6"/>
  <c r="I585" i="17" s="1"/>
  <c r="O9" i="6"/>
  <c r="I586" i="17" s="1"/>
  <c r="I1090" i="17"/>
  <c r="N49" i="6"/>
  <c r="I1092" i="17" s="1"/>
  <c r="O49" i="6"/>
  <c r="I1093" i="17" s="1"/>
  <c r="I288" i="17"/>
  <c r="L35" i="4"/>
  <c r="I291" i="17" s="1"/>
  <c r="K35" i="4"/>
  <c r="I290" i="17" s="1"/>
  <c r="I61" i="4"/>
  <c r="I830" i="17"/>
  <c r="N29" i="6"/>
  <c r="I832" i="17" s="1"/>
  <c r="O29" i="6"/>
  <c r="I833" i="17" s="1"/>
  <c r="I88" i="17"/>
  <c r="L15" i="4"/>
  <c r="I91" i="17" s="1"/>
  <c r="K15" i="4"/>
  <c r="I90" i="17" s="1"/>
  <c r="O6" i="6" l="1"/>
  <c r="I547" i="17" s="1"/>
  <c r="L5" i="6"/>
  <c r="I531" i="17" s="1"/>
  <c r="M5" i="6"/>
  <c r="I532" i="17" s="1"/>
  <c r="I544" i="17"/>
  <c r="N6" i="6"/>
  <c r="I546" i="17" s="1"/>
  <c r="N73" i="6"/>
  <c r="I1282" i="17"/>
  <c r="I68" i="6"/>
  <c r="I1295" i="17" s="1"/>
  <c r="I472" i="17"/>
  <c r="E56" i="4"/>
  <c r="I474" i="17" s="1"/>
  <c r="I779" i="17"/>
  <c r="M24" i="6"/>
  <c r="I766" i="17" s="1"/>
  <c r="I869" i="17"/>
  <c r="N32" i="6"/>
  <c r="I871" i="17" s="1"/>
  <c r="O32" i="6"/>
  <c r="I872" i="17" s="1"/>
  <c r="I526" i="17"/>
  <c r="G31" i="6"/>
  <c r="I508" i="17"/>
  <c r="K61" i="4"/>
  <c r="I510" i="17" s="1"/>
  <c r="I847" i="17"/>
  <c r="C35" i="6"/>
  <c r="C44" i="6"/>
  <c r="E31" i="6"/>
  <c r="I849" i="17" s="1"/>
  <c r="C46" i="6"/>
  <c r="C47" i="6"/>
  <c r="I528" i="17"/>
  <c r="I31" i="6"/>
  <c r="K5" i="6"/>
  <c r="I530" i="17" s="1"/>
  <c r="I525" i="17"/>
  <c r="F31" i="6"/>
  <c r="H5" i="6"/>
  <c r="I527" i="17" s="1"/>
  <c r="I5" i="17"/>
  <c r="F30" i="4"/>
  <c r="H5" i="4"/>
  <c r="I7" i="17" s="1"/>
  <c r="I145" i="17"/>
  <c r="H21" i="4"/>
  <c r="I147" i="17" s="1"/>
  <c r="I759" i="17"/>
  <c r="H24" i="6"/>
  <c r="I761" i="17" s="1"/>
  <c r="I778" i="17"/>
  <c r="N25" i="6"/>
  <c r="I780" i="17" s="1"/>
  <c r="L24" i="6"/>
  <c r="O25" i="6"/>
  <c r="I781" i="17" s="1"/>
  <c r="I248" i="17"/>
  <c r="L31" i="4"/>
  <c r="I251" i="17" s="1"/>
  <c r="K31" i="4"/>
  <c r="I250" i="17" s="1"/>
  <c r="I1068" i="17"/>
  <c r="E48" i="6"/>
  <c r="I1070" i="17" s="1"/>
  <c r="I2" i="17"/>
  <c r="E5" i="4"/>
  <c r="I4" i="17" s="1"/>
  <c r="C30" i="4"/>
  <c r="I158" i="17"/>
  <c r="L22" i="4"/>
  <c r="I161" i="17" s="1"/>
  <c r="K22" i="4"/>
  <c r="I160" i="17" s="1"/>
  <c r="I21" i="4"/>
  <c r="K55" i="4"/>
  <c r="I470" i="17" s="1"/>
  <c r="I468" i="17"/>
  <c r="I56" i="4"/>
  <c r="I762" i="17"/>
  <c r="K24" i="6"/>
  <c r="I764" i="17" s="1"/>
  <c r="I529" i="17"/>
  <c r="J31" i="6"/>
  <c r="I848" i="17"/>
  <c r="D44" i="6"/>
  <c r="I1017" i="17" s="1"/>
  <c r="D35" i="6"/>
  <c r="D46" i="6"/>
  <c r="I1043" i="17" s="1"/>
  <c r="D47" i="6"/>
  <c r="I700" i="17"/>
  <c r="N19" i="6"/>
  <c r="I702" i="17" s="1"/>
  <c r="O19" i="6"/>
  <c r="I703" i="17" s="1"/>
  <c r="I18" i="17"/>
  <c r="I52" i="4"/>
  <c r="I448" i="17" s="1"/>
  <c r="K6" i="4"/>
  <c r="I20" i="17" s="1"/>
  <c r="I53" i="4"/>
  <c r="I458" i="17" s="1"/>
  <c r="I5" i="4"/>
  <c r="L6" i="4"/>
  <c r="I21" i="17" s="1"/>
  <c r="I142" i="17"/>
  <c r="E21" i="4"/>
  <c r="I144" i="17" s="1"/>
  <c r="I465" i="17"/>
  <c r="H55" i="4"/>
  <c r="I467" i="17" s="1"/>
  <c r="F56" i="4"/>
  <c r="I1292" i="17"/>
  <c r="N5" i="6" l="1"/>
  <c r="I533" i="17" s="1"/>
  <c r="L31" i="6"/>
  <c r="L46" i="6" s="1"/>
  <c r="O5" i="6"/>
  <c r="I534" i="17" s="1"/>
  <c r="L68" i="6"/>
  <c r="I1298" i="17" s="1"/>
  <c r="C62" i="6"/>
  <c r="C60" i="6"/>
  <c r="I1055" i="17"/>
  <c r="C63" i="6"/>
  <c r="E47" i="6"/>
  <c r="I1057" i="17" s="1"/>
  <c r="I475" i="17"/>
  <c r="H56" i="4"/>
  <c r="I477" i="17" s="1"/>
  <c r="I850" i="17"/>
  <c r="F44" i="6"/>
  <c r="F60" i="6"/>
  <c r="H31" i="6"/>
  <c r="I852" i="17" s="1"/>
  <c r="F35" i="6"/>
  <c r="F62" i="6"/>
  <c r="F46" i="6"/>
  <c r="F47" i="6"/>
  <c r="F63" i="6"/>
  <c r="I899" i="17"/>
  <c r="C45" i="6"/>
  <c r="C38" i="6"/>
  <c r="E35" i="6"/>
  <c r="I901" i="17" s="1"/>
  <c r="I851" i="17"/>
  <c r="G35" i="6"/>
  <c r="G44" i="6"/>
  <c r="I1020" i="17" s="1"/>
  <c r="G60" i="6"/>
  <c r="I1189" i="17" s="1"/>
  <c r="G63" i="6"/>
  <c r="I1228" i="17" s="1"/>
  <c r="G62" i="6"/>
  <c r="I1215" i="17" s="1"/>
  <c r="G47" i="6"/>
  <c r="I1059" i="17" s="1"/>
  <c r="G46" i="6"/>
  <c r="I1046" i="17" s="1"/>
  <c r="I1016" i="17"/>
  <c r="E44" i="6"/>
  <c r="I1018" i="17" s="1"/>
  <c r="I8" i="17"/>
  <c r="L5" i="4"/>
  <c r="I11" i="17" s="1"/>
  <c r="K5" i="4"/>
  <c r="I10" i="17" s="1"/>
  <c r="I30" i="4"/>
  <c r="I232" i="17"/>
  <c r="C34" i="4"/>
  <c r="E30" i="4"/>
  <c r="I234" i="17" s="1"/>
  <c r="C44" i="4"/>
  <c r="C46" i="4"/>
  <c r="C47" i="4"/>
  <c r="I900" i="17"/>
  <c r="D45" i="6"/>
  <c r="I1030" i="17" s="1"/>
  <c r="D38" i="6"/>
  <c r="I148" i="17"/>
  <c r="L21" i="4"/>
  <c r="I151" i="17" s="1"/>
  <c r="K21" i="4"/>
  <c r="I150" i="17" s="1"/>
  <c r="I1042" i="17"/>
  <c r="E46" i="6"/>
  <c r="I1044" i="17" s="1"/>
  <c r="I854" i="17"/>
  <c r="J35" i="6"/>
  <c r="J60" i="6"/>
  <c r="I1192" i="17" s="1"/>
  <c r="J44" i="6"/>
  <c r="I1023" i="17" s="1"/>
  <c r="J47" i="6"/>
  <c r="I1062" i="17" s="1"/>
  <c r="J63" i="6"/>
  <c r="I1231" i="17" s="1"/>
  <c r="J46" i="6"/>
  <c r="I1049" i="17" s="1"/>
  <c r="J62" i="6"/>
  <c r="I1218" i="17" s="1"/>
  <c r="M31" i="6"/>
  <c r="I1056" i="17"/>
  <c r="D63" i="6"/>
  <c r="I1225" i="17" s="1"/>
  <c r="D60" i="6"/>
  <c r="I1186" i="17" s="1"/>
  <c r="D62" i="6"/>
  <c r="I1212" i="17" s="1"/>
  <c r="I478" i="17"/>
  <c r="K56" i="4"/>
  <c r="I480" i="17" s="1"/>
  <c r="I765" i="17"/>
  <c r="O24" i="6"/>
  <c r="I768" i="17" s="1"/>
  <c r="N24" i="6"/>
  <c r="I767" i="17" s="1"/>
  <c r="I235" i="17"/>
  <c r="F44" i="4"/>
  <c r="H30" i="4"/>
  <c r="I237" i="17" s="1"/>
  <c r="F34" i="4"/>
  <c r="F47" i="4"/>
  <c r="F46" i="4"/>
  <c r="I853" i="17"/>
  <c r="K31" i="6"/>
  <c r="I855" i="17" s="1"/>
  <c r="I35" i="6"/>
  <c r="I60" i="6"/>
  <c r="I44" i="6"/>
  <c r="I47" i="6"/>
  <c r="I63" i="6"/>
  <c r="I46" i="6"/>
  <c r="I62" i="6"/>
  <c r="I856" i="17" l="1"/>
  <c r="L47" i="6"/>
  <c r="I1064" i="17" s="1"/>
  <c r="L62" i="6"/>
  <c r="I1220" i="17" s="1"/>
  <c r="L63" i="6"/>
  <c r="I1233" i="17" s="1"/>
  <c r="L35" i="6"/>
  <c r="I908" i="17" s="1"/>
  <c r="N31" i="6"/>
  <c r="I858" i="17" s="1"/>
  <c r="L44" i="6"/>
  <c r="I1025" i="17" s="1"/>
  <c r="L60" i="6"/>
  <c r="I1194" i="17" s="1"/>
  <c r="I903" i="17"/>
  <c r="G61" i="6"/>
  <c r="I1202" i="17" s="1"/>
  <c r="G38" i="6"/>
  <c r="G45" i="6"/>
  <c r="I1033" i="17" s="1"/>
  <c r="I1045" i="17"/>
  <c r="H46" i="6"/>
  <c r="I1047" i="17" s="1"/>
  <c r="I1022" i="17"/>
  <c r="K44" i="6"/>
  <c r="I1024" i="17" s="1"/>
  <c r="I1214" i="17"/>
  <c r="H62" i="6"/>
  <c r="I1216" i="17" s="1"/>
  <c r="I1051" i="17"/>
  <c r="C27" i="12"/>
  <c r="I372" i="17"/>
  <c r="E44" i="4"/>
  <c r="I374" i="17" s="1"/>
  <c r="I375" i="17"/>
  <c r="H44" i="4"/>
  <c r="I377" i="17" s="1"/>
  <c r="I1061" i="17"/>
  <c r="K47" i="6"/>
  <c r="I1063" i="17" s="1"/>
  <c r="I906" i="17"/>
  <c r="J45" i="6"/>
  <c r="I1036" i="17" s="1"/>
  <c r="J61" i="6"/>
  <c r="I1205" i="17" s="1"/>
  <c r="J38" i="6"/>
  <c r="I238" i="17"/>
  <c r="I44" i="4"/>
  <c r="L30" i="4"/>
  <c r="I241" i="17" s="1"/>
  <c r="I34" i="4"/>
  <c r="K30" i="4"/>
  <c r="I240" i="17" s="1"/>
  <c r="I47" i="4"/>
  <c r="I46" i="4"/>
  <c r="I1029" i="17"/>
  <c r="E45" i="6"/>
  <c r="I1031" i="17" s="1"/>
  <c r="I1188" i="17"/>
  <c r="H60" i="6"/>
  <c r="I1190" i="17" s="1"/>
  <c r="I1224" i="17"/>
  <c r="E63" i="6"/>
  <c r="I1226" i="17" s="1"/>
  <c r="I275" i="17"/>
  <c r="H34" i="4"/>
  <c r="I277" i="17" s="1"/>
  <c r="F45" i="4"/>
  <c r="F37" i="4"/>
  <c r="I272" i="17"/>
  <c r="E34" i="4"/>
  <c r="I274" i="17" s="1"/>
  <c r="C45" i="4"/>
  <c r="C37" i="4"/>
  <c r="I902" i="17"/>
  <c r="H35" i="6"/>
  <c r="I904" i="17" s="1"/>
  <c r="F38" i="6"/>
  <c r="F45" i="6"/>
  <c r="F61" i="6"/>
  <c r="I939" i="17"/>
  <c r="D41" i="6"/>
  <c r="I978" i="17" s="1"/>
  <c r="K62" i="6"/>
  <c r="I1219" i="17" s="1"/>
  <c r="I1217" i="17"/>
  <c r="M60" i="6"/>
  <c r="I1195" i="17" s="1"/>
  <c r="M44" i="6"/>
  <c r="I1026" i="17" s="1"/>
  <c r="I857" i="17"/>
  <c r="M35" i="6"/>
  <c r="M63" i="6"/>
  <c r="I1234" i="17" s="1"/>
  <c r="M62" i="6"/>
  <c r="I1221" i="17" s="1"/>
  <c r="M46" i="6"/>
  <c r="I1052" i="17" s="1"/>
  <c r="M47" i="6"/>
  <c r="I1065" i="17" s="1"/>
  <c r="I1227" i="17"/>
  <c r="H63" i="6"/>
  <c r="I1229" i="17" s="1"/>
  <c r="O31" i="6"/>
  <c r="I859" i="17" s="1"/>
  <c r="I1185" i="17"/>
  <c r="E60" i="6"/>
  <c r="I1187" i="17" s="1"/>
  <c r="K60" i="6"/>
  <c r="I1193" i="17" s="1"/>
  <c r="I1191" i="17"/>
  <c r="I38" i="6"/>
  <c r="I905" i="17"/>
  <c r="I61" i="6"/>
  <c r="K35" i="6"/>
  <c r="I907" i="17" s="1"/>
  <c r="I45" i="6"/>
  <c r="I938" i="17"/>
  <c r="C41" i="6"/>
  <c r="E38" i="6"/>
  <c r="I940" i="17" s="1"/>
  <c r="I1019" i="17"/>
  <c r="H44" i="6"/>
  <c r="I1021" i="17" s="1"/>
  <c r="I1048" i="17"/>
  <c r="K46" i="6"/>
  <c r="I1050" i="17" s="1"/>
  <c r="I395" i="17"/>
  <c r="H46" i="4"/>
  <c r="I397" i="17" s="1"/>
  <c r="I402" i="17"/>
  <c r="E47" i="4"/>
  <c r="I404" i="17" s="1"/>
  <c r="I1230" i="17"/>
  <c r="K63" i="6"/>
  <c r="I1232" i="17" s="1"/>
  <c r="I405" i="17"/>
  <c r="H47" i="4"/>
  <c r="I407" i="17" s="1"/>
  <c r="I392" i="17"/>
  <c r="E46" i="4"/>
  <c r="I394" i="17" s="1"/>
  <c r="I1058" i="17"/>
  <c r="H47" i="6"/>
  <c r="I1060" i="17" s="1"/>
  <c r="I1211" i="17"/>
  <c r="E62" i="6"/>
  <c r="I1213" i="17" s="1"/>
  <c r="L61" i="6" l="1"/>
  <c r="I1207" i="17" s="1"/>
  <c r="L38" i="6"/>
  <c r="L41" i="6" s="1"/>
  <c r="L45" i="6"/>
  <c r="I1038" i="17" s="1"/>
  <c r="C25" i="12"/>
  <c r="N60" i="6"/>
  <c r="I1196" i="17" s="1"/>
  <c r="N62" i="6"/>
  <c r="I1222" i="17" s="1"/>
  <c r="N47" i="6"/>
  <c r="I1066" i="17" s="1"/>
  <c r="N46" i="6"/>
  <c r="I1053" i="17" s="1"/>
  <c r="N63" i="6"/>
  <c r="I1235" i="17" s="1"/>
  <c r="I909" i="17"/>
  <c r="M61" i="6"/>
  <c r="I1208" i="17" s="1"/>
  <c r="M45" i="6"/>
  <c r="I1039" i="17" s="1"/>
  <c r="M38" i="6"/>
  <c r="I278" i="17"/>
  <c r="I45" i="4"/>
  <c r="I37" i="4"/>
  <c r="L34" i="4"/>
  <c r="I281" i="17" s="1"/>
  <c r="K34" i="4"/>
  <c r="I280" i="17" s="1"/>
  <c r="I305" i="17"/>
  <c r="H37" i="4"/>
  <c r="I307" i="17" s="1"/>
  <c r="F40" i="4"/>
  <c r="N35" i="6"/>
  <c r="I910" i="17" s="1"/>
  <c r="I941" i="17"/>
  <c r="H38" i="6"/>
  <c r="I943" i="17" s="1"/>
  <c r="F41" i="6"/>
  <c r="I385" i="17"/>
  <c r="H45" i="4"/>
  <c r="I387" i="17" s="1"/>
  <c r="I378" i="17"/>
  <c r="K44" i="4"/>
  <c r="I380" i="17" s="1"/>
  <c r="N44" i="6"/>
  <c r="I1027" i="17" s="1"/>
  <c r="O35" i="6"/>
  <c r="I911" i="17" s="1"/>
  <c r="I945" i="17"/>
  <c r="J41" i="6"/>
  <c r="I942" i="17"/>
  <c r="G41" i="6"/>
  <c r="I1035" i="17"/>
  <c r="K45" i="6"/>
  <c r="I1037" i="17" s="1"/>
  <c r="I1032" i="17"/>
  <c r="H45" i="6"/>
  <c r="I1034" i="17" s="1"/>
  <c r="I1204" i="17"/>
  <c r="K61" i="6"/>
  <c r="I1206" i="17" s="1"/>
  <c r="I398" i="17"/>
  <c r="K46" i="4"/>
  <c r="I400" i="17" s="1"/>
  <c r="I1201" i="17"/>
  <c r="H61" i="6"/>
  <c r="I1203" i="17" s="1"/>
  <c r="I944" i="17"/>
  <c r="I41" i="6"/>
  <c r="K38" i="6"/>
  <c r="I946" i="17" s="1"/>
  <c r="I302" i="17"/>
  <c r="C40" i="4"/>
  <c r="E37" i="4"/>
  <c r="I304" i="17" s="1"/>
  <c r="I977" i="17"/>
  <c r="E41" i="6"/>
  <c r="I979" i="17" s="1"/>
  <c r="I382" i="17"/>
  <c r="E45" i="4"/>
  <c r="I384" i="17" s="1"/>
  <c r="I408" i="17"/>
  <c r="K47" i="4"/>
  <c r="I410" i="17" s="1"/>
  <c r="I947" i="17" l="1"/>
  <c r="O38" i="6"/>
  <c r="I950" i="17" s="1"/>
  <c r="C26" i="12"/>
  <c r="N45" i="6"/>
  <c r="I1040" i="17" s="1"/>
  <c r="N38" i="6"/>
  <c r="I949" i="17" s="1"/>
  <c r="N61" i="6"/>
  <c r="I1209" i="17" s="1"/>
  <c r="I981" i="17"/>
  <c r="G43" i="6"/>
  <c r="I388" i="17"/>
  <c r="K45" i="4"/>
  <c r="I390" i="17" s="1"/>
  <c r="I335" i="17"/>
  <c r="F42" i="4"/>
  <c r="H40" i="4"/>
  <c r="I337" i="17" s="1"/>
  <c r="F43" i="4"/>
  <c r="F63" i="4"/>
  <c r="I515" i="17" s="1"/>
  <c r="I948" i="17"/>
  <c r="M41" i="6"/>
  <c r="O41" i="6" s="1"/>
  <c r="I989" i="17" s="1"/>
  <c r="I332" i="17"/>
  <c r="C43" i="4"/>
  <c r="C42" i="4"/>
  <c r="E40" i="4"/>
  <c r="I334" i="17" s="1"/>
  <c r="C63" i="4"/>
  <c r="I512" i="17" s="1"/>
  <c r="I308" i="17"/>
  <c r="I40" i="4"/>
  <c r="K37" i="4"/>
  <c r="I310" i="17" s="1"/>
  <c r="L37" i="4"/>
  <c r="I311" i="17" s="1"/>
  <c r="I984" i="17"/>
  <c r="J43" i="6"/>
  <c r="I983" i="17"/>
  <c r="I43" i="6"/>
  <c r="K41" i="6"/>
  <c r="I985" i="17" s="1"/>
  <c r="I986" i="17"/>
  <c r="L43" i="6"/>
  <c r="I980" i="17"/>
  <c r="H41" i="6"/>
  <c r="I982" i="17" s="1"/>
  <c r="F43" i="6"/>
  <c r="N41" i="6" l="1"/>
  <c r="I988" i="17" s="1"/>
  <c r="I352" i="17"/>
  <c r="C48" i="4"/>
  <c r="E42" i="4"/>
  <c r="I354" i="17" s="1"/>
  <c r="I365" i="17"/>
  <c r="H43" i="4"/>
  <c r="I367" i="17" s="1"/>
  <c r="I1009" i="17"/>
  <c r="K43" i="6"/>
  <c r="I1011" i="17" s="1"/>
  <c r="I64" i="6"/>
  <c r="I48" i="6"/>
  <c r="I1010" i="17"/>
  <c r="J64" i="6"/>
  <c r="I1244" i="17" s="1"/>
  <c r="J48" i="6"/>
  <c r="I1075" i="17" s="1"/>
  <c r="I355" i="17"/>
  <c r="F48" i="4"/>
  <c r="H42" i="4"/>
  <c r="I357" i="17" s="1"/>
  <c r="I1012" i="17"/>
  <c r="L48" i="6"/>
  <c r="L64" i="6"/>
  <c r="I362" i="17"/>
  <c r="E43" i="4"/>
  <c r="I364" i="17" s="1"/>
  <c r="I43" i="4"/>
  <c r="I987" i="17"/>
  <c r="M43" i="6"/>
  <c r="O43" i="6" s="1"/>
  <c r="I1015" i="17" s="1"/>
  <c r="I1007" i="17"/>
  <c r="G48" i="6"/>
  <c r="I1072" i="17" s="1"/>
  <c r="G64" i="6"/>
  <c r="I1241" i="17" s="1"/>
  <c r="I1006" i="17"/>
  <c r="F48" i="6"/>
  <c r="H43" i="6"/>
  <c r="I1008" i="17" s="1"/>
  <c r="F64" i="6"/>
  <c r="I338" i="17"/>
  <c r="L40" i="4"/>
  <c r="I341" i="17" s="1"/>
  <c r="I42" i="4"/>
  <c r="K40" i="4"/>
  <c r="I340" i="17" s="1"/>
  <c r="I63" i="4"/>
  <c r="I518" i="17" s="1"/>
  <c r="N43" i="6" l="1"/>
  <c r="I1014" i="17" s="1"/>
  <c r="I1240" i="17"/>
  <c r="H64" i="6"/>
  <c r="I1242" i="17" s="1"/>
  <c r="I1243" i="17"/>
  <c r="K64" i="6"/>
  <c r="I1245" i="17" s="1"/>
  <c r="I368" i="17"/>
  <c r="K43" i="4"/>
  <c r="I370" i="17" s="1"/>
  <c r="L43" i="4"/>
  <c r="I371" i="17" s="1"/>
  <c r="I415" i="17"/>
  <c r="H48" i="4"/>
  <c r="I417" i="17" s="1"/>
  <c r="I358" i="17"/>
  <c r="L42" i="4"/>
  <c r="I361" i="17" s="1"/>
  <c r="I48" i="4"/>
  <c r="K42" i="4"/>
  <c r="I360" i="17" s="1"/>
  <c r="O42" i="4"/>
  <c r="I1246" i="17"/>
  <c r="I412" i="17"/>
  <c r="E48" i="4"/>
  <c r="I414" i="17" s="1"/>
  <c r="I1071" i="17"/>
  <c r="H48" i="6"/>
  <c r="I1073" i="17" s="1"/>
  <c r="I1013" i="17"/>
  <c r="M64" i="6"/>
  <c r="I1247" i="17" s="1"/>
  <c r="M48" i="6"/>
  <c r="I1078" i="17" s="1"/>
  <c r="I1077" i="17"/>
  <c r="C29" i="12"/>
  <c r="I1074" i="17"/>
  <c r="K48" i="6"/>
  <c r="I1076" i="17" s="1"/>
  <c r="N64" i="6" l="1"/>
  <c r="I1248" i="17" s="1"/>
  <c r="I418" i="17"/>
  <c r="K48" i="4"/>
  <c r="I420" i="17" s="1"/>
  <c r="N48" i="6"/>
  <c r="I107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Ricardo Huergo Cagol</author>
    <author>Camille Mateus Pleger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Felipe Ricardo Huergo Cagol:
Conta cosif: 7.1.8.20.00.00-0 (coluna "Creditos")</t>
        </r>
      </text>
    </comment>
    <comment ref="Y5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Camille Mateus Pleger:
JCP de R$ 4.207.500 MM da Hipotecária, R$445.500 da Securitizadora e Dividendos de R$ 211 mil da CIP. </t>
        </r>
      </text>
    </comment>
    <comment ref="BU5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Camille Mateus Pleger:
JCP de R$ 4.207.500 MM da Hipotecária, R$445.500 da Securitizadora e Dividendos de R$ 211 mil da CIP. </t>
        </r>
      </text>
    </comment>
    <comment ref="B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Felipe Ricardo Huergo Cagol:
Lucro(Prejuízo) Líquido do Exercício da Planilha de Resultado por Empresa da Contabilidade.</t>
        </r>
      </text>
    </comment>
    <comment ref="B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Felipe Ricardo Huergo Cagol:
Lucro(Prejuízo) Líquido do Exercício da Planilha de Resultado por Empresa da Contabilidade.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Camille Mateus Pleger</author>
  </authors>
  <commentList>
    <comment ref="A13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Camille Mateus Pleger:
Linha 633 da aba Banco - Check</t>
        </r>
      </text>
    </comment>
  </commentList>
</comments>
</file>

<file path=xl/sharedStrings.xml><?xml version="1.0" encoding="utf-8"?>
<sst xmlns="http://schemas.openxmlformats.org/spreadsheetml/2006/main" count="9567" uniqueCount="1365">
  <si>
    <t>Data Base -&gt;</t>
  </si>
  <si>
    <t>CONSIGNADO</t>
  </si>
  <si>
    <t>IMOBILIARIO</t>
  </si>
  <si>
    <t>TOTAL</t>
  </si>
  <si>
    <t>IPCA</t>
  </si>
  <si>
    <t>Realizado</t>
  </si>
  <si>
    <t>Orçado</t>
  </si>
  <si>
    <t>∆ (%)</t>
  </si>
  <si>
    <t>∆ (R$)</t>
  </si>
  <si>
    <t>RECEITAS</t>
  </si>
  <si>
    <t>Operações de Crédito</t>
  </si>
  <si>
    <t>Receita Juros</t>
  </si>
  <si>
    <t>Receita CM - Crédito Imobiliário</t>
  </si>
  <si>
    <t>Multa + Mora - Crédito Imobiliário</t>
  </si>
  <si>
    <t>Receita Juros - Cartão</t>
  </si>
  <si>
    <t xml:space="preserve">Receita Serviços </t>
  </si>
  <si>
    <t>Receita Interchange</t>
  </si>
  <si>
    <t>Receita Comissão CRI</t>
  </si>
  <si>
    <t>Receita Cobrança Ext. Cebraco</t>
  </si>
  <si>
    <t>Resultado de Seguros</t>
  </si>
  <si>
    <t>Resultado Brasil Cards</t>
  </si>
  <si>
    <t>Resultado Bari Capital</t>
  </si>
  <si>
    <t>Resultado Sec</t>
  </si>
  <si>
    <t>DESPESAS DE ORIGINAÇÃO</t>
  </si>
  <si>
    <t>Despesa de Captação*</t>
  </si>
  <si>
    <t>Inflação</t>
  </si>
  <si>
    <t>Componente Juros</t>
  </si>
  <si>
    <t>Componente Inflação</t>
  </si>
  <si>
    <t>DI/Pré</t>
  </si>
  <si>
    <t>Receita Financeira + Outros</t>
  </si>
  <si>
    <t>Swap</t>
  </si>
  <si>
    <t>Impostos Diretos</t>
  </si>
  <si>
    <t>MARGEM INTERMEDIAÇÃO</t>
  </si>
  <si>
    <t>Provisões</t>
  </si>
  <si>
    <t>Desvalorização de BNDU</t>
  </si>
  <si>
    <t>MG INTERMEDIAÇÃO LIQ</t>
  </si>
  <si>
    <t>Despesas Administrativas Diretas</t>
  </si>
  <si>
    <t>Comissão (Apoio - Comercial - Mídia Paga)</t>
  </si>
  <si>
    <t>MG CONTRIBUIÇÃO DIRETA</t>
  </si>
  <si>
    <t>Desp. Administrativas Indiretas</t>
  </si>
  <si>
    <t xml:space="preserve">Amortização </t>
  </si>
  <si>
    <t>RESULTADO ANTES IMPOSTO</t>
  </si>
  <si>
    <t>Impostos (IR/CSLL)</t>
  </si>
  <si>
    <t>RESULTADO CONTÁBIL</t>
  </si>
  <si>
    <t>Dif:</t>
  </si>
  <si>
    <t>RESULTADO ANTES IMPOSTO RECORRENTE</t>
  </si>
  <si>
    <t>Margem Bruta</t>
  </si>
  <si>
    <t>Margem Liquida</t>
  </si>
  <si>
    <t>Rácio de Eficiência</t>
  </si>
  <si>
    <t>Rácio de Eficiência Recorrente</t>
  </si>
  <si>
    <t>RPL - RES. CONTÁBIL</t>
  </si>
  <si>
    <t>Carteira de Crédito Bruta Média</t>
  </si>
  <si>
    <t>Carteira de Crédito SD Cliente Média</t>
  </si>
  <si>
    <t>Taxa Média Carteira Bruta Média</t>
  </si>
  <si>
    <t>Taxa Média Carteira SD Cliente Média</t>
  </si>
  <si>
    <t>Rateio Carteira</t>
  </si>
  <si>
    <t>Alocação de Capital</t>
  </si>
  <si>
    <t>PL Médio (Banco + Hipo)</t>
  </si>
  <si>
    <t>PL Médio (Prudencial + BRCards)</t>
  </si>
  <si>
    <t>Despesas Adm. Diretas + Indiretas</t>
  </si>
  <si>
    <t>Alíquota de IR/CSLL</t>
  </si>
  <si>
    <t>Atualizar a aba de "Resultado" com dados extraídos do sistema ER System, de acordo com esse relatório:</t>
  </si>
  <si>
    <t>2.</t>
  </si>
  <si>
    <t>Realizar o procedimento descrito no passo 1 acima, para todas as empresas</t>
  </si>
  <si>
    <t>Atualizar a aba "Realizado" com os dados de resultado por produto, carteira de crédito, carteira de captação e dados de depreciação/amortização presentes na aba "TD_P&amp;L (Total)" do check contábil</t>
  </si>
  <si>
    <t>Atualizar a aba orçamento somente quando tiver outro orçamento vigente, nesse casos copia e cola o orçamento passado e faz o vínculo com o novo</t>
  </si>
  <si>
    <t>Atualizar as abas "P&amp;L Mensal" e "P&amp;L Acumulado" com as datas do mês em análise</t>
  </si>
  <si>
    <t>Análise das receitas operacionais: os arquivos de receita diária da contabilidade servem como base para identificar possiveis erros de roteiro, ou indicativo de outros problemas sistemicos</t>
  </si>
  <si>
    <t>5.1</t>
  </si>
  <si>
    <t>Os arquivos diários da contabilidade estão nos seguintes diretórios:</t>
  </si>
  <si>
    <t>G:\Drives compartilhados\Area - Contabilidade 2 Temp\02. CONCILIAÇÃO\1. BANCO BARI\RESULTADO\RECEITA\2025</t>
  </si>
  <si>
    <t>G:\Drives compartilhados\Area - Contabilidade 2\Contabilidade\05. FECHAMENTO CONTABIL\02. CONCILIAÇÃO\4. BARI CIA HIPOTECARIA\RESULTADO\2025</t>
  </si>
  <si>
    <t>5.1.1</t>
  </si>
  <si>
    <t>Analisar se há dias em que tem mais ou menos receitas de juros e correção monetária.</t>
  </si>
  <si>
    <t>Alguns pontos para relembrar:</t>
  </si>
  <si>
    <t>A taxa bonificada esta roteirizada para reduzir a correção monetária, o que pode levar até mesmo a negativação das receitas, principalemnte nos maiores venciemntos: 12, 18 e 20.</t>
  </si>
  <si>
    <t>As receitas são cálculadas em dias corridos e apropriadas em dias úteis, por isso na segunda há descarrego das receitas. Quando o fechamento do mês cai final de semana a apropriação é antecipada para sexta.</t>
  </si>
  <si>
    <t>A Sicred calcula em 365 os juros e o Prognum em 360. Por tanto, a forma que é apropriada gera distorção em relação ao orçado, conforme o quadro abaixo:</t>
  </si>
  <si>
    <t>Ano 365 dias</t>
  </si>
  <si>
    <t>Ano 366 dias (bissexto)</t>
  </si>
  <si>
    <t>Mês</t>
  </si>
  <si>
    <t>Qt. Dias</t>
  </si>
  <si>
    <t>Dias corridos</t>
  </si>
  <si>
    <t>Diferença de dias orçado x realizado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</si>
  <si>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</si>
  <si>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</si>
  <si>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</si>
  <si>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</si>
  <si>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</si>
  <si>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</si>
  <si>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</si>
  <si>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</si>
  <si>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</si>
  <si>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</si>
  <si>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</si>
  <si>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</si>
  <si>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</si>
  <si>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5.1.1.1</t>
  </si>
  <si>
    <t>Se precisar investigar melhor os contratos de forma análitica:</t>
  </si>
  <si>
    <t>Gerar Voucher p/todas as contas e verificar a descrição do movimento</t>
  </si>
  <si>
    <t>Gera o "Analitico por Lançamento" para verificar o evento se estiver concentrado em um único contrato, analisar para entender</t>
  </si>
  <si>
    <t>Receita Externa Cebraco:</t>
  </si>
  <si>
    <t>Apresenta todas as receitas, exceto receita das ligadas: Banco e Hipo. Desconsidera Securitizadora, pois os valores são pagos em patrimônio separado, ou seja, a sec apenas faz a intermediação.</t>
  </si>
  <si>
    <t>Conta "7.1.7.99.00.000007", "RENDAS CALL CENTER (PESSOA FISICA)" do Balancete e do arquivo de Resultados da Contabilidade</t>
  </si>
  <si>
    <t>Receita de Serviços, Interchange e Comissão CRI</t>
  </si>
  <si>
    <t>Serviços &gt;&gt; Grupo 7.1.7 do cosif do Banco, da Hipotecária, da DI (conta cosif: 7.1.7.00.00), receita de despachante da Service (conta cosif: 7.1.7.80.00.000024) e receita Call Center da Poio (conta cosif: 7.1.7.80.00.000002) . No arquivo de "Receitas e Despesas Contabilidade", salvo no diretório "G:\Drives compartilhados\Area - FPA\FPA\29. Checks Contabilidade\2025" há toda a relação dos "de-paras" nas abas do BANCO e da HIPO.</t>
  </si>
  <si>
    <t>A conta cosif "7.1.7.99.00.00.000013 - COORDENADOR LÍDER", é alocada em Receita de CRI</t>
  </si>
  <si>
    <t>As contas cosif "7.1.7.99.00.00.000015 - RECEITA INTERCHANGE - FUNCAO CREDITO", "7.1.7.99.00.00.000016 - RECEITA INTERCHANGE - FUNCAO DEBITO" e "7.1.7.99.00.00.000017 - BOLETO DE DEPOSITO LIQUIDADO" são alocada em Receita de Interchange. A divisão entre Consignado e Imobiliário é feita da seguinte forma: 42,6% para Consignado e 57,4% para Imobiliário.</t>
  </si>
  <si>
    <t>Receita cobrança externa Cebraco</t>
  </si>
  <si>
    <t>Receitas de prestação de serviços das empresas terceiras.</t>
  </si>
  <si>
    <t>Valor extraído da planilha "TD_P&amp;L (Total)" do check contábil, célula "D12"</t>
  </si>
  <si>
    <t>Esse valor deve coincidir com a soma das contas cosif (7.1.7.99.00.000005 e 7.1.7.99.00.000007) do balancete da Cebraco</t>
  </si>
  <si>
    <t>Resultado da "Bariseg" obtido da própria planilha "RESULTADO"</t>
  </si>
  <si>
    <t>Resultado da BRCards</t>
  </si>
  <si>
    <t>Resultado da "BRCards" obtido da própria planilha "RESULTADO", sem considerar equivalência patrimonial (linha 26)</t>
  </si>
  <si>
    <t>Despesas de Originação</t>
  </si>
  <si>
    <t>A base de dados é o check contábil</t>
  </si>
  <si>
    <t>1) Todas as despesas de captação indexadas, tanto a parte de inflação quanto a de "cupom - juros", (IPCA e IGPM) entram na linha de inflação e são alocadas no Imobiliário</t>
  </si>
  <si>
    <t>2) Todas LCIs são designadas para o imobiliário</t>
  </si>
  <si>
    <t>3) Todas as LFs também entram no Imobiliário</t>
  </si>
  <si>
    <t>4) CDBs não idexados a inflação, DPGEs e CDIs são alocados no Consignado, desde que o montante total seja suficiente para cobrir todo o valor da Carteira</t>
  </si>
  <si>
    <t>5) LFs são alocadas no Imobiliário</t>
  </si>
  <si>
    <t>A base de dados é a planilha de "RESULTADO" da Contabilidade</t>
  </si>
  <si>
    <t>1) Swap DIxPRÉ é alocado no Consignado</t>
  </si>
  <si>
    <t>2) Swap DIxIPCA é alocado no Imobiliário</t>
  </si>
  <si>
    <t>Receita financeira + outros</t>
  </si>
  <si>
    <t>1) Contas 7.1.4 e 7.1.5 dos balancetes do Banco e da Hipotecária, com exceção dos Swaps;</t>
  </si>
  <si>
    <t>2) Rateio entre Consignado e Imobiliário é feito pelo tamanho da carteira ---&gt; (77% para Consignado e 23% para Imobiliário em Novembro/2025) para a base do Banco. Já para a da Hipo, é alocada integraçmente no imobiliário.</t>
  </si>
  <si>
    <t>3) A fonte dos dados é o arquivo de "Receitas e Despesas Contabilidade")</t>
  </si>
  <si>
    <t>1) A base de dados da PDD é o dash da PDD;</t>
  </si>
  <si>
    <t>2) No Consignado é alocada a PDD do Banco Digital;</t>
  </si>
  <si>
    <t>3) No Imobiliário é alocada a PDD do BNDU;</t>
  </si>
  <si>
    <t>4) A provisão com a desvalorização na venda de imóveis tem como base o arquivo "Receitas e Despesas Contabilidade", para o Banco e a Hipo conta cosif 8.1.9.92.19.90.000001 e 8.3.1.50.80.00</t>
  </si>
  <si>
    <t>1) Fonte dos dados é a planilha de conferência contábil, que fica salva no diretório de FP&amp;A "G:\Drives compartilhados\Area - FPA\FPA\29. Checks Contabilidade\2025"</t>
  </si>
  <si>
    <t>2)  O valor dos Impostos Diretos é obtido através da soma da linha 518 das abas do "Banco" e "Hipotecária" e da linha 158 da "DI"</t>
  </si>
  <si>
    <t>3) São impostos referente a PIS e Cofins</t>
  </si>
  <si>
    <t>4) O critério de rateio é o seguinte: o PIS/COFINS atinente a Hipotecária e DI é alocado no Imobiliário e para o valor do Banco é feito um rateio entre Consignado e Imobiliário pelo tamanho da carteira</t>
  </si>
  <si>
    <t>Amortização</t>
  </si>
  <si>
    <t>2) Deve-se buscar o valor que consta na aba "Despesa", linha 13</t>
  </si>
  <si>
    <t>Despesas Diretas e Indiretas</t>
  </si>
  <si>
    <t>2) As despesas Diretas e Indiretas estão segregadas na aba "Despesa"</t>
  </si>
  <si>
    <t>3) A Elo foi alocada em despesa administrativa indireta no imobiliário, o valor corresponde ao saldo da linha 511 da aba "Banco" dividido pelo prazo remanescente do diferimento</t>
  </si>
  <si>
    <t>Comissão</t>
  </si>
  <si>
    <t>2) Comissão paga pelo Banco e pela Hipo deduzida da Comissão recebida pela Apoio</t>
  </si>
  <si>
    <t>3) Os dados estão na planilha "Banco" e "Hipotecária", linha 513 e na planilha "Apoio", linha 147</t>
  </si>
  <si>
    <t>4) O rateio entre produtos é feito por carteira</t>
  </si>
  <si>
    <t>2) Os dados estão nas planilhas "Banco" e "hipo", linha 529</t>
  </si>
  <si>
    <t>3) O imposto da Hipotecária é alocado integralmente no Imobiliário</t>
  </si>
  <si>
    <t>4) Para o imposto do Banco é feito o rateio entre Consignado e Imobiliário com base no tamanho da carteira</t>
  </si>
  <si>
    <t>Receita Juros Cartão</t>
  </si>
  <si>
    <t>Fonte: Planilha de resultados da Contabilidade;</t>
  </si>
  <si>
    <t>1) O que é cartão benefício é alocado no Consignado;</t>
  </si>
  <si>
    <t>2) As demais rúbricas contábeis do cartão são alocadas da seguinte forma: 1) 42,6% para o Consignado e 57,4% para o Imobiliário.</t>
  </si>
  <si>
    <t>Não estamos utilizando os critérios específicados dessa linha para baixo</t>
  </si>
  <si>
    <t>PART. CONTROLADAS (SEC)</t>
  </si>
  <si>
    <t>1) O dados é o mesmo que está na planilha "RESULTADO" e correspondente ao lucro líquido da Sec</t>
  </si>
  <si>
    <t>Critério de Rateio Captação:</t>
  </si>
  <si>
    <t>Lógica até Abril/2023</t>
  </si>
  <si>
    <t>Cartão é o resultado da receita de float/despesa da carteira de crédito que gera juros (desconsidera Creliq).</t>
  </si>
  <si>
    <t>Imobiliário --&gt; LCI + CDB/LC - IPCA e IGPM + Resultado de Swap.</t>
  </si>
  <si>
    <t>Consignado --&gt; CDB/LC - Pré/DI</t>
  </si>
  <si>
    <t>Outros (Receita Financeira, FGC, DPGE, e LFS) --&gt; rateado pela carteira de consignado e imobiliário.</t>
  </si>
  <si>
    <t>Lógica após Maio/2023</t>
  </si>
  <si>
    <t>Cartão é o resultado da receita de float/despesa da carteira de crédito.</t>
  </si>
  <si>
    <t>Consignado --&gt;  Consome a despesa até fechar a carteira de ativa e passiva, na seguinte ordem quanto faltar carteira: CDB/LC  - Pré, CDB/LC - DI, LCI - Pré e LCI - DI  e Resultado Swap (DI x Pré)</t>
  </si>
  <si>
    <t>Imobiliário --&gt; LCI + CDB/LC - IPCA e IGPM + Resultado de Swap (DI x IPCA), e o restante LCI Pré e DI que não forem utilizadas para fechar a carteira do consignado.</t>
  </si>
  <si>
    <t>Critérios de Rateio Imposto Direto</t>
  </si>
  <si>
    <t>São considerados os impostos diretos do Banco, Hipo e DI, rateados pela margem de cada linha de negócio.</t>
  </si>
  <si>
    <t>Critérios de Rateio despesas Administrativas:</t>
  </si>
  <si>
    <t>Demostra a ficha razão das empresas: Banco, Hipo, Tec, Service, DI, Cebraco e Apoio.</t>
  </si>
  <si>
    <t>Desconsidera receitas e despesas ligadas.</t>
  </si>
  <si>
    <t>Utiliza o critério de rateio estabelecido em orçamento em elaboração.</t>
  </si>
  <si>
    <t xml:space="preserve">*Orçamento: </t>
  </si>
  <si>
    <t>Janeiro/23 a Abril/23: Versão de Janeiro/23 considerando savings.</t>
  </si>
  <si>
    <t>Maio/23 a Dezembro/23: Versão Junho/2023.</t>
  </si>
  <si>
    <t>Janeiro/24 a junho/24: versão de Março/24.</t>
  </si>
  <si>
    <t>A partir de julho/24: versão de Março/24 adequando os rateios para retirada do banco digital.</t>
  </si>
  <si>
    <t>1º TRIM</t>
  </si>
  <si>
    <t>2º TRIM</t>
  </si>
  <si>
    <t>1º SEM</t>
  </si>
  <si>
    <t>3º TRIM</t>
  </si>
  <si>
    <t>4º TRIM</t>
  </si>
  <si>
    <t>2º SEM</t>
  </si>
  <si>
    <t>YTD</t>
  </si>
  <si>
    <t>Banco</t>
  </si>
  <si>
    <t>Equiv.Patr.</t>
  </si>
  <si>
    <t>JCP + Dividendos</t>
  </si>
  <si>
    <t>Resultado Banco</t>
  </si>
  <si>
    <t>Hipotecária</t>
  </si>
  <si>
    <t>Resultado Congl. Financeiro</t>
  </si>
  <si>
    <t>Apoio</t>
  </si>
  <si>
    <t>Service</t>
  </si>
  <si>
    <t>Sec</t>
  </si>
  <si>
    <t>Cebraco</t>
  </si>
  <si>
    <t>Marumbi</t>
  </si>
  <si>
    <t>Tec</t>
  </si>
  <si>
    <t>Bariseg</t>
  </si>
  <si>
    <t>DI</t>
  </si>
  <si>
    <t>Bari Capital</t>
  </si>
  <si>
    <t>Resultado Coligadas</t>
  </si>
  <si>
    <t>Resultado Congl. + Coligadas</t>
  </si>
  <si>
    <t>BR Cards</t>
  </si>
  <si>
    <t>Resultado MEP</t>
  </si>
  <si>
    <t>Resulta Br Cards</t>
  </si>
  <si>
    <t>RES. TOTAL</t>
  </si>
  <si>
    <t>Consignado</t>
  </si>
  <si>
    <t>Barigui Veículos</t>
  </si>
  <si>
    <t>Honorários</t>
  </si>
  <si>
    <t>Securitizadora (Patrimônio Separado)</t>
  </si>
  <si>
    <t>Despesa de Captação</t>
  </si>
  <si>
    <t>Outros</t>
  </si>
  <si>
    <t>Desvalorização e Recuperação de BNDU</t>
  </si>
  <si>
    <t xml:space="preserve">Comissão Correspondentes </t>
  </si>
  <si>
    <t>RESULTADO ANTES PARTICIPAÇÃO</t>
  </si>
  <si>
    <t>PART. CONTROLADAS (GESTAO + SEC)</t>
  </si>
  <si>
    <t>Comissão Diferida (TJEO)</t>
  </si>
  <si>
    <t xml:space="preserve">                             -  </t>
  </si>
  <si>
    <t>Amortização (estoque - projeto banco)</t>
  </si>
  <si>
    <t xml:space="preserve">                                        -  </t>
  </si>
  <si>
    <t>ELO</t>
  </si>
  <si>
    <t>Imobiliário</t>
  </si>
  <si>
    <t xml:space="preserve">                                     -  </t>
  </si>
  <si>
    <t>Resultado Total</t>
  </si>
  <si>
    <t>Carteira Mensal - Contábil Bruto</t>
  </si>
  <si>
    <t>Consignado + Cartão</t>
  </si>
  <si>
    <t>&gt;&gt;&gt; Planilha da PDD</t>
  </si>
  <si>
    <t>Imobiliário + Cartão</t>
  </si>
  <si>
    <t>Carteira Mensal - Saldo devedor (Cliente)</t>
  </si>
  <si>
    <t>PL</t>
  </si>
  <si>
    <t>PL Conglomerado Bari</t>
  </si>
  <si>
    <t>Fonte: Arquivo Patrimonio_liquido_total (Banco + Brasil Cards)</t>
  </si>
  <si>
    <t>PL Consolidado Ajustado</t>
  </si>
  <si>
    <t>Fonte: Arquivo Patrimonio_liquido_total (Banco)</t>
  </si>
  <si>
    <t>Carteira de Captação</t>
  </si>
  <si>
    <t>Carteira Indexada</t>
  </si>
  <si>
    <t>&gt;&gt; Dash de Captação</t>
  </si>
  <si>
    <t>De:</t>
  </si>
  <si>
    <t>Até:</t>
  </si>
  <si>
    <t>Proporção anual para Indicadores -&gt;</t>
  </si>
  <si>
    <t>BANCO DIGITAL</t>
  </si>
  <si>
    <t>Resultado Cont. e Colig.</t>
  </si>
  <si>
    <t>Rateio da Carteira</t>
  </si>
  <si>
    <t>PL Médio</t>
  </si>
  <si>
    <t>∆</t>
  </si>
  <si>
    <t>Despesas Administrativas</t>
  </si>
  <si>
    <t>Atualizado com novo orçado, aprovado em Nov/22.</t>
  </si>
  <si>
    <t>Atualizado com novo orçado, aprovado em Jan/23.</t>
  </si>
  <si>
    <t>Atualizado com novo orçado, prévia</t>
  </si>
  <si>
    <t>Orçamento aprovado em mar/24.</t>
  </si>
  <si>
    <t>Orçamento aprovado em mar/24, ajustando rateio (sem banco digital) e amortização.</t>
  </si>
  <si>
    <t>Novo Orçamento (ainda não aprovado)</t>
  </si>
  <si>
    <t xml:space="preserve">Novo Orçamento </t>
  </si>
  <si>
    <t>Banco Digital</t>
  </si>
  <si>
    <t>Receita de outras taxas e serviços</t>
  </si>
  <si>
    <t>Receita de Juros PMT</t>
  </si>
  <si>
    <t>Custo de originação diferido TJEO</t>
  </si>
  <si>
    <t>Check</t>
  </si>
  <si>
    <t>Carteira Contábil Crédito</t>
  </si>
  <si>
    <t>Carteira Cliente Crédito</t>
  </si>
  <si>
    <t>PL Prudencial</t>
  </si>
  <si>
    <t>Depositos</t>
  </si>
  <si>
    <t>Recursos de Aceite e Emissão de Títulos</t>
  </si>
  <si>
    <t>Despesa de Juros</t>
  </si>
  <si>
    <t>Despesa de CM</t>
  </si>
  <si>
    <t>Despesa FGC + Outros</t>
  </si>
  <si>
    <t>Receitas De Aplicações Financeiras</t>
  </si>
  <si>
    <t>PART. CONTROLADAS ( SEC)</t>
  </si>
  <si>
    <t>Ajuste da Amortização no totalizador</t>
  </si>
  <si>
    <t>Principais Variações: Orçado X Realizado</t>
  </si>
  <si>
    <t>Resultado Contábil</t>
  </si>
  <si>
    <t>O Resultado Contábil encerrou Fevereiro 11,9% abaixo do orçado, uma variação negativa de R$ 580 mil.</t>
  </si>
  <si>
    <t>Despesa de PDD</t>
  </si>
  <si>
    <t>No mês de Fevereiro tivemos a manutenção da PDD em patamares elevados. 
A aba "Evolução acima de 10 k - Imob", apresenta os casos que mais impactaram as despesas de PDD.</t>
  </si>
  <si>
    <t>Despesa de Originação</t>
  </si>
  <si>
    <t>As despesas de Captação finalizaram 7,1% abaixo do orçado, ou seja, 1,3 milhões a menor. Do mesmo modo que a inflação inferior ao orçado, contribuiu para a redução da receita de correção monetária da carteira do imobiliário, o mesmo efeito foi observado nessa linha no que concerne ao desvio para baixo na linha de captações indexadas ao IPCA.</t>
  </si>
  <si>
    <t>Despesa de Comissão</t>
  </si>
  <si>
    <t>Nesta rúbrica, vale destacar a elevação nos gastos com Google e Facebook, que juntos somaram 821 mil em Fevereiro. Entram também nessa conta as Comissões diferidas, ou seja, as Comissões que ultrapassam os 6%, e, dessa forma, são alocadas diretamente como despesas.</t>
  </si>
  <si>
    <t>Despesas com IR e CSLL</t>
  </si>
  <si>
    <t>Na linha de IR e CSLL, fechamos também com 430 k acima do orçado, com uma alíquota de 33,3%, contra os 26% orçados.</t>
  </si>
  <si>
    <t>Contrato</t>
  </si>
  <si>
    <t>Nome</t>
  </si>
  <si>
    <t>Saldo Atual</t>
  </si>
  <si>
    <t>Saldo M-1</t>
  </si>
  <si>
    <t>Atraso</t>
  </si>
  <si>
    <t>Atraso M-1</t>
  </si>
  <si>
    <t>PDD</t>
  </si>
  <si>
    <t>PDD M-1</t>
  </si>
  <si>
    <t>Evolução</t>
  </si>
  <si>
    <t>504026-4</t>
  </si>
  <si>
    <t>FERRAGEM THONY LTDA</t>
  </si>
  <si>
    <t>502813-2</t>
  </si>
  <si>
    <t>JOSE GERALDO DE BARROS COSCELLI</t>
  </si>
  <si>
    <t>503527-9</t>
  </si>
  <si>
    <t>MARCELO THYSE DE AZEVEDO STEIN</t>
  </si>
  <si>
    <t>010583-A</t>
  </si>
  <si>
    <t>SOPETRA ROLAMENTOS E PECAS LTDA.</t>
  </si>
  <si>
    <t>011423-5</t>
  </si>
  <si>
    <t>JORGE VACITE NETO</t>
  </si>
  <si>
    <t>010775-1</t>
  </si>
  <si>
    <t>ROBERTO PROVASI DE CAROLICE BARBOSA</t>
  </si>
  <si>
    <t>500299-0</t>
  </si>
  <si>
    <t>JORGE ASSAD</t>
  </si>
  <si>
    <t>507878-4</t>
  </si>
  <si>
    <t>LILIANE MARIA COUTINHO BARBOSA</t>
  </si>
  <si>
    <t>506303-5</t>
  </si>
  <si>
    <t>JACSON MOREIRA NIZA</t>
  </si>
  <si>
    <t>505674-8</t>
  </si>
  <si>
    <t>MARCELO CHIBA PROENÇA</t>
  </si>
  <si>
    <t>013637-9</t>
  </si>
  <si>
    <t>ELLY JOSE CORREIA</t>
  </si>
  <si>
    <t>504766-8</t>
  </si>
  <si>
    <t>PEDRO PAULO MOLLO NETO</t>
  </si>
  <si>
    <t>507892-A</t>
  </si>
  <si>
    <t>FABIO FABRICIO MANIGLIA</t>
  </si>
  <si>
    <t>505037-5</t>
  </si>
  <si>
    <t>AFRANIO AFFONSO FERREIRA NETO</t>
  </si>
  <si>
    <t>011303-4</t>
  </si>
  <si>
    <t>MARCOS TULIO SILVEIRA FREITAS</t>
  </si>
  <si>
    <t>502993-7</t>
  </si>
  <si>
    <t>JOSE MAURICIO ZULINI</t>
  </si>
  <si>
    <t>504325-5</t>
  </si>
  <si>
    <t>ERICA MARCIANA SOUSA</t>
  </si>
  <si>
    <t>505728-0</t>
  </si>
  <si>
    <t>FABIO KENJI SERRA FUGIWARA</t>
  </si>
  <si>
    <t>010159-1</t>
  </si>
  <si>
    <t>MURILO ESTEVES DE CARVALHO</t>
  </si>
  <si>
    <t>011120-1</t>
  </si>
  <si>
    <t>CLAUDIA BARBOSA DE BRITO</t>
  </si>
  <si>
    <t>507893-8</t>
  </si>
  <si>
    <t>EUGENIO PACELLI ROMA FERNANDES</t>
  </si>
  <si>
    <t>011204-6</t>
  </si>
  <si>
    <t>ZAQUEO ALVES DA LUZ</t>
  </si>
  <si>
    <t>013643-3</t>
  </si>
  <si>
    <t>CICERO AUGUSTO GOULART</t>
  </si>
  <si>
    <t>012488-5</t>
  </si>
  <si>
    <t>RICARDO ANTONIO PORTELLA BARROSO</t>
  </si>
  <si>
    <t>506418-A</t>
  </si>
  <si>
    <t>ELIAS ROBERTO DE PAIVA</t>
  </si>
  <si>
    <t>011192-9</t>
  </si>
  <si>
    <t>ALEX RAPHAEL MESCHINI</t>
  </si>
  <si>
    <t>503836-7</t>
  </si>
  <si>
    <t>EDIR KESTRING PERIN</t>
  </si>
  <si>
    <t>013704-9</t>
  </si>
  <si>
    <t>RAFAEL DA SILVA DA LUZ</t>
  </si>
  <si>
    <t>504924-5</t>
  </si>
  <si>
    <t>DEBORA MONTEIRO FERNANDES</t>
  </si>
  <si>
    <t>012383-8</t>
  </si>
  <si>
    <t>FLAVIA VINOCUR WAHBA</t>
  </si>
  <si>
    <t>504758-7</t>
  </si>
  <si>
    <t>MAX DE OLIVEIRA YOSHIZAKI</t>
  </si>
  <si>
    <t>012585-7</t>
  </si>
  <si>
    <t>SIMONE PAES</t>
  </si>
  <si>
    <t>013651-4</t>
  </si>
  <si>
    <t>JOSEANE BITTENCOURT ALTHOFF</t>
  </si>
  <si>
    <t>503279-2</t>
  </si>
  <si>
    <t>ROSELI DE LIMA RAMOS XAVIER</t>
  </si>
  <si>
    <t>011426-A</t>
  </si>
  <si>
    <t>TIAGO OLIVEIRA DE SOUSA</t>
  </si>
  <si>
    <t>500885-9</t>
  </si>
  <si>
    <t>ANDERSON SANTOS DA SILVA</t>
  </si>
  <si>
    <t>507857-1</t>
  </si>
  <si>
    <t>THIAGO BUENO DE OLIVEIRA</t>
  </si>
  <si>
    <t>505417-6</t>
  </si>
  <si>
    <t>FRANKLIN GRAY ELVAS PEREIRA</t>
  </si>
  <si>
    <t>009136-7</t>
  </si>
  <si>
    <t>ROGER RODRIGUES DA SILVA</t>
  </si>
  <si>
    <t>500474-8</t>
  </si>
  <si>
    <t>JOSE MIGUEL SAKER NETO</t>
  </si>
  <si>
    <t>506461-9</t>
  </si>
  <si>
    <t>MAURO DE PAULA RAMOS</t>
  </si>
  <si>
    <t>010589-9</t>
  </si>
  <si>
    <t>EDUARDO DAMAZO CAMARGO SILVA</t>
  </si>
  <si>
    <t>504741-2</t>
  </si>
  <si>
    <t>MAURICIO PERPETUO PEREIRA MANZANO</t>
  </si>
  <si>
    <t>502611-3</t>
  </si>
  <si>
    <t>ALICE GEORGES ELIAS</t>
  </si>
  <si>
    <t>013664-6</t>
  </si>
  <si>
    <t>CELIO ROBERTO LOPES</t>
  </si>
  <si>
    <t>503979-7</t>
  </si>
  <si>
    <t>RENATO TRABULSI ASHCAR</t>
  </si>
  <si>
    <t>507845-8</t>
  </si>
  <si>
    <t>CARLOS ROBERTO DENANI</t>
  </si>
  <si>
    <t>505831-7</t>
  </si>
  <si>
    <t>THIAGO JACINTO RIBEIRO</t>
  </si>
  <si>
    <t>013698-0</t>
  </si>
  <si>
    <t>VICENTE ALVES CABRAL JUNIOR</t>
  </si>
  <si>
    <t>012891-0</t>
  </si>
  <si>
    <t>FABIO PRADO BACHA</t>
  </si>
  <si>
    <t>011855-9</t>
  </si>
  <si>
    <t>JORASA INCORPORACOES E EMPREEND. LTDA</t>
  </si>
  <si>
    <t>505032-4</t>
  </si>
  <si>
    <t>JOSE CARLOS TORRES</t>
  </si>
  <si>
    <t>504937-7</t>
  </si>
  <si>
    <t>LUIZ ALBERTO NACCARI</t>
  </si>
  <si>
    <t>507043-0</t>
  </si>
  <si>
    <t>WILDEM CLAY SOUSA VIEIRA</t>
  </si>
  <si>
    <t>011543-6</t>
  </si>
  <si>
    <t>ADALBERTO FIORE</t>
  </si>
  <si>
    <t>507847-4</t>
  </si>
  <si>
    <t>CESAR BENIGNO CLAUDINO</t>
  </si>
  <si>
    <t>503783-2</t>
  </si>
  <si>
    <t>JOAO JOSE CASCAES DIAS</t>
  </si>
  <si>
    <t>500378-4</t>
  </si>
  <si>
    <t>ELANIA CAMILO DE SOUSA AMARAL</t>
  </si>
  <si>
    <t>013662-A</t>
  </si>
  <si>
    <t>MARIA C DA SILVEIRA MACHADO CORNETTI</t>
  </si>
  <si>
    <t>012970-4</t>
  </si>
  <si>
    <t>DANILO SILVEIRA RODRIGUES</t>
  </si>
  <si>
    <t>012844-9</t>
  </si>
  <si>
    <t>RUBIA MUNHOZ ARISA</t>
  </si>
  <si>
    <t>009884-1</t>
  </si>
  <si>
    <t>PAULO MARCOS DE OLIVEIRA</t>
  </si>
  <si>
    <t>504275-5</t>
  </si>
  <si>
    <t>ADRIANE FERNANDES NOVO</t>
  </si>
  <si>
    <t>011328-A</t>
  </si>
  <si>
    <t>ADRIANO REIS DE PAULA</t>
  </si>
  <si>
    <t>013699-9</t>
  </si>
  <si>
    <t>PAULA ROBERTA CECCON ORO</t>
  </si>
  <si>
    <t>007790-9</t>
  </si>
  <si>
    <t>ASBOR ADM DE BENS LTDA</t>
  </si>
  <si>
    <t>013143-1</t>
  </si>
  <si>
    <t>LILIAN ZO</t>
  </si>
  <si>
    <t>012510-5</t>
  </si>
  <si>
    <t>ANDRESSA STEFANELLO RIGHI</t>
  </si>
  <si>
    <t>012580-6</t>
  </si>
  <si>
    <t>OSEAS BANDEIRA DA SILVA JUNIOR</t>
  </si>
  <si>
    <t>011703-A</t>
  </si>
  <si>
    <t>CLEONICE BARBOZA CASSEMIRO</t>
  </si>
  <si>
    <t>503172-9</t>
  </si>
  <si>
    <t>DEBORA JACQUELINI PEREIRA</t>
  </si>
  <si>
    <t>Até 2025</t>
  </si>
  <si>
    <t>A partir de 2026</t>
  </si>
  <si>
    <t>Desp. Administrativas Realizadas</t>
  </si>
  <si>
    <t>IR e CSLL das coligadas</t>
  </si>
  <si>
    <t>&gt;&gt; Entra como IR e CSLL</t>
  </si>
  <si>
    <t>Mídia Paga</t>
  </si>
  <si>
    <t>&gt;&gt;&gt; Entra na linha de Comissões</t>
  </si>
  <si>
    <t>Folha Apoio</t>
  </si>
  <si>
    <t>Contingências Trabalhistas/Civeis e Outros</t>
  </si>
  <si>
    <t>É Orçado, mas não está no Dash</t>
  </si>
  <si>
    <t>Recuperação de Despesas</t>
  </si>
  <si>
    <t>&gt;&gt;&gt; Sazonal</t>
  </si>
  <si>
    <t>Receitas Financeiras das periféricas</t>
  </si>
  <si>
    <t>&gt;&gt;&gt; Não é sazonal</t>
  </si>
  <si>
    <t>ISS - Service, Tec, Cebraco e Apoio</t>
  </si>
  <si>
    <t>PIS e COFINS - Service, Tec, Cebraco e Apoio</t>
  </si>
  <si>
    <t>Empresas Financeiras</t>
  </si>
  <si>
    <t>Empresas Não Financerias</t>
  </si>
  <si>
    <t>Participação das Não Financeiras</t>
  </si>
  <si>
    <t>Fonte dos Dados</t>
  </si>
  <si>
    <t>Banco + Hipo</t>
  </si>
  <si>
    <t>-</t>
  </si>
  <si>
    <t>Relatório Gerencial da Contabilidade</t>
  </si>
  <si>
    <t>Na planilha do mês anterior há um "de-para", recomenda-se consultar a planilha a fim de verificar a coerência nas classificações</t>
  </si>
  <si>
    <t>Receita (sem deduções) até 2023, após com dedução de 20%</t>
  </si>
  <si>
    <t>Receita de Terceiros (sem deduções) até 2023, após com dedução de 20%</t>
  </si>
  <si>
    <t>BarigSeg</t>
  </si>
  <si>
    <t>Lucro Líquido</t>
  </si>
  <si>
    <t>Pis / Cofins</t>
  </si>
  <si>
    <t>Check Contábil</t>
  </si>
  <si>
    <t>Service, Cebraco (Interno), Tec e DI.</t>
  </si>
  <si>
    <t>SG&amp;A / Pis / Cofins / ISS / IR</t>
  </si>
  <si>
    <t>Service, Cebraco, Tec e DI</t>
  </si>
  <si>
    <t>SG&amp;A / Receita Financeira</t>
  </si>
  <si>
    <t>IR/CSLL</t>
  </si>
  <si>
    <t>Gestão e Sec</t>
  </si>
  <si>
    <t>Slide 1</t>
  </si>
  <si>
    <t>Data ---&gt;</t>
  </si>
  <si>
    <t>Quantidade mês</t>
  </si>
  <si>
    <t>Juros Pagos</t>
  </si>
  <si>
    <t>Provisão</t>
  </si>
  <si>
    <t>Despesas</t>
  </si>
  <si>
    <t>Imposto</t>
  </si>
  <si>
    <t>Part. Coligadas</t>
  </si>
  <si>
    <t>RESULTADO ANTES IMPOSTO RECORRENTE *</t>
  </si>
  <si>
    <t>RESULTADO CONTÁBIL RECORRENTE</t>
  </si>
  <si>
    <t>*Ajuste intangível + Resultado Securitizadora.</t>
  </si>
  <si>
    <t>RPL - RES. CONTÁBIL RECORRENTE</t>
  </si>
  <si>
    <t>Fornecedor</t>
  </si>
  <si>
    <t>Diferença</t>
  </si>
  <si>
    <t>Observações</t>
  </si>
  <si>
    <t>Comissão de correspondentes paga para a Apoio</t>
  </si>
  <si>
    <t>Marketing</t>
  </si>
  <si>
    <t>GOOGLE</t>
  </si>
  <si>
    <t>Pagamentos retroativos e valor alinhado com o Ugo e Willian dentro do percentual gasto de aquisição.</t>
  </si>
  <si>
    <t>FACEBOOK</t>
  </si>
  <si>
    <t>TOPVIEW BRANDING</t>
  </si>
  <si>
    <t xml:space="preserve">Posicionamneto da marca em canais digitais + aquisição de Leads </t>
  </si>
  <si>
    <t>Pessoal</t>
  </si>
  <si>
    <t>Em linhas gerais, veio bem próximo do orçado.</t>
  </si>
  <si>
    <t>PROVISÃO PARA PLR</t>
  </si>
  <si>
    <t>BANCO BRADESCO</t>
  </si>
  <si>
    <t>Cartão Corporativo</t>
  </si>
  <si>
    <t>BANCO BARI DE INVESTIMENTOS</t>
  </si>
  <si>
    <t>TRIBUNAL DE JUSTIÇA DE SC</t>
  </si>
  <si>
    <t xml:space="preserve">Não tivemos taxas ou custas judiciais </t>
  </si>
  <si>
    <t>CAIXA ECONOMICA FEDERAL</t>
  </si>
  <si>
    <t>Não tivemos depósitos judiciais ou condenações</t>
  </si>
  <si>
    <t>Terceiros</t>
  </si>
  <si>
    <t>GABARDO E TERRA ADVOGADOS ASSOCIADOS</t>
  </si>
  <si>
    <t xml:space="preserve">Pagamentos de honorários advocatícios abaixo do orçado </t>
  </si>
  <si>
    <t>OPERADOR NACIONAL DO SISTEMA DE REGISTRO</t>
  </si>
  <si>
    <t>Menos serviços prestados em relação à média</t>
  </si>
  <si>
    <t>OUTROS REPASSES A ÓRGÃOS PÚBLICOS</t>
  </si>
  <si>
    <t>Repasses abaixo do orçado</t>
  </si>
  <si>
    <t>KPMG AUDITORES INDEPENDENTES</t>
  </si>
  <si>
    <t>Contrato com o fornecedor ainda não renovado, apenas valor provisionado com base no realizado do ano anterior</t>
  </si>
  <si>
    <t>Sistemas</t>
  </si>
  <si>
    <t>RTM</t>
  </si>
  <si>
    <t>Custo de manutenção de servidores</t>
  </si>
  <si>
    <t>Realizado x Orçado (total)</t>
  </si>
  <si>
    <t>Realizado x Orçado (sem comissão)</t>
  </si>
  <si>
    <t>Dias juros apropriados (receita)</t>
  </si>
  <si>
    <t>Swaps</t>
  </si>
  <si>
    <t>Margem Intermediação</t>
  </si>
  <si>
    <t xml:space="preserve">Carteira Captação Indexada </t>
  </si>
  <si>
    <t>Carteira Cred (TJEO)</t>
  </si>
  <si>
    <t>Carteira Captação Indexada</t>
  </si>
  <si>
    <t>Descasamento de margem</t>
  </si>
  <si>
    <t>CM Receita</t>
  </si>
  <si>
    <t>Receita orçada a maior</t>
  </si>
  <si>
    <t>CM Despesa</t>
  </si>
  <si>
    <t>Despesa orçada a maior</t>
  </si>
  <si>
    <t>Net</t>
  </si>
  <si>
    <t>CM média</t>
  </si>
  <si>
    <t xml:space="preserve">Dif. </t>
  </si>
  <si>
    <t>Juros diários</t>
  </si>
  <si>
    <t>Fatores que podem afetar:</t>
  </si>
  <si>
    <t>-Desconto de taxa bonificada está impactando a CM, mas ainda não temos relatórios gerenciais validar o montante do desconto.</t>
  </si>
  <si>
    <t>-Correção monetária a maior no orçado, que no realizado</t>
  </si>
  <si>
    <t>Data</t>
  </si>
  <si>
    <t>Visao</t>
  </si>
  <si>
    <t>Data_Inicio</t>
  </si>
  <si>
    <t>Data_Fim</t>
  </si>
  <si>
    <t>Data_Base</t>
  </si>
  <si>
    <t>Periodo</t>
  </si>
  <si>
    <t>Linha_PnL</t>
  </si>
  <si>
    <t>Produto</t>
  </si>
  <si>
    <t>Metrica</t>
  </si>
  <si>
    <t>Valor</t>
  </si>
  <si>
    <t>Aba_Origem</t>
  </si>
  <si>
    <t>Celula_Origem</t>
  </si>
  <si>
    <t>Linha_Origem</t>
  </si>
  <si>
    <t>Observação</t>
  </si>
  <si>
    <t>Mensal</t>
  </si>
  <si>
    <t>P&amp;L Mensal</t>
  </si>
  <si>
    <t>C5</t>
  </si>
  <si>
    <t>A BASE_DASH usa fórmulas que referenciam P&amp;L Mensal e P&amp;L Acumulado. Atualize as abas originais no Excel, salve o arquivo e importe esta aba no Power BI/web.</t>
  </si>
  <si>
    <t>D5</t>
  </si>
  <si>
    <t>Variação %</t>
  </si>
  <si>
    <t>E5</t>
  </si>
  <si>
    <t>F5</t>
  </si>
  <si>
    <t>G5</t>
  </si>
  <si>
    <t>H5</t>
  </si>
  <si>
    <t>I5</t>
  </si>
  <si>
    <t>J5</t>
  </si>
  <si>
    <t>K5</t>
  </si>
  <si>
    <t>Variação R$</t>
  </si>
  <si>
    <t>L5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</si>
  <si>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</si>
  <si>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</si>
  <si>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</si>
  <si>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</si>
  <si>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</si>
  <si>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</si>
  <si>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</si>
  <si>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</si>
  <si>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</si>
  <si>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</si>
  <si>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</si>
  <si>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</si>
  <si>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</si>
  <si>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</si>
  <si>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</si>
  <si>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</si>
  <si>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</si>
  <si>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</si>
  <si>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</si>
  <si>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</si>
  <si>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</si>
  <si>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</si>
  <si>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</si>
  <si>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</si>
  <si>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</si>
  <si>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</si>
  <si>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</si>
  <si>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</si>
  <si>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</si>
  <si>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</si>
  <si>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</si>
  <si>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</si>
  <si>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</si>
  <si>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</si>
  <si>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</si>
  <si>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</si>
  <si>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</si>
  <si>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</si>
  <si>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</si>
  <si>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</si>
  <si>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</si>
  <si>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</si>
  <si>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</si>
  <si>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</si>
  <si>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</si>
  <si>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</si>
  <si>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</si>
  <si>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</si>
  <si>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</si>
  <si>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</si>
  <si>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Receita Serviços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</si>
  <si>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</si>
  <si>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</si>
  <si>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</si>
  <si>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</si>
  <si>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</si>
  <si>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</si>
  <si>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</si>
  <si>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</si>
  <si>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</si>
  <si>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</si>
  <si>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</si>
  <si>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</si>
  <si>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</si>
  <si>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</si>
  <si>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</si>
  <si>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</si>
  <si>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</si>
  <si>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</si>
  <si>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</si>
  <si>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</si>
  <si>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</si>
  <si>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</si>
  <si>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</si>
  <si>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</si>
  <si>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</si>
  <si>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</si>
  <si>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</si>
  <si>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</si>
  <si>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</si>
  <si>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</si>
  <si>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</si>
  <si>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</si>
  <si>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</si>
  <si>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</si>
  <si>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</si>
  <si>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</si>
  <si>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</si>
  <si>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</si>
  <si>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</si>
  <si>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</si>
  <si>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</si>
  <si>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</si>
  <si>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</si>
  <si>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</si>
  <si>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</si>
  <si>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</si>
  <si>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</si>
  <si>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</si>
  <si>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</si>
  <si>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</si>
  <si>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</si>
  <si>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</si>
  <si>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</si>
  <si>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</si>
  <si>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</si>
  <si>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</si>
  <si>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</si>
  <si>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</si>
  <si>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</si>
  <si>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</si>
  <si>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</si>
  <si>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</si>
  <si>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</si>
  <si>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</si>
  <si>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</si>
  <si>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</si>
  <si>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</si>
  <si>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</si>
  <si>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</si>
  <si>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</si>
  <si>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</si>
  <si>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</si>
  <si>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</si>
  <si>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</si>
  <si>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</si>
  <si>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</si>
  <si>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</si>
  <si>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</si>
  <si>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</si>
  <si>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</si>
  <si>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</si>
  <si>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</si>
  <si>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</si>
  <si>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</si>
  <si>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</si>
  <si>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</si>
  <si>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</si>
  <si>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</si>
  <si>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</si>
  <si>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</si>
  <si>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</si>
  <si>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</si>
  <si>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</si>
  <si>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</si>
  <si>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</si>
  <si>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</si>
  <si>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</si>
  <si>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</si>
  <si>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</si>
  <si>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</si>
  <si>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</si>
  <si>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</si>
  <si>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</si>
  <si>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</si>
  <si>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</si>
  <si>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</si>
  <si>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</si>
  <si>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</si>
  <si>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</si>
  <si>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</si>
  <si>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</si>
  <si>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</si>
  <si>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</si>
  <si>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</si>
  <si>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</si>
  <si>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</si>
  <si>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</si>
  <si>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</si>
  <si>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</si>
  <si>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</si>
  <si>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</si>
  <si>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</si>
  <si>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</si>
  <si>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</si>
  <si>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</si>
  <si>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</si>
  <si>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</si>
  <si>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</si>
  <si>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</si>
  <si>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</si>
  <si>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</si>
  <si>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</si>
  <si>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</si>
  <si>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</si>
  <si>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</si>
  <si>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</si>
  <si>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</si>
  <si>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</si>
  <si>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</si>
  <si>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</si>
  <si>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</si>
  <si>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</si>
  <si>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</si>
  <si>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</si>
  <si>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</si>
  <si>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</si>
  <si>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</si>
  <si>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</si>
  <si>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</si>
  <si>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</si>
  <si>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</si>
  <si>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</si>
  <si>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</si>
  <si>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</si>
  <si>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</si>
  <si>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</si>
  <si>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</si>
  <si>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</si>
  <si>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</si>
  <si>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</si>
  <si>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</si>
  <si>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</si>
  <si>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</si>
  <si>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</si>
  <si>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</si>
  <si>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</si>
  <si>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</si>
  <si>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</si>
  <si>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</si>
  <si>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</si>
  <si>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</si>
  <si>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</si>
  <si>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</si>
  <si>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</si>
  <si>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</si>
  <si>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</si>
  <si>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</si>
  <si>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</si>
  <si>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</si>
  <si>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</si>
  <si>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</si>
  <si>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</si>
  <si>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</si>
  <si>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</si>
  <si>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</si>
  <si>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</si>
  <si>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</si>
  <si>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</si>
  <si>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</si>
  <si>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</si>
  <si>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</si>
  <si>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</si>
  <si>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</si>
  <si>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</si>
  <si>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</si>
  <si>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</si>
  <si>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</si>
  <si>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</si>
  <si>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</si>
  <si>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</si>
  <si>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</si>
  <si>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</si>
  <si>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</si>
  <si>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</si>
  <si>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</si>
  <si>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</si>
  <si>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</si>
  <si>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</si>
  <si>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</si>
  <si>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</si>
  <si>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</si>
  <si>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</si>
  <si>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</si>
  <si>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</si>
  <si>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</si>
  <si>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</si>
  <si>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</si>
  <si>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</si>
  <si>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</si>
  <si>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</si>
  <si>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</si>
  <si>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</si>
  <si>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</si>
  <si>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</si>
  <si>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</si>
  <si>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</si>
  <si>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</si>
  <si>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</si>
  <si>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</si>
  <si>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</si>
  <si>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</si>
  <si>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</si>
  <si>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</si>
  <si>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</si>
  <si>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</si>
  <si>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</si>
  <si>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</si>
  <si>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</si>
  <si>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</si>
  <si>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</si>
  <si>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</si>
  <si>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</si>
  <si>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</si>
  <si>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</si>
  <si>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</si>
  <si>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</si>
  <si>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</si>
  <si>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</si>
  <si>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</si>
  <si>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</si>
  <si>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</si>
  <si>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</si>
  <si>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</si>
  <si>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</si>
  <si>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</si>
  <si>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</si>
  <si>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</si>
  <si>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</si>
  <si>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</si>
  <si>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</si>
  <si>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C39</t>
  </si>
  <si>
    <t>D39</t>
  </si>
  <si>
    <t>E39</t>
  </si>
  <si>
    <t>F39</t>
  </si>
  <si>
    <t>G39</t>
  </si>
  <si>
    <t>H39</t>
  </si>
  <si>
    <t>I39</t>
  </si>
  <si>
    <t>J39</t>
  </si>
  <si>
    <t>K39</t>
  </si>
  <si>
    <t>L39</t>
  </si>
  <si>
    <t>C40</t>
  </si>
  <si>
    <t>D40</t>
  </si>
  <si>
    <t>E40</t>
  </si>
  <si>
    <t>F40</t>
  </si>
  <si>
    <t>G40</t>
  </si>
  <si>
    <t>H40</t>
  </si>
  <si>
    <t>I40</t>
  </si>
  <si>
    <t>J40</t>
  </si>
  <si>
    <t>K40</t>
  </si>
  <si>
    <t>L40</t>
  </si>
  <si>
    <t>C41</t>
  </si>
  <si>
    <t>D41</t>
  </si>
  <si>
    <t>E41</t>
  </si>
  <si>
    <t>F41</t>
  </si>
  <si>
    <t>G41</t>
  </si>
  <si>
    <t>H41</t>
  </si>
  <si>
    <t>I41</t>
  </si>
  <si>
    <t>J41</t>
  </si>
  <si>
    <t>K41</t>
  </si>
  <si>
    <t>L41</t>
  </si>
  <si>
    <t>C42</t>
  </si>
  <si>
    <t>D42</t>
  </si>
  <si>
    <t>E42</t>
  </si>
  <si>
    <t>F42</t>
  </si>
  <si>
    <t>G42</t>
  </si>
  <si>
    <t>H42</t>
  </si>
  <si>
    <t>I42</t>
  </si>
  <si>
    <t>J42</t>
  </si>
  <si>
    <t>K42</t>
  </si>
  <si>
    <t>L42</t>
  </si>
  <si>
    <t>C43</t>
  </si>
  <si>
    <t>D43</t>
  </si>
  <si>
    <t>E43</t>
  </si>
  <si>
    <t>F43</t>
  </si>
  <si>
    <t>G43</t>
  </si>
  <si>
    <t>H43</t>
  </si>
  <si>
    <t>I43</t>
  </si>
  <si>
    <t>J43</t>
  </si>
  <si>
    <t>K43</t>
  </si>
  <si>
    <t>L43</t>
  </si>
  <si>
    <t>C44</t>
  </si>
  <si>
    <t>D44</t>
  </si>
  <si>
    <t>E44</t>
  </si>
  <si>
    <t>F44</t>
  </si>
  <si>
    <t>G44</t>
  </si>
  <si>
    <t>H44</t>
  </si>
  <si>
    <t>I44</t>
  </si>
  <si>
    <t>J44</t>
  </si>
  <si>
    <t>K44</t>
  </si>
  <si>
    <t>L44</t>
  </si>
  <si>
    <t>C45</t>
  </si>
  <si>
    <t>D45</t>
  </si>
  <si>
    <t>E45</t>
  </si>
  <si>
    <t>F45</t>
  </si>
  <si>
    <t>G45</t>
  </si>
  <si>
    <t>H45</t>
  </si>
  <si>
    <t>I45</t>
  </si>
  <si>
    <t>J45</t>
  </si>
  <si>
    <t>K45</t>
  </si>
  <si>
    <t>L45</t>
  </si>
  <si>
    <t>C46</t>
  </si>
  <si>
    <t>D46</t>
  </si>
  <si>
    <t>E46</t>
  </si>
  <si>
    <t>F46</t>
  </si>
  <si>
    <t>G46</t>
  </si>
  <si>
    <t>H46</t>
  </si>
  <si>
    <t>I46</t>
  </si>
  <si>
    <t>J46</t>
  </si>
  <si>
    <t>K46</t>
  </si>
  <si>
    <t>L46</t>
  </si>
  <si>
    <t>C47</t>
  </si>
  <si>
    <t>D47</t>
  </si>
  <si>
    <t>E47</t>
  </si>
  <si>
    <t>F47</t>
  </si>
  <si>
    <t>G47</t>
  </si>
  <si>
    <t>H47</t>
  </si>
  <si>
    <t>I47</t>
  </si>
  <si>
    <t>J47</t>
  </si>
  <si>
    <t>K47</t>
  </si>
  <si>
    <t>L47</t>
  </si>
  <si>
    <t>C48</t>
  </si>
  <si>
    <t>D48</t>
  </si>
  <si>
    <t>E48</t>
  </si>
  <si>
    <t>F48</t>
  </si>
  <si>
    <t>G48</t>
  </si>
  <si>
    <t>H48</t>
  </si>
  <si>
    <t>I48</t>
  </si>
  <si>
    <t>J48</t>
  </si>
  <si>
    <t>K48</t>
  </si>
  <si>
    <t>L48</t>
  </si>
  <si>
    <t>C49</t>
  </si>
  <si>
    <t>D49</t>
  </si>
  <si>
    <t>E49</t>
  </si>
  <si>
    <t>F49</t>
  </si>
  <si>
    <t>G49</t>
  </si>
  <si>
    <t>H49</t>
  </si>
  <si>
    <t>I49</t>
  </si>
  <si>
    <t>J49</t>
  </si>
  <si>
    <t>K49</t>
  </si>
  <si>
    <t>L49</t>
  </si>
  <si>
    <t>C50</t>
  </si>
  <si>
    <t>D50</t>
  </si>
  <si>
    <t>E50</t>
  </si>
  <si>
    <t>F50</t>
  </si>
  <si>
    <t>G50</t>
  </si>
  <si>
    <t>H50</t>
  </si>
  <si>
    <t>I50</t>
  </si>
  <si>
    <t>J50</t>
  </si>
  <si>
    <t>K50</t>
  </si>
  <si>
    <t>L50</t>
  </si>
  <si>
    <t>C52</t>
  </si>
  <si>
    <t>D52</t>
  </si>
  <si>
    <t>E52</t>
  </si>
  <si>
    <t>F52</t>
  </si>
  <si>
    <t>G52</t>
  </si>
  <si>
    <t>H52</t>
  </si>
  <si>
    <t>I52</t>
  </si>
  <si>
    <t>J52</t>
  </si>
  <si>
    <t>K52</t>
  </si>
  <si>
    <t>L52</t>
  </si>
  <si>
    <t>C53</t>
  </si>
  <si>
    <t>D53</t>
  </si>
  <si>
    <t>E53</t>
  </si>
  <si>
    <t>F53</t>
  </si>
  <si>
    <t>G53</t>
  </si>
  <si>
    <t>H53</t>
  </si>
  <si>
    <t>I53</t>
  </si>
  <si>
    <t>J53</t>
  </si>
  <si>
    <t>K53</t>
  </si>
  <si>
    <t>L53</t>
  </si>
  <si>
    <t>C55</t>
  </si>
  <si>
    <t>D55</t>
  </si>
  <si>
    <t>E55</t>
  </si>
  <si>
    <t>F55</t>
  </si>
  <si>
    <t>G55</t>
  </si>
  <si>
    <t>H55</t>
  </si>
  <si>
    <t>I55</t>
  </si>
  <si>
    <t>J55</t>
  </si>
  <si>
    <t>K55</t>
  </si>
  <si>
    <t>L55</t>
  </si>
  <si>
    <t>C56</t>
  </si>
  <si>
    <t>D56</t>
  </si>
  <si>
    <t>E56</t>
  </si>
  <si>
    <t>F56</t>
  </si>
  <si>
    <t>G56</t>
  </si>
  <si>
    <t>H56</t>
  </si>
  <si>
    <t>I56</t>
  </si>
  <si>
    <t>J56</t>
  </si>
  <si>
    <t>K56</t>
  </si>
  <si>
    <t>L56</t>
  </si>
  <si>
    <t>C58</t>
  </si>
  <si>
    <t>D58</t>
  </si>
  <si>
    <t>E58</t>
  </si>
  <si>
    <t>F58</t>
  </si>
  <si>
    <t>G58</t>
  </si>
  <si>
    <t>H58</t>
  </si>
  <si>
    <t>I58</t>
  </si>
  <si>
    <t>J58</t>
  </si>
  <si>
    <t>K58</t>
  </si>
  <si>
    <t>L58</t>
  </si>
  <si>
    <t>C59</t>
  </si>
  <si>
    <t>D59</t>
  </si>
  <si>
    <t>E59</t>
  </si>
  <si>
    <t>F59</t>
  </si>
  <si>
    <t>G59</t>
  </si>
  <si>
    <t>H59</t>
  </si>
  <si>
    <t>I59</t>
  </si>
  <si>
    <t>J59</t>
  </si>
  <si>
    <t>K59</t>
  </si>
  <si>
    <t>L59</t>
  </si>
  <si>
    <t>C61</t>
  </si>
  <si>
    <t>D61</t>
  </si>
  <si>
    <t>E61</t>
  </si>
  <si>
    <t>F61</t>
  </si>
  <si>
    <t>G61</t>
  </si>
  <si>
    <t>H61</t>
  </si>
  <si>
    <t>I61</t>
  </si>
  <si>
    <t>J61</t>
  </si>
  <si>
    <t>K61</t>
  </si>
  <si>
    <t>L61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</si>
  <si>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</si>
  <si>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</si>
  <si>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</si>
  <si>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</si>
  <si>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</si>
  <si>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</si>
  <si>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</si>
  <si>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</si>
  <si>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</si>
  <si>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</si>
  <si>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Acumulado</t>
  </si>
  <si>
    <t>P&amp;L Acumulado</t>
  </si>
  <si>
    <t>M5</t>
  </si>
  <si>
    <t>N5</t>
  </si>
  <si>
    <t>O5</t>
  </si>
  <si>
    <t>M6</t>
  </si>
  <si>
    <t>N6</t>
  </si>
  <si>
    <t>O6</t>
  </si>
  <si>
    <t>M7</t>
  </si>
  <si>
    <t>N7</t>
  </si>
  <si>
    <t>O7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</si>
  <si>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</si>
  <si>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</si>
  <si>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</si>
  <si>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</si>
  <si>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</si>
  <si>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</si>
  <si>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</si>
  <si>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</si>
  <si>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</si>
  <si>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</si>
  <si>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</si>
  <si>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</si>
  <si>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</si>
  <si>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</si>
  <si>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</si>
  <si>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</si>
  <si>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</si>
  <si>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</si>
  <si>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</si>
  <si>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</si>
  <si>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</si>
  <si>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</si>
  <si>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</si>
  <si>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</si>
  <si>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</si>
  <si>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</si>
  <si>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M11</t>
  </si>
  <si>
    <t>N11</t>
  </si>
  <si>
    <t>O11</t>
  </si>
  <si>
    <t>M12</t>
  </si>
  <si>
    <t>N12</t>
  </si>
  <si>
    <t>O12</t>
  </si>
  <si>
    <t>M13</t>
  </si>
  <si>
    <t>N13</t>
  </si>
  <si>
    <t>O13</t>
  </si>
  <si>
    <t>M14</t>
  </si>
  <si>
    <t>N14</t>
  </si>
  <si>
    <t>O14</t>
  </si>
  <si>
    <t>M15</t>
  </si>
  <si>
    <t>N15</t>
  </si>
  <si>
    <t>O15</t>
  </si>
  <si>
    <t>M16</t>
  </si>
  <si>
    <t>N16</t>
  </si>
  <si>
    <t>O16</t>
  </si>
  <si>
    <t>M17</t>
  </si>
  <si>
    <t>N17</t>
  </si>
  <si>
    <t>O17</t>
  </si>
  <si>
    <t>M18</t>
  </si>
  <si>
    <t>N18</t>
  </si>
  <si>
    <t>O18</t>
  </si>
  <si>
    <t>M19</t>
  </si>
  <si>
    <t>N19</t>
  </si>
  <si>
    <t>O19</t>
  </si>
  <si>
    <t>M20</t>
  </si>
  <si>
    <t>N20</t>
  </si>
  <si>
    <t>O20</t>
  </si>
  <si>
    <t>M21</t>
  </si>
  <si>
    <t>N21</t>
  </si>
  <si>
    <t>O21</t>
  </si>
  <si>
    <t>M22</t>
  </si>
  <si>
    <t>N22</t>
  </si>
  <si>
    <t>O22</t>
  </si>
  <si>
    <t>M23</t>
  </si>
  <si>
    <t>N23</t>
  </si>
  <si>
    <t>O23</t>
  </si>
  <si>
    <t>M24</t>
  </si>
  <si>
    <t>N24</t>
  </si>
  <si>
    <t>O24</t>
  </si>
  <si>
    <t>M25</t>
  </si>
  <si>
    <t>N25</t>
  </si>
  <si>
    <t>O25</t>
  </si>
  <si>
    <t>M26</t>
  </si>
  <si>
    <t>N26</t>
  </si>
  <si>
    <t>O26</t>
  </si>
  <si>
    <t>M27</t>
  </si>
  <si>
    <t>N27</t>
  </si>
  <si>
    <t>O27</t>
  </si>
  <si>
    <t>M28</t>
  </si>
  <si>
    <t>N28</t>
  </si>
  <si>
    <t>O28</t>
  </si>
  <si>
    <t>M29</t>
  </si>
  <si>
    <t>N29</t>
  </si>
  <si>
    <t>O29</t>
  </si>
  <si>
    <t>M30</t>
  </si>
  <si>
    <t>N30</t>
  </si>
  <si>
    <t>O30</t>
  </si>
  <si>
    <t>M31</t>
  </si>
  <si>
    <t>N31</t>
  </si>
  <si>
    <t>O31</t>
  </si>
  <si>
    <t>M32</t>
  </si>
  <si>
    <t>N32</t>
  </si>
  <si>
    <t>O32</t>
  </si>
  <si>
    <t>M33</t>
  </si>
  <si>
    <t>N33</t>
  </si>
  <si>
    <t>O33</t>
  </si>
  <si>
    <t>M34</t>
  </si>
  <si>
    <t>N34</t>
  </si>
  <si>
    <t>O34</t>
  </si>
  <si>
    <t>M35</t>
  </si>
  <si>
    <t>N35</t>
  </si>
  <si>
    <t>O35</t>
  </si>
  <si>
    <t>M36</t>
  </si>
  <si>
    <t>N36</t>
  </si>
  <si>
    <t>O36</t>
  </si>
  <si>
    <t>M37</t>
  </si>
  <si>
    <t>N37</t>
  </si>
  <si>
    <t>O37</t>
  </si>
  <si>
    <t>M38</t>
  </si>
  <si>
    <t>N38</t>
  </si>
  <si>
    <t>O38</t>
  </si>
  <si>
    <t>M39</t>
  </si>
  <si>
    <t>N39</t>
  </si>
  <si>
    <t>O39</t>
  </si>
  <si>
    <t>M40</t>
  </si>
  <si>
    <t>N40</t>
  </si>
  <si>
    <t>O40</t>
  </si>
  <si>
    <t>M41</t>
  </si>
  <si>
    <t>N41</t>
  </si>
  <si>
    <t>O41</t>
  </si>
  <si>
    <t>M42</t>
  </si>
  <si>
    <t>N42</t>
  </si>
  <si>
    <t>O42</t>
  </si>
  <si>
    <t>M43</t>
  </si>
  <si>
    <t>N43</t>
  </si>
  <si>
    <t>O43</t>
  </si>
  <si>
    <t>M44</t>
  </si>
  <si>
    <t>N44</t>
  </si>
  <si>
    <t>O44</t>
  </si>
  <si>
    <t>M45</t>
  </si>
  <si>
    <t>N45</t>
  </si>
  <si>
    <t>O45</t>
  </si>
  <si>
    <t>M46</t>
  </si>
  <si>
    <t>N46</t>
  </si>
  <si>
    <t>O46</t>
  </si>
  <si>
    <t>M47</t>
  </si>
  <si>
    <t>N47</t>
  </si>
  <si>
    <t>O47</t>
  </si>
  <si>
    <t>M48</t>
  </si>
  <si>
    <t>N48</t>
  </si>
  <si>
    <t>O48</t>
  </si>
  <si>
    <t>M49</t>
  </si>
  <si>
    <t>N49</t>
  </si>
  <si>
    <t>O49</t>
  </si>
  <si>
    <t>M50</t>
  </si>
  <si>
    <t>N50</t>
  </si>
  <si>
    <t>O50</t>
  </si>
  <si>
    <t>M52</t>
  </si>
  <si>
    <t>N52</t>
  </si>
  <si>
    <t>O52</t>
  </si>
  <si>
    <t>M53</t>
  </si>
  <si>
    <t>N53</t>
  </si>
  <si>
    <t>O53</t>
  </si>
  <si>
    <t>M55</t>
  </si>
  <si>
    <t>N55</t>
  </si>
  <si>
    <t>O55</t>
  </si>
  <si>
    <t>M56</t>
  </si>
  <si>
    <t>N56</t>
  </si>
  <si>
    <t>O56</t>
  </si>
  <si>
    <t>M58</t>
  </si>
  <si>
    <t>N58</t>
  </si>
  <si>
    <t>O58</t>
  </si>
  <si>
    <t>M59</t>
  </si>
  <si>
    <t>N59</t>
  </si>
  <si>
    <t>O59</t>
  </si>
  <si>
    <t>C60</t>
  </si>
  <si>
    <t>D60</t>
  </si>
  <si>
    <t>E60</t>
  </si>
  <si>
    <t>F60</t>
  </si>
  <si>
    <t>G60</t>
  </si>
  <si>
    <t>H60</t>
  </si>
  <si>
    <t>I60</t>
  </si>
  <si>
    <t>J60</t>
  </si>
  <si>
    <t>K60</t>
  </si>
  <si>
    <t>L60</t>
  </si>
  <si>
    <t>M60</t>
  </si>
  <si>
    <t>N60</t>
  </si>
  <si>
    <t>O60</t>
  </si>
  <si>
    <t>M61</t>
  </si>
  <si>
    <t>N61</t>
  </si>
  <si>
    <t>O61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</si>
  <si>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</si>
  <si>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</si>
  <si>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</si>
  <si>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</si>
  <si>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</si>
  <si>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</si>
  <si>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</si>
  <si>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</si>
  <si>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</si>
  <si>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</si>
  <si>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M62</t>
  </si>
  <si>
    <t>N62</t>
  </si>
  <si>
    <t>O62</t>
  </si>
  <si>
    <t>M63</t>
  </si>
  <si>
    <t>N63</t>
  </si>
  <si>
    <t>O63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</si>
  <si>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</si>
  <si>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</si>
  <si>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</si>
  <si>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</si>
  <si>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</si>
  <si>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</si>
  <si>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</si>
  <si>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</si>
  <si>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</si>
  <si>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</si>
  <si>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M64</t>
  </si>
  <si>
    <t>N64</t>
  </si>
  <si>
    <t>O64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</si>
  <si>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</si>
  <si>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</si>
  <si>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</si>
  <si>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</si>
  <si>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</si>
  <si>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</si>
  <si>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</si>
  <si>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</si>
  <si>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</si>
  <si>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</si>
  <si>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M65</t>
  </si>
  <si>
    <t>N65</t>
  </si>
  <si>
    <t>O65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</si>
  <si>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</si>
  <si>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</si>
  <si>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</si>
  <si>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</si>
  <si>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</si>
  <si>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</si>
  <si>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</si>
  <si>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</si>
  <si>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</si>
  <si>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</si>
  <si>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M66</t>
  </si>
  <si>
    <t>N66</t>
  </si>
  <si>
    <t>O66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</si>
  <si>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</si>
  <si>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</si>
  <si>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</si>
  <si>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</si>
  <si>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</si>
  <si>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</si>
  <si>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</si>
  <si>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</si>
  <si>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</si>
  <si>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</si>
  <si>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M67</t>
  </si>
  <si>
    <t>N67</t>
  </si>
  <si>
    <t>O67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</si>
  <si>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</si>
  <si>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</si>
  <si>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</si>
  <si>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</si>
  <si>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</si>
  <si>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</si>
  <si>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</si>
  <si>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</si>
  <si>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</si>
  <si>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</si>
  <si>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M68</t>
  </si>
  <si>
    <t>N68</t>
  </si>
  <si>
    <t>O68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</si>
  <si>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</si>
  <si>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</si>
  <si>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</si>
  <si>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</si>
  <si>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</si>
  <si>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</si>
  <si>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</si>
  <si>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</si>
  <si>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</si>
  <si>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</si>
  <si>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M69</t>
  </si>
  <si>
    <t>N69</t>
  </si>
  <si>
    <t>O69</t>
  </si>
  <si>
    <t>PART. ALIENAÇÃO CONTROLADAS (BARICOR e GESTÃO)</t>
  </si>
  <si>
    <t>Valor líquido</t>
  </si>
  <si>
    <t>Taxas e serviços</t>
  </si>
  <si>
    <t>Correção sobre a venda parcelada</t>
  </si>
  <si>
    <t>ÁGIO BARISEG REF. VENDA BARICOR</t>
  </si>
  <si>
    <t>Carteira de Crédito Média *</t>
  </si>
  <si>
    <t>CRIs</t>
  </si>
  <si>
    <t>Taxa Média Carteira</t>
  </si>
  <si>
    <t xml:space="preserve">Despesas Administrativas </t>
  </si>
  <si>
    <t>Carteira de Crédito SD Cliente (média)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</si>
</sst>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(* #,##0_);_(* \(#,##0\);_(* &quot;-&quot;??_);_(@_)"/>
    <numFmt numFmtId="166" formatCode="_-* #,##0_-;\-* #,##0_-;_-* &quot;-&quot;??_-;_-@_-"/>
    <numFmt numFmtId="167" formatCode="#,##0;[Red]\(#,##0\)"/>
    <numFmt numFmtId="168" formatCode="0.0%;[Red]\(0.0%\)"/>
    <numFmt numFmtId="169" formatCode="0.0%"/>
    <numFmt numFmtId="170" formatCode="0.00%;[Red]\(0.00%\)"/>
    <numFmt numFmtId="171" formatCode="0.00&quot; pp&quot;;[Red]\-0.00&quot; pp&quot;"/>
    <numFmt numFmtId="172" formatCode="[$-416]mmmm\-yy;@"/>
    <numFmt numFmtId="173" formatCode="_-* #,##0.0_-;\-* #,##0.0_-;_-* &quot;-&quot;??_-;_-@_-"/>
    <numFmt numFmtId="174" formatCode="0.0&quot; pp&quot;;[Red]\-0.0&quot; pp&quot;"/>
    <numFmt numFmtId="175" formatCode="0.0\ &quot;pp&quot;;[Red]\(0.0\ &quot;pp&quot;\)"/>
    <numFmt numFmtId="176" formatCode="_([$€-2]* #,##0.00_);_([$€-2]* \(#,##0.00\);_([$€-2]* \-??_)"/>
    <numFmt numFmtId="177" formatCode="_(&quot;R$ &quot;* #,##0.00_);_(&quot;R$ &quot;* \(#,##0.00\);_(&quot;R$ &quot;* \-??_);_(@_)"/>
    <numFmt numFmtId="178" formatCode="_-&quot;R$&quot;* #,##0.00_-;\-&quot;R$&quot;* #,##0.00_-;_-&quot;R$&quot;* &quot;-&quot;??_-;_-@_-"/>
    <numFmt numFmtId="179" formatCode="_([$€-2]* #,##0.00_);_([$€-2]* \(#,##0.00\);_([$€-2]* &quot;-&quot;??_)"/>
    <numFmt numFmtId="180" formatCode="_(* #,##0.00_);_(* \(#,##0.00\);_(* \-??_);_(@_)"/>
    <numFmt numFmtId="181" formatCode="#,##0.00;[Red]\-#,##0.00;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5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Tahom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Tahoma"/>
      <family val="2"/>
    </font>
    <font>
      <i/>
      <sz val="10"/>
      <name val="Nunito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theme="1"/>
      <name val="Verdana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9"/>
      <color theme="0"/>
      <name val="Tahoma"/>
      <family val="2"/>
    </font>
    <font>
      <b/>
      <i/>
      <sz val="1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9"/>
      <color rgb="FFFF000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74">
    <xf numFmtId="0" fontId="0" fillId="0" borderId="0"/>
    <xf numFmtId="43" fontId="1" fillId="0" borderId="0"/>
    <xf numFmtId="43" fontId="3" fillId="0" borderId="0"/>
    <xf numFmtId="9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0" fillId="0" borderId="0"/>
    <xf numFmtId="0" fontId="13" fillId="0" borderId="0"/>
    <xf numFmtId="9" fontId="13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3" fontId="14" fillId="0" borderId="0"/>
    <xf numFmtId="0" fontId="3" fillId="0" borderId="0"/>
    <xf numFmtId="176" fontId="3" fillId="0" borderId="0"/>
    <xf numFmtId="177" fontId="3" fillId="0" borderId="0"/>
    <xf numFmtId="0" fontId="15" fillId="0" borderId="9"/>
    <xf numFmtId="43" fontId="3" fillId="0" borderId="0"/>
    <xf numFmtId="0" fontId="16" fillId="0" borderId="0"/>
    <xf numFmtId="0" fontId="17" fillId="11" borderId="0"/>
    <xf numFmtId="0" fontId="9" fillId="13" borderId="0"/>
    <xf numFmtId="0" fontId="9" fillId="14" borderId="0"/>
    <xf numFmtId="0" fontId="9" fillId="15" borderId="0"/>
    <xf numFmtId="0" fontId="9" fillId="16" borderId="0"/>
    <xf numFmtId="0" fontId="9" fillId="17" borderId="0"/>
    <xf numFmtId="0" fontId="9" fillId="18" borderId="0"/>
    <xf numFmtId="0" fontId="1" fillId="0" borderId="0"/>
    <xf numFmtId="9" fontId="1" fillId="0" borderId="0"/>
    <xf numFmtId="178" fontId="1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0" fontId="11" fillId="0" borderId="0">
      <alignment vertical="top"/>
    </xf>
    <xf numFmtId="44" fontId="18" fillId="0" borderId="0"/>
    <xf numFmtId="0" fontId="11" fillId="0" borderId="0">
      <alignment vertical="top"/>
    </xf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44" fontId="1" fillId="0" borderId="0"/>
    <xf numFmtId="0" fontId="12" fillId="0" borderId="0"/>
    <xf numFmtId="43" fontId="10" fillId="0" borderId="0"/>
    <xf numFmtId="9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9" fontId="1" fillId="0" borderId="0"/>
    <xf numFmtId="9" fontId="3" fillId="0" borderId="0"/>
    <xf numFmtId="43" fontId="3" fillId="0" borderId="0"/>
    <xf numFmtId="43" fontId="1" fillId="0" borderId="0"/>
    <xf numFmtId="16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3" fillId="0" borderId="0"/>
    <xf numFmtId="9" fontId="1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0" fontId="11" fillId="0" borderId="0">
      <alignment vertical="top"/>
    </xf>
    <xf numFmtId="0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0" fontId="14" fillId="0" borderId="0"/>
    <xf numFmtId="43" fontId="14" fillId="0" borderId="0"/>
    <xf numFmtId="9" fontId="14" fillId="0" borderId="0"/>
    <xf numFmtId="43" fontId="3" fillId="0" borderId="0"/>
    <xf numFmtId="43" fontId="14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11" fillId="0" borderId="0">
      <alignment vertical="top"/>
    </xf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3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9" fontId="1" fillId="0" borderId="0"/>
    <xf numFmtId="0" fontId="1" fillId="0" borderId="0"/>
    <xf numFmtId="44" fontId="1" fillId="0" borderId="0"/>
    <xf numFmtId="164" fontId="1" fillId="0" borderId="0"/>
    <xf numFmtId="43" fontId="11" fillId="0" borderId="0">
      <alignment vertical="top"/>
    </xf>
    <xf numFmtId="0" fontId="10" fillId="0" borderId="0"/>
    <xf numFmtId="0" fontId="13" fillId="0" borderId="0"/>
    <xf numFmtId="0" fontId="1" fillId="12" borderId="8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3" fontId="14" fillId="0" borderId="0"/>
    <xf numFmtId="176" fontId="3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0" fontId="11" fillId="0" borderId="0">
      <alignment vertical="top"/>
    </xf>
    <xf numFmtId="44" fontId="18" fillId="0" borderId="0"/>
    <xf numFmtId="0" fontId="11" fillId="0" borderId="0">
      <alignment vertical="top"/>
    </xf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4" fontId="1" fillId="0" borderId="0"/>
    <xf numFmtId="0" fontId="12" fillId="0" borderId="0"/>
    <xf numFmtId="43" fontId="10" fillId="0" borderId="0"/>
    <xf numFmtId="9" fontId="10" fillId="0" borderId="0"/>
    <xf numFmtId="43" fontId="1" fillId="0" borderId="0"/>
    <xf numFmtId="43" fontId="3" fillId="0" borderId="0"/>
    <xf numFmtId="0" fontId="1" fillId="0" borderId="0"/>
    <xf numFmtId="43" fontId="1" fillId="0" borderId="0"/>
    <xf numFmtId="0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9" fontId="1" fillId="0" borderId="0"/>
    <xf numFmtId="9" fontId="3" fillId="0" borderId="0"/>
    <xf numFmtId="43" fontId="3" fillId="0" borderId="0"/>
    <xf numFmtId="16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0" fontId="11" fillId="0" borderId="0">
      <alignment vertical="top"/>
    </xf>
    <xf numFmtId="0" fontId="3" fillId="0" borderId="0"/>
    <xf numFmtId="179" fontId="3" fillId="0" borderId="0"/>
    <xf numFmtId="0" fontId="3" fillId="0" borderId="0"/>
    <xf numFmtId="0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" fillId="0" borderId="0"/>
    <xf numFmtId="0" fontId="36" fillId="0" borderId="0"/>
    <xf numFmtId="43" fontId="11" fillId="0" borderId="0">
      <alignment vertical="top"/>
    </xf>
    <xf numFmtId="44" fontId="18" fillId="0" borderId="0"/>
    <xf numFmtId="0" fontId="37" fillId="0" borderId="0"/>
    <xf numFmtId="44" fontId="1" fillId="0" borderId="0"/>
    <xf numFmtId="44" fontId="1" fillId="0" borderId="0"/>
    <xf numFmtId="0" fontId="35" fillId="0" borderId="0"/>
    <xf numFmtId="180" fontId="36" fillId="0" borderId="0"/>
    <xf numFmtId="0" fontId="36" fillId="0" borderId="0"/>
    <xf numFmtId="0" fontId="37" fillId="0" borderId="0"/>
    <xf numFmtId="0" fontId="3" fillId="0" borderId="0"/>
    <xf numFmtId="44" fontId="18" fillId="0" borderId="0"/>
    <xf numFmtId="44" fontId="1" fillId="0" borderId="0"/>
    <xf numFmtId="0" fontId="34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0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44" fontId="18" fillId="0" borderId="0"/>
    <xf numFmtId="0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8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5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3" fillId="0" borderId="0"/>
    <xf numFmtId="0" fontId="38" fillId="0" borderId="0"/>
    <xf numFmtId="44" fontId="1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>
      <alignment vertical="top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11" fillId="0" borderId="0">
      <alignment vertical="top"/>
    </xf>
    <xf numFmtId="43" fontId="11" fillId="0" borderId="0">
      <alignment vertical="top"/>
    </xf>
    <xf numFmtId="44" fontId="3" fillId="0" borderId="0"/>
    <xf numFmtId="43" fontId="3" fillId="0" borderId="0"/>
    <xf numFmtId="43" fontId="1" fillId="0" borderId="0"/>
    <xf numFmtId="43" fontId="3" fillId="0" borderId="0"/>
    <xf numFmtId="43" fontId="11" fillId="0" borderId="0">
      <alignment vertical="top"/>
    </xf>
    <xf numFmtId="43" fontId="3" fillId="0" borderId="0"/>
    <xf numFmtId="43" fontId="3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1" fillId="0" borderId="0">
      <alignment vertical="top"/>
    </xf>
    <xf numFmtId="44" fontId="18" fillId="0" borderId="0"/>
    <xf numFmtId="44" fontId="1" fillId="0" borderId="0"/>
    <xf numFmtId="44" fontId="1" fillId="0" borderId="0"/>
    <xf numFmtId="44" fontId="18" fillId="0" borderId="0"/>
    <xf numFmtId="44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530">
    <xf numFmtId="0" fontId="0" fillId="0" borderId="0" xfId="0"/>
    <xf numFmtId="0" fontId="2" fillId="0" borderId="1" xfId="0" applyFont="1" applyBorder="1"/>
    <xf numFmtId="14" fontId="2" fillId="2" borderId="1" xfId="0" applyNumberFormat="1" applyFont="1" applyFill="1" applyBorder="1" applyAlignment="1">
      <alignment horizontal="center"/>
    </xf>
    <xf numFmtId="0" fontId="0" fillId="3" borderId="0" xfId="0" applyFill="1"/>
    <xf numFmtId="43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1" applyNumberFormat="1" applyFont="1"/>
    <xf numFmtId="0" fontId="5" fillId="0" borderId="0" xfId="0" applyFont="1"/>
    <xf numFmtId="165" fontId="0" fillId="0" borderId="0" xfId="1" applyNumberFormat="1" applyFont="1"/>
    <xf numFmtId="165" fontId="4" fillId="0" borderId="0" xfId="1" applyNumberFormat="1" applyFont="1" applyAlignment="1">
      <alignment vertical="top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165" fontId="2" fillId="0" borderId="0" xfId="1" applyNumberFormat="1" applyFont="1"/>
    <xf numFmtId="0" fontId="5" fillId="8" borderId="0" xfId="0" applyFont="1" applyFill="1"/>
    <xf numFmtId="0" fontId="0" fillId="0" borderId="1" xfId="0" applyBorder="1"/>
    <xf numFmtId="164" fontId="4" fillId="10" borderId="0" xfId="2" applyNumberFormat="1" applyFont="1" applyFill="1" applyAlignment="1">
      <alignment horizontal="center"/>
    </xf>
    <xf numFmtId="14" fontId="0" fillId="0" borderId="0" xfId="0" applyNumberFormat="1"/>
    <xf numFmtId="0" fontId="6" fillId="0" borderId="0" xfId="0" applyFont="1"/>
    <xf numFmtId="0" fontId="2" fillId="0" borderId="0" xfId="0" applyFont="1"/>
    <xf numFmtId="165" fontId="0" fillId="0" borderId="0" xfId="0" applyNumberFormat="1"/>
    <xf numFmtId="164" fontId="4" fillId="10" borderId="0" xfId="2" applyNumberFormat="1" applyFont="1" applyFill="1" applyAlignment="1">
      <alignment horizontal="left"/>
    </xf>
    <xf numFmtId="0" fontId="19" fillId="0" borderId="0" xfId="0" applyFont="1"/>
    <xf numFmtId="0" fontId="20" fillId="8" borderId="0" xfId="0" applyFont="1" applyFill="1"/>
    <xf numFmtId="165" fontId="20" fillId="0" borderId="0" xfId="1" applyNumberFormat="1" applyFont="1"/>
    <xf numFmtId="0" fontId="20" fillId="0" borderId="0" xfId="0" applyFont="1"/>
    <xf numFmtId="0" fontId="19" fillId="8" borderId="0" xfId="0" applyFont="1" applyFill="1" applyAlignment="1">
      <alignment vertical="center"/>
    </xf>
    <xf numFmtId="0" fontId="19" fillId="8" borderId="0" xfId="0" applyFont="1" applyFill="1"/>
    <xf numFmtId="165" fontId="4" fillId="7" borderId="0" xfId="1" applyNumberFormat="1" applyFont="1" applyFill="1"/>
    <xf numFmtId="0" fontId="8" fillId="0" borderId="0" xfId="0" applyFont="1"/>
    <xf numFmtId="166" fontId="19" fillId="0" borderId="0" xfId="1" applyNumberFormat="1" applyFont="1"/>
    <xf numFmtId="166" fontId="20" fillId="8" borderId="0" xfId="1" applyNumberFormat="1" applyFont="1" applyFill="1"/>
    <xf numFmtId="166" fontId="20" fillId="0" borderId="0" xfId="1" applyNumberFormat="1" applyFont="1"/>
    <xf numFmtId="166" fontId="19" fillId="8" borderId="0" xfId="1" applyNumberFormat="1" applyFont="1" applyFill="1" applyAlignment="1">
      <alignment vertical="center"/>
    </xf>
    <xf numFmtId="166" fontId="19" fillId="8" borderId="0" xfId="1" applyNumberFormat="1" applyFont="1" applyFill="1"/>
    <xf numFmtId="166" fontId="4" fillId="7" borderId="0" xfId="1" applyNumberFormat="1" applyFont="1" applyFill="1"/>
    <xf numFmtId="166" fontId="0" fillId="0" borderId="0" xfId="1" applyNumberFormat="1" applyFont="1"/>
    <xf numFmtId="0" fontId="0" fillId="9" borderId="0" xfId="0" applyFill="1"/>
    <xf numFmtId="0" fontId="2" fillId="9" borderId="0" xfId="0" applyFont="1" applyFill="1"/>
    <xf numFmtId="0" fontId="5" fillId="0" borderId="10" xfId="0" applyFont="1" applyBorder="1"/>
    <xf numFmtId="0" fontId="5" fillId="0" borderId="12" xfId="0" applyFont="1" applyBorder="1"/>
    <xf numFmtId="9" fontId="0" fillId="0" borderId="0" xfId="3" applyFont="1"/>
    <xf numFmtId="43" fontId="4" fillId="0" borderId="1" xfId="2" applyFont="1" applyBorder="1" applyAlignment="1">
      <alignment horizontal="center"/>
    </xf>
    <xf numFmtId="167" fontId="4" fillId="0" borderId="0" xfId="1" applyNumberFormat="1" applyFont="1"/>
    <xf numFmtId="167" fontId="0" fillId="0" borderId="4" xfId="1" applyNumberFormat="1" applyFont="1" applyBorder="1"/>
    <xf numFmtId="167" fontId="0" fillId="0" borderId="0" xfId="1" applyNumberFormat="1" applyFont="1"/>
    <xf numFmtId="167" fontId="4" fillId="0" borderId="0" xfId="1" applyNumberFormat="1" applyFont="1" applyAlignment="1">
      <alignment vertical="top"/>
    </xf>
    <xf numFmtId="167" fontId="0" fillId="0" borderId="11" xfId="1" applyNumberFormat="1" applyFont="1" applyBorder="1"/>
    <xf numFmtId="167" fontId="0" fillId="0" borderId="12" xfId="1" applyNumberFormat="1" applyFont="1" applyBorder="1"/>
    <xf numFmtId="167" fontId="0" fillId="0" borderId="0" xfId="0" applyNumberFormat="1"/>
    <xf numFmtId="167" fontId="0" fillId="0" borderId="1" xfId="0" applyNumberFormat="1" applyBorder="1"/>
    <xf numFmtId="168" fontId="0" fillId="0" borderId="5" xfId="3" applyNumberFormat="1" applyFont="1" applyBorder="1" applyAlignment="1">
      <alignment horizontal="right"/>
    </xf>
    <xf numFmtId="168" fontId="5" fillId="0" borderId="5" xfId="3" applyNumberFormat="1" applyFont="1" applyBorder="1" applyAlignment="1">
      <alignment horizontal="right"/>
    </xf>
    <xf numFmtId="168" fontId="0" fillId="0" borderId="13" xfId="3" applyNumberFormat="1" applyFont="1" applyBorder="1" applyAlignment="1">
      <alignment horizontal="right"/>
    </xf>
    <xf numFmtId="168" fontId="0" fillId="0" borderId="0" xfId="3" applyNumberFormat="1" applyFont="1" applyAlignment="1">
      <alignment horizontal="right"/>
    </xf>
    <xf numFmtId="168" fontId="5" fillId="0" borderId="0" xfId="3" applyNumberFormat="1" applyFont="1" applyAlignment="1">
      <alignment horizontal="right"/>
    </xf>
    <xf numFmtId="167" fontId="0" fillId="3" borderId="0" xfId="1" applyNumberFormat="1" applyFont="1" applyFill="1"/>
    <xf numFmtId="167" fontId="0" fillId="4" borderId="1" xfId="1" applyNumberFormat="1" applyFont="1" applyFill="1" applyBorder="1"/>
    <xf numFmtId="167" fontId="0" fillId="5" borderId="1" xfId="1" applyNumberFormat="1" applyFont="1" applyFill="1" applyBorder="1"/>
    <xf numFmtId="167" fontId="0" fillId="6" borderId="1" xfId="1" applyNumberFormat="1" applyFont="1" applyFill="1" applyBorder="1"/>
    <xf numFmtId="167" fontId="0" fillId="0" borderId="1" xfId="1" applyNumberFormat="1" applyFont="1" applyBorder="1"/>
    <xf numFmtId="168" fontId="0" fillId="0" borderId="4" xfId="3" applyNumberFormat="1" applyFont="1" applyBorder="1" applyAlignment="1">
      <alignment horizontal="right"/>
    </xf>
    <xf numFmtId="168" fontId="0" fillId="0" borderId="7" xfId="3" applyNumberFormat="1" applyFont="1" applyBorder="1" applyAlignment="1">
      <alignment horizontal="right"/>
    </xf>
    <xf numFmtId="167" fontId="22" fillId="0" borderId="0" xfId="1" applyNumberFormat="1" applyFont="1"/>
    <xf numFmtId="0" fontId="22" fillId="0" borderId="0" xfId="0" applyFont="1"/>
    <xf numFmtId="168" fontId="0" fillId="0" borderId="10" xfId="3" applyNumberFormat="1" applyFont="1" applyBorder="1" applyAlignment="1">
      <alignment horizontal="right"/>
    </xf>
    <xf numFmtId="168" fontId="0" fillId="0" borderId="1" xfId="3" applyNumberFormat="1" applyFont="1" applyBorder="1" applyAlignment="1">
      <alignment horizontal="right"/>
    </xf>
    <xf numFmtId="10" fontId="0" fillId="0" borderId="0" xfId="3" applyNumberFormat="1" applyFont="1"/>
    <xf numFmtId="168" fontId="0" fillId="0" borderId="6" xfId="3" applyNumberFormat="1" applyFont="1" applyBorder="1" applyAlignment="1">
      <alignment horizontal="right"/>
    </xf>
    <xf numFmtId="168" fontId="0" fillId="0" borderId="12" xfId="3" applyNumberFormat="1" applyFont="1" applyBorder="1" applyAlignment="1">
      <alignment horizontal="right"/>
    </xf>
    <xf numFmtId="43" fontId="4" fillId="0" borderId="2" xfId="2" applyFont="1" applyBorder="1" applyAlignment="1">
      <alignment horizontal="center"/>
    </xf>
    <xf numFmtId="0" fontId="21" fillId="0" borderId="0" xfId="0" applyFont="1" applyAlignment="1">
      <alignment horizontal="left" indent="2"/>
    </xf>
    <xf numFmtId="0" fontId="23" fillId="8" borderId="0" xfId="0" applyFont="1" applyFill="1" applyAlignment="1">
      <alignment horizontal="left" indent="2"/>
    </xf>
    <xf numFmtId="43" fontId="0" fillId="0" borderId="0" xfId="1" applyFont="1"/>
    <xf numFmtId="168" fontId="4" fillId="0" borderId="3" xfId="2" applyNumberFormat="1" applyFont="1" applyBorder="1" applyAlignment="1">
      <alignment horizontal="center"/>
    </xf>
    <xf numFmtId="168" fontId="4" fillId="0" borderId="1" xfId="2" applyNumberFormat="1" applyFont="1" applyBorder="1" applyAlignment="1">
      <alignment horizontal="center"/>
    </xf>
    <xf numFmtId="0" fontId="21" fillId="0" borderId="0" xfId="0" applyFont="1" applyAlignment="1">
      <alignment horizontal="left" indent="3"/>
    </xf>
    <xf numFmtId="0" fontId="0" fillId="0" borderId="12" xfId="0" applyBorder="1"/>
    <xf numFmtId="168" fontId="0" fillId="0" borderId="3" xfId="3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8" fontId="4" fillId="0" borderId="3" xfId="3" applyNumberFormat="1" applyFont="1" applyBorder="1" applyAlignment="1">
      <alignment horizontal="right"/>
    </xf>
    <xf numFmtId="166" fontId="0" fillId="0" borderId="0" xfId="0" applyNumberFormat="1"/>
    <xf numFmtId="0" fontId="0" fillId="0" borderId="14" xfId="0" applyBorder="1"/>
    <xf numFmtId="165" fontId="0" fillId="19" borderId="0" xfId="1" applyNumberFormat="1" applyFont="1" applyFill="1"/>
    <xf numFmtId="166" fontId="21" fillId="0" borderId="0" xfId="1" applyNumberFormat="1" applyFont="1" applyAlignment="1">
      <alignment horizontal="left" indent="2"/>
    </xf>
    <xf numFmtId="165" fontId="0" fillId="9" borderId="0" xfId="1" applyNumberFormat="1" applyFont="1" applyFill="1"/>
    <xf numFmtId="9" fontId="0" fillId="0" borderId="0" xfId="0" applyNumberFormat="1"/>
    <xf numFmtId="0" fontId="4" fillId="0" borderId="12" xfId="0" applyFont="1" applyBorder="1"/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169" fontId="0" fillId="0" borderId="0" xfId="3" applyNumberFormat="1" applyFont="1"/>
    <xf numFmtId="43" fontId="0" fillId="0" borderId="0" xfId="1" applyFont="1" applyAlignment="1">
      <alignment horizontal="right"/>
    </xf>
    <xf numFmtId="166" fontId="0" fillId="0" borderId="0" xfId="1" applyNumberFormat="1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left" indent="1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26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left" indent="2"/>
    </xf>
    <xf numFmtId="0" fontId="0" fillId="0" borderId="10" xfId="0" applyBorder="1"/>
    <xf numFmtId="0" fontId="0" fillId="0" borderId="0" xfId="0" quotePrefix="1"/>
    <xf numFmtId="167" fontId="0" fillId="0" borderId="7" xfId="1" applyNumberFormat="1" applyFont="1" applyBorder="1"/>
    <xf numFmtId="167" fontId="0" fillId="0" borderId="10" xfId="1" applyNumberFormat="1" applyFont="1" applyBorder="1"/>
    <xf numFmtId="168" fontId="5" fillId="0" borderId="3" xfId="3" applyNumberFormat="1" applyFont="1" applyBorder="1" applyAlignment="1">
      <alignment horizontal="right"/>
    </xf>
    <xf numFmtId="168" fontId="5" fillId="0" borderId="13" xfId="3" applyNumberFormat="1" applyFont="1" applyBorder="1" applyAlignment="1">
      <alignment horizontal="right"/>
    </xf>
    <xf numFmtId="168" fontId="1" fillId="0" borderId="0" xfId="3" applyNumberFormat="1" applyAlignment="1">
      <alignment horizontal="right"/>
    </xf>
    <xf numFmtId="9" fontId="0" fillId="20" borderId="0" xfId="0" applyNumberFormat="1" applyFill="1" applyAlignment="1">
      <alignment horizontal="center"/>
    </xf>
    <xf numFmtId="165" fontId="20" fillId="20" borderId="0" xfId="1" applyNumberFormat="1" applyFont="1" applyFill="1"/>
    <xf numFmtId="0" fontId="5" fillId="0" borderId="14" xfId="0" applyFont="1" applyBorder="1"/>
    <xf numFmtId="0" fontId="28" fillId="0" borderId="0" xfId="0" applyFont="1"/>
    <xf numFmtId="166" fontId="28" fillId="0" borderId="0" xfId="0" applyNumberFormat="1" applyFont="1"/>
    <xf numFmtId="38" fontId="0" fillId="3" borderId="0" xfId="1" applyNumberFormat="1" applyFont="1" applyFill="1"/>
    <xf numFmtId="166" fontId="0" fillId="21" borderId="0" xfId="1" applyNumberFormat="1" applyFont="1" applyFill="1"/>
    <xf numFmtId="43" fontId="4" fillId="0" borderId="12" xfId="2" applyFont="1" applyBorder="1" applyAlignment="1">
      <alignment horizontal="center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horizontal="left" vertical="center"/>
    </xf>
    <xf numFmtId="43" fontId="4" fillId="0" borderId="3" xfId="2" applyFont="1" applyBorder="1" applyAlignment="1">
      <alignment horizontal="center"/>
    </xf>
    <xf numFmtId="0" fontId="0" fillId="22" borderId="0" xfId="0" applyFill="1"/>
    <xf numFmtId="0" fontId="0" fillId="0" borderId="0" xfId="1" applyNumberFormat="1" applyFont="1" applyAlignment="1">
      <alignment horizontal="center"/>
    </xf>
    <xf numFmtId="43" fontId="4" fillId="0" borderId="10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4" fillId="0" borderId="10" xfId="0" applyFont="1" applyBorder="1"/>
    <xf numFmtId="0" fontId="21" fillId="0" borderId="0" xfId="0" applyFont="1" applyAlignment="1">
      <alignment horizontal="left" indent="1"/>
    </xf>
    <xf numFmtId="167" fontId="4" fillId="0" borderId="12" xfId="1" applyNumberFormat="1" applyFont="1" applyBorder="1"/>
    <xf numFmtId="0" fontId="2" fillId="0" borderId="12" xfId="0" applyFont="1" applyBorder="1"/>
    <xf numFmtId="168" fontId="4" fillId="0" borderId="13" xfId="2" applyNumberFormat="1" applyFont="1" applyBorder="1" applyAlignment="1">
      <alignment horizontal="center"/>
    </xf>
    <xf numFmtId="43" fontId="4" fillId="0" borderId="14" xfId="2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7" fontId="2" fillId="0" borderId="0" xfId="1" applyNumberFormat="1" applyFont="1"/>
    <xf numFmtId="0" fontId="19" fillId="0" borderId="12" xfId="0" applyFont="1" applyBorder="1"/>
    <xf numFmtId="167" fontId="2" fillId="0" borderId="12" xfId="0" applyNumberFormat="1" applyFont="1" applyBorder="1"/>
    <xf numFmtId="166" fontId="32" fillId="0" borderId="0" xfId="1" applyNumberFormat="1" applyFont="1"/>
    <xf numFmtId="0" fontId="20" fillId="0" borderId="14" xfId="0" applyFont="1" applyBorder="1" applyAlignment="1">
      <alignment horizontal="left" vertical="center"/>
    </xf>
    <xf numFmtId="165" fontId="22" fillId="0" borderId="0" xfId="1" applyNumberFormat="1" applyFont="1"/>
    <xf numFmtId="165" fontId="28" fillId="0" borderId="0" xfId="1" applyNumberFormat="1" applyFont="1"/>
    <xf numFmtId="165" fontId="29" fillId="0" borderId="0" xfId="1" applyNumberFormat="1" applyFont="1"/>
    <xf numFmtId="17" fontId="2" fillId="10" borderId="14" xfId="0" applyNumberFormat="1" applyFont="1" applyFill="1" applyBorder="1" applyAlignment="1">
      <alignment horizontal="center"/>
    </xf>
    <xf numFmtId="0" fontId="27" fillId="0" borderId="0" xfId="0" applyFont="1"/>
    <xf numFmtId="167" fontId="2" fillId="0" borderId="0" xfId="0" applyNumberFormat="1" applyFont="1"/>
    <xf numFmtId="10" fontId="1" fillId="0" borderId="0" xfId="3" applyNumberFormat="1"/>
    <xf numFmtId="0" fontId="8" fillId="0" borderId="12" xfId="0" applyFont="1" applyBorder="1"/>
    <xf numFmtId="10" fontId="8" fillId="0" borderId="12" xfId="0" applyNumberFormat="1" applyFont="1" applyBorder="1"/>
    <xf numFmtId="0" fontId="2" fillId="0" borderId="14" xfId="0" applyFont="1" applyBorder="1" applyAlignment="1">
      <alignment horizontal="center"/>
    </xf>
    <xf numFmtId="38" fontId="2" fillId="0" borderId="14" xfId="0" applyNumberFormat="1" applyFont="1" applyBorder="1" applyAlignment="1">
      <alignment horizontal="center"/>
    </xf>
    <xf numFmtId="0" fontId="2" fillId="24" borderId="14" xfId="0" applyFont="1" applyFill="1" applyBorder="1"/>
    <xf numFmtId="38" fontId="2" fillId="24" borderId="14" xfId="1" applyNumberFormat="1" applyFont="1" applyFill="1" applyBorder="1" applyAlignment="1">
      <alignment horizontal="right"/>
    </xf>
    <xf numFmtId="38" fontId="23" fillId="0" borderId="14" xfId="1" applyNumberFormat="1" applyFont="1" applyBorder="1" applyAlignment="1">
      <alignment horizontal="right"/>
    </xf>
    <xf numFmtId="0" fontId="2" fillId="24" borderId="14" xfId="0" applyFont="1" applyFill="1" applyBorder="1" applyAlignment="1">
      <alignment wrapText="1"/>
    </xf>
    <xf numFmtId="0" fontId="23" fillId="0" borderId="14" xfId="0" applyFont="1" applyBorder="1" applyAlignment="1">
      <alignment horizontal="left" indent="2"/>
    </xf>
    <xf numFmtId="43" fontId="0" fillId="0" borderId="0" xfId="1" applyFont="1" applyAlignment="1">
      <alignment horizontal="center"/>
    </xf>
    <xf numFmtId="38" fontId="0" fillId="0" borderId="0" xfId="0" applyNumberFormat="1"/>
    <xf numFmtId="43" fontId="4" fillId="0" borderId="13" xfId="2" applyFont="1" applyBorder="1" applyAlignment="1">
      <alignment horizontal="center"/>
    </xf>
    <xf numFmtId="167" fontId="0" fillId="0" borderId="5" xfId="1" applyNumberFormat="1" applyFont="1" applyBorder="1"/>
    <xf numFmtId="167" fontId="0" fillId="0" borderId="2" xfId="1" applyNumberFormat="1" applyFont="1" applyBorder="1"/>
    <xf numFmtId="167" fontId="0" fillId="0" borderId="3" xfId="1" applyNumberFormat="1" applyFont="1" applyBorder="1"/>
    <xf numFmtId="167" fontId="0" fillId="0" borderId="6" xfId="1" applyNumberFormat="1" applyFont="1" applyBorder="1"/>
    <xf numFmtId="167" fontId="0" fillId="0" borderId="13" xfId="1" applyNumberFormat="1" applyFont="1" applyBorder="1"/>
    <xf numFmtId="168" fontId="5" fillId="0" borderId="6" xfId="3" applyNumberFormat="1" applyFont="1" applyBorder="1" applyAlignment="1">
      <alignment horizontal="right"/>
    </xf>
    <xf numFmtId="170" fontId="0" fillId="0" borderId="3" xfId="3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0" fontId="8" fillId="0" borderId="0" xfId="0" applyNumberFormat="1" applyFont="1"/>
    <xf numFmtId="0" fontId="39" fillId="0" borderId="12" xfId="0" applyFont="1" applyBorder="1" applyAlignment="1">
      <alignment wrapText="1"/>
    </xf>
    <xf numFmtId="0" fontId="13" fillId="0" borderId="0" xfId="0" applyFont="1" applyAlignment="1">
      <alignment wrapText="1"/>
    </xf>
    <xf numFmtId="0" fontId="39" fillId="0" borderId="12" xfId="0" applyFont="1" applyBorder="1"/>
    <xf numFmtId="0" fontId="39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wrapText="1"/>
    </xf>
    <xf numFmtId="0" fontId="13" fillId="0" borderId="12" xfId="0" applyFont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horizontal="center" wrapText="1"/>
    </xf>
    <xf numFmtId="0" fontId="13" fillId="0" borderId="0" xfId="0" applyFont="1"/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indent="2"/>
    </xf>
    <xf numFmtId="165" fontId="23" fillId="0" borderId="0" xfId="1" applyNumberFormat="1" applyFont="1"/>
    <xf numFmtId="168" fontId="2" fillId="0" borderId="3" xfId="3" applyNumberFormat="1" applyFont="1" applyBorder="1" applyAlignment="1">
      <alignment horizontal="right"/>
    </xf>
    <xf numFmtId="10" fontId="2" fillId="0" borderId="2" xfId="3" applyNumberFormat="1" applyFont="1" applyBorder="1"/>
    <xf numFmtId="10" fontId="2" fillId="0" borderId="1" xfId="3" applyNumberFormat="1" applyFont="1" applyBorder="1"/>
    <xf numFmtId="10" fontId="0" fillId="0" borderId="7" xfId="3" applyNumberFormat="1" applyFont="1" applyBorder="1"/>
    <xf numFmtId="10" fontId="0" fillId="0" borderId="10" xfId="3" applyNumberFormat="1" applyFont="1" applyBorder="1"/>
    <xf numFmtId="170" fontId="0" fillId="0" borderId="0" xfId="3" applyNumberFormat="1" applyFont="1" applyAlignment="1">
      <alignment horizontal="right"/>
    </xf>
    <xf numFmtId="166" fontId="24" fillId="0" borderId="0" xfId="1" applyNumberFormat="1" applyFont="1"/>
    <xf numFmtId="166" fontId="8" fillId="0" borderId="0" xfId="1" applyNumberFormat="1" applyFont="1"/>
    <xf numFmtId="166" fontId="2" fillId="0" borderId="0" xfId="1" applyNumberFormat="1" applyFont="1"/>
    <xf numFmtId="166" fontId="25" fillId="0" borderId="0" xfId="1" applyNumberFormat="1" applyFont="1"/>
    <xf numFmtId="166" fontId="0" fillId="0" borderId="14" xfId="1" applyNumberFormat="1" applyFont="1" applyBorder="1" applyAlignment="1">
      <alignment horizontal="left"/>
    </xf>
    <xf numFmtId="166" fontId="22" fillId="0" borderId="14" xfId="1" applyNumberFormat="1" applyFont="1" applyBorder="1" applyAlignment="1">
      <alignment horizontal="left"/>
    </xf>
    <xf numFmtId="166" fontId="30" fillId="0" borderId="14" xfId="1" applyNumberFormat="1" applyFont="1" applyBorder="1" applyAlignment="1">
      <alignment horizontal="left"/>
    </xf>
    <xf numFmtId="38" fontId="22" fillId="0" borderId="14" xfId="1" applyNumberFormat="1" applyFont="1" applyBorder="1" applyAlignment="1">
      <alignment horizontal="right"/>
    </xf>
    <xf numFmtId="166" fontId="0" fillId="0" borderId="0" xfId="3" applyNumberFormat="1" applyFont="1"/>
    <xf numFmtId="0" fontId="0" fillId="20" borderId="0" xfId="0" applyFill="1"/>
    <xf numFmtId="0" fontId="5" fillId="20" borderId="0" xfId="0" applyFont="1" applyFill="1"/>
    <xf numFmtId="0" fontId="2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indent="1"/>
    </xf>
    <xf numFmtId="0" fontId="13" fillId="3" borderId="0" xfId="0" applyFont="1" applyFill="1"/>
    <xf numFmtId="0" fontId="0" fillId="0" borderId="0" xfId="0" applyAlignment="1">
      <alignment horizontal="left" vertical="top" wrapText="1"/>
    </xf>
    <xf numFmtId="171" fontId="0" fillId="0" borderId="6" xfId="3" applyNumberFormat="1" applyFont="1" applyBorder="1" applyAlignment="1">
      <alignment horizontal="right"/>
    </xf>
    <xf numFmtId="171" fontId="0" fillId="0" borderId="5" xfId="3" applyNumberFormat="1" applyFont="1" applyBorder="1" applyAlignment="1">
      <alignment horizontal="right"/>
    </xf>
    <xf numFmtId="171" fontId="0" fillId="0" borderId="13" xfId="3" applyNumberFormat="1" applyFont="1" applyBorder="1" applyAlignment="1">
      <alignment horizontal="right"/>
    </xf>
    <xf numFmtId="168" fontId="0" fillId="0" borderId="17" xfId="3" applyNumberFormat="1" applyFont="1" applyBorder="1" applyAlignment="1">
      <alignment horizontal="right"/>
    </xf>
    <xf numFmtId="168" fontId="0" fillId="0" borderId="16" xfId="3" applyNumberFormat="1" applyFont="1" applyBorder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72" fontId="2" fillId="0" borderId="0" xfId="0" applyNumberFormat="1" applyFont="1" applyAlignment="1">
      <alignment horizontal="center"/>
    </xf>
    <xf numFmtId="10" fontId="22" fillId="0" borderId="0" xfId="0" applyNumberFormat="1" applyFont="1"/>
    <xf numFmtId="168" fontId="0" fillId="0" borderId="3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5" fillId="0" borderId="2" xfId="0" applyFont="1" applyBorder="1"/>
    <xf numFmtId="167" fontId="0" fillId="0" borderId="3" xfId="0" applyNumberFormat="1" applyBorder="1"/>
    <xf numFmtId="0" fontId="0" fillId="0" borderId="2" xfId="0" applyBorder="1"/>
    <xf numFmtId="170" fontId="0" fillId="0" borderId="0" xfId="0" applyNumberFormat="1" applyAlignment="1">
      <alignment horizontal="center"/>
    </xf>
    <xf numFmtId="170" fontId="0" fillId="0" borderId="0" xfId="0" applyNumberFormat="1" applyAlignment="1">
      <alignment horizontal="right"/>
    </xf>
    <xf numFmtId="17" fontId="0" fillId="0" borderId="0" xfId="0" applyNumberFormat="1"/>
    <xf numFmtId="0" fontId="24" fillId="0" borderId="0" xfId="0" applyFont="1"/>
    <xf numFmtId="168" fontId="24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25" fillId="0" borderId="0" xfId="0" applyFont="1"/>
    <xf numFmtId="168" fontId="2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43" fontId="20" fillId="0" borderId="0" xfId="1" applyFont="1" applyAlignment="1">
      <alignment horizontal="left"/>
    </xf>
    <xf numFmtId="0" fontId="0" fillId="0" borderId="3" xfId="0" applyBorder="1"/>
    <xf numFmtId="0" fontId="5" fillId="0" borderId="17" xfId="0" applyFont="1" applyBorder="1"/>
    <xf numFmtId="0" fontId="5" fillId="0" borderId="16" xfId="0" applyFont="1" applyBorder="1"/>
    <xf numFmtId="0" fontId="5" fillId="0" borderId="15" xfId="0" applyFont="1" applyBorder="1"/>
    <xf numFmtId="167" fontId="4" fillId="0" borderId="1" xfId="1" applyNumberFormat="1" applyFont="1" applyBorder="1" applyAlignment="1">
      <alignment vertical="top"/>
    </xf>
    <xf numFmtId="167" fontId="4" fillId="0" borderId="2" xfId="1" applyNumberFormat="1" applyFont="1" applyBorder="1" applyAlignment="1">
      <alignment vertical="top"/>
    </xf>
    <xf numFmtId="0" fontId="5" fillId="0" borderId="4" xfId="0" applyFont="1" applyBorder="1"/>
    <xf numFmtId="43" fontId="4" fillId="0" borderId="0" xfId="2" applyFont="1" applyAlignment="1">
      <alignment horizontal="center"/>
    </xf>
    <xf numFmtId="10" fontId="2" fillId="0" borderId="0" xfId="3" applyNumberFormat="1" applyFont="1"/>
    <xf numFmtId="167" fontId="4" fillId="0" borderId="14" xfId="1" applyNumberFormat="1" applyFont="1" applyBorder="1" applyAlignment="1">
      <alignment vertical="top"/>
    </xf>
    <xf numFmtId="167" fontId="1" fillId="0" borderId="0" xfId="1" applyNumberFormat="1"/>
    <xf numFmtId="167" fontId="0" fillId="0" borderId="17" xfId="1" applyNumberFormat="1" applyFont="1" applyBorder="1"/>
    <xf numFmtId="167" fontId="0" fillId="0" borderId="16" xfId="1" applyNumberFormat="1" applyFont="1" applyBorder="1"/>
    <xf numFmtId="167" fontId="0" fillId="0" borderId="15" xfId="1" applyNumberFormat="1" applyFont="1" applyBorder="1"/>
    <xf numFmtId="3" fontId="0" fillId="0" borderId="0" xfId="1" applyNumberFormat="1" applyFont="1"/>
    <xf numFmtId="3" fontId="5" fillId="0" borderId="0" xfId="1" applyNumberFormat="1" applyFont="1"/>
    <xf numFmtId="2" fontId="0" fillId="0" borderId="0" xfId="3" applyNumberFormat="1" applyFont="1"/>
    <xf numFmtId="165" fontId="0" fillId="0" borderId="0" xfId="3" applyNumberFormat="1" applyFont="1"/>
    <xf numFmtId="168" fontId="1" fillId="0" borderId="5" xfId="3" applyNumberFormat="1" applyBorder="1" applyAlignment="1">
      <alignment horizontal="right"/>
    </xf>
    <xf numFmtId="167" fontId="1" fillId="0" borderId="4" xfId="1" applyNumberFormat="1" applyBorder="1"/>
    <xf numFmtId="10" fontId="2" fillId="0" borderId="3" xfId="3" applyNumberFormat="1" applyFont="1" applyBorder="1"/>
    <xf numFmtId="10" fontId="0" fillId="0" borderId="5" xfId="3" applyNumberFormat="1" applyFont="1" applyBorder="1"/>
    <xf numFmtId="168" fontId="0" fillId="0" borderId="5" xfId="0" applyNumberFormat="1" applyBorder="1" applyAlignment="1">
      <alignment horizontal="right"/>
    </xf>
    <xf numFmtId="10" fontId="0" fillId="0" borderId="4" xfId="3" applyNumberFormat="1" applyFont="1" applyBorder="1"/>
    <xf numFmtId="10" fontId="0" fillId="0" borderId="6" xfId="3" applyNumberFormat="1" applyFont="1" applyBorder="1"/>
    <xf numFmtId="0" fontId="0" fillId="0" borderId="4" xfId="0" applyBorder="1"/>
    <xf numFmtId="0" fontId="5" fillId="0" borderId="7" xfId="0" applyFont="1" applyBorder="1"/>
    <xf numFmtId="0" fontId="5" fillId="0" borderId="11" xfId="0" applyFont="1" applyBorder="1"/>
    <xf numFmtId="0" fontId="4" fillId="0" borderId="2" xfId="0" applyFont="1" applyBorder="1" applyAlignment="1">
      <alignment vertical="center"/>
    </xf>
    <xf numFmtId="0" fontId="21" fillId="0" borderId="4" xfId="0" applyFont="1" applyBorder="1" applyAlignment="1">
      <alignment horizontal="left" indent="2"/>
    </xf>
    <xf numFmtId="166" fontId="0" fillId="0" borderId="4" xfId="1" applyNumberFormat="1" applyFont="1" applyBorder="1"/>
    <xf numFmtId="166" fontId="0" fillId="0" borderId="5" xfId="1" applyNumberFormat="1" applyFont="1" applyBorder="1"/>
    <xf numFmtId="167" fontId="0" fillId="0" borderId="4" xfId="0" applyNumberFormat="1" applyBorder="1"/>
    <xf numFmtId="167" fontId="1" fillId="0" borderId="5" xfId="1" applyNumberFormat="1" applyBorder="1"/>
    <xf numFmtId="0" fontId="0" fillId="0" borderId="5" xfId="0" applyBorder="1"/>
    <xf numFmtId="0" fontId="22" fillId="0" borderId="15" xfId="0" applyFont="1" applyBorder="1" applyAlignment="1">
      <alignment horizontal="left" vertical="center" wrapText="1"/>
    </xf>
    <xf numFmtId="0" fontId="22" fillId="0" borderId="17" xfId="0" applyFont="1" applyBorder="1" applyAlignment="1">
      <alignment vertical="center" wrapText="1"/>
    </xf>
    <xf numFmtId="38" fontId="0" fillId="0" borderId="0" xfId="1" applyNumberFormat="1" applyFont="1"/>
    <xf numFmtId="167" fontId="20" fillId="0" borderId="0" xfId="1" applyNumberFormat="1" applyFont="1"/>
    <xf numFmtId="17" fontId="0" fillId="0" borderId="0" xfId="0" applyNumberFormat="1" applyAlignment="1">
      <alignment horizontal="center"/>
    </xf>
    <xf numFmtId="0" fontId="0" fillId="6" borderId="0" xfId="0" applyFill="1"/>
    <xf numFmtId="167" fontId="22" fillId="0" borderId="11" xfId="1" applyNumberFormat="1" applyFont="1" applyBorder="1"/>
    <xf numFmtId="167" fontId="22" fillId="0" borderId="12" xfId="1" applyNumberFormat="1" applyFont="1" applyBorder="1"/>
    <xf numFmtId="168" fontId="21" fillId="0" borderId="3" xfId="3" applyNumberFormat="1" applyFont="1" applyBorder="1" applyAlignment="1">
      <alignment horizontal="right"/>
    </xf>
    <xf numFmtId="168" fontId="21" fillId="0" borderId="6" xfId="3" applyNumberFormat="1" applyFont="1" applyBorder="1" applyAlignment="1">
      <alignment horizontal="right"/>
    </xf>
    <xf numFmtId="167" fontId="22" fillId="0" borderId="10" xfId="1" applyNumberFormat="1" applyFont="1" applyBorder="1"/>
    <xf numFmtId="43" fontId="22" fillId="0" borderId="0" xfId="1" applyFont="1"/>
    <xf numFmtId="167" fontId="22" fillId="0" borderId="7" xfId="1" applyNumberFormat="1" applyFont="1" applyBorder="1"/>
    <xf numFmtId="168" fontId="21" fillId="0" borderId="5" xfId="3" applyNumberFormat="1" applyFont="1" applyBorder="1" applyAlignment="1">
      <alignment horizontal="right"/>
    </xf>
    <xf numFmtId="168" fontId="21" fillId="0" borderId="13" xfId="3" applyNumberFormat="1" applyFont="1" applyBorder="1" applyAlignment="1">
      <alignment horizontal="right"/>
    </xf>
    <xf numFmtId="167" fontId="22" fillId="0" borderId="1" xfId="1" applyNumberFormat="1" applyFont="1" applyBorder="1"/>
    <xf numFmtId="0" fontId="4" fillId="0" borderId="2" xfId="0" applyFont="1" applyBorder="1"/>
    <xf numFmtId="168" fontId="5" fillId="0" borderId="12" xfId="3" applyNumberFormat="1" applyFont="1" applyBorder="1" applyAlignment="1">
      <alignment horizontal="right"/>
    </xf>
    <xf numFmtId="167" fontId="1" fillId="0" borderId="12" xfId="1" applyNumberFormat="1" applyBorder="1"/>
    <xf numFmtId="0" fontId="26" fillId="0" borderId="4" xfId="0" applyFont="1" applyBorder="1"/>
    <xf numFmtId="167" fontId="1" fillId="0" borderId="11" xfId="1" applyNumberFormat="1" applyBorder="1"/>
    <xf numFmtId="0" fontId="21" fillId="0" borderId="16" xfId="0" applyFont="1" applyBorder="1" applyAlignment="1">
      <alignment horizontal="left" indent="2"/>
    </xf>
    <xf numFmtId="168" fontId="22" fillId="0" borderId="5" xfId="3" applyNumberFormat="1" applyFont="1" applyBorder="1" applyAlignment="1">
      <alignment horizontal="right"/>
    </xf>
    <xf numFmtId="167" fontId="22" fillId="0" borderId="4" xfId="1" applyNumberFormat="1" applyFont="1" applyBorder="1"/>
    <xf numFmtId="167" fontId="22" fillId="0" borderId="5" xfId="1" applyNumberFormat="1" applyFont="1" applyBorder="1"/>
    <xf numFmtId="0" fontId="21" fillId="0" borderId="16" xfId="0" applyFont="1" applyBorder="1" applyAlignment="1">
      <alignment horizontal="left" indent="3"/>
    </xf>
    <xf numFmtId="0" fontId="21" fillId="0" borderId="15" xfId="0" applyFont="1" applyBorder="1" applyAlignment="1">
      <alignment horizontal="left" indent="2"/>
    </xf>
    <xf numFmtId="167" fontId="4" fillId="0" borderId="4" xfId="1" applyNumberFormat="1" applyFont="1" applyBorder="1" applyAlignment="1">
      <alignment vertical="top"/>
    </xf>
    <xf numFmtId="0" fontId="21" fillId="0" borderId="7" xfId="0" applyFont="1" applyBorder="1" applyAlignment="1">
      <alignment horizontal="left" indent="2"/>
    </xf>
    <xf numFmtId="167" fontId="1" fillId="0" borderId="7" xfId="1" applyNumberFormat="1" applyBorder="1"/>
    <xf numFmtId="167" fontId="1" fillId="0" borderId="10" xfId="1" applyNumberFormat="1" applyBorder="1"/>
    <xf numFmtId="168" fontId="5" fillId="0" borderId="10" xfId="3" applyNumberFormat="1" applyFont="1" applyBorder="1" applyAlignment="1">
      <alignment horizontal="right"/>
    </xf>
    <xf numFmtId="167" fontId="1" fillId="0" borderId="6" xfId="1" applyNumberFormat="1" applyBorder="1"/>
    <xf numFmtId="166" fontId="0" fillId="0" borderId="2" xfId="1" applyNumberFormat="1" applyFont="1" applyBorder="1"/>
    <xf numFmtId="0" fontId="4" fillId="0" borderId="7" xfId="0" applyFont="1" applyBorder="1"/>
    <xf numFmtId="10" fontId="2" fillId="0" borderId="7" xfId="3" applyNumberFormat="1" applyFont="1" applyBorder="1"/>
    <xf numFmtId="10" fontId="2" fillId="0" borderId="10" xfId="3" applyNumberFormat="1" applyFont="1" applyBorder="1"/>
    <xf numFmtId="168" fontId="2" fillId="0" borderId="6" xfId="3" applyNumberFormat="1" applyFont="1" applyBorder="1" applyAlignment="1">
      <alignment horizontal="right"/>
    </xf>
    <xf numFmtId="10" fontId="2" fillId="0" borderId="4" xfId="3" applyNumberFormat="1" applyFont="1" applyBorder="1"/>
    <xf numFmtId="168" fontId="2" fillId="0" borderId="5" xfId="3" applyNumberFormat="1" applyFont="1" applyBorder="1" applyAlignment="1">
      <alignment horizontal="right"/>
    </xf>
    <xf numFmtId="0" fontId="0" fillId="0" borderId="6" xfId="0" applyBorder="1"/>
    <xf numFmtId="0" fontId="0" fillId="0" borderId="13" xfId="0" applyBorder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4" fillId="0" borderId="11" xfId="0" applyFont="1" applyBorder="1"/>
    <xf numFmtId="10" fontId="2" fillId="0" borderId="11" xfId="3" applyNumberFormat="1" applyFont="1" applyBorder="1"/>
    <xf numFmtId="10" fontId="2" fillId="0" borderId="12" xfId="3" applyNumberFormat="1" applyFont="1" applyBorder="1"/>
    <xf numFmtId="168" fontId="2" fillId="0" borderId="13" xfId="3" applyNumberFormat="1" applyFont="1" applyBorder="1" applyAlignment="1">
      <alignment horizontal="right"/>
    </xf>
    <xf numFmtId="0" fontId="26" fillId="0" borderId="2" xfId="0" applyFont="1" applyBorder="1"/>
    <xf numFmtId="166" fontId="0" fillId="0" borderId="1" xfId="1" applyNumberFormat="1" applyFont="1" applyBorder="1"/>
    <xf numFmtId="166" fontId="0" fillId="0" borderId="3" xfId="1" applyNumberFormat="1" applyFont="1" applyBorder="1"/>
    <xf numFmtId="167" fontId="0" fillId="0" borderId="2" xfId="0" applyNumberFormat="1" applyBorder="1"/>
    <xf numFmtId="0" fontId="0" fillId="0" borderId="4" xfId="3" applyNumberFormat="1" applyFont="1" applyBorder="1" applyAlignment="1">
      <alignment horizontal="right"/>
    </xf>
    <xf numFmtId="167" fontId="0" fillId="0" borderId="0" xfId="0" quotePrefix="1" applyNumberFormat="1"/>
    <xf numFmtId="0" fontId="21" fillId="0" borderId="17" xfId="0" applyFont="1" applyBorder="1" applyAlignment="1">
      <alignment horizontal="left" indent="2"/>
    </xf>
    <xf numFmtId="43" fontId="1" fillId="0" borderId="0" xfId="1"/>
    <xf numFmtId="173" fontId="9" fillId="0" borderId="0" xfId="1" applyNumberFormat="1" applyFont="1" applyAlignment="1">
      <alignment horizontal="left"/>
    </xf>
    <xf numFmtId="167" fontId="4" fillId="26" borderId="2" xfId="1" applyNumberFormat="1" applyFont="1" applyFill="1" applyBorder="1" applyAlignment="1">
      <alignment vertical="top"/>
    </xf>
    <xf numFmtId="167" fontId="4" fillId="26" borderId="1" xfId="1" applyNumberFormat="1" applyFont="1" applyFill="1" applyBorder="1" applyAlignment="1">
      <alignment vertical="top"/>
    </xf>
    <xf numFmtId="168" fontId="4" fillId="26" borderId="3" xfId="3" applyNumberFormat="1" applyFont="1" applyFill="1" applyBorder="1" applyAlignment="1">
      <alignment horizontal="right"/>
    </xf>
    <xf numFmtId="0" fontId="4" fillId="26" borderId="14" xfId="0" applyFont="1" applyFill="1" applyBorder="1"/>
    <xf numFmtId="167" fontId="4" fillId="26" borderId="1" xfId="1" applyNumberFormat="1" applyFont="1" applyFill="1" applyBorder="1"/>
    <xf numFmtId="167" fontId="4" fillId="26" borderId="2" xfId="1" applyNumberFormat="1" applyFont="1" applyFill="1" applyBorder="1"/>
    <xf numFmtId="167" fontId="4" fillId="26" borderId="3" xfId="1" applyNumberFormat="1" applyFont="1" applyFill="1" applyBorder="1"/>
    <xf numFmtId="0" fontId="4" fillId="26" borderId="14" xfId="0" applyFont="1" applyFill="1" applyBorder="1" applyAlignment="1">
      <alignment vertical="center"/>
    </xf>
    <xf numFmtId="167" fontId="4" fillId="26" borderId="3" xfId="1" applyNumberFormat="1" applyFont="1" applyFill="1" applyBorder="1" applyAlignment="1">
      <alignment vertical="top"/>
    </xf>
    <xf numFmtId="167" fontId="4" fillId="26" borderId="1" xfId="1" applyNumberFormat="1" applyFont="1" applyFill="1" applyBorder="1" applyAlignment="1">
      <alignment vertical="center"/>
    </xf>
    <xf numFmtId="167" fontId="4" fillId="26" borderId="1" xfId="1" applyNumberFormat="1" applyFont="1" applyFill="1" applyBorder="1" applyAlignment="1">
      <alignment horizontal="center"/>
    </xf>
    <xf numFmtId="167" fontId="4" fillId="26" borderId="1" xfId="1" applyNumberFormat="1" applyFont="1" applyFill="1" applyBorder="1" applyAlignment="1">
      <alignment horizontal="right"/>
    </xf>
    <xf numFmtId="167" fontId="4" fillId="26" borderId="2" xfId="1" applyNumberFormat="1" applyFont="1" applyFill="1" applyBorder="1" applyAlignment="1">
      <alignment horizontal="right"/>
    </xf>
    <xf numFmtId="0" fontId="4" fillId="26" borderId="2" xfId="0" applyFont="1" applyFill="1" applyBorder="1" applyAlignment="1">
      <alignment vertical="center"/>
    </xf>
    <xf numFmtId="167" fontId="4" fillId="26" borderId="14" xfId="1" applyNumberFormat="1" applyFont="1" applyFill="1" applyBorder="1" applyAlignment="1">
      <alignment vertical="top"/>
    </xf>
    <xf numFmtId="4" fontId="0" fillId="0" borderId="0" xfId="0" applyNumberFormat="1"/>
    <xf numFmtId="0" fontId="19" fillId="3" borderId="0" xfId="0" applyFont="1" applyFill="1"/>
    <xf numFmtId="165" fontId="2" fillId="3" borderId="0" xfId="1" applyNumberFormat="1" applyFont="1" applyFill="1"/>
    <xf numFmtId="167" fontId="2" fillId="3" borderId="0" xfId="1" applyNumberFormat="1" applyFont="1" applyFill="1"/>
    <xf numFmtId="0" fontId="2" fillId="3" borderId="0" xfId="0" applyFont="1" applyFill="1"/>
    <xf numFmtId="167" fontId="2" fillId="3" borderId="0" xfId="0" applyNumberFormat="1" applyFont="1" applyFill="1"/>
    <xf numFmtId="0" fontId="19" fillId="3" borderId="0" xfId="0" applyFont="1" applyFill="1" applyAlignment="1">
      <alignment vertical="center"/>
    </xf>
    <xf numFmtId="165" fontId="0" fillId="3" borderId="0" xfId="1" applyNumberFormat="1" applyFont="1" applyFill="1"/>
    <xf numFmtId="165" fontId="20" fillId="3" borderId="0" xfId="1" applyNumberFormat="1" applyFont="1" applyFill="1"/>
    <xf numFmtId="165" fontId="4" fillId="3" borderId="0" xfId="1" applyNumberFormat="1" applyFont="1" applyFill="1"/>
    <xf numFmtId="165" fontId="41" fillId="27" borderId="0" xfId="1" applyNumberFormat="1" applyFont="1" applyFill="1"/>
    <xf numFmtId="167" fontId="7" fillId="27" borderId="0" xfId="0" applyNumberFormat="1" applyFont="1" applyFill="1"/>
    <xf numFmtId="0" fontId="9" fillId="27" borderId="0" xfId="0" applyFont="1" applyFill="1"/>
    <xf numFmtId="0" fontId="19" fillId="10" borderId="0" xfId="0" applyFont="1" applyFill="1"/>
    <xf numFmtId="14" fontId="2" fillId="10" borderId="0" xfId="0" applyNumberFormat="1" applyFont="1" applyFill="1"/>
    <xf numFmtId="0" fontId="2" fillId="10" borderId="0" xfId="0" applyFont="1" applyFill="1"/>
    <xf numFmtId="166" fontId="19" fillId="3" borderId="0" xfId="1" applyNumberFormat="1" applyFont="1" applyFill="1"/>
    <xf numFmtId="3" fontId="4" fillId="3" borderId="0" xfId="1" applyNumberFormat="1" applyFont="1" applyFill="1"/>
    <xf numFmtId="43" fontId="0" fillId="3" borderId="0" xfId="1" applyFont="1" applyFill="1"/>
    <xf numFmtId="165" fontId="4" fillId="3" borderId="0" xfId="1" applyNumberFormat="1" applyFont="1" applyFill="1" applyAlignment="1">
      <alignment vertical="top"/>
    </xf>
    <xf numFmtId="3" fontId="4" fillId="3" borderId="0" xfId="1" applyNumberFormat="1" applyFont="1" applyFill="1" applyAlignment="1">
      <alignment vertical="top"/>
    </xf>
    <xf numFmtId="0" fontId="7" fillId="27" borderId="0" xfId="0" applyFont="1" applyFill="1"/>
    <xf numFmtId="166" fontId="7" fillId="27" borderId="0" xfId="1" applyNumberFormat="1" applyFont="1" applyFill="1"/>
    <xf numFmtId="165" fontId="41" fillId="27" borderId="0" xfId="1" applyNumberFormat="1" applyFont="1" applyFill="1" applyAlignment="1">
      <alignment vertical="top"/>
    </xf>
    <xf numFmtId="3" fontId="41" fillId="27" borderId="0" xfId="1" applyNumberFormat="1" applyFont="1" applyFill="1" applyAlignment="1">
      <alignment vertical="top"/>
    </xf>
    <xf numFmtId="43" fontId="9" fillId="27" borderId="0" xfId="1" applyFont="1" applyFill="1"/>
    <xf numFmtId="14" fontId="2" fillId="10" borderId="0" xfId="1" applyNumberFormat="1" applyFont="1" applyFill="1"/>
    <xf numFmtId="0" fontId="4" fillId="28" borderId="2" xfId="0" applyFont="1" applyFill="1" applyBorder="1" applyAlignment="1">
      <alignment vertical="center"/>
    </xf>
    <xf numFmtId="167" fontId="4" fillId="28" borderId="2" xfId="1" applyNumberFormat="1" applyFont="1" applyFill="1" applyBorder="1" applyAlignment="1">
      <alignment vertical="top"/>
    </xf>
    <xf numFmtId="167" fontId="4" fillId="28" borderId="1" xfId="1" applyNumberFormat="1" applyFont="1" applyFill="1" applyBorder="1" applyAlignment="1">
      <alignment vertical="top"/>
    </xf>
    <xf numFmtId="168" fontId="4" fillId="28" borderId="3" xfId="3" applyNumberFormat="1" applyFont="1" applyFill="1" applyBorder="1" applyAlignment="1">
      <alignment horizontal="right"/>
    </xf>
    <xf numFmtId="167" fontId="4" fillId="28" borderId="14" xfId="1" applyNumberFormat="1" applyFont="1" applyFill="1" applyBorder="1" applyAlignment="1">
      <alignment vertical="top"/>
    </xf>
    <xf numFmtId="0" fontId="5" fillId="26" borderId="4" xfId="0" applyFont="1" applyFill="1" applyBorder="1"/>
    <xf numFmtId="167" fontId="1" fillId="26" borderId="4" xfId="1" applyNumberFormat="1" applyFill="1" applyBorder="1"/>
    <xf numFmtId="167" fontId="1" fillId="26" borderId="0" xfId="1" applyNumberFormat="1" applyFill="1"/>
    <xf numFmtId="168" fontId="1" fillId="26" borderId="5" xfId="3" applyNumberFormat="1" applyFill="1" applyBorder="1" applyAlignment="1">
      <alignment horizontal="right"/>
    </xf>
    <xf numFmtId="167" fontId="1" fillId="26" borderId="7" xfId="1" applyNumberFormat="1" applyFill="1" applyBorder="1"/>
    <xf numFmtId="168" fontId="1" fillId="26" borderId="0" xfId="3" applyNumberFormat="1" applyFill="1" applyAlignment="1">
      <alignment horizontal="right"/>
    </xf>
    <xf numFmtId="167" fontId="1" fillId="26" borderId="5" xfId="1" applyNumberFormat="1" applyFill="1" applyBorder="1"/>
    <xf numFmtId="43" fontId="22" fillId="0" borderId="0" xfId="0" applyNumberFormat="1" applyFont="1"/>
    <xf numFmtId="167" fontId="0" fillId="0" borderId="14" xfId="0" applyNumberFormat="1" applyBorder="1"/>
    <xf numFmtId="10" fontId="0" fillId="0" borderId="14" xfId="3" applyNumberFormat="1" applyFont="1" applyBorder="1"/>
    <xf numFmtId="9" fontId="8" fillId="0" borderId="14" xfId="3" applyFont="1" applyBorder="1" applyAlignment="1">
      <alignment horizontal="center"/>
    </xf>
    <xf numFmtId="174" fontId="0" fillId="0" borderId="3" xfId="3" applyNumberFormat="1" applyFont="1" applyBorder="1" applyAlignment="1">
      <alignment horizontal="right"/>
    </xf>
    <xf numFmtId="169" fontId="0" fillId="0" borderId="3" xfId="3" applyNumberFormat="1" applyFont="1" applyBorder="1"/>
    <xf numFmtId="168" fontId="8" fillId="0" borderId="2" xfId="3" applyNumberFormat="1" applyFont="1" applyBorder="1" applyAlignment="1">
      <alignment horizontal="right"/>
    </xf>
    <xf numFmtId="168" fontId="8" fillId="0" borderId="1" xfId="3" applyNumberFormat="1" applyFont="1" applyBorder="1" applyAlignment="1">
      <alignment horizontal="right"/>
    </xf>
    <xf numFmtId="9" fontId="8" fillId="0" borderId="3" xfId="3" applyFont="1" applyBorder="1" applyAlignment="1">
      <alignment horizontal="center"/>
    </xf>
    <xf numFmtId="168" fontId="8" fillId="0" borderId="3" xfId="3" applyNumberFormat="1" applyFont="1" applyBorder="1" applyAlignment="1">
      <alignment horizontal="center"/>
    </xf>
    <xf numFmtId="167" fontId="0" fillId="0" borderId="14" xfId="1" applyNumberFormat="1" applyFont="1" applyBorder="1"/>
    <xf numFmtId="175" fontId="0" fillId="0" borderId="5" xfId="3" applyNumberFormat="1" applyFont="1" applyBorder="1" applyAlignment="1">
      <alignment horizontal="right"/>
    </xf>
    <xf numFmtId="168" fontId="5" fillId="0" borderId="14" xfId="3" applyNumberFormat="1" applyFont="1" applyBorder="1" applyAlignment="1">
      <alignment horizontal="right"/>
    </xf>
    <xf numFmtId="167" fontId="2" fillId="0" borderId="14" xfId="0" applyNumberFormat="1" applyFont="1" applyBorder="1" applyAlignment="1">
      <alignment horizontal="center"/>
    </xf>
    <xf numFmtId="10" fontId="2" fillId="0" borderId="14" xfId="3" applyNumberFormat="1" applyFont="1" applyBorder="1" applyAlignment="1">
      <alignment horizontal="center"/>
    </xf>
    <xf numFmtId="0" fontId="23" fillId="24" borderId="14" xfId="0" quotePrefix="1" applyFont="1" applyFill="1" applyBorder="1" applyAlignment="1">
      <alignment vertical="center" wrapText="1"/>
    </xf>
    <xf numFmtId="0" fontId="23" fillId="0" borderId="14" xfId="0" quotePrefix="1" applyFont="1" applyBorder="1" applyAlignment="1">
      <alignment vertical="center" wrapText="1"/>
    </xf>
    <xf numFmtId="38" fontId="22" fillId="0" borderId="14" xfId="0" applyNumberFormat="1" applyFont="1" applyBorder="1" applyAlignment="1">
      <alignment wrapText="1"/>
    </xf>
    <xf numFmtId="166" fontId="23" fillId="24" borderId="14" xfId="0" quotePrefix="1" applyNumberFormat="1" applyFont="1" applyFill="1" applyBorder="1" applyAlignment="1">
      <alignment vertical="center" wrapText="1"/>
    </xf>
    <xf numFmtId="0" fontId="21" fillId="5" borderId="4" xfId="0" applyFont="1" applyFill="1" applyBorder="1" applyAlignment="1">
      <alignment horizontal="left" indent="2"/>
    </xf>
    <xf numFmtId="167" fontId="1" fillId="5" borderId="4" xfId="1" applyNumberFormat="1" applyFill="1" applyBorder="1"/>
    <xf numFmtId="167" fontId="1" fillId="5" borderId="0" xfId="1" applyNumberFormat="1" applyFill="1"/>
    <xf numFmtId="168" fontId="5" fillId="5" borderId="5" xfId="3" applyNumberFormat="1" applyFont="1" applyFill="1" applyBorder="1" applyAlignment="1">
      <alignment horizontal="right"/>
    </xf>
    <xf numFmtId="168" fontId="5" fillId="5" borderId="0" xfId="3" applyNumberFormat="1" applyFont="1" applyFill="1" applyAlignment="1">
      <alignment horizontal="right"/>
    </xf>
    <xf numFmtId="167" fontId="1" fillId="5" borderId="5" xfId="1" applyNumberFormat="1" applyFill="1" applyBorder="1"/>
    <xf numFmtId="43" fontId="5" fillId="0" borderId="0" xfId="1" applyFont="1"/>
    <xf numFmtId="0" fontId="42" fillId="8" borderId="0" xfId="0" applyFont="1" applyFill="1" applyAlignment="1">
      <alignment horizontal="left" indent="2"/>
    </xf>
    <xf numFmtId="166" fontId="2" fillId="0" borderId="0" xfId="0" applyNumberFormat="1" applyFont="1"/>
    <xf numFmtId="165" fontId="19" fillId="0" borderId="0" xfId="1" applyNumberFormat="1" applyFont="1"/>
    <xf numFmtId="167" fontId="19" fillId="0" borderId="0" xfId="1" applyNumberFormat="1" applyFont="1"/>
    <xf numFmtId="0" fontId="21" fillId="0" borderId="11" xfId="0" applyFont="1" applyBorder="1" applyAlignment="1">
      <alignment horizontal="left" indent="2"/>
    </xf>
    <xf numFmtId="43" fontId="8" fillId="0" borderId="0" xfId="1" applyFont="1"/>
    <xf numFmtId="175" fontId="0" fillId="0" borderId="10" xfId="3" applyNumberFormat="1" applyFont="1" applyBorder="1" applyAlignment="1">
      <alignment horizontal="right"/>
    </xf>
    <xf numFmtId="175" fontId="0" fillId="0" borderId="0" xfId="3" applyNumberFormat="1" applyFont="1" applyAlignment="1">
      <alignment horizontal="right"/>
    </xf>
    <xf numFmtId="175" fontId="0" fillId="0" borderId="12" xfId="3" applyNumberFormat="1" applyFont="1" applyBorder="1" applyAlignment="1">
      <alignment horizontal="right"/>
    </xf>
    <xf numFmtId="175" fontId="0" fillId="0" borderId="6" xfId="3" applyNumberFormat="1" applyFont="1" applyBorder="1" applyAlignment="1">
      <alignment horizontal="right"/>
    </xf>
    <xf numFmtId="175" fontId="0" fillId="0" borderId="13" xfId="3" applyNumberFormat="1" applyFont="1" applyBorder="1" applyAlignment="1">
      <alignment horizontal="right"/>
    </xf>
    <xf numFmtId="10" fontId="0" fillId="0" borderId="13" xfId="3" applyNumberFormat="1" applyFont="1" applyBorder="1"/>
    <xf numFmtId="10" fontId="0" fillId="0" borderId="16" xfId="3" applyNumberFormat="1" applyFont="1" applyBorder="1"/>
    <xf numFmtId="10" fontId="0" fillId="0" borderId="15" xfId="3" applyNumberFormat="1" applyFont="1" applyBorder="1"/>
    <xf numFmtId="10" fontId="0" fillId="0" borderId="3" xfId="3" applyNumberFormat="1" applyFont="1" applyBorder="1"/>
    <xf numFmtId="169" fontId="0" fillId="0" borderId="10" xfId="3" applyNumberFormat="1" applyFont="1" applyBorder="1" applyAlignment="1">
      <alignment horizontal="right"/>
    </xf>
    <xf numFmtId="9" fontId="0" fillId="0" borderId="2" xfId="3" applyFont="1" applyBorder="1"/>
    <xf numFmtId="9" fontId="0" fillId="0" borderId="1" xfId="3" applyFont="1" applyBorder="1"/>
    <xf numFmtId="0" fontId="2" fillId="10" borderId="14" xfId="0" applyFont="1" applyFill="1" applyBorder="1" applyAlignment="1">
      <alignment horizontal="center"/>
    </xf>
    <xf numFmtId="43" fontId="4" fillId="10" borderId="14" xfId="2" applyFont="1" applyFill="1" applyBorder="1" applyAlignment="1">
      <alignment horizontal="center"/>
    </xf>
    <xf numFmtId="164" fontId="5" fillId="29" borderId="14" xfId="2" applyNumberFormat="1" applyFont="1" applyFill="1" applyBorder="1" applyAlignment="1">
      <alignment horizontal="center"/>
    </xf>
    <xf numFmtId="10" fontId="0" fillId="29" borderId="14" xfId="0" applyNumberFormat="1" applyFill="1" applyBorder="1"/>
    <xf numFmtId="0" fontId="43" fillId="30" borderId="0" xfId="0" applyFont="1" applyFill="1" applyAlignment="1">
      <alignment horizontal="center" vertical="center"/>
    </xf>
    <xf numFmtId="0" fontId="44" fillId="0" borderId="0" xfId="0" applyFont="1"/>
    <xf numFmtId="181" fontId="0" fillId="0" borderId="0" xfId="0" applyNumberFormat="1"/>
    <xf numFmtId="0" fontId="0" fillId="0" borderId="0" xfId="0" applyAlignment="1">
      <alignment vertical="top" wrapText="1"/>
    </xf>
    <xf numFmtId="169" fontId="0" fillId="0" borderId="0" xfId="3" applyNumberFormat="1" applyFont="1" applyAlignment="1">
      <alignment horizontal="right"/>
    </xf>
    <xf numFmtId="165" fontId="1" fillId="0" borderId="11" xfId="1" applyNumberFormat="1" applyBorder="1"/>
    <xf numFmtId="168" fontId="2" fillId="0" borderId="1" xfId="3" applyNumberFormat="1" applyFont="1" applyBorder="1" applyAlignment="1">
      <alignment horizontal="right"/>
    </xf>
    <xf numFmtId="0" fontId="45" fillId="0" borderId="0" xfId="0" applyFont="1"/>
    <xf numFmtId="168" fontId="8" fillId="0" borderId="4" xfId="3" applyNumberFormat="1" applyFont="1" applyBorder="1" applyAlignment="1">
      <alignment horizontal="right"/>
    </xf>
    <xf numFmtId="168" fontId="8" fillId="0" borderId="0" xfId="3" applyNumberFormat="1" applyFont="1" applyAlignment="1">
      <alignment horizontal="right"/>
    </xf>
    <xf numFmtId="9" fontId="8" fillId="0" borderId="0" xfId="3" applyFont="1" applyAlignment="1">
      <alignment horizontal="center"/>
    </xf>
    <xf numFmtId="168" fontId="8" fillId="0" borderId="0" xfId="3" applyNumberFormat="1" applyFont="1" applyAlignment="1">
      <alignment horizontal="center"/>
    </xf>
    <xf numFmtId="167" fontId="1" fillId="6" borderId="4" xfId="1" applyNumberFormat="1" applyFill="1" applyBorder="1"/>
    <xf numFmtId="167" fontId="1" fillId="6" borderId="0" xfId="1" applyNumberFormat="1" applyFill="1"/>
    <xf numFmtId="168" fontId="1" fillId="6" borderId="5" xfId="3" applyNumberFormat="1" applyFill="1" applyBorder="1" applyAlignment="1">
      <alignment horizontal="right"/>
    </xf>
    <xf numFmtId="169" fontId="0" fillId="0" borderId="3" xfId="3" applyNumberFormat="1" applyFont="1" applyBorder="1" applyAlignment="1">
      <alignment horizontal="right"/>
    </xf>
    <xf numFmtId="43" fontId="4" fillId="0" borderId="2" xfId="2" applyFont="1" applyBorder="1"/>
    <xf numFmtId="43" fontId="4" fillId="0" borderId="1" xfId="2" applyFont="1" applyBorder="1"/>
    <xf numFmtId="43" fontId="4" fillId="0" borderId="3" xfId="2" applyFont="1" applyBorder="1"/>
    <xf numFmtId="172" fontId="2" fillId="10" borderId="0" xfId="0" applyNumberFormat="1" applyFont="1" applyFill="1" applyAlignment="1">
      <alignment horizontal="center"/>
    </xf>
    <xf numFmtId="173" fontId="0" fillId="0" borderId="0" xfId="1" applyNumberFormat="1" applyFont="1" applyAlignment="1">
      <alignment horizontal="left"/>
    </xf>
    <xf numFmtId="43" fontId="4" fillId="0" borderId="11" xfId="2" applyFont="1" applyBorder="1" applyAlignment="1">
      <alignment horizontal="center"/>
    </xf>
    <xf numFmtId="168" fontId="22" fillId="0" borderId="0" xfId="3" applyNumberFormat="1" applyFont="1" applyAlignment="1">
      <alignment horizontal="right"/>
    </xf>
    <xf numFmtId="168" fontId="21" fillId="0" borderId="0" xfId="3" applyNumberFormat="1" applyFont="1" applyAlignment="1">
      <alignment horizontal="right"/>
    </xf>
    <xf numFmtId="0" fontId="4" fillId="0" borderId="14" xfId="0" applyFont="1" applyBorder="1"/>
    <xf numFmtId="0" fontId="5" fillId="8" borderId="16" xfId="0" applyFont="1" applyFill="1" applyBorder="1"/>
    <xf numFmtId="0" fontId="21" fillId="0" borderId="16" xfId="0" applyFont="1" applyBorder="1"/>
    <xf numFmtId="167" fontId="5" fillId="0" borderId="1" xfId="1" applyNumberFormat="1" applyFont="1" applyBorder="1" applyAlignment="1">
      <alignment horizontal="center"/>
    </xf>
    <xf numFmtId="168" fontId="5" fillId="0" borderId="1" xfId="3" applyNumberFormat="1" applyFont="1" applyBorder="1" applyAlignment="1">
      <alignment horizontal="right"/>
    </xf>
    <xf numFmtId="167" fontId="5" fillId="0" borderId="2" xfId="1" applyNumberFormat="1" applyFont="1" applyBorder="1" applyAlignment="1">
      <alignment horizontal="center"/>
    </xf>
    <xf numFmtId="0" fontId="4" fillId="31" borderId="17" xfId="0" applyFont="1" applyFill="1" applyBorder="1"/>
    <xf numFmtId="167" fontId="4" fillId="31" borderId="1" xfId="1" applyNumberFormat="1" applyFont="1" applyFill="1" applyBorder="1" applyAlignment="1">
      <alignment horizontal="right"/>
    </xf>
    <xf numFmtId="168" fontId="2" fillId="31" borderId="3" xfId="3" applyNumberFormat="1" applyFont="1" applyFill="1" applyBorder="1" applyAlignment="1">
      <alignment horizontal="right"/>
    </xf>
    <xf numFmtId="167" fontId="4" fillId="31" borderId="2" xfId="1" applyNumberFormat="1" applyFont="1" applyFill="1" applyBorder="1" applyAlignment="1">
      <alignment horizontal="right"/>
    </xf>
    <xf numFmtId="0" fontId="4" fillId="31" borderId="14" xfId="0" applyFont="1" applyFill="1" applyBorder="1"/>
    <xf numFmtId="167" fontId="4" fillId="31" borderId="11" xfId="1" applyNumberFormat="1" applyFont="1" applyFill="1" applyBorder="1" applyAlignment="1">
      <alignment horizontal="right"/>
    </xf>
    <xf numFmtId="167" fontId="4" fillId="31" borderId="12" xfId="1" applyNumberFormat="1" applyFont="1" applyFill="1" applyBorder="1" applyAlignment="1">
      <alignment horizontal="right"/>
    </xf>
    <xf numFmtId="0" fontId="5" fillId="31" borderId="16" xfId="0" applyFont="1" applyFill="1" applyBorder="1"/>
    <xf numFmtId="168" fontId="0" fillId="31" borderId="0" xfId="3" applyNumberFormat="1" applyFont="1" applyFill="1" applyAlignment="1">
      <alignment horizontal="right"/>
    </xf>
    <xf numFmtId="168" fontId="0" fillId="31" borderId="4" xfId="3" applyNumberFormat="1" applyFont="1" applyFill="1" applyBorder="1" applyAlignment="1">
      <alignment horizontal="right"/>
    </xf>
    <xf numFmtId="168" fontId="0" fillId="31" borderId="5" xfId="3" applyNumberFormat="1" applyFont="1" applyFill="1" applyBorder="1" applyAlignment="1">
      <alignment horizontal="right"/>
    </xf>
    <xf numFmtId="0" fontId="26" fillId="0" borderId="16" xfId="0" applyFont="1" applyBorder="1"/>
    <xf numFmtId="170" fontId="2" fillId="0" borderId="1" xfId="3" applyNumberFormat="1" applyFont="1" applyBorder="1" applyAlignment="1">
      <alignment horizontal="right"/>
    </xf>
    <xf numFmtId="10" fontId="0" fillId="0" borderId="0" xfId="3" applyNumberFormat="1" applyFont="1" applyAlignment="1">
      <alignment horizontal="right"/>
    </xf>
    <xf numFmtId="0" fontId="5" fillId="0" borderId="1" xfId="0" applyFont="1" applyBorder="1"/>
    <xf numFmtId="0" fontId="4" fillId="26" borderId="16" xfId="0" applyFont="1" applyFill="1" applyBorder="1"/>
    <xf numFmtId="167" fontId="4" fillId="26" borderId="7" xfId="1" applyNumberFormat="1" applyFont="1" applyFill="1" applyBorder="1"/>
    <xf numFmtId="167" fontId="4" fillId="26" borderId="10" xfId="1" applyNumberFormat="1" applyFont="1" applyFill="1" applyBorder="1"/>
    <xf numFmtId="168" fontId="4" fillId="26" borderId="0" xfId="3" applyNumberFormat="1" applyFont="1" applyFill="1" applyAlignment="1">
      <alignment horizontal="right"/>
    </xf>
    <xf numFmtId="168" fontId="4" fillId="26" borderId="6" xfId="3" applyNumberFormat="1" applyFont="1" applyFill="1" applyBorder="1" applyAlignment="1">
      <alignment horizontal="right"/>
    </xf>
    <xf numFmtId="168" fontId="4" fillId="26" borderId="5" xfId="3" applyNumberFormat="1" applyFont="1" applyFill="1" applyBorder="1" applyAlignment="1">
      <alignment horizontal="right"/>
    </xf>
    <xf numFmtId="0" fontId="4" fillId="26" borderId="16" xfId="0" applyFont="1" applyFill="1" applyBorder="1" applyAlignment="1">
      <alignment vertical="center"/>
    </xf>
    <xf numFmtId="167" fontId="4" fillId="26" borderId="0" xfId="1" applyNumberFormat="1" applyFont="1" applyFill="1" applyAlignment="1">
      <alignment vertical="top"/>
    </xf>
    <xf numFmtId="167" fontId="4" fillId="26" borderId="4" xfId="1" applyNumberFormat="1" applyFont="1" applyFill="1" applyBorder="1" applyAlignment="1">
      <alignment vertical="top"/>
    </xf>
    <xf numFmtId="167" fontId="4" fillId="26" borderId="0" xfId="1" applyNumberFormat="1" applyFont="1" applyFill="1" applyAlignment="1">
      <alignment vertical="center"/>
    </xf>
    <xf numFmtId="167" fontId="4" fillId="26" borderId="4" xfId="1" applyNumberFormat="1" applyFont="1" applyFill="1" applyBorder="1" applyAlignment="1">
      <alignment vertical="center"/>
    </xf>
    <xf numFmtId="167" fontId="4" fillId="26" borderId="0" xfId="1" applyNumberFormat="1" applyFont="1" applyFill="1"/>
    <xf numFmtId="167" fontId="4" fillId="26" borderId="4" xfId="1" applyNumberFormat="1" applyFont="1" applyFill="1" applyBorder="1"/>
    <xf numFmtId="167" fontId="2" fillId="26" borderId="0" xfId="1" applyNumberFormat="1" applyFont="1" applyFill="1"/>
    <xf numFmtId="168" fontId="2" fillId="26" borderId="0" xfId="3" applyNumberFormat="1" applyFont="1" applyFill="1" applyAlignment="1">
      <alignment horizontal="right"/>
    </xf>
    <xf numFmtId="167" fontId="2" fillId="26" borderId="4" xfId="1" applyNumberFormat="1" applyFont="1" applyFill="1" applyBorder="1"/>
    <xf numFmtId="168" fontId="2" fillId="26" borderId="5" xfId="3" applyNumberFormat="1" applyFont="1" applyFill="1" applyBorder="1" applyAlignment="1">
      <alignment horizontal="right"/>
    </xf>
    <xf numFmtId="168" fontId="4" fillId="26" borderId="1" xfId="3" applyNumberFormat="1" applyFont="1" applyFill="1" applyBorder="1" applyAlignment="1">
      <alignment horizontal="right"/>
    </xf>
    <xf numFmtId="167" fontId="4" fillId="26" borderId="2" xfId="1" applyNumberFormat="1" applyFont="1" applyFill="1" applyBorder="1" applyAlignment="1">
      <alignment horizontal="center"/>
    </xf>
    <xf numFmtId="43" fontId="4" fillId="0" borderId="14" xfId="2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43" fontId="4" fillId="0" borderId="3" xfId="2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2" xfId="2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7" fillId="2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2" fillId="10" borderId="14" xfId="0" applyFont="1" applyFill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" fontId="2" fillId="23" borderId="12" xfId="0" applyNumberFormat="1" applyFont="1" applyFill="1" applyBorder="1" applyAlignment="1">
      <alignment horizontal="center"/>
    </xf>
    <xf numFmtId="0" fontId="0" fillId="0" borderId="12" xfId="0" applyBorder="1"/>
    <xf numFmtId="167" fontId="4" fillId="0" borderId="1" xfId="1" applyNumberFormat="1" applyFont="1" applyBorder="1"/>
    <xf numFmtId="167" fontId="4" fillId="0" borderId="2" xfId="1" applyNumberFormat="1" applyFont="1" applyBorder="1"/>
    <xf numFmtId="0" fontId="4" fillId="0" borderId="14" xfId="0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167" fontId="4" fillId="0" borderId="2" xfId="1" applyNumberFormat="1" applyFont="1" applyBorder="1" applyAlignment="1">
      <alignment vertical="center"/>
    </xf>
    <xf numFmtId="0" fontId="21" fillId="0" borderId="14" xfId="0" applyFont="1" applyBorder="1" applyAlignment="1">
      <alignment horizontal="left" indent="2"/>
    </xf>
    <xf numFmtId="167" fontId="22" fillId="0" borderId="2" xfId="1" applyNumberFormat="1" applyFont="1" applyBorder="1"/>
    <xf numFmtId="167" fontId="4" fillId="0" borderId="10" xfId="1" applyNumberFormat="1" applyFont="1" applyBorder="1"/>
    <xf numFmtId="168" fontId="4" fillId="0" borderId="6" xfId="3" applyNumberFormat="1" applyFont="1" applyBorder="1" applyAlignment="1">
      <alignment horizontal="right"/>
    </xf>
    <xf numFmtId="167" fontId="4" fillId="0" borderId="7" xfId="1" applyNumberFormat="1" applyFont="1" applyBorder="1"/>
    <xf numFmtId="167" fontId="4" fillId="0" borderId="1" xfId="1" applyNumberFormat="1" applyFont="1" applyBorder="1" applyAlignment="1">
      <alignment horizontal="center"/>
    </xf>
    <xf numFmtId="167" fontId="4" fillId="0" borderId="2" xfId="1" applyNumberFormat="1" applyFont="1" applyBorder="1" applyAlignment="1">
      <alignment horizontal="center"/>
    </xf>
    <xf numFmtId="0" fontId="21" fillId="0" borderId="4" xfId="0" applyFont="1" applyBorder="1"/>
    <xf numFmtId="167" fontId="4" fillId="0" borderId="1" xfId="1" applyNumberFormat="1" applyFont="1" applyBorder="1" applyAlignment="1">
      <alignment horizontal="right"/>
    </xf>
    <xf numFmtId="167" fontId="4" fillId="0" borderId="2" xfId="1" applyNumberFormat="1" applyFont="1" applyBorder="1" applyAlignment="1">
      <alignment horizontal="right"/>
    </xf>
    <xf numFmtId="168" fontId="0" fillId="0" borderId="2" xfId="3" applyNumberFormat="1" applyFont="1" applyBorder="1" applyAlignment="1">
      <alignment horizontal="right"/>
    </xf>
    <xf numFmtId="171" fontId="0" fillId="0" borderId="3" xfId="3" applyNumberFormat="1" applyFont="1" applyBorder="1" applyAlignment="1">
      <alignment horizontal="right"/>
    </xf>
    <xf numFmtId="170" fontId="0" fillId="0" borderId="3" xfId="0" applyNumberFormat="1" applyBorder="1"/>
    <xf numFmtId="10" fontId="2" fillId="0" borderId="14" xfId="3" applyNumberFormat="1" applyFont="1" applyBorder="1"/>
    <xf numFmtId="171" fontId="0" fillId="0" borderId="14" xfId="3" applyNumberFormat="1" applyFont="1" applyBorder="1" applyAlignment="1">
      <alignment horizontal="right"/>
    </xf>
    <xf numFmtId="167" fontId="0" fillId="0" borderId="2" xfId="1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67" fontId="0" fillId="0" borderId="3" xfId="1" applyNumberFormat="1" applyFont="1" applyBorder="1" applyAlignment="1">
      <alignment horizontal="center"/>
    </xf>
    <xf numFmtId="168" fontId="0" fillId="0" borderId="14" xfId="3" applyNumberFormat="1" applyFont="1" applyBorder="1" applyAlignment="1">
      <alignment horizontal="right"/>
    </xf>
  </cellXfs>
  <cellStyles count="4274">
    <cellStyle name="60% - Ênfase1 2" xfId="35" xr:uid="{00000000-0005-0000-0000-00004C000000}"/>
    <cellStyle name="60% - Ênfase2 2" xfId="36" xr:uid="{00000000-0005-0000-0000-00004D000000}"/>
    <cellStyle name="60% - Ênfase3 2" xfId="37" xr:uid="{00000000-0005-0000-0000-00004E000000}"/>
    <cellStyle name="60% - Ênfase4 2" xfId="38" xr:uid="{00000000-0005-0000-0000-00004F000000}"/>
    <cellStyle name="60% - Ênfase5 2" xfId="39" xr:uid="{00000000-0005-0000-0000-000050000000}"/>
    <cellStyle name="60% - Ênfase6 2" xfId="40" xr:uid="{00000000-0005-0000-0000-000051000000}"/>
    <cellStyle name="Euro" xfId="29" xr:uid="{00000000-0005-0000-0000-000046000000}"/>
    <cellStyle name="Euro 2" xfId="208" xr:uid="{00000000-0005-0000-0000-0000F9000000}"/>
    <cellStyle name="Euro 3" xfId="584" xr:uid="{00000000-0005-0000-0000-000071020000}"/>
    <cellStyle name="Euro 4" xfId="104" xr:uid="{00000000-0005-0000-0000-000091000000}"/>
    <cellStyle name="Hiperlink 2" xfId="985" xr:uid="{00000000-0005-0000-0000-000002040000}"/>
    <cellStyle name="Moeda 2" xfId="30" xr:uid="{00000000-0005-0000-0000-000047000000}"/>
    <cellStyle name="Moeda 2 2" xfId="44" xr:uid="{00000000-0005-0000-0000-000055000000}"/>
    <cellStyle name="Moeda 2 2 10" xfId="2249" xr:uid="{00000000-0005-0000-0000-0000F2080000}"/>
    <cellStyle name="Moeda 2 2 2" xfId="71" xr:uid="{00000000-0005-0000-0000-000070000000}"/>
    <cellStyle name="Moeda 2 2 2 2" xfId="508" xr:uid="{00000000-0005-0000-0000-000025020000}"/>
    <cellStyle name="Moeda 2 2 2 2 2" xfId="953" xr:uid="{00000000-0005-0000-0000-0000E2030000}"/>
    <cellStyle name="Moeda 2 2 2 2 2 2" xfId="1782" xr:uid="{00000000-0005-0000-0000-00001F070000}"/>
    <cellStyle name="Moeda 2 2 2 2 2 2 2" xfId="2174" xr:uid="{00000000-0005-0000-0000-0000A7080000}"/>
    <cellStyle name="Moeda 2 2 2 2 2 2 2 2" xfId="4240" xr:uid="{00000000-0005-0000-0000-0000B9100000}"/>
    <cellStyle name="Moeda 2 2 2 2 2 2 3" xfId="3893" xr:uid="{00000000-0005-0000-0000-00005E0F0000}"/>
    <cellStyle name="Moeda 2 2 2 2 2 3" xfId="1960" xr:uid="{00000000-0005-0000-0000-0000D1070000}"/>
    <cellStyle name="Moeda 2 2 2 2 2 3 2" xfId="4054" xr:uid="{00000000-0005-0000-0000-0000FF0F0000}"/>
    <cellStyle name="Moeda 2 2 2 2 2 4" xfId="3076" xr:uid="{00000000-0005-0000-0000-00002D0C0000}"/>
    <cellStyle name="Moeda 2 2 2 2 3" xfId="1355" xr:uid="{00000000-0005-0000-0000-000074050000}"/>
    <cellStyle name="Moeda 2 2 2 2 3 2" xfId="2094" xr:uid="{00000000-0005-0000-0000-000057080000}"/>
    <cellStyle name="Moeda 2 2 2 2 3 2 2" xfId="4160" xr:uid="{00000000-0005-0000-0000-000069100000}"/>
    <cellStyle name="Moeda 2 2 2 2 3 3" xfId="3466" xr:uid="{00000000-0005-0000-0000-0000B30D0000}"/>
    <cellStyle name="Moeda 2 2 2 2 4" xfId="1875" xr:uid="{00000000-0005-0000-0000-00007C070000}"/>
    <cellStyle name="Moeda 2 2 2 2 4 2" xfId="3974" xr:uid="{00000000-0005-0000-0000-0000AF0F0000}"/>
    <cellStyle name="Moeda 2 2 2 2 5" xfId="2649" xr:uid="{00000000-0005-0000-0000-0000820A0000}"/>
    <cellStyle name="Moeda 2 2 2 3" xfId="761" xr:uid="{00000000-0005-0000-0000-000022030000}"/>
    <cellStyle name="Moeda 2 2 2 3 2" xfId="1590" xr:uid="{00000000-0005-0000-0000-00005F060000}"/>
    <cellStyle name="Moeda 2 2 2 3 2 2" xfId="2132" xr:uid="{00000000-0005-0000-0000-00007D080000}"/>
    <cellStyle name="Moeda 2 2 2 3 2 2 2" xfId="4198" xr:uid="{00000000-0005-0000-0000-00008F100000}"/>
    <cellStyle name="Moeda 2 2 2 3 2 3" xfId="3701" xr:uid="{00000000-0005-0000-0000-00009E0E0000}"/>
    <cellStyle name="Moeda 2 2 2 3 3" xfId="1918" xr:uid="{00000000-0005-0000-0000-0000A7070000}"/>
    <cellStyle name="Moeda 2 2 2 3 3 2" xfId="4012" xr:uid="{00000000-0005-0000-0000-0000D50F0000}"/>
    <cellStyle name="Moeda 2 2 2 3 4" xfId="2884" xr:uid="{00000000-0005-0000-0000-00006D0B0000}"/>
    <cellStyle name="Moeda 2 2 2 4" xfId="553" xr:uid="{00000000-0005-0000-0000-000052020000}"/>
    <cellStyle name="Moeda 2 2 2 4 2" xfId="1400" xr:uid="{00000000-0005-0000-0000-0000A1050000}"/>
    <cellStyle name="Moeda 2 2 2 4 2 2" xfId="2197" xr:uid="{00000000-0005-0000-0000-0000BE080000}"/>
    <cellStyle name="Moeda 2 2 2 4 2 2 2" xfId="4263" xr:uid="{00000000-0005-0000-0000-0000D0100000}"/>
    <cellStyle name="Moeda 2 2 2 4 2 3" xfId="3511" xr:uid="{00000000-0005-0000-0000-0000E00D0000}"/>
    <cellStyle name="Moeda 2 2 2 4 3" xfId="1990" xr:uid="{00000000-0005-0000-0000-0000EF070000}"/>
    <cellStyle name="Moeda 2 2 2 4 3 2" xfId="4077" xr:uid="{00000000-0005-0000-0000-000016100000}"/>
    <cellStyle name="Moeda 2 2 2 4 4" xfId="2694" xr:uid="{00000000-0005-0000-0000-0000AF0A0000}"/>
    <cellStyle name="Moeda 2 2 2 5" xfId="316" xr:uid="{00000000-0005-0000-0000-000065010000}"/>
    <cellStyle name="Moeda 2 2 2 5 2" xfId="2052" xr:uid="{00000000-0005-0000-0000-00002D080000}"/>
    <cellStyle name="Moeda 2 2 2 5 2 2" xfId="4118" xr:uid="{00000000-0005-0000-0000-00003F100000}"/>
    <cellStyle name="Moeda 2 2 2 5 3" xfId="2457" xr:uid="{00000000-0005-0000-0000-0000C2090000}"/>
    <cellStyle name="Moeda 2 2 2 6" xfId="983" xr:uid="{00000000-0005-0000-0000-000000040000}"/>
    <cellStyle name="Moeda 2 2 2 6 2" xfId="3095" xr:uid="{00000000-0005-0000-0000-0000400C0000}"/>
    <cellStyle name="Moeda 2 2 2 7" xfId="1163" xr:uid="{00000000-0005-0000-0000-0000B4040000}"/>
    <cellStyle name="Moeda 2 2 2 7 2" xfId="3274" xr:uid="{00000000-0005-0000-0000-0000F30C0000}"/>
    <cellStyle name="Moeda 2 2 2 8" xfId="1822" xr:uid="{00000000-0005-0000-0000-000047070000}"/>
    <cellStyle name="Moeda 2 2 2 8 2" xfId="3932" xr:uid="{00000000-0005-0000-0000-0000850F0000}"/>
    <cellStyle name="Moeda 2 2 2 9" xfId="2268" xr:uid="{00000000-0005-0000-0000-000005090000}"/>
    <cellStyle name="Moeda 2 2 3" xfId="412" xr:uid="{00000000-0005-0000-0000-0000C5010000}"/>
    <cellStyle name="Moeda 2 2 3 2" xfId="857" xr:uid="{00000000-0005-0000-0000-000082030000}"/>
    <cellStyle name="Moeda 2 2 3 2 2" xfId="1686" xr:uid="{00000000-0005-0000-0000-0000BF060000}"/>
    <cellStyle name="Moeda 2 2 3 2 2 2" xfId="2155" xr:uid="{00000000-0005-0000-0000-000094080000}"/>
    <cellStyle name="Moeda 2 2 3 2 2 2 2" xfId="4221" xr:uid="{00000000-0005-0000-0000-0000A6100000}"/>
    <cellStyle name="Moeda 2 2 3 2 2 3" xfId="3797" xr:uid="{00000000-0005-0000-0000-0000FE0E0000}"/>
    <cellStyle name="Moeda 2 2 3 2 3" xfId="1941" xr:uid="{00000000-0005-0000-0000-0000BE070000}"/>
    <cellStyle name="Moeda 2 2 3 2 3 2" xfId="4035" xr:uid="{00000000-0005-0000-0000-0000EC0F0000}"/>
    <cellStyle name="Moeda 2 2 3 2 4" xfId="2980" xr:uid="{00000000-0005-0000-0000-0000CD0B0000}"/>
    <cellStyle name="Moeda 2 2 3 3" xfId="1259" xr:uid="{00000000-0005-0000-0000-000014050000}"/>
    <cellStyle name="Moeda 2 2 3 3 2" xfId="2075" xr:uid="{00000000-0005-0000-0000-000044080000}"/>
    <cellStyle name="Moeda 2 2 3 3 2 2" xfId="4141" xr:uid="{00000000-0005-0000-0000-000056100000}"/>
    <cellStyle name="Moeda 2 2 3 3 3" xfId="3370" xr:uid="{00000000-0005-0000-0000-0000530D0000}"/>
    <cellStyle name="Moeda 2 2 3 4" xfId="1854" xr:uid="{00000000-0005-0000-0000-000067070000}"/>
    <cellStyle name="Moeda 2 2 3 4 2" xfId="3955" xr:uid="{00000000-0005-0000-0000-00009C0F0000}"/>
    <cellStyle name="Moeda 2 2 3 5" xfId="2553" xr:uid="{00000000-0005-0000-0000-0000220A0000}"/>
    <cellStyle name="Moeda 2 2 4" xfId="665" xr:uid="{00000000-0005-0000-0000-0000C2020000}"/>
    <cellStyle name="Moeda 2 2 4 2" xfId="1494" xr:uid="{00000000-0005-0000-0000-0000FF050000}"/>
    <cellStyle name="Moeda 2 2 4 2 2" xfId="2113" xr:uid="{00000000-0005-0000-0000-00006A080000}"/>
    <cellStyle name="Moeda 2 2 4 2 2 2" xfId="4179" xr:uid="{00000000-0005-0000-0000-00007C100000}"/>
    <cellStyle name="Moeda 2 2 4 2 3" xfId="3605" xr:uid="{00000000-0005-0000-0000-00003E0E0000}"/>
    <cellStyle name="Moeda 2 2 4 3" xfId="1899" xr:uid="{00000000-0005-0000-0000-000094070000}"/>
    <cellStyle name="Moeda 2 2 4 3 2" xfId="3993" xr:uid="{00000000-0005-0000-0000-0000C20F0000}"/>
    <cellStyle name="Moeda 2 2 4 4" xfId="2788" xr:uid="{00000000-0005-0000-0000-00000D0B0000}"/>
    <cellStyle name="Moeda 2 2 5" xfId="534" xr:uid="{00000000-0005-0000-0000-00003F020000}"/>
    <cellStyle name="Moeda 2 2 5 2" xfId="1381" xr:uid="{00000000-0005-0000-0000-00008E050000}"/>
    <cellStyle name="Moeda 2 2 5 2 2" xfId="2190" xr:uid="{00000000-0005-0000-0000-0000B7080000}"/>
    <cellStyle name="Moeda 2 2 5 2 2 2" xfId="4256" xr:uid="{00000000-0005-0000-0000-0000C9100000}"/>
    <cellStyle name="Moeda 2 2 5 2 3" xfId="3492" xr:uid="{00000000-0005-0000-0000-0000CD0D0000}"/>
    <cellStyle name="Moeda 2 2 5 3" xfId="1981" xr:uid="{00000000-0005-0000-0000-0000E6070000}"/>
    <cellStyle name="Moeda 2 2 5 3 2" xfId="4070" xr:uid="{00000000-0005-0000-0000-00000F100000}"/>
    <cellStyle name="Moeda 2 2 5 4" xfId="2675" xr:uid="{00000000-0005-0000-0000-00009C0A0000}"/>
    <cellStyle name="Moeda 2 2 6" xfId="210" xr:uid="{00000000-0005-0000-0000-0000FB000000}"/>
    <cellStyle name="Moeda 2 2 6 2" xfId="2033" xr:uid="{00000000-0005-0000-0000-00001A080000}"/>
    <cellStyle name="Moeda 2 2 6 2 2" xfId="4099" xr:uid="{00000000-0005-0000-0000-00002C100000}"/>
    <cellStyle name="Moeda 2 2 6 3" xfId="2362" xr:uid="{00000000-0005-0000-0000-000063090000}"/>
    <cellStyle name="Moeda 2 2 7" xfId="974" xr:uid="{00000000-0005-0000-0000-0000F7030000}"/>
    <cellStyle name="Moeda 2 2 7 2" xfId="3092" xr:uid="{00000000-0005-0000-0000-00003D0C0000}"/>
    <cellStyle name="Moeda 2 2 8" xfId="1067" xr:uid="{00000000-0005-0000-0000-000054040000}"/>
    <cellStyle name="Moeda 2 2 8 2" xfId="3178" xr:uid="{00000000-0005-0000-0000-0000930C0000}"/>
    <cellStyle name="Moeda 2 2 9" xfId="1803" xr:uid="{00000000-0005-0000-0000-000034070000}"/>
    <cellStyle name="Moeda 2 2 9 2" xfId="3913" xr:uid="{00000000-0005-0000-0000-0000720F0000}"/>
    <cellStyle name="Moeda 2 3" xfId="50" xr:uid="{00000000-0005-0000-0000-00005B000000}"/>
    <cellStyle name="Moeda 2 3 2" xfId="75" xr:uid="{00000000-0005-0000-0000-000074000000}"/>
    <cellStyle name="Moeda 2 3 2 2" xfId="512" xr:uid="{00000000-0005-0000-0000-000029020000}"/>
    <cellStyle name="Moeda 2 3 2 2 2" xfId="957" xr:uid="{00000000-0005-0000-0000-0000E6030000}"/>
    <cellStyle name="Moeda 2 3 2 2 2 2" xfId="1786" xr:uid="{00000000-0005-0000-0000-000023070000}"/>
    <cellStyle name="Moeda 2 3 2 2 2 2 2" xfId="2178" xr:uid="{00000000-0005-0000-0000-0000AB080000}"/>
    <cellStyle name="Moeda 2 3 2 2 2 2 2 2" xfId="4244" xr:uid="{00000000-0005-0000-0000-0000BD100000}"/>
    <cellStyle name="Moeda 2 3 2 2 2 2 3" xfId="3897" xr:uid="{00000000-0005-0000-0000-0000620F0000}"/>
    <cellStyle name="Moeda 2 3 2 2 2 3" xfId="1964" xr:uid="{00000000-0005-0000-0000-0000D5070000}"/>
    <cellStyle name="Moeda 2 3 2 2 2 3 2" xfId="4058" xr:uid="{00000000-0005-0000-0000-000003100000}"/>
    <cellStyle name="Moeda 2 3 2 2 2 4" xfId="3080" xr:uid="{00000000-0005-0000-0000-0000310C0000}"/>
    <cellStyle name="Moeda 2 3 2 2 3" xfId="1359" xr:uid="{00000000-0005-0000-0000-000078050000}"/>
    <cellStyle name="Moeda 2 3 2 2 3 2" xfId="2098" xr:uid="{00000000-0005-0000-0000-00005B080000}"/>
    <cellStyle name="Moeda 2 3 2 2 3 2 2" xfId="4164" xr:uid="{00000000-0005-0000-0000-00006D100000}"/>
    <cellStyle name="Moeda 2 3 2 2 3 3" xfId="3470" xr:uid="{00000000-0005-0000-0000-0000B70D0000}"/>
    <cellStyle name="Moeda 2 3 2 2 4" xfId="1879" xr:uid="{00000000-0005-0000-0000-000080070000}"/>
    <cellStyle name="Moeda 2 3 2 2 4 2" xfId="3978" xr:uid="{00000000-0005-0000-0000-0000B30F0000}"/>
    <cellStyle name="Moeda 2 3 2 2 5" xfId="2653" xr:uid="{00000000-0005-0000-0000-0000860A0000}"/>
    <cellStyle name="Moeda 2 3 2 3" xfId="765" xr:uid="{00000000-0005-0000-0000-000026030000}"/>
    <cellStyle name="Moeda 2 3 2 3 2" xfId="1594" xr:uid="{00000000-0005-0000-0000-000063060000}"/>
    <cellStyle name="Moeda 2 3 2 3 2 2" xfId="2136" xr:uid="{00000000-0005-0000-0000-000081080000}"/>
    <cellStyle name="Moeda 2 3 2 3 2 2 2" xfId="4202" xr:uid="{00000000-0005-0000-0000-000093100000}"/>
    <cellStyle name="Moeda 2 3 2 3 2 3" xfId="3705" xr:uid="{00000000-0005-0000-0000-0000A20E0000}"/>
    <cellStyle name="Moeda 2 3 2 3 3" xfId="1922" xr:uid="{00000000-0005-0000-0000-0000AB070000}"/>
    <cellStyle name="Moeda 2 3 2 3 3 2" xfId="4016" xr:uid="{00000000-0005-0000-0000-0000D90F0000}"/>
    <cellStyle name="Moeda 2 3 2 3 4" xfId="2888" xr:uid="{00000000-0005-0000-0000-0000710B0000}"/>
    <cellStyle name="Moeda 2 3 2 4" xfId="557" xr:uid="{00000000-0005-0000-0000-000056020000}"/>
    <cellStyle name="Moeda 2 3 2 4 2" xfId="1404" xr:uid="{00000000-0005-0000-0000-0000A5050000}"/>
    <cellStyle name="Moeda 2 3 2 4 2 2" xfId="2201" xr:uid="{00000000-0005-0000-0000-0000C2080000}"/>
    <cellStyle name="Moeda 2 3 2 4 2 2 2" xfId="4267" xr:uid="{00000000-0005-0000-0000-0000D4100000}"/>
    <cellStyle name="Moeda 2 3 2 4 2 3" xfId="3515" xr:uid="{00000000-0005-0000-0000-0000E40D0000}"/>
    <cellStyle name="Moeda 2 3 2 4 3" xfId="1994" xr:uid="{00000000-0005-0000-0000-0000F3070000}"/>
    <cellStyle name="Moeda 2 3 2 4 3 2" xfId="4081" xr:uid="{00000000-0005-0000-0000-00001A100000}"/>
    <cellStyle name="Moeda 2 3 2 4 4" xfId="2698" xr:uid="{00000000-0005-0000-0000-0000B30A0000}"/>
    <cellStyle name="Moeda 2 3 2 5" xfId="320" xr:uid="{00000000-0005-0000-0000-000069010000}"/>
    <cellStyle name="Moeda 2 3 2 5 2" xfId="2056" xr:uid="{00000000-0005-0000-0000-000031080000}"/>
    <cellStyle name="Moeda 2 3 2 5 2 2" xfId="4122" xr:uid="{00000000-0005-0000-0000-000043100000}"/>
    <cellStyle name="Moeda 2 3 2 5 3" xfId="2461" xr:uid="{00000000-0005-0000-0000-0000C6090000}"/>
    <cellStyle name="Moeda 2 3 2 6" xfId="1167" xr:uid="{00000000-0005-0000-0000-0000B8040000}"/>
    <cellStyle name="Moeda 2 3 2 6 2" xfId="3278" xr:uid="{00000000-0005-0000-0000-0000F70C0000}"/>
    <cellStyle name="Moeda 2 3 2 7" xfId="1826" xr:uid="{00000000-0005-0000-0000-00004B070000}"/>
    <cellStyle name="Moeda 2 3 2 7 2" xfId="3936" xr:uid="{00000000-0005-0000-0000-0000890F0000}"/>
    <cellStyle name="Moeda 2 3 2 8" xfId="2272" xr:uid="{00000000-0005-0000-0000-000009090000}"/>
    <cellStyle name="Moeda 2 3 3" xfId="416" xr:uid="{00000000-0005-0000-0000-0000C9010000}"/>
    <cellStyle name="Moeda 2 3 3 2" xfId="861" xr:uid="{00000000-0005-0000-0000-000086030000}"/>
    <cellStyle name="Moeda 2 3 3 2 2" xfId="1690" xr:uid="{00000000-0005-0000-0000-0000C3060000}"/>
    <cellStyle name="Moeda 2 3 3 2 2 2" xfId="2159" xr:uid="{00000000-0005-0000-0000-000098080000}"/>
    <cellStyle name="Moeda 2 3 3 2 2 2 2" xfId="4225" xr:uid="{00000000-0005-0000-0000-0000AA100000}"/>
    <cellStyle name="Moeda 2 3 3 2 2 3" xfId="3801" xr:uid="{00000000-0005-0000-0000-0000020F0000}"/>
    <cellStyle name="Moeda 2 3 3 2 3" xfId="1945" xr:uid="{00000000-0005-0000-0000-0000C2070000}"/>
    <cellStyle name="Moeda 2 3 3 2 3 2" xfId="4039" xr:uid="{00000000-0005-0000-0000-0000F00F0000}"/>
    <cellStyle name="Moeda 2 3 3 2 4" xfId="2984" xr:uid="{00000000-0005-0000-0000-0000D10B0000}"/>
    <cellStyle name="Moeda 2 3 3 3" xfId="1263" xr:uid="{00000000-0005-0000-0000-000018050000}"/>
    <cellStyle name="Moeda 2 3 3 3 2" xfId="2079" xr:uid="{00000000-0005-0000-0000-000048080000}"/>
    <cellStyle name="Moeda 2 3 3 3 2 2" xfId="4145" xr:uid="{00000000-0005-0000-0000-00005A100000}"/>
    <cellStyle name="Moeda 2 3 3 3 3" xfId="3374" xr:uid="{00000000-0005-0000-0000-0000570D0000}"/>
    <cellStyle name="Moeda 2 3 3 4" xfId="1858" xr:uid="{00000000-0005-0000-0000-00006B070000}"/>
    <cellStyle name="Moeda 2 3 3 4 2" xfId="3959" xr:uid="{00000000-0005-0000-0000-0000A00F0000}"/>
    <cellStyle name="Moeda 2 3 3 5" xfId="2557" xr:uid="{00000000-0005-0000-0000-0000260A0000}"/>
    <cellStyle name="Moeda 2 3 4" xfId="669" xr:uid="{00000000-0005-0000-0000-0000C6020000}"/>
    <cellStyle name="Moeda 2 3 4 2" xfId="1498" xr:uid="{00000000-0005-0000-0000-000003060000}"/>
    <cellStyle name="Moeda 2 3 4 2 2" xfId="2117" xr:uid="{00000000-0005-0000-0000-00006E080000}"/>
    <cellStyle name="Moeda 2 3 4 2 2 2" xfId="4183" xr:uid="{00000000-0005-0000-0000-000080100000}"/>
    <cellStyle name="Moeda 2 3 4 2 3" xfId="3609" xr:uid="{00000000-0005-0000-0000-0000420E0000}"/>
    <cellStyle name="Moeda 2 3 4 3" xfId="1903" xr:uid="{00000000-0005-0000-0000-000098070000}"/>
    <cellStyle name="Moeda 2 3 4 3 2" xfId="3997" xr:uid="{00000000-0005-0000-0000-0000C60F0000}"/>
    <cellStyle name="Moeda 2 3 4 4" xfId="2792" xr:uid="{00000000-0005-0000-0000-0000110B0000}"/>
    <cellStyle name="Moeda 2 3 5" xfId="538" xr:uid="{00000000-0005-0000-0000-000043020000}"/>
    <cellStyle name="Moeda 2 3 5 2" xfId="1385" xr:uid="{00000000-0005-0000-0000-000092050000}"/>
    <cellStyle name="Moeda 2 3 5 2 2" xfId="2194" xr:uid="{00000000-0005-0000-0000-0000BB080000}"/>
    <cellStyle name="Moeda 2 3 5 2 2 2" xfId="4260" xr:uid="{00000000-0005-0000-0000-0000CD100000}"/>
    <cellStyle name="Moeda 2 3 5 2 3" xfId="3496" xr:uid="{00000000-0005-0000-0000-0000D10D0000}"/>
    <cellStyle name="Moeda 2 3 5 3" xfId="1986" xr:uid="{00000000-0005-0000-0000-0000EB070000}"/>
    <cellStyle name="Moeda 2 3 5 3 2" xfId="4074" xr:uid="{00000000-0005-0000-0000-000013100000}"/>
    <cellStyle name="Moeda 2 3 5 4" xfId="2679" xr:uid="{00000000-0005-0000-0000-0000A00A0000}"/>
    <cellStyle name="Moeda 2 3 6" xfId="216" xr:uid="{00000000-0005-0000-0000-000001010000}"/>
    <cellStyle name="Moeda 2 3 6 2" xfId="2037" xr:uid="{00000000-0005-0000-0000-00001E080000}"/>
    <cellStyle name="Moeda 2 3 6 2 2" xfId="4103" xr:uid="{00000000-0005-0000-0000-000030100000}"/>
    <cellStyle name="Moeda 2 3 6 3" xfId="2366" xr:uid="{00000000-0005-0000-0000-000067090000}"/>
    <cellStyle name="Moeda 2 3 7" xfId="1071" xr:uid="{00000000-0005-0000-0000-000058040000}"/>
    <cellStyle name="Moeda 2 3 7 2" xfId="3182" xr:uid="{00000000-0005-0000-0000-0000970C0000}"/>
    <cellStyle name="Moeda 2 3 8" xfId="1807" xr:uid="{00000000-0005-0000-0000-000038070000}"/>
    <cellStyle name="Moeda 2 3 8 2" xfId="3917" xr:uid="{00000000-0005-0000-0000-0000760F0000}"/>
    <cellStyle name="Moeda 2 3 9" xfId="2253" xr:uid="{00000000-0005-0000-0000-0000F6080000}"/>
    <cellStyle name="Moeda 3" xfId="43" xr:uid="{00000000-0005-0000-0000-000054000000}"/>
    <cellStyle name="Moeda 3 2" xfId="976" xr:uid="{00000000-0005-0000-0000-0000F9030000}"/>
    <cellStyle name="Moeda 3 2 2" xfId="984" xr:uid="{00000000-0005-0000-0000-000001040000}"/>
    <cellStyle name="Moeda 3 2 2 2" xfId="3096" xr:uid="{00000000-0005-0000-0000-0000410C0000}"/>
    <cellStyle name="Moeda 3 2 3" xfId="3093" xr:uid="{00000000-0005-0000-0000-00003E0C0000}"/>
    <cellStyle name="Moeda 3 3" xfId="977" xr:uid="{00000000-0005-0000-0000-0000FA030000}"/>
    <cellStyle name="Moeda 3 3 2" xfId="3094" xr:uid="{00000000-0005-0000-0000-00003F0C0000}"/>
    <cellStyle name="Moeda 4" xfId="52" xr:uid="{00000000-0005-0000-0000-00005D000000}"/>
    <cellStyle name="Moeda 4 2" xfId="76" xr:uid="{00000000-0005-0000-0000-000075000000}"/>
    <cellStyle name="Moeda 4 2 2" xfId="513" xr:uid="{00000000-0005-0000-0000-00002A020000}"/>
    <cellStyle name="Moeda 4 2 2 2" xfId="958" xr:uid="{00000000-0005-0000-0000-0000E7030000}"/>
    <cellStyle name="Moeda 4 2 2 2 2" xfId="1787" xr:uid="{00000000-0005-0000-0000-000024070000}"/>
    <cellStyle name="Moeda 4 2 2 2 2 2" xfId="2179" xr:uid="{00000000-0005-0000-0000-0000AC080000}"/>
    <cellStyle name="Moeda 4 2 2 2 2 2 2" xfId="4245" xr:uid="{00000000-0005-0000-0000-0000BE100000}"/>
    <cellStyle name="Moeda 4 2 2 2 2 3" xfId="3898" xr:uid="{00000000-0005-0000-0000-0000630F0000}"/>
    <cellStyle name="Moeda 4 2 2 2 3" xfId="1965" xr:uid="{00000000-0005-0000-0000-0000D6070000}"/>
    <cellStyle name="Moeda 4 2 2 2 3 2" xfId="4059" xr:uid="{00000000-0005-0000-0000-000004100000}"/>
    <cellStyle name="Moeda 4 2 2 2 4" xfId="3081" xr:uid="{00000000-0005-0000-0000-0000320C0000}"/>
    <cellStyle name="Moeda 4 2 2 3" xfId="1360" xr:uid="{00000000-0005-0000-0000-000079050000}"/>
    <cellStyle name="Moeda 4 2 2 3 2" xfId="2099" xr:uid="{00000000-0005-0000-0000-00005C080000}"/>
    <cellStyle name="Moeda 4 2 2 3 2 2" xfId="4165" xr:uid="{00000000-0005-0000-0000-00006E100000}"/>
    <cellStyle name="Moeda 4 2 2 3 3" xfId="3471" xr:uid="{00000000-0005-0000-0000-0000B80D0000}"/>
    <cellStyle name="Moeda 4 2 2 4" xfId="1880" xr:uid="{00000000-0005-0000-0000-000081070000}"/>
    <cellStyle name="Moeda 4 2 2 4 2" xfId="3979" xr:uid="{00000000-0005-0000-0000-0000B40F0000}"/>
    <cellStyle name="Moeda 4 2 2 5" xfId="2654" xr:uid="{00000000-0005-0000-0000-0000870A0000}"/>
    <cellStyle name="Moeda 4 2 3" xfId="766" xr:uid="{00000000-0005-0000-0000-000027030000}"/>
    <cellStyle name="Moeda 4 2 3 2" xfId="1595" xr:uid="{00000000-0005-0000-0000-000064060000}"/>
    <cellStyle name="Moeda 4 2 3 2 2" xfId="2137" xr:uid="{00000000-0005-0000-0000-000082080000}"/>
    <cellStyle name="Moeda 4 2 3 2 2 2" xfId="4203" xr:uid="{00000000-0005-0000-0000-000094100000}"/>
    <cellStyle name="Moeda 4 2 3 2 3" xfId="3706" xr:uid="{00000000-0005-0000-0000-0000A30E0000}"/>
    <cellStyle name="Moeda 4 2 3 3" xfId="1923" xr:uid="{00000000-0005-0000-0000-0000AC070000}"/>
    <cellStyle name="Moeda 4 2 3 3 2" xfId="4017" xr:uid="{00000000-0005-0000-0000-0000DA0F0000}"/>
    <cellStyle name="Moeda 4 2 3 4" xfId="2889" xr:uid="{00000000-0005-0000-0000-0000720B0000}"/>
    <cellStyle name="Moeda 4 2 4" xfId="558" xr:uid="{00000000-0005-0000-0000-000057020000}"/>
    <cellStyle name="Moeda 4 2 4 2" xfId="1405" xr:uid="{00000000-0005-0000-0000-0000A6050000}"/>
    <cellStyle name="Moeda 4 2 4 2 2" xfId="2202" xr:uid="{00000000-0005-0000-0000-0000C3080000}"/>
    <cellStyle name="Moeda 4 2 4 2 2 2" xfId="4268" xr:uid="{00000000-0005-0000-0000-0000D5100000}"/>
    <cellStyle name="Moeda 4 2 4 2 3" xfId="3516" xr:uid="{00000000-0005-0000-0000-0000E50D0000}"/>
    <cellStyle name="Moeda 4 2 4 3" xfId="1995" xr:uid="{00000000-0005-0000-0000-0000F4070000}"/>
    <cellStyle name="Moeda 4 2 4 3 2" xfId="4082" xr:uid="{00000000-0005-0000-0000-00001B100000}"/>
    <cellStyle name="Moeda 4 2 4 4" xfId="2699" xr:uid="{00000000-0005-0000-0000-0000B40A0000}"/>
    <cellStyle name="Moeda 4 2 5" xfId="321" xr:uid="{00000000-0005-0000-0000-00006A010000}"/>
    <cellStyle name="Moeda 4 2 5 2" xfId="2057" xr:uid="{00000000-0005-0000-0000-000032080000}"/>
    <cellStyle name="Moeda 4 2 5 2 2" xfId="4123" xr:uid="{00000000-0005-0000-0000-000044100000}"/>
    <cellStyle name="Moeda 4 2 5 3" xfId="2462" xr:uid="{00000000-0005-0000-0000-0000C7090000}"/>
    <cellStyle name="Moeda 4 2 6" xfId="1168" xr:uid="{00000000-0005-0000-0000-0000B9040000}"/>
    <cellStyle name="Moeda 4 2 6 2" xfId="3279" xr:uid="{00000000-0005-0000-0000-0000F80C0000}"/>
    <cellStyle name="Moeda 4 2 7" xfId="1827" xr:uid="{00000000-0005-0000-0000-00004C070000}"/>
    <cellStyle name="Moeda 4 2 7 2" xfId="3937" xr:uid="{00000000-0005-0000-0000-00008A0F0000}"/>
    <cellStyle name="Moeda 4 2 8" xfId="2273" xr:uid="{00000000-0005-0000-0000-00000A090000}"/>
    <cellStyle name="Moeda 4 3" xfId="417" xr:uid="{00000000-0005-0000-0000-0000CA010000}"/>
    <cellStyle name="Moeda 4 3 2" xfId="862" xr:uid="{00000000-0005-0000-0000-000087030000}"/>
    <cellStyle name="Moeda 4 3 2 2" xfId="1691" xr:uid="{00000000-0005-0000-0000-0000C4060000}"/>
    <cellStyle name="Moeda 4 3 2 2 2" xfId="2160" xr:uid="{00000000-0005-0000-0000-000099080000}"/>
    <cellStyle name="Moeda 4 3 2 2 2 2" xfId="4226" xr:uid="{00000000-0005-0000-0000-0000AB100000}"/>
    <cellStyle name="Moeda 4 3 2 2 3" xfId="3802" xr:uid="{00000000-0005-0000-0000-0000030F0000}"/>
    <cellStyle name="Moeda 4 3 2 3" xfId="1946" xr:uid="{00000000-0005-0000-0000-0000C3070000}"/>
    <cellStyle name="Moeda 4 3 2 3 2" xfId="4040" xr:uid="{00000000-0005-0000-0000-0000F10F0000}"/>
    <cellStyle name="Moeda 4 3 2 4" xfId="2985" xr:uid="{00000000-0005-0000-0000-0000D20B0000}"/>
    <cellStyle name="Moeda 4 3 3" xfId="1264" xr:uid="{00000000-0005-0000-0000-000019050000}"/>
    <cellStyle name="Moeda 4 3 3 2" xfId="2080" xr:uid="{00000000-0005-0000-0000-000049080000}"/>
    <cellStyle name="Moeda 4 3 3 2 2" xfId="4146" xr:uid="{00000000-0005-0000-0000-00005B100000}"/>
    <cellStyle name="Moeda 4 3 3 3" xfId="3375" xr:uid="{00000000-0005-0000-0000-0000580D0000}"/>
    <cellStyle name="Moeda 4 3 4" xfId="1859" xr:uid="{00000000-0005-0000-0000-00006C070000}"/>
    <cellStyle name="Moeda 4 3 4 2" xfId="3960" xr:uid="{00000000-0005-0000-0000-0000A10F0000}"/>
    <cellStyle name="Moeda 4 3 5" xfId="2558" xr:uid="{00000000-0005-0000-0000-0000270A0000}"/>
    <cellStyle name="Moeda 4 4" xfId="670" xr:uid="{00000000-0005-0000-0000-0000C7020000}"/>
    <cellStyle name="Moeda 4 4 2" xfId="1499" xr:uid="{00000000-0005-0000-0000-000004060000}"/>
    <cellStyle name="Moeda 4 4 2 2" xfId="2118" xr:uid="{00000000-0005-0000-0000-00006F080000}"/>
    <cellStyle name="Moeda 4 4 2 2 2" xfId="4184" xr:uid="{00000000-0005-0000-0000-000081100000}"/>
    <cellStyle name="Moeda 4 4 2 3" xfId="3610" xr:uid="{00000000-0005-0000-0000-0000430E0000}"/>
    <cellStyle name="Moeda 4 4 3" xfId="1904" xr:uid="{00000000-0005-0000-0000-000099070000}"/>
    <cellStyle name="Moeda 4 4 3 2" xfId="3998" xr:uid="{00000000-0005-0000-0000-0000C70F0000}"/>
    <cellStyle name="Moeda 4 4 4" xfId="2793" xr:uid="{00000000-0005-0000-0000-0000120B0000}"/>
    <cellStyle name="Moeda 4 5" xfId="539" xr:uid="{00000000-0005-0000-0000-000044020000}"/>
    <cellStyle name="Moeda 4 5 2" xfId="1386" xr:uid="{00000000-0005-0000-0000-000093050000}"/>
    <cellStyle name="Moeda 4 5 2 2" xfId="2195" xr:uid="{00000000-0005-0000-0000-0000BC080000}"/>
    <cellStyle name="Moeda 4 5 2 2 2" xfId="4261" xr:uid="{00000000-0005-0000-0000-0000CE100000}"/>
    <cellStyle name="Moeda 4 5 2 3" xfId="3497" xr:uid="{00000000-0005-0000-0000-0000D20D0000}"/>
    <cellStyle name="Moeda 4 5 3" xfId="1988" xr:uid="{00000000-0005-0000-0000-0000ED070000}"/>
    <cellStyle name="Moeda 4 5 3 2" xfId="4075" xr:uid="{00000000-0005-0000-0000-000014100000}"/>
    <cellStyle name="Moeda 4 5 4" xfId="2680" xr:uid="{00000000-0005-0000-0000-0000A10A0000}"/>
    <cellStyle name="Moeda 4 6" xfId="218" xr:uid="{00000000-0005-0000-0000-000003010000}"/>
    <cellStyle name="Moeda 4 6 2" xfId="2038" xr:uid="{00000000-0005-0000-0000-00001F080000}"/>
    <cellStyle name="Moeda 4 6 2 2" xfId="4104" xr:uid="{00000000-0005-0000-0000-000031100000}"/>
    <cellStyle name="Moeda 4 6 3" xfId="2367" xr:uid="{00000000-0005-0000-0000-000068090000}"/>
    <cellStyle name="Moeda 4 7" xfId="1072" xr:uid="{00000000-0005-0000-0000-000059040000}"/>
    <cellStyle name="Moeda 4 7 2" xfId="3183" xr:uid="{00000000-0005-0000-0000-0000980C0000}"/>
    <cellStyle name="Moeda 4 8" xfId="1808" xr:uid="{00000000-0005-0000-0000-000039070000}"/>
    <cellStyle name="Moeda 4 8 2" xfId="3918" xr:uid="{00000000-0005-0000-0000-0000770F0000}"/>
    <cellStyle name="Moeda 4 9" xfId="2254" xr:uid="{00000000-0005-0000-0000-0000F7080000}"/>
    <cellStyle name="Moeda 5" xfId="58" xr:uid="{00000000-0005-0000-0000-000063000000}"/>
    <cellStyle name="Moeda 5 2" xfId="79" xr:uid="{00000000-0005-0000-0000-000078000000}"/>
    <cellStyle name="Moeda 5 2 2" xfId="516" xr:uid="{00000000-0005-0000-0000-00002D020000}"/>
    <cellStyle name="Moeda 5 2 2 2" xfId="961" xr:uid="{00000000-0005-0000-0000-0000EA030000}"/>
    <cellStyle name="Moeda 5 2 2 2 2" xfId="1790" xr:uid="{00000000-0005-0000-0000-000027070000}"/>
    <cellStyle name="Moeda 5 2 2 2 2 2" xfId="2182" xr:uid="{00000000-0005-0000-0000-0000AF080000}"/>
    <cellStyle name="Moeda 5 2 2 2 2 2 2" xfId="4248" xr:uid="{00000000-0005-0000-0000-0000C1100000}"/>
    <cellStyle name="Moeda 5 2 2 2 2 3" xfId="3901" xr:uid="{00000000-0005-0000-0000-0000660F0000}"/>
    <cellStyle name="Moeda 5 2 2 2 3" xfId="1968" xr:uid="{00000000-0005-0000-0000-0000D9070000}"/>
    <cellStyle name="Moeda 5 2 2 2 3 2" xfId="4062" xr:uid="{00000000-0005-0000-0000-000007100000}"/>
    <cellStyle name="Moeda 5 2 2 2 4" xfId="3084" xr:uid="{00000000-0005-0000-0000-0000350C0000}"/>
    <cellStyle name="Moeda 5 2 2 3" xfId="1363" xr:uid="{00000000-0005-0000-0000-00007C050000}"/>
    <cellStyle name="Moeda 5 2 2 3 2" xfId="2102" xr:uid="{00000000-0005-0000-0000-00005F080000}"/>
    <cellStyle name="Moeda 5 2 2 3 2 2" xfId="4168" xr:uid="{00000000-0005-0000-0000-000071100000}"/>
    <cellStyle name="Moeda 5 2 2 3 3" xfId="3474" xr:uid="{00000000-0005-0000-0000-0000BB0D0000}"/>
    <cellStyle name="Moeda 5 2 2 4" xfId="1883" xr:uid="{00000000-0005-0000-0000-000084070000}"/>
    <cellStyle name="Moeda 5 2 2 4 2" xfId="3982" xr:uid="{00000000-0005-0000-0000-0000B70F0000}"/>
    <cellStyle name="Moeda 5 2 2 5" xfId="2657" xr:uid="{00000000-0005-0000-0000-00008A0A0000}"/>
    <cellStyle name="Moeda 5 2 3" xfId="769" xr:uid="{00000000-0005-0000-0000-00002A030000}"/>
    <cellStyle name="Moeda 5 2 3 2" xfId="1598" xr:uid="{00000000-0005-0000-0000-000067060000}"/>
    <cellStyle name="Moeda 5 2 3 2 2" xfId="2140" xr:uid="{00000000-0005-0000-0000-000085080000}"/>
    <cellStyle name="Moeda 5 2 3 2 2 2" xfId="4206" xr:uid="{00000000-0005-0000-0000-000097100000}"/>
    <cellStyle name="Moeda 5 2 3 2 3" xfId="3709" xr:uid="{00000000-0005-0000-0000-0000A60E0000}"/>
    <cellStyle name="Moeda 5 2 3 3" xfId="1926" xr:uid="{00000000-0005-0000-0000-0000AF070000}"/>
    <cellStyle name="Moeda 5 2 3 3 2" xfId="4020" xr:uid="{00000000-0005-0000-0000-0000DD0F0000}"/>
    <cellStyle name="Moeda 5 2 3 4" xfId="2892" xr:uid="{00000000-0005-0000-0000-0000750B0000}"/>
    <cellStyle name="Moeda 5 2 4" xfId="561" xr:uid="{00000000-0005-0000-0000-00005A020000}"/>
    <cellStyle name="Moeda 5 2 4 2" xfId="1408" xr:uid="{00000000-0005-0000-0000-0000A9050000}"/>
    <cellStyle name="Moeda 5 2 4 2 2" xfId="3519" xr:uid="{00000000-0005-0000-0000-0000E80D0000}"/>
    <cellStyle name="Moeda 5 2 4 3" xfId="2060" xr:uid="{00000000-0005-0000-0000-000035080000}"/>
    <cellStyle name="Moeda 5 2 4 3 2" xfId="4126" xr:uid="{00000000-0005-0000-0000-000047100000}"/>
    <cellStyle name="Moeda 5 2 4 4" xfId="2702" xr:uid="{00000000-0005-0000-0000-0000B70A0000}"/>
    <cellStyle name="Moeda 5 2 5" xfId="324" xr:uid="{00000000-0005-0000-0000-00006D010000}"/>
    <cellStyle name="Moeda 5 2 5 2" xfId="2465" xr:uid="{00000000-0005-0000-0000-0000CA090000}"/>
    <cellStyle name="Moeda 5 2 6" xfId="1171" xr:uid="{00000000-0005-0000-0000-0000BC040000}"/>
    <cellStyle name="Moeda 5 2 6 2" xfId="3282" xr:uid="{00000000-0005-0000-0000-0000FB0C0000}"/>
    <cellStyle name="Moeda 5 2 7" xfId="1830" xr:uid="{00000000-0005-0000-0000-00004F070000}"/>
    <cellStyle name="Moeda 5 2 7 2" xfId="3940" xr:uid="{00000000-0005-0000-0000-00008D0F0000}"/>
    <cellStyle name="Moeda 5 2 8" xfId="2276" xr:uid="{00000000-0005-0000-0000-00000D090000}"/>
    <cellStyle name="Moeda 5 3" xfId="420" xr:uid="{00000000-0005-0000-0000-0000CD010000}"/>
    <cellStyle name="Moeda 5 3 2" xfId="865" xr:uid="{00000000-0005-0000-0000-00008A030000}"/>
    <cellStyle name="Moeda 5 3 2 2" xfId="1694" xr:uid="{00000000-0005-0000-0000-0000C7060000}"/>
    <cellStyle name="Moeda 5 3 2 2 2" xfId="2163" xr:uid="{00000000-0005-0000-0000-00009C080000}"/>
    <cellStyle name="Moeda 5 3 2 2 2 2" xfId="4229" xr:uid="{00000000-0005-0000-0000-0000AE100000}"/>
    <cellStyle name="Moeda 5 3 2 2 3" xfId="3805" xr:uid="{00000000-0005-0000-0000-0000060F0000}"/>
    <cellStyle name="Moeda 5 3 2 3" xfId="1949" xr:uid="{00000000-0005-0000-0000-0000C6070000}"/>
    <cellStyle name="Moeda 5 3 2 3 2" xfId="4043" xr:uid="{00000000-0005-0000-0000-0000F40F0000}"/>
    <cellStyle name="Moeda 5 3 2 4" xfId="2988" xr:uid="{00000000-0005-0000-0000-0000D50B0000}"/>
    <cellStyle name="Moeda 5 3 3" xfId="1267" xr:uid="{00000000-0005-0000-0000-00001C050000}"/>
    <cellStyle name="Moeda 5 3 3 2" xfId="2083" xr:uid="{00000000-0005-0000-0000-00004C080000}"/>
    <cellStyle name="Moeda 5 3 3 2 2" xfId="4149" xr:uid="{00000000-0005-0000-0000-00005E100000}"/>
    <cellStyle name="Moeda 5 3 3 3" xfId="3378" xr:uid="{00000000-0005-0000-0000-00005B0D0000}"/>
    <cellStyle name="Moeda 5 3 4" xfId="1864" xr:uid="{00000000-0005-0000-0000-000071070000}"/>
    <cellStyle name="Moeda 5 3 4 2" xfId="3963" xr:uid="{00000000-0005-0000-0000-0000A40F0000}"/>
    <cellStyle name="Moeda 5 3 5" xfId="2561" xr:uid="{00000000-0005-0000-0000-00002A0A0000}"/>
    <cellStyle name="Moeda 5 4" xfId="673" xr:uid="{00000000-0005-0000-0000-0000CA020000}"/>
    <cellStyle name="Moeda 5 4 2" xfId="1502" xr:uid="{00000000-0005-0000-0000-000007060000}"/>
    <cellStyle name="Moeda 5 4 2 2" xfId="2121" xr:uid="{00000000-0005-0000-0000-000072080000}"/>
    <cellStyle name="Moeda 5 4 2 2 2" xfId="4187" xr:uid="{00000000-0005-0000-0000-000084100000}"/>
    <cellStyle name="Moeda 5 4 2 3" xfId="3613" xr:uid="{00000000-0005-0000-0000-0000460E0000}"/>
    <cellStyle name="Moeda 5 4 3" xfId="1907" xr:uid="{00000000-0005-0000-0000-00009C070000}"/>
    <cellStyle name="Moeda 5 4 3 2" xfId="4001" xr:uid="{00000000-0005-0000-0000-0000CA0F0000}"/>
    <cellStyle name="Moeda 5 4 4" xfId="2796" xr:uid="{00000000-0005-0000-0000-0000150B0000}"/>
    <cellStyle name="Moeda 5 5" xfId="542" xr:uid="{00000000-0005-0000-0000-000047020000}"/>
    <cellStyle name="Moeda 5 5 2" xfId="1389" xr:uid="{00000000-0005-0000-0000-000096050000}"/>
    <cellStyle name="Moeda 5 5 2 2" xfId="3500" xr:uid="{00000000-0005-0000-0000-0000D50D0000}"/>
    <cellStyle name="Moeda 5 5 3" xfId="2041" xr:uid="{00000000-0005-0000-0000-000022080000}"/>
    <cellStyle name="Moeda 5 5 3 2" xfId="4107" xr:uid="{00000000-0005-0000-0000-000034100000}"/>
    <cellStyle name="Moeda 5 5 4" xfId="2683" xr:uid="{00000000-0005-0000-0000-0000A40A0000}"/>
    <cellStyle name="Moeda 5 6" xfId="223" xr:uid="{00000000-0005-0000-0000-000008010000}"/>
    <cellStyle name="Moeda 5 6 2" xfId="2370" xr:uid="{00000000-0005-0000-0000-00006B090000}"/>
    <cellStyle name="Moeda 5 7" xfId="1075" xr:uid="{00000000-0005-0000-0000-00005C040000}"/>
    <cellStyle name="Moeda 5 7 2" xfId="3186" xr:uid="{00000000-0005-0000-0000-00009B0C0000}"/>
    <cellStyle name="Moeda 5 8" xfId="1811" xr:uid="{00000000-0005-0000-0000-00003C070000}"/>
    <cellStyle name="Moeda 5 8 2" xfId="3921" xr:uid="{00000000-0005-0000-0000-00007A0F0000}"/>
    <cellStyle name="Moeda 5 9" xfId="2257" xr:uid="{00000000-0005-0000-0000-0000FA080000}"/>
    <cellStyle name="Moeda 6" xfId="187" xr:uid="{00000000-0005-0000-0000-0000E4000000}"/>
    <cellStyle name="Moeda 6 2" xfId="305" xr:uid="{00000000-0005-0000-0000-00005A010000}"/>
    <cellStyle name="Moeda 6 2 2" xfId="497" xr:uid="{00000000-0005-0000-0000-00001A020000}"/>
    <cellStyle name="Moeda 6 2 2 2" xfId="942" xr:uid="{00000000-0005-0000-0000-0000D7030000}"/>
    <cellStyle name="Moeda 6 2 2 2 2" xfId="1771" xr:uid="{00000000-0005-0000-0000-000014070000}"/>
    <cellStyle name="Moeda 6 2 2 2 2 2" xfId="3882" xr:uid="{00000000-0005-0000-0000-0000530F0000}"/>
    <cellStyle name="Moeda 6 2 2 2 3" xfId="3065" xr:uid="{00000000-0005-0000-0000-0000220C0000}"/>
    <cellStyle name="Moeda 6 2 2 3" xfId="1344" xr:uid="{00000000-0005-0000-0000-000069050000}"/>
    <cellStyle name="Moeda 6 2 2 3 2" xfId="3455" xr:uid="{00000000-0005-0000-0000-0000A80D0000}"/>
    <cellStyle name="Moeda 6 2 2 4" xfId="2638" xr:uid="{00000000-0005-0000-0000-0000770A0000}"/>
    <cellStyle name="Moeda 6 2 3" xfId="750" xr:uid="{00000000-0005-0000-0000-000017030000}"/>
    <cellStyle name="Moeda 6 2 3 2" xfId="1579" xr:uid="{00000000-0005-0000-0000-000054060000}"/>
    <cellStyle name="Moeda 6 2 3 2 2" xfId="3690" xr:uid="{00000000-0005-0000-0000-0000930E0000}"/>
    <cellStyle name="Moeda 6 2 3 3" xfId="2873" xr:uid="{00000000-0005-0000-0000-0000620B0000}"/>
    <cellStyle name="Moeda 6 2 4" xfId="1152" xr:uid="{00000000-0005-0000-0000-0000A9040000}"/>
    <cellStyle name="Moeda 6 2 4 2" xfId="3263" xr:uid="{00000000-0005-0000-0000-0000E80C0000}"/>
    <cellStyle name="Moeda 6 2 5" xfId="2446" xr:uid="{00000000-0005-0000-0000-0000B7090000}"/>
    <cellStyle name="Moeda 6 3" xfId="401" xr:uid="{00000000-0005-0000-0000-0000BA010000}"/>
    <cellStyle name="Moeda 6 3 2" xfId="846" xr:uid="{00000000-0005-0000-0000-000077030000}"/>
    <cellStyle name="Moeda 6 3 2 2" xfId="1675" xr:uid="{00000000-0005-0000-0000-0000B4060000}"/>
    <cellStyle name="Moeda 6 3 2 2 2" xfId="3786" xr:uid="{00000000-0005-0000-0000-0000F30E0000}"/>
    <cellStyle name="Moeda 6 3 2 3" xfId="2969" xr:uid="{00000000-0005-0000-0000-0000C20B0000}"/>
    <cellStyle name="Moeda 6 3 3" xfId="1248" xr:uid="{00000000-0005-0000-0000-000009050000}"/>
    <cellStyle name="Moeda 6 3 3 2" xfId="3359" xr:uid="{00000000-0005-0000-0000-0000480D0000}"/>
    <cellStyle name="Moeda 6 3 4" xfId="2542" xr:uid="{00000000-0005-0000-0000-0000170A0000}"/>
    <cellStyle name="Moeda 6 4" xfId="654" xr:uid="{00000000-0005-0000-0000-0000B7020000}"/>
    <cellStyle name="Moeda 6 4 2" xfId="1483" xr:uid="{00000000-0005-0000-0000-0000F4050000}"/>
    <cellStyle name="Moeda 6 4 2 2" xfId="3594" xr:uid="{00000000-0005-0000-0000-0000330E0000}"/>
    <cellStyle name="Moeda 6 4 3" xfId="2777" xr:uid="{00000000-0005-0000-0000-0000020B0000}"/>
    <cellStyle name="Moeda 6 5" xfId="1056" xr:uid="{00000000-0005-0000-0000-000049040000}"/>
    <cellStyle name="Moeda 6 5 2" xfId="3167" xr:uid="{00000000-0005-0000-0000-0000880C0000}"/>
    <cellStyle name="Moeda 6 6" xfId="2019" xr:uid="{00000000-0005-0000-0000-00000C080000}"/>
    <cellStyle name="Moeda 6 6 2" xfId="4087" xr:uid="{00000000-0005-0000-0000-000020100000}"/>
    <cellStyle name="Moeda 6 7" xfId="2351" xr:uid="{00000000-0005-0000-0000-000058090000}"/>
    <cellStyle name="Moeda 7" xfId="2213" xr:uid="{00000000-0005-0000-0000-0000CE080000}"/>
    <cellStyle name="Neutro 2" xfId="34" xr:uid="{00000000-0005-0000-0000-00004B000000}"/>
    <cellStyle name="Normal" xfId="0" builtinId="0"/>
    <cellStyle name="Normal 10" xfId="21" xr:uid="{00000000-0005-0000-0000-00003E000000}"/>
    <cellStyle name="Normal 10 2" xfId="201" xr:uid="{00000000-0005-0000-0000-0000F2000000}"/>
    <cellStyle name="Normal 10 3" xfId="581" xr:uid="{00000000-0005-0000-0000-00006E020000}"/>
    <cellStyle name="Normal 10 4" xfId="101" xr:uid="{00000000-0005-0000-0000-00008E000000}"/>
    <cellStyle name="Normal 11" xfId="24" xr:uid="{00000000-0005-0000-0000-000041000000}"/>
    <cellStyle name="Normal 11 2" xfId="148" xr:uid="{00000000-0005-0000-0000-0000BD000000}"/>
    <cellStyle name="Normal 11 3" xfId="204" xr:uid="{00000000-0005-0000-0000-0000F5000000}"/>
    <cellStyle name="Normal 11 4" xfId="582" xr:uid="{00000000-0005-0000-0000-00006F020000}"/>
    <cellStyle name="Normal 11 5" xfId="102" xr:uid="{00000000-0005-0000-0000-00008F000000}"/>
    <cellStyle name="Normal 12" xfId="23" xr:uid="{00000000-0005-0000-0000-000040000000}"/>
    <cellStyle name="Normal 12 2" xfId="203" xr:uid="{00000000-0005-0000-0000-0000F4000000}"/>
    <cellStyle name="Normal 13" xfId="55" xr:uid="{00000000-0005-0000-0000-000060000000}"/>
    <cellStyle name="Normal 13 2" xfId="221" xr:uid="{00000000-0005-0000-0000-000006010000}"/>
    <cellStyle name="Normal 14" xfId="56" xr:uid="{00000000-0005-0000-0000-000061000000}"/>
    <cellStyle name="Normal 14 2" xfId="149" xr:uid="{00000000-0005-0000-0000-0000BE000000}"/>
    <cellStyle name="Normal 14 3" xfId="222" xr:uid="{00000000-0005-0000-0000-000007010000}"/>
    <cellStyle name="Normal 14 4" xfId="583" xr:uid="{00000000-0005-0000-0000-000070020000}"/>
    <cellStyle name="Normal 14 5" xfId="103" xr:uid="{00000000-0005-0000-0000-000090000000}"/>
    <cellStyle name="Normal 15" xfId="57" xr:uid="{00000000-0005-0000-0000-000062000000}"/>
    <cellStyle name="Normal 16" xfId="82" xr:uid="{00000000-0005-0000-0000-00007B000000}"/>
    <cellStyle name="Normal 16 2" xfId="652" xr:uid="{00000000-0005-0000-0000-0000B5020000}"/>
    <cellStyle name="Normal 16 3" xfId="564" xr:uid="{00000000-0005-0000-0000-00005D020000}"/>
    <cellStyle name="Normal 16 4" xfId="183" xr:uid="{00000000-0005-0000-0000-0000E0000000}"/>
    <cellStyle name="Normal 17" xfId="84" xr:uid="{00000000-0005-0000-0000-00007D000000}"/>
    <cellStyle name="Normal 17 2" xfId="296" xr:uid="{00000000-0005-0000-0000-000051010000}"/>
    <cellStyle name="Normal 17 3" xfId="644" xr:uid="{00000000-0005-0000-0000-0000AD020000}"/>
    <cellStyle name="Normal 17 4" xfId="566" xr:uid="{00000000-0005-0000-0000-00005F020000}"/>
    <cellStyle name="Normal 17 5" xfId="175" xr:uid="{00000000-0005-0000-0000-0000D8000000}"/>
    <cellStyle name="Normal 18" xfId="4" xr:uid="{00000000-0005-0000-0000-00002D000000}"/>
    <cellStyle name="Normal 18 2" xfId="1835" xr:uid="{00000000-0005-0000-0000-000054070000}"/>
    <cellStyle name="Normal 19" xfId="5" xr:uid="{00000000-0005-0000-0000-00002E000000}"/>
    <cellStyle name="Normal 19 2" xfId="1836" xr:uid="{00000000-0005-0000-0000-000055070000}"/>
    <cellStyle name="Normal 2" xfId="6" xr:uid="{00000000-0005-0000-0000-00002F000000}"/>
    <cellStyle name="Normal 2 2" xfId="9" xr:uid="{00000000-0005-0000-0000-000032000000}"/>
    <cellStyle name="Normal 2 2 2" xfId="51" xr:uid="{00000000-0005-0000-0000-00005C000000}"/>
    <cellStyle name="Normal 2 2 2 2" xfId="217" xr:uid="{00000000-0005-0000-0000-000002010000}"/>
    <cellStyle name="Normal 2 2 2 3" xfId="585" xr:uid="{00000000-0005-0000-0000-000072020000}"/>
    <cellStyle name="Normal 2 2 2 4" xfId="105" xr:uid="{00000000-0005-0000-0000-000092000000}"/>
    <cellStyle name="Normal 2 2 3" xfId="190" xr:uid="{00000000-0005-0000-0000-0000E7000000}"/>
    <cellStyle name="Normal 2 2 4" xfId="971" xr:uid="{00000000-0005-0000-0000-0000F4030000}"/>
    <cellStyle name="Normal 2 3" xfId="28" xr:uid="{00000000-0005-0000-0000-000045000000}"/>
    <cellStyle name="Normal 2 3 2" xfId="106" xr:uid="{00000000-0005-0000-0000-000093000000}"/>
    <cellStyle name="Normal 2 3 3" xfId="573" xr:uid="{00000000-0005-0000-0000-000066020000}"/>
    <cellStyle name="Normal 2 3 4" xfId="92" xr:uid="{00000000-0005-0000-0000-000085000000}"/>
    <cellStyle name="Normal 2 4" xfId="107" xr:uid="{00000000-0005-0000-0000-000094000000}"/>
    <cellStyle name="Normal 2 5" xfId="186" xr:uid="{00000000-0005-0000-0000-0000E3000000}"/>
    <cellStyle name="Normal 2 6" xfId="975" xr:uid="{00000000-0005-0000-0000-0000F8030000}"/>
    <cellStyle name="Normal 20" xfId="968" xr:uid="{00000000-0005-0000-0000-0000F1030000}"/>
    <cellStyle name="Normal 20 2" xfId="1837" xr:uid="{00000000-0005-0000-0000-000056070000}"/>
    <cellStyle name="Normal 21" xfId="969" xr:uid="{00000000-0005-0000-0000-0000F2030000}"/>
    <cellStyle name="Normal 21 2" xfId="1838" xr:uid="{00000000-0005-0000-0000-000057070000}"/>
    <cellStyle name="Normal 22" xfId="970" xr:uid="{00000000-0005-0000-0000-0000F3030000}"/>
    <cellStyle name="Normal 22 2" xfId="1839" xr:uid="{00000000-0005-0000-0000-000058070000}"/>
    <cellStyle name="Normal 23" xfId="1842" xr:uid="{00000000-0005-0000-0000-00005B070000}"/>
    <cellStyle name="Normal 24" xfId="1840" xr:uid="{00000000-0005-0000-0000-000059070000}"/>
    <cellStyle name="Normal 25" xfId="1887" xr:uid="{00000000-0005-0000-0000-000088070000}"/>
    <cellStyle name="Normal 26" xfId="1888" xr:uid="{00000000-0005-0000-0000-000089070000}"/>
    <cellStyle name="Normal 27" xfId="1863" xr:uid="{00000000-0005-0000-0000-000070070000}"/>
    <cellStyle name="Normal 28" xfId="1841" xr:uid="{00000000-0005-0000-0000-00005A070000}"/>
    <cellStyle name="Normal 29" xfId="1889" xr:uid="{00000000-0005-0000-0000-00008A070000}"/>
    <cellStyle name="Normal 3" xfId="7" xr:uid="{00000000-0005-0000-0000-000030000000}"/>
    <cellStyle name="Normal 3 2" xfId="47" xr:uid="{00000000-0005-0000-0000-000058000000}"/>
    <cellStyle name="Normal 3 2 2" xfId="119" xr:uid="{00000000-0005-0000-0000-0000A0000000}"/>
    <cellStyle name="Normal 3 2 2 2" xfId="213" xr:uid="{00000000-0005-0000-0000-0000FE000000}"/>
    <cellStyle name="Normal 3 2 3" xfId="574" xr:uid="{00000000-0005-0000-0000-000067020000}"/>
    <cellStyle name="Normal 3 2 4" xfId="93" xr:uid="{00000000-0005-0000-0000-000086000000}"/>
    <cellStyle name="Normal 3 2 5" xfId="972" xr:uid="{00000000-0005-0000-0000-0000F5030000}"/>
    <cellStyle name="Normal 3 3" xfId="188" xr:uid="{00000000-0005-0000-0000-0000E5000000}"/>
    <cellStyle name="Normal 3 3 2" xfId="1984" xr:uid="{00000000-0005-0000-0000-0000E9070000}"/>
    <cellStyle name="Normal 3 4" xfId="229" xr:uid="{00000000-0005-0000-0000-00000E010000}"/>
    <cellStyle name="Normal 3 4 2" xfId="1974" xr:uid="{00000000-0005-0000-0000-0000DF070000}"/>
    <cellStyle name="Normal 3 5" xfId="567" xr:uid="{00000000-0005-0000-0000-000060020000}"/>
    <cellStyle name="Normal 3 6" xfId="85" xr:uid="{00000000-0005-0000-0000-00007E000000}"/>
    <cellStyle name="Normal 3 7" xfId="978" xr:uid="{00000000-0005-0000-0000-0000FB030000}"/>
    <cellStyle name="Normal 3 8" xfId="981" xr:uid="{00000000-0005-0000-0000-0000FE030000}"/>
    <cellStyle name="Normal 3_LANÇ. SECURITIZADORA.04.14 2 2" xfId="980" xr:uid="{00000000-0005-0000-0000-0000FD030000}"/>
    <cellStyle name="Normal 30" xfId="1862" xr:uid="{00000000-0005-0000-0000-00006F070000}"/>
    <cellStyle name="Normal 31" xfId="1853" xr:uid="{00000000-0005-0000-0000-000066070000}"/>
    <cellStyle name="Normal 32" xfId="1890" xr:uid="{00000000-0005-0000-0000-00008B070000}"/>
    <cellStyle name="Normal 33" xfId="1892" xr:uid="{00000000-0005-0000-0000-00008D070000}"/>
    <cellStyle name="Normal 34" xfId="1972" xr:uid="{00000000-0005-0000-0000-0000DD070000}"/>
    <cellStyle name="Normal 35" xfId="1976" xr:uid="{00000000-0005-0000-0000-0000E1070000}"/>
    <cellStyle name="Normal 36" xfId="2002" xr:uid="{00000000-0005-0000-0000-0000FB070000}"/>
    <cellStyle name="Normal 37" xfId="1975" xr:uid="{00000000-0005-0000-0000-0000E0070000}"/>
    <cellStyle name="Normal 38" xfId="1987" xr:uid="{00000000-0005-0000-0000-0000EC070000}"/>
    <cellStyle name="Normal 39" xfId="1977" xr:uid="{00000000-0005-0000-0000-0000E2070000}"/>
    <cellStyle name="Normal 4" xfId="10" xr:uid="{00000000-0005-0000-0000-000033000000}"/>
    <cellStyle name="Normal 4 2" xfId="49" xr:uid="{00000000-0005-0000-0000-00005A000000}"/>
    <cellStyle name="Normal 4 2 2" xfId="121" xr:uid="{00000000-0005-0000-0000-0000A2000000}"/>
    <cellStyle name="Normal 4 2 2 2" xfId="215" xr:uid="{00000000-0005-0000-0000-000000010000}"/>
    <cellStyle name="Normal 4 2 3" xfId="576" xr:uid="{00000000-0005-0000-0000-000069020000}"/>
    <cellStyle name="Normal 4 2 4" xfId="95" xr:uid="{00000000-0005-0000-0000-000088000000}"/>
    <cellStyle name="Normal 4 3" xfId="59" xr:uid="{00000000-0005-0000-0000-000064000000}"/>
    <cellStyle name="Normal 4 3 2" xfId="224" xr:uid="{00000000-0005-0000-0000-000009010000}"/>
    <cellStyle name="Normal 4 3 3" xfId="586" xr:uid="{00000000-0005-0000-0000-000073020000}"/>
    <cellStyle name="Normal 4 3 4" xfId="108" xr:uid="{00000000-0005-0000-0000-000095000000}"/>
    <cellStyle name="Normal 4 4" xfId="140" xr:uid="{00000000-0005-0000-0000-0000B5000000}"/>
    <cellStyle name="Normal 4 4 2" xfId="191" xr:uid="{00000000-0005-0000-0000-0000E8000000}"/>
    <cellStyle name="Normal 4 5" xfId="982" xr:uid="{00000000-0005-0000-0000-0000FF030000}"/>
    <cellStyle name="Normal 40" xfId="2001" xr:uid="{00000000-0005-0000-0000-0000FA070000}"/>
    <cellStyle name="Normal 40 2" xfId="2207" xr:uid="{00000000-0005-0000-0000-0000C8080000}"/>
    <cellStyle name="Normal 41" xfId="2003" xr:uid="{00000000-0005-0000-0000-0000FC070000}"/>
    <cellStyle name="Normal 42" xfId="2011" xr:uid="{00000000-0005-0000-0000-000004080000}"/>
    <cellStyle name="Normal 43" xfId="2005" xr:uid="{00000000-0005-0000-0000-0000FE070000}"/>
    <cellStyle name="Normal 44" xfId="2008" xr:uid="{00000000-0005-0000-0000-000001080000}"/>
    <cellStyle name="Normal 45" xfId="2004" xr:uid="{00000000-0005-0000-0000-0000FD070000}"/>
    <cellStyle name="Normal 46" xfId="2012" xr:uid="{00000000-0005-0000-0000-000005080000}"/>
    <cellStyle name="Normal 47" xfId="2009" xr:uid="{00000000-0005-0000-0000-000002080000}"/>
    <cellStyle name="Normal 48" xfId="2006" xr:uid="{00000000-0005-0000-0000-0000FF070000}"/>
    <cellStyle name="Normal 49" xfId="2013" xr:uid="{00000000-0005-0000-0000-000006080000}"/>
    <cellStyle name="Normal 5" xfId="12" xr:uid="{00000000-0005-0000-0000-000035000000}"/>
    <cellStyle name="Normal 5 2" xfId="193" xr:uid="{00000000-0005-0000-0000-0000EA000000}"/>
    <cellStyle name="Normal 5 2 2" xfId="2000" xr:uid="{00000000-0005-0000-0000-0000F9070000}"/>
    <cellStyle name="Normal 5 3" xfId="2214" xr:uid="{00000000-0005-0000-0000-0000CF080000}"/>
    <cellStyle name="Normal 50" xfId="2007" xr:uid="{00000000-0005-0000-0000-000000080000}"/>
    <cellStyle name="Normal 51" xfId="2010" xr:uid="{00000000-0005-0000-0000-000003080000}"/>
    <cellStyle name="Normal 52" xfId="2014" xr:uid="{00000000-0005-0000-0000-000007080000}"/>
    <cellStyle name="Normal 53" xfId="2015" xr:uid="{00000000-0005-0000-0000-000008080000}"/>
    <cellStyle name="Normal 54" xfId="2016" xr:uid="{00000000-0005-0000-0000-000009080000}"/>
    <cellStyle name="Normal 55" xfId="2017" xr:uid="{00000000-0005-0000-0000-00000A080000}"/>
    <cellStyle name="Normal 56" xfId="2022" xr:uid="{00000000-0005-0000-0000-00000F080000}"/>
    <cellStyle name="Normal 57" xfId="2018" xr:uid="{00000000-0005-0000-0000-00000B080000}"/>
    <cellStyle name="Normal 58" xfId="2021" xr:uid="{00000000-0005-0000-0000-00000E080000}"/>
    <cellStyle name="Normal 59" xfId="2210" xr:uid="{00000000-0005-0000-0000-0000CB080000}"/>
    <cellStyle name="Normal 6" xfId="14" xr:uid="{00000000-0005-0000-0000-000037000000}"/>
    <cellStyle name="Normal 6 2" xfId="195" xr:uid="{00000000-0005-0000-0000-0000EC000000}"/>
    <cellStyle name="Normal 6 3" xfId="2215" xr:uid="{00000000-0005-0000-0000-0000D0080000}"/>
    <cellStyle name="Normal 60" xfId="41" xr:uid="{00000000-0005-0000-0000-000052000000}"/>
    <cellStyle name="Normal 61" xfId="2209" xr:uid="{00000000-0005-0000-0000-0000CA080000}"/>
    <cellStyle name="Normal 62" xfId="2208" xr:uid="{00000000-0005-0000-0000-0000C9080000}"/>
    <cellStyle name="Normal 63" xfId="2211" xr:uid="{00000000-0005-0000-0000-0000CC080000}"/>
    <cellStyle name="Normal 64" xfId="2212" xr:uid="{00000000-0005-0000-0000-0000CD080000}"/>
    <cellStyle name="Normal 65" xfId="1797" xr:uid="{00000000-0005-0000-0000-00002E070000}"/>
    <cellStyle name="Normal 7" xfId="15" xr:uid="{00000000-0005-0000-0000-000038000000}"/>
    <cellStyle name="Normal 7 2" xfId="114" xr:uid="{00000000-0005-0000-0000-00009B000000}"/>
    <cellStyle name="Normal 7 2 2" xfId="196" xr:uid="{00000000-0005-0000-0000-0000ED000000}"/>
    <cellStyle name="Normal 7 3" xfId="2216" xr:uid="{00000000-0005-0000-0000-0000D1080000}"/>
    <cellStyle name="Normal 8" xfId="18" xr:uid="{00000000-0005-0000-0000-00003B000000}"/>
    <cellStyle name="Normal 8 2" xfId="132" xr:uid="{00000000-0005-0000-0000-0000AD000000}"/>
    <cellStyle name="Normal 8 3" xfId="231" xr:uid="{00000000-0005-0000-0000-000010010000}"/>
    <cellStyle name="Normal 8 4" xfId="571" xr:uid="{00000000-0005-0000-0000-000064020000}"/>
    <cellStyle name="Normal 8 5" xfId="90" xr:uid="{00000000-0005-0000-0000-000083000000}"/>
    <cellStyle name="Normal 8 6" xfId="2217" xr:uid="{00000000-0005-0000-0000-0000D2080000}"/>
    <cellStyle name="Normal 9" xfId="19" xr:uid="{00000000-0005-0000-0000-00003C000000}"/>
    <cellStyle name="Normal 9 2" xfId="139" xr:uid="{00000000-0005-0000-0000-0000B4000000}"/>
    <cellStyle name="Normal 9 2 2" xfId="199" xr:uid="{00000000-0005-0000-0000-0000F0000000}"/>
    <cellStyle name="Normal 9 3" xfId="577" xr:uid="{00000000-0005-0000-0000-00006A020000}"/>
    <cellStyle name="Normal 9 4" xfId="97" xr:uid="{00000000-0005-0000-0000-00008A000000}"/>
    <cellStyle name="Normal 9 5" xfId="2218" xr:uid="{00000000-0005-0000-0000-0000D3080000}"/>
    <cellStyle name="Nota 2" xfId="192" xr:uid="{00000000-0005-0000-0000-0000E9000000}"/>
    <cellStyle name="Porcentagem" xfId="3" builtinId="5"/>
    <cellStyle name="Porcentagem 2" xfId="11" xr:uid="{00000000-0005-0000-0000-000034000000}"/>
    <cellStyle name="Porcentagem 2 2" xfId="61" xr:uid="{00000000-0005-0000-0000-000066000000}"/>
    <cellStyle name="Porcentagem 2 2 2" xfId="226" xr:uid="{00000000-0005-0000-0000-00000B010000}"/>
    <cellStyle name="Porcentagem 2 2 3" xfId="569" xr:uid="{00000000-0005-0000-0000-000062020000}"/>
    <cellStyle name="Porcentagem 2 2 4" xfId="87" xr:uid="{00000000-0005-0000-0000-000080000000}"/>
    <cellStyle name="Porcentagem 2 3" xfId="96" xr:uid="{00000000-0005-0000-0000-000089000000}"/>
    <cellStyle name="Porcentagem 2 4" xfId="116" xr:uid="{00000000-0005-0000-0000-00009D000000}"/>
    <cellStyle name="Porcentagem 2 5" xfId="568" xr:uid="{00000000-0005-0000-0000-000061020000}"/>
    <cellStyle name="Porcentagem 2 6" xfId="86" xr:uid="{00000000-0005-0000-0000-00007F000000}"/>
    <cellStyle name="Porcentagem 3" xfId="185" xr:uid="{00000000-0005-0000-0000-0000E2000000}"/>
    <cellStyle name="Porcentagem 3 2" xfId="2220" xr:uid="{00000000-0005-0000-0000-0000D5080000}"/>
    <cellStyle name="Porcentagem 4" xfId="2221" xr:uid="{00000000-0005-0000-0000-0000D6080000}"/>
    <cellStyle name="Porcentagem 5" xfId="2222" xr:uid="{00000000-0005-0000-0000-0000D7080000}"/>
    <cellStyle name="Porcentagem 6" xfId="2223" xr:uid="{00000000-0005-0000-0000-0000D8080000}"/>
    <cellStyle name="Porcentagem 7" xfId="42" xr:uid="{00000000-0005-0000-0000-000053000000}"/>
    <cellStyle name="Porcentagem 7 2" xfId="2224" xr:uid="{00000000-0005-0000-0000-0000D9080000}"/>
    <cellStyle name="Porcentagem 8" xfId="2219" xr:uid="{00000000-0005-0000-0000-0000D4080000}"/>
    <cellStyle name="Separador de milhares 10" xfId="128" xr:uid="{00000000-0005-0000-0000-0000A9000000}"/>
    <cellStyle name="Separador de milhares 10 2" xfId="165" xr:uid="{00000000-0005-0000-0000-0000CE000000}"/>
    <cellStyle name="Separador de milhares 10 2 2" xfId="286" xr:uid="{00000000-0005-0000-0000-000047010000}"/>
    <cellStyle name="Separador de milhares 10 2 2 2" xfId="479" xr:uid="{00000000-0005-0000-0000-000008020000}"/>
    <cellStyle name="Separador de milhares 10 2 2 2 2" xfId="924" xr:uid="{00000000-0005-0000-0000-0000C5030000}"/>
    <cellStyle name="Separador de milhares 10 2 2 2 2 2" xfId="1753" xr:uid="{00000000-0005-0000-0000-000002070000}"/>
    <cellStyle name="Separador de milhares 10 2 2 2 2 2 2" xfId="3864" xr:uid="{00000000-0005-0000-0000-0000410F0000}"/>
    <cellStyle name="Separador de milhares 10 2 2 2 2 3" xfId="3047" xr:uid="{00000000-0005-0000-0000-0000100C0000}"/>
    <cellStyle name="Separador de milhares 10 2 2 2 3" xfId="1326" xr:uid="{00000000-0005-0000-0000-000057050000}"/>
    <cellStyle name="Separador de milhares 10 2 2 2 3 2" xfId="3437" xr:uid="{00000000-0005-0000-0000-0000960D0000}"/>
    <cellStyle name="Separador de milhares 10 2 2 2 4" xfId="2620" xr:uid="{00000000-0005-0000-0000-0000650A0000}"/>
    <cellStyle name="Separador de milhares 10 2 2 3" xfId="732" xr:uid="{00000000-0005-0000-0000-000005030000}"/>
    <cellStyle name="Separador de milhares 10 2 2 3 2" xfId="1561" xr:uid="{00000000-0005-0000-0000-000042060000}"/>
    <cellStyle name="Separador de milhares 10 2 2 3 2 2" xfId="3672" xr:uid="{00000000-0005-0000-0000-0000810E0000}"/>
    <cellStyle name="Separador de milhares 10 2 2 3 3" xfId="2855" xr:uid="{00000000-0005-0000-0000-0000500B0000}"/>
    <cellStyle name="Separador de milhares 10 2 2 4" xfId="1134" xr:uid="{00000000-0005-0000-0000-000097040000}"/>
    <cellStyle name="Separador de milhares 10 2 2 4 2" xfId="3245" xr:uid="{00000000-0005-0000-0000-0000D60C0000}"/>
    <cellStyle name="Separador de milhares 10 2 2 5" xfId="2428" xr:uid="{00000000-0005-0000-0000-0000A5090000}"/>
    <cellStyle name="Separador de milhares 10 2 3" xfId="383" xr:uid="{00000000-0005-0000-0000-0000A8010000}"/>
    <cellStyle name="Separador de milhares 10 2 3 2" xfId="828" xr:uid="{00000000-0005-0000-0000-000065030000}"/>
    <cellStyle name="Separador de milhares 10 2 3 2 2" xfId="1657" xr:uid="{00000000-0005-0000-0000-0000A2060000}"/>
    <cellStyle name="Separador de milhares 10 2 3 2 2 2" xfId="3768" xr:uid="{00000000-0005-0000-0000-0000E10E0000}"/>
    <cellStyle name="Separador de milhares 10 2 3 2 3" xfId="2951" xr:uid="{00000000-0005-0000-0000-0000B00B0000}"/>
    <cellStyle name="Separador de milhares 10 2 3 3" xfId="1230" xr:uid="{00000000-0005-0000-0000-0000F7040000}"/>
    <cellStyle name="Separador de milhares 10 2 3 3 2" xfId="3341" xr:uid="{00000000-0005-0000-0000-0000360D0000}"/>
    <cellStyle name="Separador de milhares 10 2 3 4" xfId="2524" xr:uid="{00000000-0005-0000-0000-0000050A0000}"/>
    <cellStyle name="Separador de milhares 10 2 4" xfId="634" xr:uid="{00000000-0005-0000-0000-0000A3020000}"/>
    <cellStyle name="Separador de milhares 10 2 4 2" xfId="1465" xr:uid="{00000000-0005-0000-0000-0000E2050000}"/>
    <cellStyle name="Separador de milhares 10 2 4 2 2" xfId="3576" xr:uid="{00000000-0005-0000-0000-0000210E0000}"/>
    <cellStyle name="Separador de milhares 10 2 4 3" xfId="2759" xr:uid="{00000000-0005-0000-0000-0000F00A0000}"/>
    <cellStyle name="Separador de milhares 10 2 5" xfId="1038" xr:uid="{00000000-0005-0000-0000-000037040000}"/>
    <cellStyle name="Separador de milhares 10 2 5 2" xfId="3149" xr:uid="{00000000-0005-0000-0000-0000760C0000}"/>
    <cellStyle name="Separador de milhares 10 2 6" xfId="2333" xr:uid="{00000000-0005-0000-0000-000046090000}"/>
    <cellStyle name="Separador de milhares 10 3" xfId="254" xr:uid="{00000000-0005-0000-0000-000027010000}"/>
    <cellStyle name="Separador de milhares 10 3 2" xfId="447" xr:uid="{00000000-0005-0000-0000-0000E8010000}"/>
    <cellStyle name="Separador de milhares 10 3 2 2" xfId="892" xr:uid="{00000000-0005-0000-0000-0000A5030000}"/>
    <cellStyle name="Separador de milhares 10 3 2 2 2" xfId="1721" xr:uid="{00000000-0005-0000-0000-0000E2060000}"/>
    <cellStyle name="Separador de milhares 10 3 2 2 2 2" xfId="3832" xr:uid="{00000000-0005-0000-0000-0000210F0000}"/>
    <cellStyle name="Separador de milhares 10 3 2 2 3" xfId="3015" xr:uid="{00000000-0005-0000-0000-0000F00B0000}"/>
    <cellStyle name="Separador de milhares 10 3 2 3" xfId="1294" xr:uid="{00000000-0005-0000-0000-000037050000}"/>
    <cellStyle name="Separador de milhares 10 3 2 3 2" xfId="3405" xr:uid="{00000000-0005-0000-0000-0000760D0000}"/>
    <cellStyle name="Separador de milhares 10 3 2 4" xfId="2588" xr:uid="{00000000-0005-0000-0000-0000450A0000}"/>
    <cellStyle name="Separador de milhares 10 3 3" xfId="700" xr:uid="{00000000-0005-0000-0000-0000E5020000}"/>
    <cellStyle name="Separador de milhares 10 3 3 2" xfId="1529" xr:uid="{00000000-0005-0000-0000-000022060000}"/>
    <cellStyle name="Separador de milhares 10 3 3 2 2" xfId="3640" xr:uid="{00000000-0005-0000-0000-0000610E0000}"/>
    <cellStyle name="Separador de milhares 10 3 3 3" xfId="2823" xr:uid="{00000000-0005-0000-0000-0000300B0000}"/>
    <cellStyle name="Separador de milhares 10 3 4" xfId="1102" xr:uid="{00000000-0005-0000-0000-000077040000}"/>
    <cellStyle name="Separador de milhares 10 3 4 2" xfId="3213" xr:uid="{00000000-0005-0000-0000-0000B60C0000}"/>
    <cellStyle name="Separador de milhares 10 3 5" xfId="2396" xr:uid="{00000000-0005-0000-0000-000085090000}"/>
    <cellStyle name="Separador de milhares 10 4" xfId="351" xr:uid="{00000000-0005-0000-0000-000088010000}"/>
    <cellStyle name="Separador de milhares 10 4 2" xfId="796" xr:uid="{00000000-0005-0000-0000-000045030000}"/>
    <cellStyle name="Separador de milhares 10 4 2 2" xfId="1625" xr:uid="{00000000-0005-0000-0000-000082060000}"/>
    <cellStyle name="Separador de milhares 10 4 2 2 2" xfId="3736" xr:uid="{00000000-0005-0000-0000-0000C10E0000}"/>
    <cellStyle name="Separador de milhares 10 4 2 3" xfId="2919" xr:uid="{00000000-0005-0000-0000-0000900B0000}"/>
    <cellStyle name="Separador de milhares 10 4 3" xfId="1198" xr:uid="{00000000-0005-0000-0000-0000D7040000}"/>
    <cellStyle name="Separador de milhares 10 4 3 2" xfId="3309" xr:uid="{00000000-0005-0000-0000-0000160D0000}"/>
    <cellStyle name="Separador de milhares 10 4 4" xfId="2492" xr:uid="{00000000-0005-0000-0000-0000E5090000}"/>
    <cellStyle name="Separador de milhares 10 5" xfId="602" xr:uid="{00000000-0005-0000-0000-000083020000}"/>
    <cellStyle name="Separador de milhares 10 5 2" xfId="1433" xr:uid="{00000000-0005-0000-0000-0000C2050000}"/>
    <cellStyle name="Separador de milhares 10 5 2 2" xfId="3544" xr:uid="{00000000-0005-0000-0000-0000010E0000}"/>
    <cellStyle name="Separador de milhares 10 5 3" xfId="2727" xr:uid="{00000000-0005-0000-0000-0000D00A0000}"/>
    <cellStyle name="Separador de milhares 10 6" xfId="1006" xr:uid="{00000000-0005-0000-0000-000017040000}"/>
    <cellStyle name="Separador de milhares 10 6 2" xfId="3117" xr:uid="{00000000-0005-0000-0000-0000560C0000}"/>
    <cellStyle name="Separador de milhares 10 7" xfId="2301" xr:uid="{00000000-0005-0000-0000-000026090000}"/>
    <cellStyle name="Separador de milhares 11" xfId="129" xr:uid="{00000000-0005-0000-0000-0000AA000000}"/>
    <cellStyle name="Separador de milhares 11 2" xfId="166" xr:uid="{00000000-0005-0000-0000-0000CF000000}"/>
    <cellStyle name="Separador de milhares 11 2 2" xfId="287" xr:uid="{00000000-0005-0000-0000-000048010000}"/>
    <cellStyle name="Separador de milhares 11 2 2 2" xfId="480" xr:uid="{00000000-0005-0000-0000-000009020000}"/>
    <cellStyle name="Separador de milhares 11 2 2 2 2" xfId="925" xr:uid="{00000000-0005-0000-0000-0000C6030000}"/>
    <cellStyle name="Separador de milhares 11 2 2 2 2 2" xfId="1754" xr:uid="{00000000-0005-0000-0000-000003070000}"/>
    <cellStyle name="Separador de milhares 11 2 2 2 2 2 2" xfId="3865" xr:uid="{00000000-0005-0000-0000-0000420F0000}"/>
    <cellStyle name="Separador de milhares 11 2 2 2 2 3" xfId="3048" xr:uid="{00000000-0005-0000-0000-0000110C0000}"/>
    <cellStyle name="Separador de milhares 11 2 2 2 3" xfId="1327" xr:uid="{00000000-0005-0000-0000-000058050000}"/>
    <cellStyle name="Separador de milhares 11 2 2 2 3 2" xfId="3438" xr:uid="{00000000-0005-0000-0000-0000970D0000}"/>
    <cellStyle name="Separador de milhares 11 2 2 2 4" xfId="2621" xr:uid="{00000000-0005-0000-0000-0000660A0000}"/>
    <cellStyle name="Separador de milhares 11 2 2 3" xfId="733" xr:uid="{00000000-0005-0000-0000-000006030000}"/>
    <cellStyle name="Separador de milhares 11 2 2 3 2" xfId="1562" xr:uid="{00000000-0005-0000-0000-000043060000}"/>
    <cellStyle name="Separador de milhares 11 2 2 3 2 2" xfId="3673" xr:uid="{00000000-0005-0000-0000-0000820E0000}"/>
    <cellStyle name="Separador de milhares 11 2 2 3 3" xfId="2856" xr:uid="{00000000-0005-0000-0000-0000510B0000}"/>
    <cellStyle name="Separador de milhares 11 2 2 4" xfId="1135" xr:uid="{00000000-0005-0000-0000-000098040000}"/>
    <cellStyle name="Separador de milhares 11 2 2 4 2" xfId="3246" xr:uid="{00000000-0005-0000-0000-0000D70C0000}"/>
    <cellStyle name="Separador de milhares 11 2 2 5" xfId="2429" xr:uid="{00000000-0005-0000-0000-0000A6090000}"/>
    <cellStyle name="Separador de milhares 11 2 3" xfId="384" xr:uid="{00000000-0005-0000-0000-0000A9010000}"/>
    <cellStyle name="Separador de milhares 11 2 3 2" xfId="829" xr:uid="{00000000-0005-0000-0000-000066030000}"/>
    <cellStyle name="Separador de milhares 11 2 3 2 2" xfId="1658" xr:uid="{00000000-0005-0000-0000-0000A3060000}"/>
    <cellStyle name="Separador de milhares 11 2 3 2 2 2" xfId="3769" xr:uid="{00000000-0005-0000-0000-0000E20E0000}"/>
    <cellStyle name="Separador de milhares 11 2 3 2 3" xfId="2952" xr:uid="{00000000-0005-0000-0000-0000B10B0000}"/>
    <cellStyle name="Separador de milhares 11 2 3 3" xfId="1231" xr:uid="{00000000-0005-0000-0000-0000F8040000}"/>
    <cellStyle name="Separador de milhares 11 2 3 3 2" xfId="3342" xr:uid="{00000000-0005-0000-0000-0000370D0000}"/>
    <cellStyle name="Separador de milhares 11 2 3 4" xfId="2525" xr:uid="{00000000-0005-0000-0000-0000060A0000}"/>
    <cellStyle name="Separador de milhares 11 2 4" xfId="635" xr:uid="{00000000-0005-0000-0000-0000A4020000}"/>
    <cellStyle name="Separador de milhares 11 2 4 2" xfId="1466" xr:uid="{00000000-0005-0000-0000-0000E3050000}"/>
    <cellStyle name="Separador de milhares 11 2 4 2 2" xfId="3577" xr:uid="{00000000-0005-0000-0000-0000220E0000}"/>
    <cellStyle name="Separador de milhares 11 2 4 3" xfId="2760" xr:uid="{00000000-0005-0000-0000-0000F10A0000}"/>
    <cellStyle name="Separador de milhares 11 2 5" xfId="1039" xr:uid="{00000000-0005-0000-0000-000038040000}"/>
    <cellStyle name="Separador de milhares 11 2 5 2" xfId="3150" xr:uid="{00000000-0005-0000-0000-0000770C0000}"/>
    <cellStyle name="Separador de milhares 11 2 6" xfId="2334" xr:uid="{00000000-0005-0000-0000-000047090000}"/>
    <cellStyle name="Separador de milhares 11 3" xfId="255" xr:uid="{00000000-0005-0000-0000-000028010000}"/>
    <cellStyle name="Separador de milhares 11 3 2" xfId="448" xr:uid="{00000000-0005-0000-0000-0000E9010000}"/>
    <cellStyle name="Separador de milhares 11 3 2 2" xfId="893" xr:uid="{00000000-0005-0000-0000-0000A6030000}"/>
    <cellStyle name="Separador de milhares 11 3 2 2 2" xfId="1722" xr:uid="{00000000-0005-0000-0000-0000E3060000}"/>
    <cellStyle name="Separador de milhares 11 3 2 2 2 2" xfId="3833" xr:uid="{00000000-0005-0000-0000-0000220F0000}"/>
    <cellStyle name="Separador de milhares 11 3 2 2 3" xfId="3016" xr:uid="{00000000-0005-0000-0000-0000F10B0000}"/>
    <cellStyle name="Separador de milhares 11 3 2 3" xfId="1295" xr:uid="{00000000-0005-0000-0000-000038050000}"/>
    <cellStyle name="Separador de milhares 11 3 2 3 2" xfId="3406" xr:uid="{00000000-0005-0000-0000-0000770D0000}"/>
    <cellStyle name="Separador de milhares 11 3 2 4" xfId="2589" xr:uid="{00000000-0005-0000-0000-0000460A0000}"/>
    <cellStyle name="Separador de milhares 11 3 3" xfId="701" xr:uid="{00000000-0005-0000-0000-0000E6020000}"/>
    <cellStyle name="Separador de milhares 11 3 3 2" xfId="1530" xr:uid="{00000000-0005-0000-0000-000023060000}"/>
    <cellStyle name="Separador de milhares 11 3 3 2 2" xfId="3641" xr:uid="{00000000-0005-0000-0000-0000620E0000}"/>
    <cellStyle name="Separador de milhares 11 3 3 3" xfId="2824" xr:uid="{00000000-0005-0000-0000-0000310B0000}"/>
    <cellStyle name="Separador de milhares 11 3 4" xfId="1103" xr:uid="{00000000-0005-0000-0000-000078040000}"/>
    <cellStyle name="Separador de milhares 11 3 4 2" xfId="3214" xr:uid="{00000000-0005-0000-0000-0000B70C0000}"/>
    <cellStyle name="Separador de milhares 11 3 5" xfId="2397" xr:uid="{00000000-0005-0000-0000-000086090000}"/>
    <cellStyle name="Separador de milhares 11 4" xfId="352" xr:uid="{00000000-0005-0000-0000-000089010000}"/>
    <cellStyle name="Separador de milhares 11 4 2" xfId="797" xr:uid="{00000000-0005-0000-0000-000046030000}"/>
    <cellStyle name="Separador de milhares 11 4 2 2" xfId="1626" xr:uid="{00000000-0005-0000-0000-000083060000}"/>
    <cellStyle name="Separador de milhares 11 4 2 2 2" xfId="3737" xr:uid="{00000000-0005-0000-0000-0000C20E0000}"/>
    <cellStyle name="Separador de milhares 11 4 2 3" xfId="2920" xr:uid="{00000000-0005-0000-0000-0000910B0000}"/>
    <cellStyle name="Separador de milhares 11 4 3" xfId="1199" xr:uid="{00000000-0005-0000-0000-0000D8040000}"/>
    <cellStyle name="Separador de milhares 11 4 3 2" xfId="3310" xr:uid="{00000000-0005-0000-0000-0000170D0000}"/>
    <cellStyle name="Separador de milhares 11 4 4" xfId="2493" xr:uid="{00000000-0005-0000-0000-0000E6090000}"/>
    <cellStyle name="Separador de milhares 11 5" xfId="603" xr:uid="{00000000-0005-0000-0000-000084020000}"/>
    <cellStyle name="Separador de milhares 11 5 2" xfId="1434" xr:uid="{00000000-0005-0000-0000-0000C3050000}"/>
    <cellStyle name="Separador de milhares 11 5 2 2" xfId="3545" xr:uid="{00000000-0005-0000-0000-0000020E0000}"/>
    <cellStyle name="Separador de milhares 11 5 3" xfId="2728" xr:uid="{00000000-0005-0000-0000-0000D10A0000}"/>
    <cellStyle name="Separador de milhares 11 6" xfId="1007" xr:uid="{00000000-0005-0000-0000-000018040000}"/>
    <cellStyle name="Separador de milhares 11 6 2" xfId="3118" xr:uid="{00000000-0005-0000-0000-0000570C0000}"/>
    <cellStyle name="Separador de milhares 11 7" xfId="2302" xr:uid="{00000000-0005-0000-0000-000027090000}"/>
    <cellStyle name="Separador de milhares 12" xfId="130" xr:uid="{00000000-0005-0000-0000-0000AB000000}"/>
    <cellStyle name="Separador de milhares 12 2" xfId="167" xr:uid="{00000000-0005-0000-0000-0000D0000000}"/>
    <cellStyle name="Separador de milhares 12 2 2" xfId="288" xr:uid="{00000000-0005-0000-0000-000049010000}"/>
    <cellStyle name="Separador de milhares 12 2 2 2" xfId="481" xr:uid="{00000000-0005-0000-0000-00000A020000}"/>
    <cellStyle name="Separador de milhares 12 2 2 2 2" xfId="926" xr:uid="{00000000-0005-0000-0000-0000C7030000}"/>
    <cellStyle name="Separador de milhares 12 2 2 2 2 2" xfId="1755" xr:uid="{00000000-0005-0000-0000-000004070000}"/>
    <cellStyle name="Separador de milhares 12 2 2 2 2 2 2" xfId="3866" xr:uid="{00000000-0005-0000-0000-0000430F0000}"/>
    <cellStyle name="Separador de milhares 12 2 2 2 2 3" xfId="3049" xr:uid="{00000000-0005-0000-0000-0000120C0000}"/>
    <cellStyle name="Separador de milhares 12 2 2 2 3" xfId="1328" xr:uid="{00000000-0005-0000-0000-000059050000}"/>
    <cellStyle name="Separador de milhares 12 2 2 2 3 2" xfId="3439" xr:uid="{00000000-0005-0000-0000-0000980D0000}"/>
    <cellStyle name="Separador de milhares 12 2 2 2 4" xfId="2622" xr:uid="{00000000-0005-0000-0000-0000670A0000}"/>
    <cellStyle name="Separador de milhares 12 2 2 3" xfId="734" xr:uid="{00000000-0005-0000-0000-000007030000}"/>
    <cellStyle name="Separador de milhares 12 2 2 3 2" xfId="1563" xr:uid="{00000000-0005-0000-0000-000044060000}"/>
    <cellStyle name="Separador de milhares 12 2 2 3 2 2" xfId="3674" xr:uid="{00000000-0005-0000-0000-0000830E0000}"/>
    <cellStyle name="Separador de milhares 12 2 2 3 3" xfId="2857" xr:uid="{00000000-0005-0000-0000-0000520B0000}"/>
    <cellStyle name="Separador de milhares 12 2 2 4" xfId="1136" xr:uid="{00000000-0005-0000-0000-000099040000}"/>
    <cellStyle name="Separador de milhares 12 2 2 4 2" xfId="3247" xr:uid="{00000000-0005-0000-0000-0000D80C0000}"/>
    <cellStyle name="Separador de milhares 12 2 2 5" xfId="2430" xr:uid="{00000000-0005-0000-0000-0000A7090000}"/>
    <cellStyle name="Separador de milhares 12 2 3" xfId="385" xr:uid="{00000000-0005-0000-0000-0000AA010000}"/>
    <cellStyle name="Separador de milhares 12 2 3 2" xfId="830" xr:uid="{00000000-0005-0000-0000-000067030000}"/>
    <cellStyle name="Separador de milhares 12 2 3 2 2" xfId="1659" xr:uid="{00000000-0005-0000-0000-0000A4060000}"/>
    <cellStyle name="Separador de milhares 12 2 3 2 2 2" xfId="3770" xr:uid="{00000000-0005-0000-0000-0000E30E0000}"/>
    <cellStyle name="Separador de milhares 12 2 3 2 3" xfId="2953" xr:uid="{00000000-0005-0000-0000-0000B20B0000}"/>
    <cellStyle name="Separador de milhares 12 2 3 3" xfId="1232" xr:uid="{00000000-0005-0000-0000-0000F9040000}"/>
    <cellStyle name="Separador de milhares 12 2 3 3 2" xfId="3343" xr:uid="{00000000-0005-0000-0000-0000380D0000}"/>
    <cellStyle name="Separador de milhares 12 2 3 4" xfId="2526" xr:uid="{00000000-0005-0000-0000-0000070A0000}"/>
    <cellStyle name="Separador de milhares 12 2 4" xfId="636" xr:uid="{00000000-0005-0000-0000-0000A5020000}"/>
    <cellStyle name="Separador de milhares 12 2 4 2" xfId="1467" xr:uid="{00000000-0005-0000-0000-0000E4050000}"/>
    <cellStyle name="Separador de milhares 12 2 4 2 2" xfId="3578" xr:uid="{00000000-0005-0000-0000-0000230E0000}"/>
    <cellStyle name="Separador de milhares 12 2 4 3" xfId="2761" xr:uid="{00000000-0005-0000-0000-0000F20A0000}"/>
    <cellStyle name="Separador de milhares 12 2 5" xfId="1040" xr:uid="{00000000-0005-0000-0000-000039040000}"/>
    <cellStyle name="Separador de milhares 12 2 5 2" xfId="3151" xr:uid="{00000000-0005-0000-0000-0000780C0000}"/>
    <cellStyle name="Separador de milhares 12 2 6" xfId="2335" xr:uid="{00000000-0005-0000-0000-000048090000}"/>
    <cellStyle name="Separador de milhares 12 3" xfId="256" xr:uid="{00000000-0005-0000-0000-000029010000}"/>
    <cellStyle name="Separador de milhares 12 3 2" xfId="449" xr:uid="{00000000-0005-0000-0000-0000EA010000}"/>
    <cellStyle name="Separador de milhares 12 3 2 2" xfId="894" xr:uid="{00000000-0005-0000-0000-0000A7030000}"/>
    <cellStyle name="Separador de milhares 12 3 2 2 2" xfId="1723" xr:uid="{00000000-0005-0000-0000-0000E4060000}"/>
    <cellStyle name="Separador de milhares 12 3 2 2 2 2" xfId="3834" xr:uid="{00000000-0005-0000-0000-0000230F0000}"/>
    <cellStyle name="Separador de milhares 12 3 2 2 3" xfId="3017" xr:uid="{00000000-0005-0000-0000-0000F20B0000}"/>
    <cellStyle name="Separador de milhares 12 3 2 3" xfId="1296" xr:uid="{00000000-0005-0000-0000-000039050000}"/>
    <cellStyle name="Separador de milhares 12 3 2 3 2" xfId="3407" xr:uid="{00000000-0005-0000-0000-0000780D0000}"/>
    <cellStyle name="Separador de milhares 12 3 2 4" xfId="2590" xr:uid="{00000000-0005-0000-0000-0000470A0000}"/>
    <cellStyle name="Separador de milhares 12 3 3" xfId="702" xr:uid="{00000000-0005-0000-0000-0000E7020000}"/>
    <cellStyle name="Separador de milhares 12 3 3 2" xfId="1531" xr:uid="{00000000-0005-0000-0000-000024060000}"/>
    <cellStyle name="Separador de milhares 12 3 3 2 2" xfId="3642" xr:uid="{00000000-0005-0000-0000-0000630E0000}"/>
    <cellStyle name="Separador de milhares 12 3 3 3" xfId="2825" xr:uid="{00000000-0005-0000-0000-0000320B0000}"/>
    <cellStyle name="Separador de milhares 12 3 4" xfId="1104" xr:uid="{00000000-0005-0000-0000-000079040000}"/>
    <cellStyle name="Separador de milhares 12 3 4 2" xfId="3215" xr:uid="{00000000-0005-0000-0000-0000B80C0000}"/>
    <cellStyle name="Separador de milhares 12 3 5" xfId="2398" xr:uid="{00000000-0005-0000-0000-000087090000}"/>
    <cellStyle name="Separador de milhares 12 4" xfId="353" xr:uid="{00000000-0005-0000-0000-00008A010000}"/>
    <cellStyle name="Separador de milhares 12 4 2" xfId="798" xr:uid="{00000000-0005-0000-0000-000047030000}"/>
    <cellStyle name="Separador de milhares 12 4 2 2" xfId="1627" xr:uid="{00000000-0005-0000-0000-000084060000}"/>
    <cellStyle name="Separador de milhares 12 4 2 2 2" xfId="3738" xr:uid="{00000000-0005-0000-0000-0000C30E0000}"/>
    <cellStyle name="Separador de milhares 12 4 2 3" xfId="2921" xr:uid="{00000000-0005-0000-0000-0000920B0000}"/>
    <cellStyle name="Separador de milhares 12 4 3" xfId="1200" xr:uid="{00000000-0005-0000-0000-0000D9040000}"/>
    <cellStyle name="Separador de milhares 12 4 3 2" xfId="3311" xr:uid="{00000000-0005-0000-0000-0000180D0000}"/>
    <cellStyle name="Separador de milhares 12 4 4" xfId="2494" xr:uid="{00000000-0005-0000-0000-0000E7090000}"/>
    <cellStyle name="Separador de milhares 12 5" xfId="604" xr:uid="{00000000-0005-0000-0000-000085020000}"/>
    <cellStyle name="Separador de milhares 12 5 2" xfId="1435" xr:uid="{00000000-0005-0000-0000-0000C4050000}"/>
    <cellStyle name="Separador de milhares 12 5 2 2" xfId="3546" xr:uid="{00000000-0005-0000-0000-0000030E0000}"/>
    <cellStyle name="Separador de milhares 12 5 3" xfId="2729" xr:uid="{00000000-0005-0000-0000-0000D20A0000}"/>
    <cellStyle name="Separador de milhares 12 6" xfId="1008" xr:uid="{00000000-0005-0000-0000-000019040000}"/>
    <cellStyle name="Separador de milhares 12 6 2" xfId="3119" xr:uid="{00000000-0005-0000-0000-0000580C0000}"/>
    <cellStyle name="Separador de milhares 12 7" xfId="2303" xr:uid="{00000000-0005-0000-0000-000028090000}"/>
    <cellStyle name="Separador de milhares 2" xfId="110" xr:uid="{00000000-0005-0000-0000-000097000000}"/>
    <cellStyle name="Separador de milhares 2 10" xfId="118" xr:uid="{00000000-0005-0000-0000-00009F000000}"/>
    <cellStyle name="Separador de milhares 2 10 2" xfId="157" xr:uid="{00000000-0005-0000-0000-0000C6000000}"/>
    <cellStyle name="Separador de milhares 2 10 2 2" xfId="278" xr:uid="{00000000-0005-0000-0000-00003F010000}"/>
    <cellStyle name="Separador de milhares 2 10 2 2 2" xfId="471" xr:uid="{00000000-0005-0000-0000-000000020000}"/>
    <cellStyle name="Separador de milhares 2 10 2 2 2 2" xfId="916" xr:uid="{00000000-0005-0000-0000-0000BD030000}"/>
    <cellStyle name="Separador de milhares 2 10 2 2 2 2 2" xfId="1745" xr:uid="{00000000-0005-0000-0000-0000FA060000}"/>
    <cellStyle name="Separador de milhares 2 10 2 2 2 2 2 2" xfId="3856" xr:uid="{00000000-0005-0000-0000-0000390F0000}"/>
    <cellStyle name="Separador de milhares 2 10 2 2 2 2 3" xfId="3039" xr:uid="{00000000-0005-0000-0000-0000080C0000}"/>
    <cellStyle name="Separador de milhares 2 10 2 2 2 3" xfId="1318" xr:uid="{00000000-0005-0000-0000-00004F050000}"/>
    <cellStyle name="Separador de milhares 2 10 2 2 2 3 2" xfId="3429" xr:uid="{00000000-0005-0000-0000-00008E0D0000}"/>
    <cellStyle name="Separador de milhares 2 10 2 2 2 4" xfId="2612" xr:uid="{00000000-0005-0000-0000-00005D0A0000}"/>
    <cellStyle name="Separador de milhares 2 10 2 2 3" xfId="724" xr:uid="{00000000-0005-0000-0000-0000FD020000}"/>
    <cellStyle name="Separador de milhares 2 10 2 2 3 2" xfId="1553" xr:uid="{00000000-0005-0000-0000-00003A060000}"/>
    <cellStyle name="Separador de milhares 2 10 2 2 3 2 2" xfId="3664" xr:uid="{00000000-0005-0000-0000-0000790E0000}"/>
    <cellStyle name="Separador de milhares 2 10 2 2 3 3" xfId="2847" xr:uid="{00000000-0005-0000-0000-0000480B0000}"/>
    <cellStyle name="Separador de milhares 2 10 2 2 4" xfId="1126" xr:uid="{00000000-0005-0000-0000-00008F040000}"/>
    <cellStyle name="Separador de milhares 2 10 2 2 4 2" xfId="3237" xr:uid="{00000000-0005-0000-0000-0000CE0C0000}"/>
    <cellStyle name="Separador de milhares 2 10 2 2 5" xfId="2420" xr:uid="{00000000-0005-0000-0000-00009D090000}"/>
    <cellStyle name="Separador de milhares 2 10 2 3" xfId="375" xr:uid="{00000000-0005-0000-0000-0000A0010000}"/>
    <cellStyle name="Separador de milhares 2 10 2 3 2" xfId="820" xr:uid="{00000000-0005-0000-0000-00005D030000}"/>
    <cellStyle name="Separador de milhares 2 10 2 3 2 2" xfId="1649" xr:uid="{00000000-0005-0000-0000-00009A060000}"/>
    <cellStyle name="Separador de milhares 2 10 2 3 2 2 2" xfId="3760" xr:uid="{00000000-0005-0000-0000-0000D90E0000}"/>
    <cellStyle name="Separador de milhares 2 10 2 3 2 3" xfId="2943" xr:uid="{00000000-0005-0000-0000-0000A80B0000}"/>
    <cellStyle name="Separador de milhares 2 10 2 3 3" xfId="1222" xr:uid="{00000000-0005-0000-0000-0000EF040000}"/>
    <cellStyle name="Separador de milhares 2 10 2 3 3 2" xfId="3333" xr:uid="{00000000-0005-0000-0000-00002E0D0000}"/>
    <cellStyle name="Separador de milhares 2 10 2 3 4" xfId="2516" xr:uid="{00000000-0005-0000-0000-0000FD090000}"/>
    <cellStyle name="Separador de milhares 2 10 2 4" xfId="626" xr:uid="{00000000-0005-0000-0000-00009B020000}"/>
    <cellStyle name="Separador de milhares 2 10 2 4 2" xfId="1457" xr:uid="{00000000-0005-0000-0000-0000DA050000}"/>
    <cellStyle name="Separador de milhares 2 10 2 4 2 2" xfId="3568" xr:uid="{00000000-0005-0000-0000-0000190E0000}"/>
    <cellStyle name="Separador de milhares 2 10 2 4 3" xfId="2751" xr:uid="{00000000-0005-0000-0000-0000E80A0000}"/>
    <cellStyle name="Separador de milhares 2 10 2 5" xfId="1030" xr:uid="{00000000-0005-0000-0000-00002F040000}"/>
    <cellStyle name="Separador de milhares 2 10 2 5 2" xfId="3141" xr:uid="{00000000-0005-0000-0000-00006E0C0000}"/>
    <cellStyle name="Separador de milhares 2 10 2 6" xfId="2325" xr:uid="{00000000-0005-0000-0000-00003E090000}"/>
    <cellStyle name="Separador de milhares 2 10 3" xfId="246" xr:uid="{00000000-0005-0000-0000-00001F010000}"/>
    <cellStyle name="Separador de milhares 2 10 3 2" xfId="439" xr:uid="{00000000-0005-0000-0000-0000E0010000}"/>
    <cellStyle name="Separador de milhares 2 10 3 2 2" xfId="884" xr:uid="{00000000-0005-0000-0000-00009D030000}"/>
    <cellStyle name="Separador de milhares 2 10 3 2 2 2" xfId="1713" xr:uid="{00000000-0005-0000-0000-0000DA060000}"/>
    <cellStyle name="Separador de milhares 2 10 3 2 2 2 2" xfId="3824" xr:uid="{00000000-0005-0000-0000-0000190F0000}"/>
    <cellStyle name="Separador de milhares 2 10 3 2 2 3" xfId="3007" xr:uid="{00000000-0005-0000-0000-0000E80B0000}"/>
    <cellStyle name="Separador de milhares 2 10 3 2 3" xfId="1286" xr:uid="{00000000-0005-0000-0000-00002F050000}"/>
    <cellStyle name="Separador de milhares 2 10 3 2 3 2" xfId="3397" xr:uid="{00000000-0005-0000-0000-00006E0D0000}"/>
    <cellStyle name="Separador de milhares 2 10 3 2 4" xfId="2580" xr:uid="{00000000-0005-0000-0000-00003D0A0000}"/>
    <cellStyle name="Separador de milhares 2 10 3 3" xfId="692" xr:uid="{00000000-0005-0000-0000-0000DD020000}"/>
    <cellStyle name="Separador de milhares 2 10 3 3 2" xfId="1521" xr:uid="{00000000-0005-0000-0000-00001A060000}"/>
    <cellStyle name="Separador de milhares 2 10 3 3 2 2" xfId="3632" xr:uid="{00000000-0005-0000-0000-0000590E0000}"/>
    <cellStyle name="Separador de milhares 2 10 3 3 3" xfId="2815" xr:uid="{00000000-0005-0000-0000-0000280B0000}"/>
    <cellStyle name="Separador de milhares 2 10 3 4" xfId="1094" xr:uid="{00000000-0005-0000-0000-00006F040000}"/>
    <cellStyle name="Separador de milhares 2 10 3 4 2" xfId="3205" xr:uid="{00000000-0005-0000-0000-0000AE0C0000}"/>
    <cellStyle name="Separador de milhares 2 10 3 5" xfId="2388" xr:uid="{00000000-0005-0000-0000-00007D090000}"/>
    <cellStyle name="Separador de milhares 2 10 4" xfId="343" xr:uid="{00000000-0005-0000-0000-000080010000}"/>
    <cellStyle name="Separador de milhares 2 10 4 2" xfId="788" xr:uid="{00000000-0005-0000-0000-00003D030000}"/>
    <cellStyle name="Separador de milhares 2 10 4 2 2" xfId="1617" xr:uid="{00000000-0005-0000-0000-00007A060000}"/>
    <cellStyle name="Separador de milhares 2 10 4 2 2 2" xfId="3728" xr:uid="{00000000-0005-0000-0000-0000B90E0000}"/>
    <cellStyle name="Separador de milhares 2 10 4 2 3" xfId="2911" xr:uid="{00000000-0005-0000-0000-0000880B0000}"/>
    <cellStyle name="Separador de milhares 2 10 4 3" xfId="1190" xr:uid="{00000000-0005-0000-0000-0000CF040000}"/>
    <cellStyle name="Separador de milhares 2 10 4 3 2" xfId="3301" xr:uid="{00000000-0005-0000-0000-00000E0D0000}"/>
    <cellStyle name="Separador de milhares 2 10 4 4" xfId="2484" xr:uid="{00000000-0005-0000-0000-0000DD090000}"/>
    <cellStyle name="Separador de milhares 2 10 5" xfId="594" xr:uid="{00000000-0005-0000-0000-00007B020000}"/>
    <cellStyle name="Separador de milhares 2 10 5 2" xfId="1425" xr:uid="{00000000-0005-0000-0000-0000BA050000}"/>
    <cellStyle name="Separador de milhares 2 10 5 2 2" xfId="3536" xr:uid="{00000000-0005-0000-0000-0000F90D0000}"/>
    <cellStyle name="Separador de milhares 2 10 5 3" xfId="2719" xr:uid="{00000000-0005-0000-0000-0000C80A0000}"/>
    <cellStyle name="Separador de milhares 2 10 6" xfId="998" xr:uid="{00000000-0005-0000-0000-00000F040000}"/>
    <cellStyle name="Separador de milhares 2 10 6 2" xfId="3109" xr:uid="{00000000-0005-0000-0000-00004E0C0000}"/>
    <cellStyle name="Separador de milhares 2 10 7" xfId="2293" xr:uid="{00000000-0005-0000-0000-00001E090000}"/>
    <cellStyle name="Separador de milhares 2 11" xfId="151" xr:uid="{00000000-0005-0000-0000-0000C0000000}"/>
    <cellStyle name="Separador de milhares 2 11 2" xfId="232" xr:uid="{00000000-0005-0000-0000-000011010000}"/>
    <cellStyle name="Separador de milhares 2 11 2 2" xfId="329" xr:uid="{00000000-0005-0000-0000-000072010000}"/>
    <cellStyle name="Separador de milhares 2 11 2 2 2" xfId="521" xr:uid="{00000000-0005-0000-0000-000032020000}"/>
    <cellStyle name="Separador de milhares 2 11 2 2 2 2" xfId="966" xr:uid="{00000000-0005-0000-0000-0000EF030000}"/>
    <cellStyle name="Separador de milhares 2 11 2 2 2 2 2" xfId="1795" xr:uid="{00000000-0005-0000-0000-00002C070000}"/>
    <cellStyle name="Separador de milhares 2 11 2 2 2 2 2 2" xfId="3906" xr:uid="{00000000-0005-0000-0000-00006B0F0000}"/>
    <cellStyle name="Separador de milhares 2 11 2 2 2 2 3" xfId="3089" xr:uid="{00000000-0005-0000-0000-00003A0C0000}"/>
    <cellStyle name="Separador de milhares 2 11 2 2 2 3" xfId="1368" xr:uid="{00000000-0005-0000-0000-000081050000}"/>
    <cellStyle name="Separador de milhares 2 11 2 2 2 3 2" xfId="3479" xr:uid="{00000000-0005-0000-0000-0000C00D0000}"/>
    <cellStyle name="Separador de milhares 2 11 2 2 2 4" xfId="2662" xr:uid="{00000000-0005-0000-0000-00008F0A0000}"/>
    <cellStyle name="Separador de milhares 2 11 2 2 3" xfId="774" xr:uid="{00000000-0005-0000-0000-00002F030000}"/>
    <cellStyle name="Separador de milhares 2 11 2 2 3 2" xfId="1603" xr:uid="{00000000-0005-0000-0000-00006C060000}"/>
    <cellStyle name="Separador de milhares 2 11 2 2 3 2 2" xfId="3714" xr:uid="{00000000-0005-0000-0000-0000AB0E0000}"/>
    <cellStyle name="Separador de milhares 2 11 2 2 3 3" xfId="2897" xr:uid="{00000000-0005-0000-0000-00007A0B0000}"/>
    <cellStyle name="Separador de milhares 2 11 2 2 4" xfId="1176" xr:uid="{00000000-0005-0000-0000-0000C1040000}"/>
    <cellStyle name="Separador de milhares 2 11 2 2 4 2" xfId="3287" xr:uid="{00000000-0005-0000-0000-0000000D0000}"/>
    <cellStyle name="Separador de milhares 2 11 2 2 5" xfId="2470" xr:uid="{00000000-0005-0000-0000-0000CF090000}"/>
    <cellStyle name="Separador de milhares 2 11 2 3" xfId="425" xr:uid="{00000000-0005-0000-0000-0000D2010000}"/>
    <cellStyle name="Separador de milhares 2 11 2 3 2" xfId="870" xr:uid="{00000000-0005-0000-0000-00008F030000}"/>
    <cellStyle name="Separador de milhares 2 11 2 3 2 2" xfId="1699" xr:uid="{00000000-0005-0000-0000-0000CC060000}"/>
    <cellStyle name="Separador de milhares 2 11 2 3 2 2 2" xfId="3810" xr:uid="{00000000-0005-0000-0000-00000B0F0000}"/>
    <cellStyle name="Separador de milhares 2 11 2 3 2 3" xfId="2993" xr:uid="{00000000-0005-0000-0000-0000DA0B0000}"/>
    <cellStyle name="Separador de milhares 2 11 2 3 3" xfId="1272" xr:uid="{00000000-0005-0000-0000-000021050000}"/>
    <cellStyle name="Separador de milhares 2 11 2 3 3 2" xfId="3383" xr:uid="{00000000-0005-0000-0000-0000600D0000}"/>
    <cellStyle name="Separador de milhares 2 11 2 3 4" xfId="2566" xr:uid="{00000000-0005-0000-0000-00002F0A0000}"/>
    <cellStyle name="Separador de milhares 2 11 2 4" xfId="678" xr:uid="{00000000-0005-0000-0000-0000CF020000}"/>
    <cellStyle name="Separador de milhares 2 11 2 4 2" xfId="1507" xr:uid="{00000000-0005-0000-0000-00000C060000}"/>
    <cellStyle name="Separador de milhares 2 11 2 4 2 2" xfId="3618" xr:uid="{00000000-0005-0000-0000-00004B0E0000}"/>
    <cellStyle name="Separador de milhares 2 11 2 4 3" xfId="2801" xr:uid="{00000000-0005-0000-0000-00001A0B0000}"/>
    <cellStyle name="Separador de milhares 2 11 2 5" xfId="1080" xr:uid="{00000000-0005-0000-0000-000061040000}"/>
    <cellStyle name="Separador de milhares 2 11 2 5 2" xfId="3191" xr:uid="{00000000-0005-0000-0000-0000A00C0000}"/>
    <cellStyle name="Separador de milhares 2 11 2 6" xfId="2374" xr:uid="{00000000-0005-0000-0000-00006F090000}"/>
    <cellStyle name="Separador de milhares 2 11 3" xfId="272" xr:uid="{00000000-0005-0000-0000-000039010000}"/>
    <cellStyle name="Separador de milhares 2 11 3 2" xfId="465" xr:uid="{00000000-0005-0000-0000-0000FA010000}"/>
    <cellStyle name="Separador de milhares 2 11 3 2 2" xfId="910" xr:uid="{00000000-0005-0000-0000-0000B7030000}"/>
    <cellStyle name="Separador de milhares 2 11 3 2 2 2" xfId="1739" xr:uid="{00000000-0005-0000-0000-0000F4060000}"/>
    <cellStyle name="Separador de milhares 2 11 3 2 2 2 2" xfId="3850" xr:uid="{00000000-0005-0000-0000-0000330F0000}"/>
    <cellStyle name="Separador de milhares 2 11 3 2 2 3" xfId="3033" xr:uid="{00000000-0005-0000-0000-0000020C0000}"/>
    <cellStyle name="Separador de milhares 2 11 3 2 3" xfId="1312" xr:uid="{00000000-0005-0000-0000-000049050000}"/>
    <cellStyle name="Separador de milhares 2 11 3 2 3 2" xfId="3423" xr:uid="{00000000-0005-0000-0000-0000880D0000}"/>
    <cellStyle name="Separador de milhares 2 11 3 2 4" xfId="2606" xr:uid="{00000000-0005-0000-0000-0000570A0000}"/>
    <cellStyle name="Separador de milhares 2 11 3 3" xfId="718" xr:uid="{00000000-0005-0000-0000-0000F7020000}"/>
    <cellStyle name="Separador de milhares 2 11 3 3 2" xfId="1547" xr:uid="{00000000-0005-0000-0000-000034060000}"/>
    <cellStyle name="Separador de milhares 2 11 3 3 2 2" xfId="3658" xr:uid="{00000000-0005-0000-0000-0000730E0000}"/>
    <cellStyle name="Separador de milhares 2 11 3 3 3" xfId="2841" xr:uid="{00000000-0005-0000-0000-0000420B0000}"/>
    <cellStyle name="Separador de milhares 2 11 3 4" xfId="1120" xr:uid="{00000000-0005-0000-0000-000089040000}"/>
    <cellStyle name="Separador de milhares 2 11 3 4 2" xfId="3231" xr:uid="{00000000-0005-0000-0000-0000C80C0000}"/>
    <cellStyle name="Separador de milhares 2 11 3 5" xfId="2414" xr:uid="{00000000-0005-0000-0000-000097090000}"/>
    <cellStyle name="Separador de milhares 2 11 4" xfId="369" xr:uid="{00000000-0005-0000-0000-00009A010000}"/>
    <cellStyle name="Separador de milhares 2 11 4 2" xfId="814" xr:uid="{00000000-0005-0000-0000-000057030000}"/>
    <cellStyle name="Separador de milhares 2 11 4 2 2" xfId="1643" xr:uid="{00000000-0005-0000-0000-000094060000}"/>
    <cellStyle name="Separador de milhares 2 11 4 2 2 2" xfId="3754" xr:uid="{00000000-0005-0000-0000-0000D30E0000}"/>
    <cellStyle name="Separador de milhares 2 11 4 2 3" xfId="2937" xr:uid="{00000000-0005-0000-0000-0000A20B0000}"/>
    <cellStyle name="Separador de milhares 2 11 4 3" xfId="1216" xr:uid="{00000000-0005-0000-0000-0000E9040000}"/>
    <cellStyle name="Separador de milhares 2 11 4 3 2" xfId="3327" xr:uid="{00000000-0005-0000-0000-0000280D0000}"/>
    <cellStyle name="Separador de milhares 2 11 4 4" xfId="2510" xr:uid="{00000000-0005-0000-0000-0000F7090000}"/>
    <cellStyle name="Separador de milhares 2 11 5" xfId="620" xr:uid="{00000000-0005-0000-0000-000095020000}"/>
    <cellStyle name="Separador de milhares 2 11 5 2" xfId="1451" xr:uid="{00000000-0005-0000-0000-0000D4050000}"/>
    <cellStyle name="Separador de milhares 2 11 5 2 2" xfId="3562" xr:uid="{00000000-0005-0000-0000-0000130E0000}"/>
    <cellStyle name="Separador de milhares 2 11 5 3" xfId="2745" xr:uid="{00000000-0005-0000-0000-0000E20A0000}"/>
    <cellStyle name="Separador de milhares 2 11 6" xfId="1024" xr:uid="{00000000-0005-0000-0000-000029040000}"/>
    <cellStyle name="Separador de milhares 2 11 6 2" xfId="3135" xr:uid="{00000000-0005-0000-0000-0000680C0000}"/>
    <cellStyle name="Separador de milhares 2 11 7" xfId="2319" xr:uid="{00000000-0005-0000-0000-000038090000}"/>
    <cellStyle name="Separador de milhares 2 12" xfId="240" xr:uid="{00000000-0005-0000-0000-000019010000}"/>
    <cellStyle name="Separador de milhares 2 12 2" xfId="433" xr:uid="{00000000-0005-0000-0000-0000DA010000}"/>
    <cellStyle name="Separador de milhares 2 12 2 2" xfId="878" xr:uid="{00000000-0005-0000-0000-000097030000}"/>
    <cellStyle name="Separador de milhares 2 12 2 2 2" xfId="1707" xr:uid="{00000000-0005-0000-0000-0000D4060000}"/>
    <cellStyle name="Separador de milhares 2 12 2 2 2 2" xfId="3818" xr:uid="{00000000-0005-0000-0000-0000130F0000}"/>
    <cellStyle name="Separador de milhares 2 12 2 2 3" xfId="3001" xr:uid="{00000000-0005-0000-0000-0000E20B0000}"/>
    <cellStyle name="Separador de milhares 2 12 2 3" xfId="1280" xr:uid="{00000000-0005-0000-0000-000029050000}"/>
    <cellStyle name="Separador de milhares 2 12 2 3 2" xfId="3391" xr:uid="{00000000-0005-0000-0000-0000680D0000}"/>
    <cellStyle name="Separador de milhares 2 12 2 4" xfId="2574" xr:uid="{00000000-0005-0000-0000-0000370A0000}"/>
    <cellStyle name="Separador de milhares 2 12 3" xfId="686" xr:uid="{00000000-0005-0000-0000-0000D7020000}"/>
    <cellStyle name="Separador de milhares 2 12 3 2" xfId="1515" xr:uid="{00000000-0005-0000-0000-000014060000}"/>
    <cellStyle name="Separador de milhares 2 12 3 2 2" xfId="3626" xr:uid="{00000000-0005-0000-0000-0000530E0000}"/>
    <cellStyle name="Separador de milhares 2 12 3 3" xfId="2809" xr:uid="{00000000-0005-0000-0000-0000220B0000}"/>
    <cellStyle name="Separador de milhares 2 12 4" xfId="1088" xr:uid="{00000000-0005-0000-0000-000069040000}"/>
    <cellStyle name="Separador de milhares 2 12 4 2" xfId="3199" xr:uid="{00000000-0005-0000-0000-0000A80C0000}"/>
    <cellStyle name="Separador de milhares 2 12 5" xfId="2382" xr:uid="{00000000-0005-0000-0000-000077090000}"/>
    <cellStyle name="Separador de milhares 2 13" xfId="337" xr:uid="{00000000-0005-0000-0000-00007A010000}"/>
    <cellStyle name="Separador de milhares 2 13 2" xfId="782" xr:uid="{00000000-0005-0000-0000-000037030000}"/>
    <cellStyle name="Separador de milhares 2 13 2 2" xfId="1611" xr:uid="{00000000-0005-0000-0000-000074060000}"/>
    <cellStyle name="Separador de milhares 2 13 2 2 2" xfId="3722" xr:uid="{00000000-0005-0000-0000-0000B30E0000}"/>
    <cellStyle name="Separador de milhares 2 13 2 3" xfId="2905" xr:uid="{00000000-0005-0000-0000-0000820B0000}"/>
    <cellStyle name="Separador de milhares 2 13 3" xfId="1184" xr:uid="{00000000-0005-0000-0000-0000C9040000}"/>
    <cellStyle name="Separador de milhares 2 13 3 2" xfId="3295" xr:uid="{00000000-0005-0000-0000-0000080D0000}"/>
    <cellStyle name="Separador de milhares 2 13 4" xfId="2478" xr:uid="{00000000-0005-0000-0000-0000D7090000}"/>
    <cellStyle name="Separador de milhares 2 14" xfId="588" xr:uid="{00000000-0005-0000-0000-000075020000}"/>
    <cellStyle name="Separador de milhares 2 14 2" xfId="1419" xr:uid="{00000000-0005-0000-0000-0000B4050000}"/>
    <cellStyle name="Separador de milhares 2 14 2 2" xfId="3530" xr:uid="{00000000-0005-0000-0000-0000F30D0000}"/>
    <cellStyle name="Separador de milhares 2 14 3" xfId="2713" xr:uid="{00000000-0005-0000-0000-0000C20A0000}"/>
    <cellStyle name="Separador de milhares 2 15" xfId="992" xr:uid="{00000000-0005-0000-0000-000009040000}"/>
    <cellStyle name="Separador de milhares 2 15 2" xfId="3103" xr:uid="{00000000-0005-0000-0000-0000480C0000}"/>
    <cellStyle name="Separador de milhares 2 16" xfId="2225" xr:uid="{00000000-0005-0000-0000-0000DA080000}"/>
    <cellStyle name="Separador de milhares 2 17" xfId="2288" xr:uid="{00000000-0005-0000-0000-000019090000}"/>
    <cellStyle name="Separador de milhares 2 2" xfId="117" xr:uid="{00000000-0005-0000-0000-00009E000000}"/>
    <cellStyle name="Separador de milhares 2 2 2" xfId="113" xr:uid="{00000000-0005-0000-0000-00009A000000}"/>
    <cellStyle name="Separador de milhares 2 2 2 2" xfId="154" xr:uid="{00000000-0005-0000-0000-0000C3000000}"/>
    <cellStyle name="Separador de milhares 2 2 2 2 2" xfId="275" xr:uid="{00000000-0005-0000-0000-00003C010000}"/>
    <cellStyle name="Separador de milhares 2 2 2 2 2 2" xfId="468" xr:uid="{00000000-0005-0000-0000-0000FD010000}"/>
    <cellStyle name="Separador de milhares 2 2 2 2 2 2 2" xfId="913" xr:uid="{00000000-0005-0000-0000-0000BA030000}"/>
    <cellStyle name="Separador de milhares 2 2 2 2 2 2 2 2" xfId="1742" xr:uid="{00000000-0005-0000-0000-0000F7060000}"/>
    <cellStyle name="Separador de milhares 2 2 2 2 2 2 2 2 2" xfId="3853" xr:uid="{00000000-0005-0000-0000-0000360F0000}"/>
    <cellStyle name="Separador de milhares 2 2 2 2 2 2 2 3" xfId="3036" xr:uid="{00000000-0005-0000-0000-0000050C0000}"/>
    <cellStyle name="Separador de milhares 2 2 2 2 2 2 3" xfId="1315" xr:uid="{00000000-0005-0000-0000-00004C050000}"/>
    <cellStyle name="Separador de milhares 2 2 2 2 2 2 3 2" xfId="3426" xr:uid="{00000000-0005-0000-0000-00008B0D0000}"/>
    <cellStyle name="Separador de milhares 2 2 2 2 2 2 4" xfId="2609" xr:uid="{00000000-0005-0000-0000-00005A0A0000}"/>
    <cellStyle name="Separador de milhares 2 2 2 2 2 3" xfId="721" xr:uid="{00000000-0005-0000-0000-0000FA020000}"/>
    <cellStyle name="Separador de milhares 2 2 2 2 2 3 2" xfId="1550" xr:uid="{00000000-0005-0000-0000-000037060000}"/>
    <cellStyle name="Separador de milhares 2 2 2 2 2 3 2 2" xfId="3661" xr:uid="{00000000-0005-0000-0000-0000760E0000}"/>
    <cellStyle name="Separador de milhares 2 2 2 2 2 3 3" xfId="2844" xr:uid="{00000000-0005-0000-0000-0000450B0000}"/>
    <cellStyle name="Separador de milhares 2 2 2 2 2 4" xfId="1123" xr:uid="{00000000-0005-0000-0000-00008C040000}"/>
    <cellStyle name="Separador de milhares 2 2 2 2 2 4 2" xfId="3234" xr:uid="{00000000-0005-0000-0000-0000CB0C0000}"/>
    <cellStyle name="Separador de milhares 2 2 2 2 2 5" xfId="2417" xr:uid="{00000000-0005-0000-0000-00009A090000}"/>
    <cellStyle name="Separador de milhares 2 2 2 2 3" xfId="372" xr:uid="{00000000-0005-0000-0000-00009D010000}"/>
    <cellStyle name="Separador de milhares 2 2 2 2 3 2" xfId="817" xr:uid="{00000000-0005-0000-0000-00005A030000}"/>
    <cellStyle name="Separador de milhares 2 2 2 2 3 2 2" xfId="1646" xr:uid="{00000000-0005-0000-0000-000097060000}"/>
    <cellStyle name="Separador de milhares 2 2 2 2 3 2 2 2" xfId="3757" xr:uid="{00000000-0005-0000-0000-0000D60E0000}"/>
    <cellStyle name="Separador de milhares 2 2 2 2 3 2 3" xfId="2940" xr:uid="{00000000-0005-0000-0000-0000A50B0000}"/>
    <cellStyle name="Separador de milhares 2 2 2 2 3 3" xfId="1219" xr:uid="{00000000-0005-0000-0000-0000EC040000}"/>
    <cellStyle name="Separador de milhares 2 2 2 2 3 3 2" xfId="3330" xr:uid="{00000000-0005-0000-0000-00002B0D0000}"/>
    <cellStyle name="Separador de milhares 2 2 2 2 3 4" xfId="2513" xr:uid="{00000000-0005-0000-0000-0000FA090000}"/>
    <cellStyle name="Separador de milhares 2 2 2 2 4" xfId="623" xr:uid="{00000000-0005-0000-0000-000098020000}"/>
    <cellStyle name="Separador de milhares 2 2 2 2 4 2" xfId="1454" xr:uid="{00000000-0005-0000-0000-0000D7050000}"/>
    <cellStyle name="Separador de milhares 2 2 2 2 4 2 2" xfId="3565" xr:uid="{00000000-0005-0000-0000-0000160E0000}"/>
    <cellStyle name="Separador de milhares 2 2 2 2 4 3" xfId="2748" xr:uid="{00000000-0005-0000-0000-0000E50A0000}"/>
    <cellStyle name="Separador de milhares 2 2 2 2 5" xfId="1027" xr:uid="{00000000-0005-0000-0000-00002C040000}"/>
    <cellStyle name="Separador de milhares 2 2 2 2 5 2" xfId="3138" xr:uid="{00000000-0005-0000-0000-00006B0C0000}"/>
    <cellStyle name="Separador de milhares 2 2 2 2 6" xfId="2322" xr:uid="{00000000-0005-0000-0000-00003B090000}"/>
    <cellStyle name="Separador de milhares 2 2 2 3" xfId="243" xr:uid="{00000000-0005-0000-0000-00001C010000}"/>
    <cellStyle name="Separador de milhares 2 2 2 3 2" xfId="436" xr:uid="{00000000-0005-0000-0000-0000DD010000}"/>
    <cellStyle name="Separador de milhares 2 2 2 3 2 2" xfId="881" xr:uid="{00000000-0005-0000-0000-00009A030000}"/>
    <cellStyle name="Separador de milhares 2 2 2 3 2 2 2" xfId="1710" xr:uid="{00000000-0005-0000-0000-0000D7060000}"/>
    <cellStyle name="Separador de milhares 2 2 2 3 2 2 2 2" xfId="3821" xr:uid="{00000000-0005-0000-0000-0000160F0000}"/>
    <cellStyle name="Separador de milhares 2 2 2 3 2 2 3" xfId="3004" xr:uid="{00000000-0005-0000-0000-0000E50B0000}"/>
    <cellStyle name="Separador de milhares 2 2 2 3 2 3" xfId="1283" xr:uid="{00000000-0005-0000-0000-00002C050000}"/>
    <cellStyle name="Separador de milhares 2 2 2 3 2 3 2" xfId="3394" xr:uid="{00000000-0005-0000-0000-00006B0D0000}"/>
    <cellStyle name="Separador de milhares 2 2 2 3 2 4" xfId="2577" xr:uid="{00000000-0005-0000-0000-00003A0A0000}"/>
    <cellStyle name="Separador de milhares 2 2 2 3 3" xfId="689" xr:uid="{00000000-0005-0000-0000-0000DA020000}"/>
    <cellStyle name="Separador de milhares 2 2 2 3 3 2" xfId="1518" xr:uid="{00000000-0005-0000-0000-000017060000}"/>
    <cellStyle name="Separador de milhares 2 2 2 3 3 2 2" xfId="3629" xr:uid="{00000000-0005-0000-0000-0000560E0000}"/>
    <cellStyle name="Separador de milhares 2 2 2 3 3 3" xfId="2812" xr:uid="{00000000-0005-0000-0000-0000250B0000}"/>
    <cellStyle name="Separador de milhares 2 2 2 3 4" xfId="1091" xr:uid="{00000000-0005-0000-0000-00006C040000}"/>
    <cellStyle name="Separador de milhares 2 2 2 3 4 2" xfId="3202" xr:uid="{00000000-0005-0000-0000-0000AB0C0000}"/>
    <cellStyle name="Separador de milhares 2 2 2 3 5" xfId="2385" xr:uid="{00000000-0005-0000-0000-00007A090000}"/>
    <cellStyle name="Separador de milhares 2 2 2 4" xfId="340" xr:uid="{00000000-0005-0000-0000-00007D010000}"/>
    <cellStyle name="Separador de milhares 2 2 2 4 2" xfId="785" xr:uid="{00000000-0005-0000-0000-00003A030000}"/>
    <cellStyle name="Separador de milhares 2 2 2 4 2 2" xfId="1614" xr:uid="{00000000-0005-0000-0000-000077060000}"/>
    <cellStyle name="Separador de milhares 2 2 2 4 2 2 2" xfId="3725" xr:uid="{00000000-0005-0000-0000-0000B60E0000}"/>
    <cellStyle name="Separador de milhares 2 2 2 4 2 3" xfId="2908" xr:uid="{00000000-0005-0000-0000-0000850B0000}"/>
    <cellStyle name="Separador de milhares 2 2 2 4 3" xfId="1187" xr:uid="{00000000-0005-0000-0000-0000CC040000}"/>
    <cellStyle name="Separador de milhares 2 2 2 4 3 2" xfId="3298" xr:uid="{00000000-0005-0000-0000-00000B0D0000}"/>
    <cellStyle name="Separador de milhares 2 2 2 4 4" xfId="2481" xr:uid="{00000000-0005-0000-0000-0000DA090000}"/>
    <cellStyle name="Separador de milhares 2 2 2 5" xfId="591" xr:uid="{00000000-0005-0000-0000-000078020000}"/>
    <cellStyle name="Separador de milhares 2 2 2 5 2" xfId="1422" xr:uid="{00000000-0005-0000-0000-0000B7050000}"/>
    <cellStyle name="Separador de milhares 2 2 2 5 2 2" xfId="3533" xr:uid="{00000000-0005-0000-0000-0000F60D0000}"/>
    <cellStyle name="Separador de milhares 2 2 2 5 3" xfId="2716" xr:uid="{00000000-0005-0000-0000-0000C50A0000}"/>
    <cellStyle name="Separador de milhares 2 2 2 6" xfId="995" xr:uid="{00000000-0005-0000-0000-00000C040000}"/>
    <cellStyle name="Separador de milhares 2 2 2 6 2" xfId="3106" xr:uid="{00000000-0005-0000-0000-00004B0C0000}"/>
    <cellStyle name="Separador de milhares 2 2 2 7" xfId="2291" xr:uid="{00000000-0005-0000-0000-00001C090000}"/>
    <cellStyle name="Separador de milhares 2 2 3" xfId="156" xr:uid="{00000000-0005-0000-0000-0000C5000000}"/>
    <cellStyle name="Separador de milhares 2 2 3 2" xfId="277" xr:uid="{00000000-0005-0000-0000-00003E010000}"/>
    <cellStyle name="Separador de milhares 2 2 3 2 2" xfId="470" xr:uid="{00000000-0005-0000-0000-0000FF010000}"/>
    <cellStyle name="Separador de milhares 2 2 3 2 2 2" xfId="915" xr:uid="{00000000-0005-0000-0000-0000BC030000}"/>
    <cellStyle name="Separador de milhares 2 2 3 2 2 2 2" xfId="1744" xr:uid="{00000000-0005-0000-0000-0000F9060000}"/>
    <cellStyle name="Separador de milhares 2 2 3 2 2 2 2 2" xfId="3855" xr:uid="{00000000-0005-0000-0000-0000380F0000}"/>
    <cellStyle name="Separador de milhares 2 2 3 2 2 2 3" xfId="3038" xr:uid="{00000000-0005-0000-0000-0000070C0000}"/>
    <cellStyle name="Separador de milhares 2 2 3 2 2 3" xfId="1317" xr:uid="{00000000-0005-0000-0000-00004E050000}"/>
    <cellStyle name="Separador de milhares 2 2 3 2 2 3 2" xfId="3428" xr:uid="{00000000-0005-0000-0000-00008D0D0000}"/>
    <cellStyle name="Separador de milhares 2 2 3 2 2 4" xfId="2611" xr:uid="{00000000-0005-0000-0000-00005C0A0000}"/>
    <cellStyle name="Separador de milhares 2 2 3 2 3" xfId="723" xr:uid="{00000000-0005-0000-0000-0000FC020000}"/>
    <cellStyle name="Separador de milhares 2 2 3 2 3 2" xfId="1552" xr:uid="{00000000-0005-0000-0000-000039060000}"/>
    <cellStyle name="Separador de milhares 2 2 3 2 3 2 2" xfId="3663" xr:uid="{00000000-0005-0000-0000-0000780E0000}"/>
    <cellStyle name="Separador de milhares 2 2 3 2 3 3" xfId="2846" xr:uid="{00000000-0005-0000-0000-0000470B0000}"/>
    <cellStyle name="Separador de milhares 2 2 3 2 4" xfId="1125" xr:uid="{00000000-0005-0000-0000-00008E040000}"/>
    <cellStyle name="Separador de milhares 2 2 3 2 4 2" xfId="3236" xr:uid="{00000000-0005-0000-0000-0000CD0C0000}"/>
    <cellStyle name="Separador de milhares 2 2 3 2 5" xfId="2419" xr:uid="{00000000-0005-0000-0000-00009C090000}"/>
    <cellStyle name="Separador de milhares 2 2 3 3" xfId="374" xr:uid="{00000000-0005-0000-0000-00009F010000}"/>
    <cellStyle name="Separador de milhares 2 2 3 3 2" xfId="819" xr:uid="{00000000-0005-0000-0000-00005C030000}"/>
    <cellStyle name="Separador de milhares 2 2 3 3 2 2" xfId="1648" xr:uid="{00000000-0005-0000-0000-000099060000}"/>
    <cellStyle name="Separador de milhares 2 2 3 3 2 2 2" xfId="3759" xr:uid="{00000000-0005-0000-0000-0000D80E0000}"/>
    <cellStyle name="Separador de milhares 2 2 3 3 2 3" xfId="2942" xr:uid="{00000000-0005-0000-0000-0000A70B0000}"/>
    <cellStyle name="Separador de milhares 2 2 3 3 3" xfId="1221" xr:uid="{00000000-0005-0000-0000-0000EE040000}"/>
    <cellStyle name="Separador de milhares 2 2 3 3 3 2" xfId="3332" xr:uid="{00000000-0005-0000-0000-00002D0D0000}"/>
    <cellStyle name="Separador de milhares 2 2 3 3 4" xfId="2515" xr:uid="{00000000-0005-0000-0000-0000FC090000}"/>
    <cellStyle name="Separador de milhares 2 2 3 4" xfId="625" xr:uid="{00000000-0005-0000-0000-00009A020000}"/>
    <cellStyle name="Separador de milhares 2 2 3 4 2" xfId="1456" xr:uid="{00000000-0005-0000-0000-0000D9050000}"/>
    <cellStyle name="Separador de milhares 2 2 3 4 2 2" xfId="3567" xr:uid="{00000000-0005-0000-0000-0000180E0000}"/>
    <cellStyle name="Separador de milhares 2 2 3 4 3" xfId="2750" xr:uid="{00000000-0005-0000-0000-0000E70A0000}"/>
    <cellStyle name="Separador de milhares 2 2 3 5" xfId="1029" xr:uid="{00000000-0005-0000-0000-00002E040000}"/>
    <cellStyle name="Separador de milhares 2 2 3 5 2" xfId="3140" xr:uid="{00000000-0005-0000-0000-00006D0C0000}"/>
    <cellStyle name="Separador de milhares 2 2 3 6" xfId="2324" xr:uid="{00000000-0005-0000-0000-00003D090000}"/>
    <cellStyle name="Separador de milhares 2 2 4" xfId="245" xr:uid="{00000000-0005-0000-0000-00001E010000}"/>
    <cellStyle name="Separador de milhares 2 2 4 2" xfId="438" xr:uid="{00000000-0005-0000-0000-0000DF010000}"/>
    <cellStyle name="Separador de milhares 2 2 4 2 2" xfId="883" xr:uid="{00000000-0005-0000-0000-00009C030000}"/>
    <cellStyle name="Separador de milhares 2 2 4 2 2 2" xfId="1712" xr:uid="{00000000-0005-0000-0000-0000D9060000}"/>
    <cellStyle name="Separador de milhares 2 2 4 2 2 2 2" xfId="3823" xr:uid="{00000000-0005-0000-0000-0000180F0000}"/>
    <cellStyle name="Separador de milhares 2 2 4 2 2 3" xfId="3006" xr:uid="{00000000-0005-0000-0000-0000E70B0000}"/>
    <cellStyle name="Separador de milhares 2 2 4 2 3" xfId="1285" xr:uid="{00000000-0005-0000-0000-00002E050000}"/>
    <cellStyle name="Separador de milhares 2 2 4 2 3 2" xfId="3396" xr:uid="{00000000-0005-0000-0000-00006D0D0000}"/>
    <cellStyle name="Separador de milhares 2 2 4 2 4" xfId="2579" xr:uid="{00000000-0005-0000-0000-00003C0A0000}"/>
    <cellStyle name="Separador de milhares 2 2 4 3" xfId="691" xr:uid="{00000000-0005-0000-0000-0000DC020000}"/>
    <cellStyle name="Separador de milhares 2 2 4 3 2" xfId="1520" xr:uid="{00000000-0005-0000-0000-000019060000}"/>
    <cellStyle name="Separador de milhares 2 2 4 3 2 2" xfId="3631" xr:uid="{00000000-0005-0000-0000-0000580E0000}"/>
    <cellStyle name="Separador de milhares 2 2 4 3 3" xfId="2814" xr:uid="{00000000-0005-0000-0000-0000270B0000}"/>
    <cellStyle name="Separador de milhares 2 2 4 4" xfId="1093" xr:uid="{00000000-0005-0000-0000-00006E040000}"/>
    <cellStyle name="Separador de milhares 2 2 4 4 2" xfId="3204" xr:uid="{00000000-0005-0000-0000-0000AD0C0000}"/>
    <cellStyle name="Separador de milhares 2 2 4 5" xfId="2387" xr:uid="{00000000-0005-0000-0000-00007C090000}"/>
    <cellStyle name="Separador de milhares 2 2 5" xfId="342" xr:uid="{00000000-0005-0000-0000-00007F010000}"/>
    <cellStyle name="Separador de milhares 2 2 5 2" xfId="787" xr:uid="{00000000-0005-0000-0000-00003C030000}"/>
    <cellStyle name="Separador de milhares 2 2 5 2 2" xfId="1616" xr:uid="{00000000-0005-0000-0000-000079060000}"/>
    <cellStyle name="Separador de milhares 2 2 5 2 2 2" xfId="3727" xr:uid="{00000000-0005-0000-0000-0000B80E0000}"/>
    <cellStyle name="Separador de milhares 2 2 5 2 3" xfId="2910" xr:uid="{00000000-0005-0000-0000-0000870B0000}"/>
    <cellStyle name="Separador de milhares 2 2 5 3" xfId="1189" xr:uid="{00000000-0005-0000-0000-0000CE040000}"/>
    <cellStyle name="Separador de milhares 2 2 5 3 2" xfId="3300" xr:uid="{00000000-0005-0000-0000-00000D0D0000}"/>
    <cellStyle name="Separador de milhares 2 2 5 4" xfId="2483" xr:uid="{00000000-0005-0000-0000-0000DC090000}"/>
    <cellStyle name="Separador de milhares 2 2 6" xfId="593" xr:uid="{00000000-0005-0000-0000-00007A020000}"/>
    <cellStyle name="Separador de milhares 2 2 6 2" xfId="1424" xr:uid="{00000000-0005-0000-0000-0000B9050000}"/>
    <cellStyle name="Separador de milhares 2 2 6 2 2" xfId="3535" xr:uid="{00000000-0005-0000-0000-0000F80D0000}"/>
    <cellStyle name="Separador de milhares 2 2 6 3" xfId="2718" xr:uid="{00000000-0005-0000-0000-0000C70A0000}"/>
    <cellStyle name="Separador de milhares 2 2 7" xfId="997" xr:uid="{00000000-0005-0000-0000-00000E040000}"/>
    <cellStyle name="Separador de milhares 2 2 7 2" xfId="3108" xr:uid="{00000000-0005-0000-0000-00004D0C0000}"/>
    <cellStyle name="Separador de milhares 2 2 8" xfId="2226" xr:uid="{00000000-0005-0000-0000-0000DB080000}"/>
    <cellStyle name="Separador de milhares 2 3" xfId="131" xr:uid="{00000000-0005-0000-0000-0000AC000000}"/>
    <cellStyle name="Separador de milhares 2 3 2" xfId="168" xr:uid="{00000000-0005-0000-0000-0000D1000000}"/>
    <cellStyle name="Separador de milhares 2 3 2 2" xfId="289" xr:uid="{00000000-0005-0000-0000-00004A010000}"/>
    <cellStyle name="Separador de milhares 2 3 2 2 2" xfId="482" xr:uid="{00000000-0005-0000-0000-00000B020000}"/>
    <cellStyle name="Separador de milhares 2 3 2 2 2 2" xfId="927" xr:uid="{00000000-0005-0000-0000-0000C8030000}"/>
    <cellStyle name="Separador de milhares 2 3 2 2 2 2 2" xfId="1756" xr:uid="{00000000-0005-0000-0000-000005070000}"/>
    <cellStyle name="Separador de milhares 2 3 2 2 2 2 2 2" xfId="3867" xr:uid="{00000000-0005-0000-0000-0000440F0000}"/>
    <cellStyle name="Separador de milhares 2 3 2 2 2 2 3" xfId="3050" xr:uid="{00000000-0005-0000-0000-0000130C0000}"/>
    <cellStyle name="Separador de milhares 2 3 2 2 2 3" xfId="1329" xr:uid="{00000000-0005-0000-0000-00005A050000}"/>
    <cellStyle name="Separador de milhares 2 3 2 2 2 3 2" xfId="3440" xr:uid="{00000000-0005-0000-0000-0000990D0000}"/>
    <cellStyle name="Separador de milhares 2 3 2 2 2 4" xfId="2623" xr:uid="{00000000-0005-0000-0000-0000680A0000}"/>
    <cellStyle name="Separador de milhares 2 3 2 2 3" xfId="735" xr:uid="{00000000-0005-0000-0000-000008030000}"/>
    <cellStyle name="Separador de milhares 2 3 2 2 3 2" xfId="1564" xr:uid="{00000000-0005-0000-0000-000045060000}"/>
    <cellStyle name="Separador de milhares 2 3 2 2 3 2 2" xfId="3675" xr:uid="{00000000-0005-0000-0000-0000840E0000}"/>
    <cellStyle name="Separador de milhares 2 3 2 2 3 3" xfId="2858" xr:uid="{00000000-0005-0000-0000-0000530B0000}"/>
    <cellStyle name="Separador de milhares 2 3 2 2 4" xfId="1137" xr:uid="{00000000-0005-0000-0000-00009A040000}"/>
    <cellStyle name="Separador de milhares 2 3 2 2 4 2" xfId="3248" xr:uid="{00000000-0005-0000-0000-0000D90C0000}"/>
    <cellStyle name="Separador de milhares 2 3 2 2 5" xfId="2431" xr:uid="{00000000-0005-0000-0000-0000A8090000}"/>
    <cellStyle name="Separador de milhares 2 3 2 3" xfId="386" xr:uid="{00000000-0005-0000-0000-0000AB010000}"/>
    <cellStyle name="Separador de milhares 2 3 2 3 2" xfId="831" xr:uid="{00000000-0005-0000-0000-000068030000}"/>
    <cellStyle name="Separador de milhares 2 3 2 3 2 2" xfId="1660" xr:uid="{00000000-0005-0000-0000-0000A5060000}"/>
    <cellStyle name="Separador de milhares 2 3 2 3 2 2 2" xfId="3771" xr:uid="{00000000-0005-0000-0000-0000E40E0000}"/>
    <cellStyle name="Separador de milhares 2 3 2 3 2 3" xfId="2954" xr:uid="{00000000-0005-0000-0000-0000B30B0000}"/>
    <cellStyle name="Separador de milhares 2 3 2 3 3" xfId="1233" xr:uid="{00000000-0005-0000-0000-0000FA040000}"/>
    <cellStyle name="Separador de milhares 2 3 2 3 3 2" xfId="3344" xr:uid="{00000000-0005-0000-0000-0000390D0000}"/>
    <cellStyle name="Separador de milhares 2 3 2 3 4" xfId="2527" xr:uid="{00000000-0005-0000-0000-0000080A0000}"/>
    <cellStyle name="Separador de milhares 2 3 2 4" xfId="637" xr:uid="{00000000-0005-0000-0000-0000A6020000}"/>
    <cellStyle name="Separador de milhares 2 3 2 4 2" xfId="1468" xr:uid="{00000000-0005-0000-0000-0000E5050000}"/>
    <cellStyle name="Separador de milhares 2 3 2 4 2 2" xfId="3579" xr:uid="{00000000-0005-0000-0000-0000240E0000}"/>
    <cellStyle name="Separador de milhares 2 3 2 4 3" xfId="2762" xr:uid="{00000000-0005-0000-0000-0000F30A0000}"/>
    <cellStyle name="Separador de milhares 2 3 2 5" xfId="1041" xr:uid="{00000000-0005-0000-0000-00003A040000}"/>
    <cellStyle name="Separador de milhares 2 3 2 5 2" xfId="3152" xr:uid="{00000000-0005-0000-0000-0000790C0000}"/>
    <cellStyle name="Separador de milhares 2 3 2 6" xfId="2336" xr:uid="{00000000-0005-0000-0000-000049090000}"/>
    <cellStyle name="Separador de milhares 2 3 3" xfId="176" xr:uid="{00000000-0005-0000-0000-0000D9000000}"/>
    <cellStyle name="Separador de milhares 2 3 3 2" xfId="297" xr:uid="{00000000-0005-0000-0000-000052010000}"/>
    <cellStyle name="Separador de milhares 2 3 3 2 2" xfId="489" xr:uid="{00000000-0005-0000-0000-000012020000}"/>
    <cellStyle name="Separador de milhares 2 3 3 2 2 2" xfId="934" xr:uid="{00000000-0005-0000-0000-0000CF030000}"/>
    <cellStyle name="Separador de milhares 2 3 3 2 2 2 2" xfId="1763" xr:uid="{00000000-0005-0000-0000-00000C070000}"/>
    <cellStyle name="Separador de milhares 2 3 3 2 2 2 2 2" xfId="3874" xr:uid="{00000000-0005-0000-0000-00004B0F0000}"/>
    <cellStyle name="Separador de milhares 2 3 3 2 2 2 3" xfId="3057" xr:uid="{00000000-0005-0000-0000-00001A0C0000}"/>
    <cellStyle name="Separador de milhares 2 3 3 2 2 3" xfId="1336" xr:uid="{00000000-0005-0000-0000-000061050000}"/>
    <cellStyle name="Separador de milhares 2 3 3 2 2 3 2" xfId="3447" xr:uid="{00000000-0005-0000-0000-0000A00D0000}"/>
    <cellStyle name="Separador de milhares 2 3 3 2 2 4" xfId="2630" xr:uid="{00000000-0005-0000-0000-00006F0A0000}"/>
    <cellStyle name="Separador de milhares 2 3 3 2 3" xfId="742" xr:uid="{00000000-0005-0000-0000-00000F030000}"/>
    <cellStyle name="Separador de milhares 2 3 3 2 3 2" xfId="1571" xr:uid="{00000000-0005-0000-0000-00004C060000}"/>
    <cellStyle name="Separador de milhares 2 3 3 2 3 2 2" xfId="3682" xr:uid="{00000000-0005-0000-0000-00008B0E0000}"/>
    <cellStyle name="Separador de milhares 2 3 3 2 3 3" xfId="2865" xr:uid="{00000000-0005-0000-0000-00005A0B0000}"/>
    <cellStyle name="Separador de milhares 2 3 3 2 4" xfId="1144" xr:uid="{00000000-0005-0000-0000-0000A1040000}"/>
    <cellStyle name="Separador de milhares 2 3 3 2 4 2" xfId="3255" xr:uid="{00000000-0005-0000-0000-0000E00C0000}"/>
    <cellStyle name="Separador de milhares 2 3 3 2 5" xfId="2438" xr:uid="{00000000-0005-0000-0000-0000AF090000}"/>
    <cellStyle name="Separador de milhares 2 3 3 3" xfId="393" xr:uid="{00000000-0005-0000-0000-0000B2010000}"/>
    <cellStyle name="Separador de milhares 2 3 3 3 2" xfId="838" xr:uid="{00000000-0005-0000-0000-00006F030000}"/>
    <cellStyle name="Separador de milhares 2 3 3 3 2 2" xfId="1667" xr:uid="{00000000-0005-0000-0000-0000AC060000}"/>
    <cellStyle name="Separador de milhares 2 3 3 3 2 2 2" xfId="3778" xr:uid="{00000000-0005-0000-0000-0000EB0E0000}"/>
    <cellStyle name="Separador de milhares 2 3 3 3 2 3" xfId="2961" xr:uid="{00000000-0005-0000-0000-0000BA0B0000}"/>
    <cellStyle name="Separador de milhares 2 3 3 3 3" xfId="1240" xr:uid="{00000000-0005-0000-0000-000001050000}"/>
    <cellStyle name="Separador de milhares 2 3 3 3 3 2" xfId="3351" xr:uid="{00000000-0005-0000-0000-0000400D0000}"/>
    <cellStyle name="Separador de milhares 2 3 3 3 4" xfId="2534" xr:uid="{00000000-0005-0000-0000-00000F0A0000}"/>
    <cellStyle name="Separador de milhares 2 3 3 4" xfId="645" xr:uid="{00000000-0005-0000-0000-0000AE020000}"/>
    <cellStyle name="Separador de milhares 2 3 3 4 2" xfId="1475" xr:uid="{00000000-0005-0000-0000-0000EC050000}"/>
    <cellStyle name="Separador de milhares 2 3 3 4 2 2" xfId="3586" xr:uid="{00000000-0005-0000-0000-00002B0E0000}"/>
    <cellStyle name="Separador de milhares 2 3 3 4 3" xfId="2769" xr:uid="{00000000-0005-0000-0000-0000FA0A0000}"/>
    <cellStyle name="Separador de milhares 2 3 3 5" xfId="1048" xr:uid="{00000000-0005-0000-0000-000041040000}"/>
    <cellStyle name="Separador de milhares 2 3 3 5 2" xfId="3159" xr:uid="{00000000-0005-0000-0000-0000800C0000}"/>
    <cellStyle name="Separador de milhares 2 3 3 6" xfId="2343" xr:uid="{00000000-0005-0000-0000-000050090000}"/>
    <cellStyle name="Separador de milhares 2 3 4" xfId="257" xr:uid="{00000000-0005-0000-0000-00002A010000}"/>
    <cellStyle name="Separador de milhares 2 3 4 2" xfId="450" xr:uid="{00000000-0005-0000-0000-0000EB010000}"/>
    <cellStyle name="Separador de milhares 2 3 4 2 2" xfId="895" xr:uid="{00000000-0005-0000-0000-0000A8030000}"/>
    <cellStyle name="Separador de milhares 2 3 4 2 2 2" xfId="1724" xr:uid="{00000000-0005-0000-0000-0000E5060000}"/>
    <cellStyle name="Separador de milhares 2 3 4 2 2 2 2" xfId="3835" xr:uid="{00000000-0005-0000-0000-0000240F0000}"/>
    <cellStyle name="Separador de milhares 2 3 4 2 2 3" xfId="3018" xr:uid="{00000000-0005-0000-0000-0000F30B0000}"/>
    <cellStyle name="Separador de milhares 2 3 4 2 3" xfId="1297" xr:uid="{00000000-0005-0000-0000-00003A050000}"/>
    <cellStyle name="Separador de milhares 2 3 4 2 3 2" xfId="3408" xr:uid="{00000000-0005-0000-0000-0000790D0000}"/>
    <cellStyle name="Separador de milhares 2 3 4 2 4" xfId="2591" xr:uid="{00000000-0005-0000-0000-0000480A0000}"/>
    <cellStyle name="Separador de milhares 2 3 4 3" xfId="703" xr:uid="{00000000-0005-0000-0000-0000E8020000}"/>
    <cellStyle name="Separador de milhares 2 3 4 3 2" xfId="1532" xr:uid="{00000000-0005-0000-0000-000025060000}"/>
    <cellStyle name="Separador de milhares 2 3 4 3 2 2" xfId="3643" xr:uid="{00000000-0005-0000-0000-0000640E0000}"/>
    <cellStyle name="Separador de milhares 2 3 4 3 3" xfId="2826" xr:uid="{00000000-0005-0000-0000-0000330B0000}"/>
    <cellStyle name="Separador de milhares 2 3 4 4" xfId="1105" xr:uid="{00000000-0005-0000-0000-00007A040000}"/>
    <cellStyle name="Separador de milhares 2 3 4 4 2" xfId="3216" xr:uid="{00000000-0005-0000-0000-0000B90C0000}"/>
    <cellStyle name="Separador de milhares 2 3 4 5" xfId="2399" xr:uid="{00000000-0005-0000-0000-000088090000}"/>
    <cellStyle name="Separador de milhares 2 3 5" xfId="354" xr:uid="{00000000-0005-0000-0000-00008B010000}"/>
    <cellStyle name="Separador de milhares 2 3 5 2" xfId="799" xr:uid="{00000000-0005-0000-0000-000048030000}"/>
    <cellStyle name="Separador de milhares 2 3 5 2 2" xfId="1628" xr:uid="{00000000-0005-0000-0000-000085060000}"/>
    <cellStyle name="Separador de milhares 2 3 5 2 2 2" xfId="3739" xr:uid="{00000000-0005-0000-0000-0000C40E0000}"/>
    <cellStyle name="Separador de milhares 2 3 5 2 3" xfId="2922" xr:uid="{00000000-0005-0000-0000-0000930B0000}"/>
    <cellStyle name="Separador de milhares 2 3 5 3" xfId="1201" xr:uid="{00000000-0005-0000-0000-0000DA040000}"/>
    <cellStyle name="Separador de milhares 2 3 5 3 2" xfId="3312" xr:uid="{00000000-0005-0000-0000-0000190D0000}"/>
    <cellStyle name="Separador de milhares 2 3 5 4" xfId="2495" xr:uid="{00000000-0005-0000-0000-0000E8090000}"/>
    <cellStyle name="Separador de milhares 2 3 6" xfId="605" xr:uid="{00000000-0005-0000-0000-000086020000}"/>
    <cellStyle name="Separador de milhares 2 3 6 2" xfId="1436" xr:uid="{00000000-0005-0000-0000-0000C5050000}"/>
    <cellStyle name="Separador de milhares 2 3 6 2 2" xfId="3547" xr:uid="{00000000-0005-0000-0000-0000040E0000}"/>
    <cellStyle name="Separador de milhares 2 3 6 3" xfId="2730" xr:uid="{00000000-0005-0000-0000-0000D30A0000}"/>
    <cellStyle name="Separador de milhares 2 3 7" xfId="1009" xr:uid="{00000000-0005-0000-0000-00001A040000}"/>
    <cellStyle name="Separador de milhares 2 3 7 2" xfId="3120" xr:uid="{00000000-0005-0000-0000-0000590C0000}"/>
    <cellStyle name="Separador de milhares 2 3 8" xfId="2304" xr:uid="{00000000-0005-0000-0000-000029090000}"/>
    <cellStyle name="Separador de milhares 2 4" xfId="133" xr:uid="{00000000-0005-0000-0000-0000AE000000}"/>
    <cellStyle name="Separador de milhares 2 4 2" xfId="169" xr:uid="{00000000-0005-0000-0000-0000D2000000}"/>
    <cellStyle name="Separador de milhares 2 4 2 2" xfId="290" xr:uid="{00000000-0005-0000-0000-00004B010000}"/>
    <cellStyle name="Separador de milhares 2 4 2 2 2" xfId="483" xr:uid="{00000000-0005-0000-0000-00000C020000}"/>
    <cellStyle name="Separador de milhares 2 4 2 2 2 2" xfId="928" xr:uid="{00000000-0005-0000-0000-0000C9030000}"/>
    <cellStyle name="Separador de milhares 2 4 2 2 2 2 2" xfId="1757" xr:uid="{00000000-0005-0000-0000-000006070000}"/>
    <cellStyle name="Separador de milhares 2 4 2 2 2 2 2 2" xfId="3868" xr:uid="{00000000-0005-0000-0000-0000450F0000}"/>
    <cellStyle name="Separador de milhares 2 4 2 2 2 2 3" xfId="3051" xr:uid="{00000000-0005-0000-0000-0000140C0000}"/>
    <cellStyle name="Separador de milhares 2 4 2 2 2 3" xfId="1330" xr:uid="{00000000-0005-0000-0000-00005B050000}"/>
    <cellStyle name="Separador de milhares 2 4 2 2 2 3 2" xfId="3441" xr:uid="{00000000-0005-0000-0000-00009A0D0000}"/>
    <cellStyle name="Separador de milhares 2 4 2 2 2 4" xfId="2624" xr:uid="{00000000-0005-0000-0000-0000690A0000}"/>
    <cellStyle name="Separador de milhares 2 4 2 2 3" xfId="736" xr:uid="{00000000-0005-0000-0000-000009030000}"/>
    <cellStyle name="Separador de milhares 2 4 2 2 3 2" xfId="1565" xr:uid="{00000000-0005-0000-0000-000046060000}"/>
    <cellStyle name="Separador de milhares 2 4 2 2 3 2 2" xfId="3676" xr:uid="{00000000-0005-0000-0000-0000850E0000}"/>
    <cellStyle name="Separador de milhares 2 4 2 2 3 3" xfId="2859" xr:uid="{00000000-0005-0000-0000-0000540B0000}"/>
    <cellStyle name="Separador de milhares 2 4 2 2 4" xfId="1138" xr:uid="{00000000-0005-0000-0000-00009B040000}"/>
    <cellStyle name="Separador de milhares 2 4 2 2 4 2" xfId="3249" xr:uid="{00000000-0005-0000-0000-0000DA0C0000}"/>
    <cellStyle name="Separador de milhares 2 4 2 2 5" xfId="2432" xr:uid="{00000000-0005-0000-0000-0000A9090000}"/>
    <cellStyle name="Separador de milhares 2 4 2 3" xfId="387" xr:uid="{00000000-0005-0000-0000-0000AC010000}"/>
    <cellStyle name="Separador de milhares 2 4 2 3 2" xfId="832" xr:uid="{00000000-0005-0000-0000-000069030000}"/>
    <cellStyle name="Separador de milhares 2 4 2 3 2 2" xfId="1661" xr:uid="{00000000-0005-0000-0000-0000A6060000}"/>
    <cellStyle name="Separador de milhares 2 4 2 3 2 2 2" xfId="3772" xr:uid="{00000000-0005-0000-0000-0000E50E0000}"/>
    <cellStyle name="Separador de milhares 2 4 2 3 2 3" xfId="2955" xr:uid="{00000000-0005-0000-0000-0000B40B0000}"/>
    <cellStyle name="Separador de milhares 2 4 2 3 3" xfId="1234" xr:uid="{00000000-0005-0000-0000-0000FB040000}"/>
    <cellStyle name="Separador de milhares 2 4 2 3 3 2" xfId="3345" xr:uid="{00000000-0005-0000-0000-00003A0D0000}"/>
    <cellStyle name="Separador de milhares 2 4 2 3 4" xfId="2528" xr:uid="{00000000-0005-0000-0000-0000090A0000}"/>
    <cellStyle name="Separador de milhares 2 4 2 4" xfId="638" xr:uid="{00000000-0005-0000-0000-0000A7020000}"/>
    <cellStyle name="Separador de milhares 2 4 2 4 2" xfId="1469" xr:uid="{00000000-0005-0000-0000-0000E6050000}"/>
    <cellStyle name="Separador de milhares 2 4 2 4 2 2" xfId="3580" xr:uid="{00000000-0005-0000-0000-0000250E0000}"/>
    <cellStyle name="Separador de milhares 2 4 2 4 3" xfId="2763" xr:uid="{00000000-0005-0000-0000-0000F40A0000}"/>
    <cellStyle name="Separador de milhares 2 4 2 5" xfId="1042" xr:uid="{00000000-0005-0000-0000-00003B040000}"/>
    <cellStyle name="Separador de milhares 2 4 2 5 2" xfId="3153" xr:uid="{00000000-0005-0000-0000-00007A0C0000}"/>
    <cellStyle name="Separador de milhares 2 4 2 6" xfId="2337" xr:uid="{00000000-0005-0000-0000-00004A090000}"/>
    <cellStyle name="Separador de milhares 2 4 3" xfId="177" xr:uid="{00000000-0005-0000-0000-0000DA000000}"/>
    <cellStyle name="Separador de milhares 2 4 3 2" xfId="298" xr:uid="{00000000-0005-0000-0000-000053010000}"/>
    <cellStyle name="Separador de milhares 2 4 3 2 2" xfId="490" xr:uid="{00000000-0005-0000-0000-000013020000}"/>
    <cellStyle name="Separador de milhares 2 4 3 2 2 2" xfId="935" xr:uid="{00000000-0005-0000-0000-0000D0030000}"/>
    <cellStyle name="Separador de milhares 2 4 3 2 2 2 2" xfId="1764" xr:uid="{00000000-0005-0000-0000-00000D070000}"/>
    <cellStyle name="Separador de milhares 2 4 3 2 2 2 2 2" xfId="3875" xr:uid="{00000000-0005-0000-0000-00004C0F0000}"/>
    <cellStyle name="Separador de milhares 2 4 3 2 2 2 3" xfId="3058" xr:uid="{00000000-0005-0000-0000-00001B0C0000}"/>
    <cellStyle name="Separador de milhares 2 4 3 2 2 3" xfId="1337" xr:uid="{00000000-0005-0000-0000-000062050000}"/>
    <cellStyle name="Separador de milhares 2 4 3 2 2 3 2" xfId="3448" xr:uid="{00000000-0005-0000-0000-0000A10D0000}"/>
    <cellStyle name="Separador de milhares 2 4 3 2 2 4" xfId="2631" xr:uid="{00000000-0005-0000-0000-0000700A0000}"/>
    <cellStyle name="Separador de milhares 2 4 3 2 3" xfId="743" xr:uid="{00000000-0005-0000-0000-000010030000}"/>
    <cellStyle name="Separador de milhares 2 4 3 2 3 2" xfId="1572" xr:uid="{00000000-0005-0000-0000-00004D060000}"/>
    <cellStyle name="Separador de milhares 2 4 3 2 3 2 2" xfId="3683" xr:uid="{00000000-0005-0000-0000-00008C0E0000}"/>
    <cellStyle name="Separador de milhares 2 4 3 2 3 3" xfId="2866" xr:uid="{00000000-0005-0000-0000-00005B0B0000}"/>
    <cellStyle name="Separador de milhares 2 4 3 2 4" xfId="1145" xr:uid="{00000000-0005-0000-0000-0000A2040000}"/>
    <cellStyle name="Separador de milhares 2 4 3 2 4 2" xfId="3256" xr:uid="{00000000-0005-0000-0000-0000E10C0000}"/>
    <cellStyle name="Separador de milhares 2 4 3 2 5" xfId="2439" xr:uid="{00000000-0005-0000-0000-0000B0090000}"/>
    <cellStyle name="Separador de milhares 2 4 3 3" xfId="394" xr:uid="{00000000-0005-0000-0000-0000B3010000}"/>
    <cellStyle name="Separador de milhares 2 4 3 3 2" xfId="839" xr:uid="{00000000-0005-0000-0000-000070030000}"/>
    <cellStyle name="Separador de milhares 2 4 3 3 2 2" xfId="1668" xr:uid="{00000000-0005-0000-0000-0000AD060000}"/>
    <cellStyle name="Separador de milhares 2 4 3 3 2 2 2" xfId="3779" xr:uid="{00000000-0005-0000-0000-0000EC0E0000}"/>
    <cellStyle name="Separador de milhares 2 4 3 3 2 3" xfId="2962" xr:uid="{00000000-0005-0000-0000-0000BB0B0000}"/>
    <cellStyle name="Separador de milhares 2 4 3 3 3" xfId="1241" xr:uid="{00000000-0005-0000-0000-000002050000}"/>
    <cellStyle name="Separador de milhares 2 4 3 3 3 2" xfId="3352" xr:uid="{00000000-0005-0000-0000-0000410D0000}"/>
    <cellStyle name="Separador de milhares 2 4 3 3 4" xfId="2535" xr:uid="{00000000-0005-0000-0000-0000100A0000}"/>
    <cellStyle name="Separador de milhares 2 4 3 4" xfId="646" xr:uid="{00000000-0005-0000-0000-0000AF020000}"/>
    <cellStyle name="Separador de milhares 2 4 3 4 2" xfId="1476" xr:uid="{00000000-0005-0000-0000-0000ED050000}"/>
    <cellStyle name="Separador de milhares 2 4 3 4 2 2" xfId="3587" xr:uid="{00000000-0005-0000-0000-00002C0E0000}"/>
    <cellStyle name="Separador de milhares 2 4 3 4 3" xfId="2770" xr:uid="{00000000-0005-0000-0000-0000FB0A0000}"/>
    <cellStyle name="Separador de milhares 2 4 3 5" xfId="1049" xr:uid="{00000000-0005-0000-0000-000042040000}"/>
    <cellStyle name="Separador de milhares 2 4 3 5 2" xfId="3160" xr:uid="{00000000-0005-0000-0000-0000810C0000}"/>
    <cellStyle name="Separador de milhares 2 4 3 6" xfId="2344" xr:uid="{00000000-0005-0000-0000-000051090000}"/>
    <cellStyle name="Separador de milhares 2 4 4" xfId="258" xr:uid="{00000000-0005-0000-0000-00002B010000}"/>
    <cellStyle name="Separador de milhares 2 4 4 2" xfId="451" xr:uid="{00000000-0005-0000-0000-0000EC010000}"/>
    <cellStyle name="Separador de milhares 2 4 4 2 2" xfId="896" xr:uid="{00000000-0005-0000-0000-0000A9030000}"/>
    <cellStyle name="Separador de milhares 2 4 4 2 2 2" xfId="1725" xr:uid="{00000000-0005-0000-0000-0000E6060000}"/>
    <cellStyle name="Separador de milhares 2 4 4 2 2 2 2" xfId="3836" xr:uid="{00000000-0005-0000-0000-0000250F0000}"/>
    <cellStyle name="Separador de milhares 2 4 4 2 2 3" xfId="3019" xr:uid="{00000000-0005-0000-0000-0000F40B0000}"/>
    <cellStyle name="Separador de milhares 2 4 4 2 3" xfId="1298" xr:uid="{00000000-0005-0000-0000-00003B050000}"/>
    <cellStyle name="Separador de milhares 2 4 4 2 3 2" xfId="3409" xr:uid="{00000000-0005-0000-0000-00007A0D0000}"/>
    <cellStyle name="Separador de milhares 2 4 4 2 4" xfId="2592" xr:uid="{00000000-0005-0000-0000-0000490A0000}"/>
    <cellStyle name="Separador de milhares 2 4 4 3" xfId="704" xr:uid="{00000000-0005-0000-0000-0000E9020000}"/>
    <cellStyle name="Separador de milhares 2 4 4 3 2" xfId="1533" xr:uid="{00000000-0005-0000-0000-000026060000}"/>
    <cellStyle name="Separador de milhares 2 4 4 3 2 2" xfId="3644" xr:uid="{00000000-0005-0000-0000-0000650E0000}"/>
    <cellStyle name="Separador de milhares 2 4 4 3 3" xfId="2827" xr:uid="{00000000-0005-0000-0000-0000340B0000}"/>
    <cellStyle name="Separador de milhares 2 4 4 4" xfId="1106" xr:uid="{00000000-0005-0000-0000-00007B040000}"/>
    <cellStyle name="Separador de milhares 2 4 4 4 2" xfId="3217" xr:uid="{00000000-0005-0000-0000-0000BA0C0000}"/>
    <cellStyle name="Separador de milhares 2 4 4 5" xfId="2400" xr:uid="{00000000-0005-0000-0000-000089090000}"/>
    <cellStyle name="Separador de milhares 2 4 5" xfId="355" xr:uid="{00000000-0005-0000-0000-00008C010000}"/>
    <cellStyle name="Separador de milhares 2 4 5 2" xfId="800" xr:uid="{00000000-0005-0000-0000-000049030000}"/>
    <cellStyle name="Separador de milhares 2 4 5 2 2" xfId="1629" xr:uid="{00000000-0005-0000-0000-000086060000}"/>
    <cellStyle name="Separador de milhares 2 4 5 2 2 2" xfId="3740" xr:uid="{00000000-0005-0000-0000-0000C50E0000}"/>
    <cellStyle name="Separador de milhares 2 4 5 2 3" xfId="2923" xr:uid="{00000000-0005-0000-0000-0000940B0000}"/>
    <cellStyle name="Separador de milhares 2 4 5 3" xfId="1202" xr:uid="{00000000-0005-0000-0000-0000DB040000}"/>
    <cellStyle name="Separador de milhares 2 4 5 3 2" xfId="3313" xr:uid="{00000000-0005-0000-0000-00001A0D0000}"/>
    <cellStyle name="Separador de milhares 2 4 5 4" xfId="2496" xr:uid="{00000000-0005-0000-0000-0000E9090000}"/>
    <cellStyle name="Separador de milhares 2 4 6" xfId="606" xr:uid="{00000000-0005-0000-0000-000087020000}"/>
    <cellStyle name="Separador de milhares 2 4 6 2" xfId="1437" xr:uid="{00000000-0005-0000-0000-0000C6050000}"/>
    <cellStyle name="Separador de milhares 2 4 6 2 2" xfId="3548" xr:uid="{00000000-0005-0000-0000-0000050E0000}"/>
    <cellStyle name="Separador de milhares 2 4 6 3" xfId="2731" xr:uid="{00000000-0005-0000-0000-0000D40A0000}"/>
    <cellStyle name="Separador de milhares 2 4 7" xfId="1010" xr:uid="{00000000-0005-0000-0000-00001B040000}"/>
    <cellStyle name="Separador de milhares 2 4 7 2" xfId="3121" xr:uid="{00000000-0005-0000-0000-00005A0C0000}"/>
    <cellStyle name="Separador de milhares 2 4 8" xfId="2305" xr:uid="{00000000-0005-0000-0000-00002A090000}"/>
    <cellStyle name="Separador de milhares 2 5" xfId="134" xr:uid="{00000000-0005-0000-0000-0000AF000000}"/>
    <cellStyle name="Separador de milhares 2 5 2" xfId="170" xr:uid="{00000000-0005-0000-0000-0000D3000000}"/>
    <cellStyle name="Separador de milhares 2 5 2 2" xfId="291" xr:uid="{00000000-0005-0000-0000-00004C010000}"/>
    <cellStyle name="Separador de milhares 2 5 2 2 2" xfId="484" xr:uid="{00000000-0005-0000-0000-00000D020000}"/>
    <cellStyle name="Separador de milhares 2 5 2 2 2 2" xfId="929" xr:uid="{00000000-0005-0000-0000-0000CA030000}"/>
    <cellStyle name="Separador de milhares 2 5 2 2 2 2 2" xfId="1758" xr:uid="{00000000-0005-0000-0000-000007070000}"/>
    <cellStyle name="Separador de milhares 2 5 2 2 2 2 2 2" xfId="3869" xr:uid="{00000000-0005-0000-0000-0000460F0000}"/>
    <cellStyle name="Separador de milhares 2 5 2 2 2 2 3" xfId="3052" xr:uid="{00000000-0005-0000-0000-0000150C0000}"/>
    <cellStyle name="Separador de milhares 2 5 2 2 2 3" xfId="1331" xr:uid="{00000000-0005-0000-0000-00005C050000}"/>
    <cellStyle name="Separador de milhares 2 5 2 2 2 3 2" xfId="3442" xr:uid="{00000000-0005-0000-0000-00009B0D0000}"/>
    <cellStyle name="Separador de milhares 2 5 2 2 2 4" xfId="2625" xr:uid="{00000000-0005-0000-0000-00006A0A0000}"/>
    <cellStyle name="Separador de milhares 2 5 2 2 3" xfId="737" xr:uid="{00000000-0005-0000-0000-00000A030000}"/>
    <cellStyle name="Separador de milhares 2 5 2 2 3 2" xfId="1566" xr:uid="{00000000-0005-0000-0000-000047060000}"/>
    <cellStyle name="Separador de milhares 2 5 2 2 3 2 2" xfId="3677" xr:uid="{00000000-0005-0000-0000-0000860E0000}"/>
    <cellStyle name="Separador de milhares 2 5 2 2 3 3" xfId="2860" xr:uid="{00000000-0005-0000-0000-0000550B0000}"/>
    <cellStyle name="Separador de milhares 2 5 2 2 4" xfId="1139" xr:uid="{00000000-0005-0000-0000-00009C040000}"/>
    <cellStyle name="Separador de milhares 2 5 2 2 4 2" xfId="3250" xr:uid="{00000000-0005-0000-0000-0000DB0C0000}"/>
    <cellStyle name="Separador de milhares 2 5 2 2 5" xfId="2433" xr:uid="{00000000-0005-0000-0000-0000AA090000}"/>
    <cellStyle name="Separador de milhares 2 5 2 3" xfId="388" xr:uid="{00000000-0005-0000-0000-0000AD010000}"/>
    <cellStyle name="Separador de milhares 2 5 2 3 2" xfId="833" xr:uid="{00000000-0005-0000-0000-00006A030000}"/>
    <cellStyle name="Separador de milhares 2 5 2 3 2 2" xfId="1662" xr:uid="{00000000-0005-0000-0000-0000A7060000}"/>
    <cellStyle name="Separador de milhares 2 5 2 3 2 2 2" xfId="3773" xr:uid="{00000000-0005-0000-0000-0000E60E0000}"/>
    <cellStyle name="Separador de milhares 2 5 2 3 2 3" xfId="2956" xr:uid="{00000000-0005-0000-0000-0000B50B0000}"/>
    <cellStyle name="Separador de milhares 2 5 2 3 3" xfId="1235" xr:uid="{00000000-0005-0000-0000-0000FC040000}"/>
    <cellStyle name="Separador de milhares 2 5 2 3 3 2" xfId="3346" xr:uid="{00000000-0005-0000-0000-00003B0D0000}"/>
    <cellStyle name="Separador de milhares 2 5 2 3 4" xfId="2529" xr:uid="{00000000-0005-0000-0000-00000A0A0000}"/>
    <cellStyle name="Separador de milhares 2 5 2 4" xfId="639" xr:uid="{00000000-0005-0000-0000-0000A8020000}"/>
    <cellStyle name="Separador de milhares 2 5 2 4 2" xfId="1470" xr:uid="{00000000-0005-0000-0000-0000E7050000}"/>
    <cellStyle name="Separador de milhares 2 5 2 4 2 2" xfId="3581" xr:uid="{00000000-0005-0000-0000-0000260E0000}"/>
    <cellStyle name="Separador de milhares 2 5 2 4 3" xfId="2764" xr:uid="{00000000-0005-0000-0000-0000F50A0000}"/>
    <cellStyle name="Separador de milhares 2 5 2 5" xfId="1043" xr:uid="{00000000-0005-0000-0000-00003C040000}"/>
    <cellStyle name="Separador de milhares 2 5 2 5 2" xfId="3154" xr:uid="{00000000-0005-0000-0000-00007B0C0000}"/>
    <cellStyle name="Separador de milhares 2 5 2 6" xfId="2338" xr:uid="{00000000-0005-0000-0000-00004B090000}"/>
    <cellStyle name="Separador de milhares 2 5 3" xfId="178" xr:uid="{00000000-0005-0000-0000-0000DB000000}"/>
    <cellStyle name="Separador de milhares 2 5 3 2" xfId="299" xr:uid="{00000000-0005-0000-0000-000054010000}"/>
    <cellStyle name="Separador de milhares 2 5 3 2 2" xfId="491" xr:uid="{00000000-0005-0000-0000-000014020000}"/>
    <cellStyle name="Separador de milhares 2 5 3 2 2 2" xfId="936" xr:uid="{00000000-0005-0000-0000-0000D1030000}"/>
    <cellStyle name="Separador de milhares 2 5 3 2 2 2 2" xfId="1765" xr:uid="{00000000-0005-0000-0000-00000E070000}"/>
    <cellStyle name="Separador de milhares 2 5 3 2 2 2 2 2" xfId="3876" xr:uid="{00000000-0005-0000-0000-00004D0F0000}"/>
    <cellStyle name="Separador de milhares 2 5 3 2 2 2 3" xfId="3059" xr:uid="{00000000-0005-0000-0000-00001C0C0000}"/>
    <cellStyle name="Separador de milhares 2 5 3 2 2 3" xfId="1338" xr:uid="{00000000-0005-0000-0000-000063050000}"/>
    <cellStyle name="Separador de milhares 2 5 3 2 2 3 2" xfId="3449" xr:uid="{00000000-0005-0000-0000-0000A20D0000}"/>
    <cellStyle name="Separador de milhares 2 5 3 2 2 4" xfId="2632" xr:uid="{00000000-0005-0000-0000-0000710A0000}"/>
    <cellStyle name="Separador de milhares 2 5 3 2 3" xfId="744" xr:uid="{00000000-0005-0000-0000-000011030000}"/>
    <cellStyle name="Separador de milhares 2 5 3 2 3 2" xfId="1573" xr:uid="{00000000-0005-0000-0000-00004E060000}"/>
    <cellStyle name="Separador de milhares 2 5 3 2 3 2 2" xfId="3684" xr:uid="{00000000-0005-0000-0000-00008D0E0000}"/>
    <cellStyle name="Separador de milhares 2 5 3 2 3 3" xfId="2867" xr:uid="{00000000-0005-0000-0000-00005C0B0000}"/>
    <cellStyle name="Separador de milhares 2 5 3 2 4" xfId="1146" xr:uid="{00000000-0005-0000-0000-0000A3040000}"/>
    <cellStyle name="Separador de milhares 2 5 3 2 4 2" xfId="3257" xr:uid="{00000000-0005-0000-0000-0000E20C0000}"/>
    <cellStyle name="Separador de milhares 2 5 3 2 5" xfId="2440" xr:uid="{00000000-0005-0000-0000-0000B1090000}"/>
    <cellStyle name="Separador de milhares 2 5 3 3" xfId="395" xr:uid="{00000000-0005-0000-0000-0000B4010000}"/>
    <cellStyle name="Separador de milhares 2 5 3 3 2" xfId="840" xr:uid="{00000000-0005-0000-0000-000071030000}"/>
    <cellStyle name="Separador de milhares 2 5 3 3 2 2" xfId="1669" xr:uid="{00000000-0005-0000-0000-0000AE060000}"/>
    <cellStyle name="Separador de milhares 2 5 3 3 2 2 2" xfId="3780" xr:uid="{00000000-0005-0000-0000-0000ED0E0000}"/>
    <cellStyle name="Separador de milhares 2 5 3 3 2 3" xfId="2963" xr:uid="{00000000-0005-0000-0000-0000BC0B0000}"/>
    <cellStyle name="Separador de milhares 2 5 3 3 3" xfId="1242" xr:uid="{00000000-0005-0000-0000-000003050000}"/>
    <cellStyle name="Separador de milhares 2 5 3 3 3 2" xfId="3353" xr:uid="{00000000-0005-0000-0000-0000420D0000}"/>
    <cellStyle name="Separador de milhares 2 5 3 3 4" xfId="2536" xr:uid="{00000000-0005-0000-0000-0000110A0000}"/>
    <cellStyle name="Separador de milhares 2 5 3 4" xfId="647" xr:uid="{00000000-0005-0000-0000-0000B0020000}"/>
    <cellStyle name="Separador de milhares 2 5 3 4 2" xfId="1477" xr:uid="{00000000-0005-0000-0000-0000EE050000}"/>
    <cellStyle name="Separador de milhares 2 5 3 4 2 2" xfId="3588" xr:uid="{00000000-0005-0000-0000-00002D0E0000}"/>
    <cellStyle name="Separador de milhares 2 5 3 4 3" xfId="2771" xr:uid="{00000000-0005-0000-0000-0000FC0A0000}"/>
    <cellStyle name="Separador de milhares 2 5 3 5" xfId="1050" xr:uid="{00000000-0005-0000-0000-000043040000}"/>
    <cellStyle name="Separador de milhares 2 5 3 5 2" xfId="3161" xr:uid="{00000000-0005-0000-0000-0000820C0000}"/>
    <cellStyle name="Separador de milhares 2 5 3 6" xfId="2345" xr:uid="{00000000-0005-0000-0000-000052090000}"/>
    <cellStyle name="Separador de milhares 2 5 4" xfId="259" xr:uid="{00000000-0005-0000-0000-00002C010000}"/>
    <cellStyle name="Separador de milhares 2 5 4 2" xfId="452" xr:uid="{00000000-0005-0000-0000-0000ED010000}"/>
    <cellStyle name="Separador de milhares 2 5 4 2 2" xfId="897" xr:uid="{00000000-0005-0000-0000-0000AA030000}"/>
    <cellStyle name="Separador de milhares 2 5 4 2 2 2" xfId="1726" xr:uid="{00000000-0005-0000-0000-0000E7060000}"/>
    <cellStyle name="Separador de milhares 2 5 4 2 2 2 2" xfId="3837" xr:uid="{00000000-0005-0000-0000-0000260F0000}"/>
    <cellStyle name="Separador de milhares 2 5 4 2 2 3" xfId="3020" xr:uid="{00000000-0005-0000-0000-0000F50B0000}"/>
    <cellStyle name="Separador de milhares 2 5 4 2 3" xfId="1299" xr:uid="{00000000-0005-0000-0000-00003C050000}"/>
    <cellStyle name="Separador de milhares 2 5 4 2 3 2" xfId="3410" xr:uid="{00000000-0005-0000-0000-00007B0D0000}"/>
    <cellStyle name="Separador de milhares 2 5 4 2 4" xfId="2593" xr:uid="{00000000-0005-0000-0000-00004A0A0000}"/>
    <cellStyle name="Separador de milhares 2 5 4 3" xfId="705" xr:uid="{00000000-0005-0000-0000-0000EA020000}"/>
    <cellStyle name="Separador de milhares 2 5 4 3 2" xfId="1534" xr:uid="{00000000-0005-0000-0000-000027060000}"/>
    <cellStyle name="Separador de milhares 2 5 4 3 2 2" xfId="3645" xr:uid="{00000000-0005-0000-0000-0000660E0000}"/>
    <cellStyle name="Separador de milhares 2 5 4 3 3" xfId="2828" xr:uid="{00000000-0005-0000-0000-0000350B0000}"/>
    <cellStyle name="Separador de milhares 2 5 4 4" xfId="1107" xr:uid="{00000000-0005-0000-0000-00007C040000}"/>
    <cellStyle name="Separador de milhares 2 5 4 4 2" xfId="3218" xr:uid="{00000000-0005-0000-0000-0000BB0C0000}"/>
    <cellStyle name="Separador de milhares 2 5 4 5" xfId="2401" xr:uid="{00000000-0005-0000-0000-00008A090000}"/>
    <cellStyle name="Separador de milhares 2 5 5" xfId="356" xr:uid="{00000000-0005-0000-0000-00008D010000}"/>
    <cellStyle name="Separador de milhares 2 5 5 2" xfId="801" xr:uid="{00000000-0005-0000-0000-00004A030000}"/>
    <cellStyle name="Separador de milhares 2 5 5 2 2" xfId="1630" xr:uid="{00000000-0005-0000-0000-000087060000}"/>
    <cellStyle name="Separador de milhares 2 5 5 2 2 2" xfId="3741" xr:uid="{00000000-0005-0000-0000-0000C60E0000}"/>
    <cellStyle name="Separador de milhares 2 5 5 2 3" xfId="2924" xr:uid="{00000000-0005-0000-0000-0000950B0000}"/>
    <cellStyle name="Separador de milhares 2 5 5 3" xfId="1203" xr:uid="{00000000-0005-0000-0000-0000DC040000}"/>
    <cellStyle name="Separador de milhares 2 5 5 3 2" xfId="3314" xr:uid="{00000000-0005-0000-0000-00001B0D0000}"/>
    <cellStyle name="Separador de milhares 2 5 5 4" xfId="2497" xr:uid="{00000000-0005-0000-0000-0000EA090000}"/>
    <cellStyle name="Separador de milhares 2 5 6" xfId="607" xr:uid="{00000000-0005-0000-0000-000088020000}"/>
    <cellStyle name="Separador de milhares 2 5 6 2" xfId="1438" xr:uid="{00000000-0005-0000-0000-0000C7050000}"/>
    <cellStyle name="Separador de milhares 2 5 6 2 2" xfId="3549" xr:uid="{00000000-0005-0000-0000-0000060E0000}"/>
    <cellStyle name="Separador de milhares 2 5 6 3" xfId="2732" xr:uid="{00000000-0005-0000-0000-0000D50A0000}"/>
    <cellStyle name="Separador de milhares 2 5 7" xfId="1011" xr:uid="{00000000-0005-0000-0000-00001C040000}"/>
    <cellStyle name="Separador de milhares 2 5 7 2" xfId="3122" xr:uid="{00000000-0005-0000-0000-00005B0C0000}"/>
    <cellStyle name="Separador de milhares 2 5 8" xfId="2306" xr:uid="{00000000-0005-0000-0000-00002B090000}"/>
    <cellStyle name="Separador de milhares 2 6" xfId="135" xr:uid="{00000000-0005-0000-0000-0000B0000000}"/>
    <cellStyle name="Separador de milhares 2 6 2" xfId="171" xr:uid="{00000000-0005-0000-0000-0000D4000000}"/>
    <cellStyle name="Separador de milhares 2 6 2 2" xfId="292" xr:uid="{00000000-0005-0000-0000-00004D010000}"/>
    <cellStyle name="Separador de milhares 2 6 2 2 2" xfId="485" xr:uid="{00000000-0005-0000-0000-00000E020000}"/>
    <cellStyle name="Separador de milhares 2 6 2 2 2 2" xfId="930" xr:uid="{00000000-0005-0000-0000-0000CB030000}"/>
    <cellStyle name="Separador de milhares 2 6 2 2 2 2 2" xfId="1759" xr:uid="{00000000-0005-0000-0000-000008070000}"/>
    <cellStyle name="Separador de milhares 2 6 2 2 2 2 2 2" xfId="3870" xr:uid="{00000000-0005-0000-0000-0000470F0000}"/>
    <cellStyle name="Separador de milhares 2 6 2 2 2 2 3" xfId="3053" xr:uid="{00000000-0005-0000-0000-0000160C0000}"/>
    <cellStyle name="Separador de milhares 2 6 2 2 2 3" xfId="1332" xr:uid="{00000000-0005-0000-0000-00005D050000}"/>
    <cellStyle name="Separador de milhares 2 6 2 2 2 3 2" xfId="3443" xr:uid="{00000000-0005-0000-0000-00009C0D0000}"/>
    <cellStyle name="Separador de milhares 2 6 2 2 2 4" xfId="2626" xr:uid="{00000000-0005-0000-0000-00006B0A0000}"/>
    <cellStyle name="Separador de milhares 2 6 2 2 3" xfId="738" xr:uid="{00000000-0005-0000-0000-00000B030000}"/>
    <cellStyle name="Separador de milhares 2 6 2 2 3 2" xfId="1567" xr:uid="{00000000-0005-0000-0000-000048060000}"/>
    <cellStyle name="Separador de milhares 2 6 2 2 3 2 2" xfId="3678" xr:uid="{00000000-0005-0000-0000-0000870E0000}"/>
    <cellStyle name="Separador de milhares 2 6 2 2 3 3" xfId="2861" xr:uid="{00000000-0005-0000-0000-0000560B0000}"/>
    <cellStyle name="Separador de milhares 2 6 2 2 4" xfId="1140" xr:uid="{00000000-0005-0000-0000-00009D040000}"/>
    <cellStyle name="Separador de milhares 2 6 2 2 4 2" xfId="3251" xr:uid="{00000000-0005-0000-0000-0000DC0C0000}"/>
    <cellStyle name="Separador de milhares 2 6 2 2 5" xfId="2434" xr:uid="{00000000-0005-0000-0000-0000AB090000}"/>
    <cellStyle name="Separador de milhares 2 6 2 3" xfId="389" xr:uid="{00000000-0005-0000-0000-0000AE010000}"/>
    <cellStyle name="Separador de milhares 2 6 2 3 2" xfId="834" xr:uid="{00000000-0005-0000-0000-00006B030000}"/>
    <cellStyle name="Separador de milhares 2 6 2 3 2 2" xfId="1663" xr:uid="{00000000-0005-0000-0000-0000A8060000}"/>
    <cellStyle name="Separador de milhares 2 6 2 3 2 2 2" xfId="3774" xr:uid="{00000000-0005-0000-0000-0000E70E0000}"/>
    <cellStyle name="Separador de milhares 2 6 2 3 2 3" xfId="2957" xr:uid="{00000000-0005-0000-0000-0000B60B0000}"/>
    <cellStyle name="Separador de milhares 2 6 2 3 3" xfId="1236" xr:uid="{00000000-0005-0000-0000-0000FD040000}"/>
    <cellStyle name="Separador de milhares 2 6 2 3 3 2" xfId="3347" xr:uid="{00000000-0005-0000-0000-00003C0D0000}"/>
    <cellStyle name="Separador de milhares 2 6 2 3 4" xfId="2530" xr:uid="{00000000-0005-0000-0000-00000B0A0000}"/>
    <cellStyle name="Separador de milhares 2 6 2 4" xfId="640" xr:uid="{00000000-0005-0000-0000-0000A9020000}"/>
    <cellStyle name="Separador de milhares 2 6 2 4 2" xfId="1471" xr:uid="{00000000-0005-0000-0000-0000E8050000}"/>
    <cellStyle name="Separador de milhares 2 6 2 4 2 2" xfId="3582" xr:uid="{00000000-0005-0000-0000-0000270E0000}"/>
    <cellStyle name="Separador de milhares 2 6 2 4 3" xfId="2765" xr:uid="{00000000-0005-0000-0000-0000F60A0000}"/>
    <cellStyle name="Separador de milhares 2 6 2 5" xfId="1044" xr:uid="{00000000-0005-0000-0000-00003D040000}"/>
    <cellStyle name="Separador de milhares 2 6 2 5 2" xfId="3155" xr:uid="{00000000-0005-0000-0000-00007C0C0000}"/>
    <cellStyle name="Separador de milhares 2 6 2 6" xfId="2339" xr:uid="{00000000-0005-0000-0000-00004C090000}"/>
    <cellStyle name="Separador de milhares 2 6 3" xfId="179" xr:uid="{00000000-0005-0000-0000-0000DC000000}"/>
    <cellStyle name="Separador de milhares 2 6 3 2" xfId="300" xr:uid="{00000000-0005-0000-0000-000055010000}"/>
    <cellStyle name="Separador de milhares 2 6 3 2 2" xfId="492" xr:uid="{00000000-0005-0000-0000-000015020000}"/>
    <cellStyle name="Separador de milhares 2 6 3 2 2 2" xfId="937" xr:uid="{00000000-0005-0000-0000-0000D2030000}"/>
    <cellStyle name="Separador de milhares 2 6 3 2 2 2 2" xfId="1766" xr:uid="{00000000-0005-0000-0000-00000F070000}"/>
    <cellStyle name="Separador de milhares 2 6 3 2 2 2 2 2" xfId="3877" xr:uid="{00000000-0005-0000-0000-00004E0F0000}"/>
    <cellStyle name="Separador de milhares 2 6 3 2 2 2 3" xfId="3060" xr:uid="{00000000-0005-0000-0000-00001D0C0000}"/>
    <cellStyle name="Separador de milhares 2 6 3 2 2 3" xfId="1339" xr:uid="{00000000-0005-0000-0000-000064050000}"/>
    <cellStyle name="Separador de milhares 2 6 3 2 2 3 2" xfId="3450" xr:uid="{00000000-0005-0000-0000-0000A30D0000}"/>
    <cellStyle name="Separador de milhares 2 6 3 2 2 4" xfId="2633" xr:uid="{00000000-0005-0000-0000-0000720A0000}"/>
    <cellStyle name="Separador de milhares 2 6 3 2 3" xfId="745" xr:uid="{00000000-0005-0000-0000-000012030000}"/>
    <cellStyle name="Separador de milhares 2 6 3 2 3 2" xfId="1574" xr:uid="{00000000-0005-0000-0000-00004F060000}"/>
    <cellStyle name="Separador de milhares 2 6 3 2 3 2 2" xfId="3685" xr:uid="{00000000-0005-0000-0000-00008E0E0000}"/>
    <cellStyle name="Separador de milhares 2 6 3 2 3 3" xfId="2868" xr:uid="{00000000-0005-0000-0000-00005D0B0000}"/>
    <cellStyle name="Separador de milhares 2 6 3 2 4" xfId="1147" xr:uid="{00000000-0005-0000-0000-0000A4040000}"/>
    <cellStyle name="Separador de milhares 2 6 3 2 4 2" xfId="3258" xr:uid="{00000000-0005-0000-0000-0000E30C0000}"/>
    <cellStyle name="Separador de milhares 2 6 3 2 5" xfId="2441" xr:uid="{00000000-0005-0000-0000-0000B2090000}"/>
    <cellStyle name="Separador de milhares 2 6 3 3" xfId="396" xr:uid="{00000000-0005-0000-0000-0000B5010000}"/>
    <cellStyle name="Separador de milhares 2 6 3 3 2" xfId="841" xr:uid="{00000000-0005-0000-0000-000072030000}"/>
    <cellStyle name="Separador de milhares 2 6 3 3 2 2" xfId="1670" xr:uid="{00000000-0005-0000-0000-0000AF060000}"/>
    <cellStyle name="Separador de milhares 2 6 3 3 2 2 2" xfId="3781" xr:uid="{00000000-0005-0000-0000-0000EE0E0000}"/>
    <cellStyle name="Separador de milhares 2 6 3 3 2 3" xfId="2964" xr:uid="{00000000-0005-0000-0000-0000BD0B0000}"/>
    <cellStyle name="Separador de milhares 2 6 3 3 3" xfId="1243" xr:uid="{00000000-0005-0000-0000-000004050000}"/>
    <cellStyle name="Separador de milhares 2 6 3 3 3 2" xfId="3354" xr:uid="{00000000-0005-0000-0000-0000430D0000}"/>
    <cellStyle name="Separador de milhares 2 6 3 3 4" xfId="2537" xr:uid="{00000000-0005-0000-0000-0000120A0000}"/>
    <cellStyle name="Separador de milhares 2 6 3 4" xfId="648" xr:uid="{00000000-0005-0000-0000-0000B1020000}"/>
    <cellStyle name="Separador de milhares 2 6 3 4 2" xfId="1478" xr:uid="{00000000-0005-0000-0000-0000EF050000}"/>
    <cellStyle name="Separador de milhares 2 6 3 4 2 2" xfId="3589" xr:uid="{00000000-0005-0000-0000-00002E0E0000}"/>
    <cellStyle name="Separador de milhares 2 6 3 4 3" xfId="2772" xr:uid="{00000000-0005-0000-0000-0000FD0A0000}"/>
    <cellStyle name="Separador de milhares 2 6 3 5" xfId="1051" xr:uid="{00000000-0005-0000-0000-000044040000}"/>
    <cellStyle name="Separador de milhares 2 6 3 5 2" xfId="3162" xr:uid="{00000000-0005-0000-0000-0000830C0000}"/>
    <cellStyle name="Separador de milhares 2 6 3 6" xfId="2346" xr:uid="{00000000-0005-0000-0000-000053090000}"/>
    <cellStyle name="Separador de milhares 2 6 4" xfId="260" xr:uid="{00000000-0005-0000-0000-00002D010000}"/>
    <cellStyle name="Separador de milhares 2 6 4 2" xfId="453" xr:uid="{00000000-0005-0000-0000-0000EE010000}"/>
    <cellStyle name="Separador de milhares 2 6 4 2 2" xfId="898" xr:uid="{00000000-0005-0000-0000-0000AB030000}"/>
    <cellStyle name="Separador de milhares 2 6 4 2 2 2" xfId="1727" xr:uid="{00000000-0005-0000-0000-0000E8060000}"/>
    <cellStyle name="Separador de milhares 2 6 4 2 2 2 2" xfId="3838" xr:uid="{00000000-0005-0000-0000-0000270F0000}"/>
    <cellStyle name="Separador de milhares 2 6 4 2 2 3" xfId="3021" xr:uid="{00000000-0005-0000-0000-0000F60B0000}"/>
    <cellStyle name="Separador de milhares 2 6 4 2 3" xfId="1300" xr:uid="{00000000-0005-0000-0000-00003D050000}"/>
    <cellStyle name="Separador de milhares 2 6 4 2 3 2" xfId="3411" xr:uid="{00000000-0005-0000-0000-00007C0D0000}"/>
    <cellStyle name="Separador de milhares 2 6 4 2 4" xfId="2594" xr:uid="{00000000-0005-0000-0000-00004B0A0000}"/>
    <cellStyle name="Separador de milhares 2 6 4 3" xfId="706" xr:uid="{00000000-0005-0000-0000-0000EB020000}"/>
    <cellStyle name="Separador de milhares 2 6 4 3 2" xfId="1535" xr:uid="{00000000-0005-0000-0000-000028060000}"/>
    <cellStyle name="Separador de milhares 2 6 4 3 2 2" xfId="3646" xr:uid="{00000000-0005-0000-0000-0000670E0000}"/>
    <cellStyle name="Separador de milhares 2 6 4 3 3" xfId="2829" xr:uid="{00000000-0005-0000-0000-0000360B0000}"/>
    <cellStyle name="Separador de milhares 2 6 4 4" xfId="1108" xr:uid="{00000000-0005-0000-0000-00007D040000}"/>
    <cellStyle name="Separador de milhares 2 6 4 4 2" xfId="3219" xr:uid="{00000000-0005-0000-0000-0000BC0C0000}"/>
    <cellStyle name="Separador de milhares 2 6 4 5" xfId="2402" xr:uid="{00000000-0005-0000-0000-00008B090000}"/>
    <cellStyle name="Separador de milhares 2 6 5" xfId="357" xr:uid="{00000000-0005-0000-0000-00008E010000}"/>
    <cellStyle name="Separador de milhares 2 6 5 2" xfId="802" xr:uid="{00000000-0005-0000-0000-00004B030000}"/>
    <cellStyle name="Separador de milhares 2 6 5 2 2" xfId="1631" xr:uid="{00000000-0005-0000-0000-000088060000}"/>
    <cellStyle name="Separador de milhares 2 6 5 2 2 2" xfId="3742" xr:uid="{00000000-0005-0000-0000-0000C70E0000}"/>
    <cellStyle name="Separador de milhares 2 6 5 2 3" xfId="2925" xr:uid="{00000000-0005-0000-0000-0000960B0000}"/>
    <cellStyle name="Separador de milhares 2 6 5 3" xfId="1204" xr:uid="{00000000-0005-0000-0000-0000DD040000}"/>
    <cellStyle name="Separador de milhares 2 6 5 3 2" xfId="3315" xr:uid="{00000000-0005-0000-0000-00001C0D0000}"/>
    <cellStyle name="Separador de milhares 2 6 5 4" xfId="2498" xr:uid="{00000000-0005-0000-0000-0000EB090000}"/>
    <cellStyle name="Separador de milhares 2 6 6" xfId="608" xr:uid="{00000000-0005-0000-0000-000089020000}"/>
    <cellStyle name="Separador de milhares 2 6 6 2" xfId="1439" xr:uid="{00000000-0005-0000-0000-0000C8050000}"/>
    <cellStyle name="Separador de milhares 2 6 6 2 2" xfId="3550" xr:uid="{00000000-0005-0000-0000-0000070E0000}"/>
    <cellStyle name="Separador de milhares 2 6 6 3" xfId="2733" xr:uid="{00000000-0005-0000-0000-0000D60A0000}"/>
    <cellStyle name="Separador de milhares 2 6 7" xfId="1012" xr:uid="{00000000-0005-0000-0000-00001D040000}"/>
    <cellStyle name="Separador de milhares 2 6 7 2" xfId="3123" xr:uid="{00000000-0005-0000-0000-00005C0C0000}"/>
    <cellStyle name="Separador de milhares 2 6 8" xfId="2307" xr:uid="{00000000-0005-0000-0000-00002C090000}"/>
    <cellStyle name="Separador de milhares 2 7" xfId="136" xr:uid="{00000000-0005-0000-0000-0000B1000000}"/>
    <cellStyle name="Separador de milhares 2 7 2" xfId="172" xr:uid="{00000000-0005-0000-0000-0000D5000000}"/>
    <cellStyle name="Separador de milhares 2 7 2 2" xfId="293" xr:uid="{00000000-0005-0000-0000-00004E010000}"/>
    <cellStyle name="Separador de milhares 2 7 2 2 2" xfId="486" xr:uid="{00000000-0005-0000-0000-00000F020000}"/>
    <cellStyle name="Separador de milhares 2 7 2 2 2 2" xfId="931" xr:uid="{00000000-0005-0000-0000-0000CC030000}"/>
    <cellStyle name="Separador de milhares 2 7 2 2 2 2 2" xfId="1760" xr:uid="{00000000-0005-0000-0000-000009070000}"/>
    <cellStyle name="Separador de milhares 2 7 2 2 2 2 2 2" xfId="3871" xr:uid="{00000000-0005-0000-0000-0000480F0000}"/>
    <cellStyle name="Separador de milhares 2 7 2 2 2 2 3" xfId="3054" xr:uid="{00000000-0005-0000-0000-0000170C0000}"/>
    <cellStyle name="Separador de milhares 2 7 2 2 2 3" xfId="1333" xr:uid="{00000000-0005-0000-0000-00005E050000}"/>
    <cellStyle name="Separador de milhares 2 7 2 2 2 3 2" xfId="3444" xr:uid="{00000000-0005-0000-0000-00009D0D0000}"/>
    <cellStyle name="Separador de milhares 2 7 2 2 2 4" xfId="2627" xr:uid="{00000000-0005-0000-0000-00006C0A0000}"/>
    <cellStyle name="Separador de milhares 2 7 2 2 3" xfId="739" xr:uid="{00000000-0005-0000-0000-00000C030000}"/>
    <cellStyle name="Separador de milhares 2 7 2 2 3 2" xfId="1568" xr:uid="{00000000-0005-0000-0000-000049060000}"/>
    <cellStyle name="Separador de milhares 2 7 2 2 3 2 2" xfId="3679" xr:uid="{00000000-0005-0000-0000-0000880E0000}"/>
    <cellStyle name="Separador de milhares 2 7 2 2 3 3" xfId="2862" xr:uid="{00000000-0005-0000-0000-0000570B0000}"/>
    <cellStyle name="Separador de milhares 2 7 2 2 4" xfId="1141" xr:uid="{00000000-0005-0000-0000-00009E040000}"/>
    <cellStyle name="Separador de milhares 2 7 2 2 4 2" xfId="3252" xr:uid="{00000000-0005-0000-0000-0000DD0C0000}"/>
    <cellStyle name="Separador de milhares 2 7 2 2 5" xfId="2435" xr:uid="{00000000-0005-0000-0000-0000AC090000}"/>
    <cellStyle name="Separador de milhares 2 7 2 3" xfId="390" xr:uid="{00000000-0005-0000-0000-0000AF010000}"/>
    <cellStyle name="Separador de milhares 2 7 2 3 2" xfId="835" xr:uid="{00000000-0005-0000-0000-00006C030000}"/>
    <cellStyle name="Separador de milhares 2 7 2 3 2 2" xfId="1664" xr:uid="{00000000-0005-0000-0000-0000A9060000}"/>
    <cellStyle name="Separador de milhares 2 7 2 3 2 2 2" xfId="3775" xr:uid="{00000000-0005-0000-0000-0000E80E0000}"/>
    <cellStyle name="Separador de milhares 2 7 2 3 2 3" xfId="2958" xr:uid="{00000000-0005-0000-0000-0000B70B0000}"/>
    <cellStyle name="Separador de milhares 2 7 2 3 3" xfId="1237" xr:uid="{00000000-0005-0000-0000-0000FE040000}"/>
    <cellStyle name="Separador de milhares 2 7 2 3 3 2" xfId="3348" xr:uid="{00000000-0005-0000-0000-00003D0D0000}"/>
    <cellStyle name="Separador de milhares 2 7 2 3 4" xfId="2531" xr:uid="{00000000-0005-0000-0000-00000C0A0000}"/>
    <cellStyle name="Separador de milhares 2 7 2 4" xfId="641" xr:uid="{00000000-0005-0000-0000-0000AA020000}"/>
    <cellStyle name="Separador de milhares 2 7 2 4 2" xfId="1472" xr:uid="{00000000-0005-0000-0000-0000E9050000}"/>
    <cellStyle name="Separador de milhares 2 7 2 4 2 2" xfId="3583" xr:uid="{00000000-0005-0000-0000-0000280E0000}"/>
    <cellStyle name="Separador de milhares 2 7 2 4 3" xfId="2766" xr:uid="{00000000-0005-0000-0000-0000F70A0000}"/>
    <cellStyle name="Separador de milhares 2 7 2 5" xfId="1045" xr:uid="{00000000-0005-0000-0000-00003E040000}"/>
    <cellStyle name="Separador de milhares 2 7 2 5 2" xfId="3156" xr:uid="{00000000-0005-0000-0000-00007D0C0000}"/>
    <cellStyle name="Separador de milhares 2 7 2 6" xfId="2340" xr:uid="{00000000-0005-0000-0000-00004D090000}"/>
    <cellStyle name="Separador de milhares 2 7 3" xfId="180" xr:uid="{00000000-0005-0000-0000-0000DD000000}"/>
    <cellStyle name="Separador de milhares 2 7 3 2" xfId="301" xr:uid="{00000000-0005-0000-0000-000056010000}"/>
    <cellStyle name="Separador de milhares 2 7 3 2 2" xfId="493" xr:uid="{00000000-0005-0000-0000-000016020000}"/>
    <cellStyle name="Separador de milhares 2 7 3 2 2 2" xfId="938" xr:uid="{00000000-0005-0000-0000-0000D3030000}"/>
    <cellStyle name="Separador de milhares 2 7 3 2 2 2 2" xfId="1767" xr:uid="{00000000-0005-0000-0000-000010070000}"/>
    <cellStyle name="Separador de milhares 2 7 3 2 2 2 2 2" xfId="3878" xr:uid="{00000000-0005-0000-0000-00004F0F0000}"/>
    <cellStyle name="Separador de milhares 2 7 3 2 2 2 3" xfId="3061" xr:uid="{00000000-0005-0000-0000-00001E0C0000}"/>
    <cellStyle name="Separador de milhares 2 7 3 2 2 3" xfId="1340" xr:uid="{00000000-0005-0000-0000-000065050000}"/>
    <cellStyle name="Separador de milhares 2 7 3 2 2 3 2" xfId="3451" xr:uid="{00000000-0005-0000-0000-0000A40D0000}"/>
    <cellStyle name="Separador de milhares 2 7 3 2 2 4" xfId="2634" xr:uid="{00000000-0005-0000-0000-0000730A0000}"/>
    <cellStyle name="Separador de milhares 2 7 3 2 3" xfId="746" xr:uid="{00000000-0005-0000-0000-000013030000}"/>
    <cellStyle name="Separador de milhares 2 7 3 2 3 2" xfId="1575" xr:uid="{00000000-0005-0000-0000-000050060000}"/>
    <cellStyle name="Separador de milhares 2 7 3 2 3 2 2" xfId="3686" xr:uid="{00000000-0005-0000-0000-00008F0E0000}"/>
    <cellStyle name="Separador de milhares 2 7 3 2 3 3" xfId="2869" xr:uid="{00000000-0005-0000-0000-00005E0B0000}"/>
    <cellStyle name="Separador de milhares 2 7 3 2 4" xfId="1148" xr:uid="{00000000-0005-0000-0000-0000A5040000}"/>
    <cellStyle name="Separador de milhares 2 7 3 2 4 2" xfId="3259" xr:uid="{00000000-0005-0000-0000-0000E40C0000}"/>
    <cellStyle name="Separador de milhares 2 7 3 2 5" xfId="2442" xr:uid="{00000000-0005-0000-0000-0000B3090000}"/>
    <cellStyle name="Separador de milhares 2 7 3 3" xfId="397" xr:uid="{00000000-0005-0000-0000-0000B6010000}"/>
    <cellStyle name="Separador de milhares 2 7 3 3 2" xfId="842" xr:uid="{00000000-0005-0000-0000-000073030000}"/>
    <cellStyle name="Separador de milhares 2 7 3 3 2 2" xfId="1671" xr:uid="{00000000-0005-0000-0000-0000B0060000}"/>
    <cellStyle name="Separador de milhares 2 7 3 3 2 2 2" xfId="3782" xr:uid="{00000000-0005-0000-0000-0000EF0E0000}"/>
    <cellStyle name="Separador de milhares 2 7 3 3 2 3" xfId="2965" xr:uid="{00000000-0005-0000-0000-0000BE0B0000}"/>
    <cellStyle name="Separador de milhares 2 7 3 3 3" xfId="1244" xr:uid="{00000000-0005-0000-0000-000005050000}"/>
    <cellStyle name="Separador de milhares 2 7 3 3 3 2" xfId="3355" xr:uid="{00000000-0005-0000-0000-0000440D0000}"/>
    <cellStyle name="Separador de milhares 2 7 3 3 4" xfId="2538" xr:uid="{00000000-0005-0000-0000-0000130A0000}"/>
    <cellStyle name="Separador de milhares 2 7 3 4" xfId="649" xr:uid="{00000000-0005-0000-0000-0000B2020000}"/>
    <cellStyle name="Separador de milhares 2 7 3 4 2" xfId="1479" xr:uid="{00000000-0005-0000-0000-0000F0050000}"/>
    <cellStyle name="Separador de milhares 2 7 3 4 2 2" xfId="3590" xr:uid="{00000000-0005-0000-0000-00002F0E0000}"/>
    <cellStyle name="Separador de milhares 2 7 3 4 3" xfId="2773" xr:uid="{00000000-0005-0000-0000-0000FE0A0000}"/>
    <cellStyle name="Separador de milhares 2 7 3 5" xfId="1052" xr:uid="{00000000-0005-0000-0000-000045040000}"/>
    <cellStyle name="Separador de milhares 2 7 3 5 2" xfId="3163" xr:uid="{00000000-0005-0000-0000-0000840C0000}"/>
    <cellStyle name="Separador de milhares 2 7 3 6" xfId="2347" xr:uid="{00000000-0005-0000-0000-000054090000}"/>
    <cellStyle name="Separador de milhares 2 7 4" xfId="261" xr:uid="{00000000-0005-0000-0000-00002E010000}"/>
    <cellStyle name="Separador de milhares 2 7 4 2" xfId="454" xr:uid="{00000000-0005-0000-0000-0000EF010000}"/>
    <cellStyle name="Separador de milhares 2 7 4 2 2" xfId="899" xr:uid="{00000000-0005-0000-0000-0000AC030000}"/>
    <cellStyle name="Separador de milhares 2 7 4 2 2 2" xfId="1728" xr:uid="{00000000-0005-0000-0000-0000E9060000}"/>
    <cellStyle name="Separador de milhares 2 7 4 2 2 2 2" xfId="3839" xr:uid="{00000000-0005-0000-0000-0000280F0000}"/>
    <cellStyle name="Separador de milhares 2 7 4 2 2 3" xfId="3022" xr:uid="{00000000-0005-0000-0000-0000F70B0000}"/>
    <cellStyle name="Separador de milhares 2 7 4 2 3" xfId="1301" xr:uid="{00000000-0005-0000-0000-00003E050000}"/>
    <cellStyle name="Separador de milhares 2 7 4 2 3 2" xfId="3412" xr:uid="{00000000-0005-0000-0000-00007D0D0000}"/>
    <cellStyle name="Separador de milhares 2 7 4 2 4" xfId="2595" xr:uid="{00000000-0005-0000-0000-00004C0A0000}"/>
    <cellStyle name="Separador de milhares 2 7 4 3" xfId="707" xr:uid="{00000000-0005-0000-0000-0000EC020000}"/>
    <cellStyle name="Separador de milhares 2 7 4 3 2" xfId="1536" xr:uid="{00000000-0005-0000-0000-000029060000}"/>
    <cellStyle name="Separador de milhares 2 7 4 3 2 2" xfId="3647" xr:uid="{00000000-0005-0000-0000-0000680E0000}"/>
    <cellStyle name="Separador de milhares 2 7 4 3 3" xfId="2830" xr:uid="{00000000-0005-0000-0000-0000370B0000}"/>
    <cellStyle name="Separador de milhares 2 7 4 4" xfId="1109" xr:uid="{00000000-0005-0000-0000-00007E040000}"/>
    <cellStyle name="Separador de milhares 2 7 4 4 2" xfId="3220" xr:uid="{00000000-0005-0000-0000-0000BD0C0000}"/>
    <cellStyle name="Separador de milhares 2 7 4 5" xfId="2403" xr:uid="{00000000-0005-0000-0000-00008C090000}"/>
    <cellStyle name="Separador de milhares 2 7 5" xfId="358" xr:uid="{00000000-0005-0000-0000-00008F010000}"/>
    <cellStyle name="Separador de milhares 2 7 5 2" xfId="803" xr:uid="{00000000-0005-0000-0000-00004C030000}"/>
    <cellStyle name="Separador de milhares 2 7 5 2 2" xfId="1632" xr:uid="{00000000-0005-0000-0000-000089060000}"/>
    <cellStyle name="Separador de milhares 2 7 5 2 2 2" xfId="3743" xr:uid="{00000000-0005-0000-0000-0000C80E0000}"/>
    <cellStyle name="Separador de milhares 2 7 5 2 3" xfId="2926" xr:uid="{00000000-0005-0000-0000-0000970B0000}"/>
    <cellStyle name="Separador de milhares 2 7 5 3" xfId="1205" xr:uid="{00000000-0005-0000-0000-0000DE040000}"/>
    <cellStyle name="Separador de milhares 2 7 5 3 2" xfId="3316" xr:uid="{00000000-0005-0000-0000-00001D0D0000}"/>
    <cellStyle name="Separador de milhares 2 7 5 4" xfId="2499" xr:uid="{00000000-0005-0000-0000-0000EC090000}"/>
    <cellStyle name="Separador de milhares 2 7 6" xfId="609" xr:uid="{00000000-0005-0000-0000-00008A020000}"/>
    <cellStyle name="Separador de milhares 2 7 6 2" xfId="1440" xr:uid="{00000000-0005-0000-0000-0000C9050000}"/>
    <cellStyle name="Separador de milhares 2 7 6 2 2" xfId="3551" xr:uid="{00000000-0005-0000-0000-0000080E0000}"/>
    <cellStyle name="Separador de milhares 2 7 6 3" xfId="2734" xr:uid="{00000000-0005-0000-0000-0000D70A0000}"/>
    <cellStyle name="Separador de milhares 2 7 7" xfId="1013" xr:uid="{00000000-0005-0000-0000-00001E040000}"/>
    <cellStyle name="Separador de milhares 2 7 7 2" xfId="3124" xr:uid="{00000000-0005-0000-0000-00005D0C0000}"/>
    <cellStyle name="Separador de milhares 2 7 8" xfId="2308" xr:uid="{00000000-0005-0000-0000-00002D090000}"/>
    <cellStyle name="Separador de milhares 2 8" xfId="137" xr:uid="{00000000-0005-0000-0000-0000B2000000}"/>
    <cellStyle name="Separador de milhares 2 8 2" xfId="173" xr:uid="{00000000-0005-0000-0000-0000D6000000}"/>
    <cellStyle name="Separador de milhares 2 8 2 2" xfId="294" xr:uid="{00000000-0005-0000-0000-00004F010000}"/>
    <cellStyle name="Separador de milhares 2 8 2 2 2" xfId="487" xr:uid="{00000000-0005-0000-0000-000010020000}"/>
    <cellStyle name="Separador de milhares 2 8 2 2 2 2" xfId="932" xr:uid="{00000000-0005-0000-0000-0000CD030000}"/>
    <cellStyle name="Separador de milhares 2 8 2 2 2 2 2" xfId="1761" xr:uid="{00000000-0005-0000-0000-00000A070000}"/>
    <cellStyle name="Separador de milhares 2 8 2 2 2 2 2 2" xfId="3872" xr:uid="{00000000-0005-0000-0000-0000490F0000}"/>
    <cellStyle name="Separador de milhares 2 8 2 2 2 2 3" xfId="3055" xr:uid="{00000000-0005-0000-0000-0000180C0000}"/>
    <cellStyle name="Separador de milhares 2 8 2 2 2 3" xfId="1334" xr:uid="{00000000-0005-0000-0000-00005F050000}"/>
    <cellStyle name="Separador de milhares 2 8 2 2 2 3 2" xfId="3445" xr:uid="{00000000-0005-0000-0000-00009E0D0000}"/>
    <cellStyle name="Separador de milhares 2 8 2 2 2 4" xfId="2628" xr:uid="{00000000-0005-0000-0000-00006D0A0000}"/>
    <cellStyle name="Separador de milhares 2 8 2 2 3" xfId="740" xr:uid="{00000000-0005-0000-0000-00000D030000}"/>
    <cellStyle name="Separador de milhares 2 8 2 2 3 2" xfId="1569" xr:uid="{00000000-0005-0000-0000-00004A060000}"/>
    <cellStyle name="Separador de milhares 2 8 2 2 3 2 2" xfId="3680" xr:uid="{00000000-0005-0000-0000-0000890E0000}"/>
    <cellStyle name="Separador de milhares 2 8 2 2 3 3" xfId="2863" xr:uid="{00000000-0005-0000-0000-0000580B0000}"/>
    <cellStyle name="Separador de milhares 2 8 2 2 4" xfId="1142" xr:uid="{00000000-0005-0000-0000-00009F040000}"/>
    <cellStyle name="Separador de milhares 2 8 2 2 4 2" xfId="3253" xr:uid="{00000000-0005-0000-0000-0000DE0C0000}"/>
    <cellStyle name="Separador de milhares 2 8 2 2 5" xfId="2436" xr:uid="{00000000-0005-0000-0000-0000AD090000}"/>
    <cellStyle name="Separador de milhares 2 8 2 3" xfId="391" xr:uid="{00000000-0005-0000-0000-0000B0010000}"/>
    <cellStyle name="Separador de milhares 2 8 2 3 2" xfId="836" xr:uid="{00000000-0005-0000-0000-00006D030000}"/>
    <cellStyle name="Separador de milhares 2 8 2 3 2 2" xfId="1665" xr:uid="{00000000-0005-0000-0000-0000AA060000}"/>
    <cellStyle name="Separador de milhares 2 8 2 3 2 2 2" xfId="3776" xr:uid="{00000000-0005-0000-0000-0000E90E0000}"/>
    <cellStyle name="Separador de milhares 2 8 2 3 2 3" xfId="2959" xr:uid="{00000000-0005-0000-0000-0000B80B0000}"/>
    <cellStyle name="Separador de milhares 2 8 2 3 3" xfId="1238" xr:uid="{00000000-0005-0000-0000-0000FF040000}"/>
    <cellStyle name="Separador de milhares 2 8 2 3 3 2" xfId="3349" xr:uid="{00000000-0005-0000-0000-00003E0D0000}"/>
    <cellStyle name="Separador de milhares 2 8 2 3 4" xfId="2532" xr:uid="{00000000-0005-0000-0000-00000D0A0000}"/>
    <cellStyle name="Separador de milhares 2 8 2 4" xfId="642" xr:uid="{00000000-0005-0000-0000-0000AB020000}"/>
    <cellStyle name="Separador de milhares 2 8 2 4 2" xfId="1473" xr:uid="{00000000-0005-0000-0000-0000EA050000}"/>
    <cellStyle name="Separador de milhares 2 8 2 4 2 2" xfId="3584" xr:uid="{00000000-0005-0000-0000-0000290E0000}"/>
    <cellStyle name="Separador de milhares 2 8 2 4 3" xfId="2767" xr:uid="{00000000-0005-0000-0000-0000F80A0000}"/>
    <cellStyle name="Separador de milhares 2 8 2 5" xfId="1046" xr:uid="{00000000-0005-0000-0000-00003F040000}"/>
    <cellStyle name="Separador de milhares 2 8 2 5 2" xfId="3157" xr:uid="{00000000-0005-0000-0000-00007E0C0000}"/>
    <cellStyle name="Separador de milhares 2 8 2 6" xfId="2341" xr:uid="{00000000-0005-0000-0000-00004E090000}"/>
    <cellStyle name="Separador de milhares 2 8 3" xfId="181" xr:uid="{00000000-0005-0000-0000-0000DE000000}"/>
    <cellStyle name="Separador de milhares 2 8 3 2" xfId="302" xr:uid="{00000000-0005-0000-0000-000057010000}"/>
    <cellStyle name="Separador de milhares 2 8 3 2 2" xfId="494" xr:uid="{00000000-0005-0000-0000-000017020000}"/>
    <cellStyle name="Separador de milhares 2 8 3 2 2 2" xfId="939" xr:uid="{00000000-0005-0000-0000-0000D4030000}"/>
    <cellStyle name="Separador de milhares 2 8 3 2 2 2 2" xfId="1768" xr:uid="{00000000-0005-0000-0000-000011070000}"/>
    <cellStyle name="Separador de milhares 2 8 3 2 2 2 2 2" xfId="3879" xr:uid="{00000000-0005-0000-0000-0000500F0000}"/>
    <cellStyle name="Separador de milhares 2 8 3 2 2 2 3" xfId="3062" xr:uid="{00000000-0005-0000-0000-00001F0C0000}"/>
    <cellStyle name="Separador de milhares 2 8 3 2 2 3" xfId="1341" xr:uid="{00000000-0005-0000-0000-000066050000}"/>
    <cellStyle name="Separador de milhares 2 8 3 2 2 3 2" xfId="3452" xr:uid="{00000000-0005-0000-0000-0000A50D0000}"/>
    <cellStyle name="Separador de milhares 2 8 3 2 2 4" xfId="2635" xr:uid="{00000000-0005-0000-0000-0000740A0000}"/>
    <cellStyle name="Separador de milhares 2 8 3 2 3" xfId="747" xr:uid="{00000000-0005-0000-0000-000014030000}"/>
    <cellStyle name="Separador de milhares 2 8 3 2 3 2" xfId="1576" xr:uid="{00000000-0005-0000-0000-000051060000}"/>
    <cellStyle name="Separador de milhares 2 8 3 2 3 2 2" xfId="3687" xr:uid="{00000000-0005-0000-0000-0000900E0000}"/>
    <cellStyle name="Separador de milhares 2 8 3 2 3 3" xfId="2870" xr:uid="{00000000-0005-0000-0000-00005F0B0000}"/>
    <cellStyle name="Separador de milhares 2 8 3 2 4" xfId="1149" xr:uid="{00000000-0005-0000-0000-0000A6040000}"/>
    <cellStyle name="Separador de milhares 2 8 3 2 4 2" xfId="3260" xr:uid="{00000000-0005-0000-0000-0000E50C0000}"/>
    <cellStyle name="Separador de milhares 2 8 3 2 5" xfId="2443" xr:uid="{00000000-0005-0000-0000-0000B4090000}"/>
    <cellStyle name="Separador de milhares 2 8 3 3" xfId="398" xr:uid="{00000000-0005-0000-0000-0000B7010000}"/>
    <cellStyle name="Separador de milhares 2 8 3 3 2" xfId="843" xr:uid="{00000000-0005-0000-0000-000074030000}"/>
    <cellStyle name="Separador de milhares 2 8 3 3 2 2" xfId="1672" xr:uid="{00000000-0005-0000-0000-0000B1060000}"/>
    <cellStyle name="Separador de milhares 2 8 3 3 2 2 2" xfId="3783" xr:uid="{00000000-0005-0000-0000-0000F00E0000}"/>
    <cellStyle name="Separador de milhares 2 8 3 3 2 3" xfId="2966" xr:uid="{00000000-0005-0000-0000-0000BF0B0000}"/>
    <cellStyle name="Separador de milhares 2 8 3 3 3" xfId="1245" xr:uid="{00000000-0005-0000-0000-000006050000}"/>
    <cellStyle name="Separador de milhares 2 8 3 3 3 2" xfId="3356" xr:uid="{00000000-0005-0000-0000-0000450D0000}"/>
    <cellStyle name="Separador de milhares 2 8 3 3 4" xfId="2539" xr:uid="{00000000-0005-0000-0000-0000140A0000}"/>
    <cellStyle name="Separador de milhares 2 8 3 4" xfId="650" xr:uid="{00000000-0005-0000-0000-0000B3020000}"/>
    <cellStyle name="Separador de milhares 2 8 3 4 2" xfId="1480" xr:uid="{00000000-0005-0000-0000-0000F1050000}"/>
    <cellStyle name="Separador de milhares 2 8 3 4 2 2" xfId="3591" xr:uid="{00000000-0005-0000-0000-0000300E0000}"/>
    <cellStyle name="Separador de milhares 2 8 3 4 3" xfId="2774" xr:uid="{00000000-0005-0000-0000-0000FF0A0000}"/>
    <cellStyle name="Separador de milhares 2 8 3 5" xfId="1053" xr:uid="{00000000-0005-0000-0000-000046040000}"/>
    <cellStyle name="Separador de milhares 2 8 3 5 2" xfId="3164" xr:uid="{00000000-0005-0000-0000-0000850C0000}"/>
    <cellStyle name="Separador de milhares 2 8 3 6" xfId="2348" xr:uid="{00000000-0005-0000-0000-000055090000}"/>
    <cellStyle name="Separador de milhares 2 8 4" xfId="262" xr:uid="{00000000-0005-0000-0000-00002F010000}"/>
    <cellStyle name="Separador de milhares 2 8 4 2" xfId="455" xr:uid="{00000000-0005-0000-0000-0000F0010000}"/>
    <cellStyle name="Separador de milhares 2 8 4 2 2" xfId="900" xr:uid="{00000000-0005-0000-0000-0000AD030000}"/>
    <cellStyle name="Separador de milhares 2 8 4 2 2 2" xfId="1729" xr:uid="{00000000-0005-0000-0000-0000EA060000}"/>
    <cellStyle name="Separador de milhares 2 8 4 2 2 2 2" xfId="3840" xr:uid="{00000000-0005-0000-0000-0000290F0000}"/>
    <cellStyle name="Separador de milhares 2 8 4 2 2 3" xfId="3023" xr:uid="{00000000-0005-0000-0000-0000F80B0000}"/>
    <cellStyle name="Separador de milhares 2 8 4 2 3" xfId="1302" xr:uid="{00000000-0005-0000-0000-00003F050000}"/>
    <cellStyle name="Separador de milhares 2 8 4 2 3 2" xfId="3413" xr:uid="{00000000-0005-0000-0000-00007E0D0000}"/>
    <cellStyle name="Separador de milhares 2 8 4 2 4" xfId="2596" xr:uid="{00000000-0005-0000-0000-00004D0A0000}"/>
    <cellStyle name="Separador de milhares 2 8 4 3" xfId="708" xr:uid="{00000000-0005-0000-0000-0000ED020000}"/>
    <cellStyle name="Separador de milhares 2 8 4 3 2" xfId="1537" xr:uid="{00000000-0005-0000-0000-00002A060000}"/>
    <cellStyle name="Separador de milhares 2 8 4 3 2 2" xfId="3648" xr:uid="{00000000-0005-0000-0000-0000690E0000}"/>
    <cellStyle name="Separador de milhares 2 8 4 3 3" xfId="2831" xr:uid="{00000000-0005-0000-0000-0000380B0000}"/>
    <cellStyle name="Separador de milhares 2 8 4 4" xfId="1110" xr:uid="{00000000-0005-0000-0000-00007F040000}"/>
    <cellStyle name="Separador de milhares 2 8 4 4 2" xfId="3221" xr:uid="{00000000-0005-0000-0000-0000BE0C0000}"/>
    <cellStyle name="Separador de milhares 2 8 4 5" xfId="2404" xr:uid="{00000000-0005-0000-0000-00008D090000}"/>
    <cellStyle name="Separador de milhares 2 8 5" xfId="359" xr:uid="{00000000-0005-0000-0000-000090010000}"/>
    <cellStyle name="Separador de milhares 2 8 5 2" xfId="804" xr:uid="{00000000-0005-0000-0000-00004D030000}"/>
    <cellStyle name="Separador de milhares 2 8 5 2 2" xfId="1633" xr:uid="{00000000-0005-0000-0000-00008A060000}"/>
    <cellStyle name="Separador de milhares 2 8 5 2 2 2" xfId="3744" xr:uid="{00000000-0005-0000-0000-0000C90E0000}"/>
    <cellStyle name="Separador de milhares 2 8 5 2 3" xfId="2927" xr:uid="{00000000-0005-0000-0000-0000980B0000}"/>
    <cellStyle name="Separador de milhares 2 8 5 3" xfId="1206" xr:uid="{00000000-0005-0000-0000-0000DF040000}"/>
    <cellStyle name="Separador de milhares 2 8 5 3 2" xfId="3317" xr:uid="{00000000-0005-0000-0000-00001E0D0000}"/>
    <cellStyle name="Separador de milhares 2 8 5 4" xfId="2500" xr:uid="{00000000-0005-0000-0000-0000ED090000}"/>
    <cellStyle name="Separador de milhares 2 8 6" xfId="610" xr:uid="{00000000-0005-0000-0000-00008B020000}"/>
    <cellStyle name="Separador de milhares 2 8 6 2" xfId="1441" xr:uid="{00000000-0005-0000-0000-0000CA050000}"/>
    <cellStyle name="Separador de milhares 2 8 6 2 2" xfId="3552" xr:uid="{00000000-0005-0000-0000-0000090E0000}"/>
    <cellStyle name="Separador de milhares 2 8 6 3" xfId="2735" xr:uid="{00000000-0005-0000-0000-0000D80A0000}"/>
    <cellStyle name="Separador de milhares 2 8 7" xfId="1014" xr:uid="{00000000-0005-0000-0000-00001F040000}"/>
    <cellStyle name="Separador de milhares 2 8 7 2" xfId="3125" xr:uid="{00000000-0005-0000-0000-00005E0C0000}"/>
    <cellStyle name="Separador de milhares 2 8 8" xfId="2309" xr:uid="{00000000-0005-0000-0000-00002E090000}"/>
    <cellStyle name="Separador de milhares 2 9" xfId="138" xr:uid="{00000000-0005-0000-0000-0000B3000000}"/>
    <cellStyle name="Separador de milhares 2 9 2" xfId="174" xr:uid="{00000000-0005-0000-0000-0000D7000000}"/>
    <cellStyle name="Separador de milhares 2 9 2 2" xfId="295" xr:uid="{00000000-0005-0000-0000-000050010000}"/>
    <cellStyle name="Separador de milhares 2 9 2 2 2" xfId="488" xr:uid="{00000000-0005-0000-0000-000011020000}"/>
    <cellStyle name="Separador de milhares 2 9 2 2 2 2" xfId="933" xr:uid="{00000000-0005-0000-0000-0000CE030000}"/>
    <cellStyle name="Separador de milhares 2 9 2 2 2 2 2" xfId="1762" xr:uid="{00000000-0005-0000-0000-00000B070000}"/>
    <cellStyle name="Separador de milhares 2 9 2 2 2 2 2 2" xfId="3873" xr:uid="{00000000-0005-0000-0000-00004A0F0000}"/>
    <cellStyle name="Separador de milhares 2 9 2 2 2 2 3" xfId="3056" xr:uid="{00000000-0005-0000-0000-0000190C0000}"/>
    <cellStyle name="Separador de milhares 2 9 2 2 2 3" xfId="1335" xr:uid="{00000000-0005-0000-0000-000060050000}"/>
    <cellStyle name="Separador de milhares 2 9 2 2 2 3 2" xfId="3446" xr:uid="{00000000-0005-0000-0000-00009F0D0000}"/>
    <cellStyle name="Separador de milhares 2 9 2 2 2 4" xfId="2629" xr:uid="{00000000-0005-0000-0000-00006E0A0000}"/>
    <cellStyle name="Separador de milhares 2 9 2 2 3" xfId="741" xr:uid="{00000000-0005-0000-0000-00000E030000}"/>
    <cellStyle name="Separador de milhares 2 9 2 2 3 2" xfId="1570" xr:uid="{00000000-0005-0000-0000-00004B060000}"/>
    <cellStyle name="Separador de milhares 2 9 2 2 3 2 2" xfId="3681" xr:uid="{00000000-0005-0000-0000-00008A0E0000}"/>
    <cellStyle name="Separador de milhares 2 9 2 2 3 3" xfId="2864" xr:uid="{00000000-0005-0000-0000-0000590B0000}"/>
    <cellStyle name="Separador de milhares 2 9 2 2 4" xfId="1143" xr:uid="{00000000-0005-0000-0000-0000A0040000}"/>
    <cellStyle name="Separador de milhares 2 9 2 2 4 2" xfId="3254" xr:uid="{00000000-0005-0000-0000-0000DF0C0000}"/>
    <cellStyle name="Separador de milhares 2 9 2 2 5" xfId="2437" xr:uid="{00000000-0005-0000-0000-0000AE090000}"/>
    <cellStyle name="Separador de milhares 2 9 2 3" xfId="392" xr:uid="{00000000-0005-0000-0000-0000B1010000}"/>
    <cellStyle name="Separador de milhares 2 9 2 3 2" xfId="837" xr:uid="{00000000-0005-0000-0000-00006E030000}"/>
    <cellStyle name="Separador de milhares 2 9 2 3 2 2" xfId="1666" xr:uid="{00000000-0005-0000-0000-0000AB060000}"/>
    <cellStyle name="Separador de milhares 2 9 2 3 2 2 2" xfId="3777" xr:uid="{00000000-0005-0000-0000-0000EA0E0000}"/>
    <cellStyle name="Separador de milhares 2 9 2 3 2 3" xfId="2960" xr:uid="{00000000-0005-0000-0000-0000B90B0000}"/>
    <cellStyle name="Separador de milhares 2 9 2 3 3" xfId="1239" xr:uid="{00000000-0005-0000-0000-000000050000}"/>
    <cellStyle name="Separador de milhares 2 9 2 3 3 2" xfId="3350" xr:uid="{00000000-0005-0000-0000-00003F0D0000}"/>
    <cellStyle name="Separador de milhares 2 9 2 3 4" xfId="2533" xr:uid="{00000000-0005-0000-0000-00000E0A0000}"/>
    <cellStyle name="Separador de milhares 2 9 2 4" xfId="643" xr:uid="{00000000-0005-0000-0000-0000AC020000}"/>
    <cellStyle name="Separador de milhares 2 9 2 4 2" xfId="1474" xr:uid="{00000000-0005-0000-0000-0000EB050000}"/>
    <cellStyle name="Separador de milhares 2 9 2 4 2 2" xfId="3585" xr:uid="{00000000-0005-0000-0000-00002A0E0000}"/>
    <cellStyle name="Separador de milhares 2 9 2 4 3" xfId="2768" xr:uid="{00000000-0005-0000-0000-0000F90A0000}"/>
    <cellStyle name="Separador de milhares 2 9 2 5" xfId="1047" xr:uid="{00000000-0005-0000-0000-000040040000}"/>
    <cellStyle name="Separador de milhares 2 9 2 5 2" xfId="3158" xr:uid="{00000000-0005-0000-0000-00007F0C0000}"/>
    <cellStyle name="Separador de milhares 2 9 2 6" xfId="2342" xr:uid="{00000000-0005-0000-0000-00004F090000}"/>
    <cellStyle name="Separador de milhares 2 9 3" xfId="182" xr:uid="{00000000-0005-0000-0000-0000DF000000}"/>
    <cellStyle name="Separador de milhares 2 9 3 2" xfId="303" xr:uid="{00000000-0005-0000-0000-000058010000}"/>
    <cellStyle name="Separador de milhares 2 9 3 2 2" xfId="495" xr:uid="{00000000-0005-0000-0000-000018020000}"/>
    <cellStyle name="Separador de milhares 2 9 3 2 2 2" xfId="940" xr:uid="{00000000-0005-0000-0000-0000D5030000}"/>
    <cellStyle name="Separador de milhares 2 9 3 2 2 2 2" xfId="1769" xr:uid="{00000000-0005-0000-0000-000012070000}"/>
    <cellStyle name="Separador de milhares 2 9 3 2 2 2 2 2" xfId="3880" xr:uid="{00000000-0005-0000-0000-0000510F0000}"/>
    <cellStyle name="Separador de milhares 2 9 3 2 2 2 3" xfId="3063" xr:uid="{00000000-0005-0000-0000-0000200C0000}"/>
    <cellStyle name="Separador de milhares 2 9 3 2 2 3" xfId="1342" xr:uid="{00000000-0005-0000-0000-000067050000}"/>
    <cellStyle name="Separador de milhares 2 9 3 2 2 3 2" xfId="3453" xr:uid="{00000000-0005-0000-0000-0000A60D0000}"/>
    <cellStyle name="Separador de milhares 2 9 3 2 2 4" xfId="2636" xr:uid="{00000000-0005-0000-0000-0000750A0000}"/>
    <cellStyle name="Separador de milhares 2 9 3 2 3" xfId="748" xr:uid="{00000000-0005-0000-0000-000015030000}"/>
    <cellStyle name="Separador de milhares 2 9 3 2 3 2" xfId="1577" xr:uid="{00000000-0005-0000-0000-000052060000}"/>
    <cellStyle name="Separador de milhares 2 9 3 2 3 2 2" xfId="3688" xr:uid="{00000000-0005-0000-0000-0000910E0000}"/>
    <cellStyle name="Separador de milhares 2 9 3 2 3 3" xfId="2871" xr:uid="{00000000-0005-0000-0000-0000600B0000}"/>
    <cellStyle name="Separador de milhares 2 9 3 2 4" xfId="1150" xr:uid="{00000000-0005-0000-0000-0000A7040000}"/>
    <cellStyle name="Separador de milhares 2 9 3 2 4 2" xfId="3261" xr:uid="{00000000-0005-0000-0000-0000E60C0000}"/>
    <cellStyle name="Separador de milhares 2 9 3 2 5" xfId="2444" xr:uid="{00000000-0005-0000-0000-0000B5090000}"/>
    <cellStyle name="Separador de milhares 2 9 3 3" xfId="399" xr:uid="{00000000-0005-0000-0000-0000B8010000}"/>
    <cellStyle name="Separador de milhares 2 9 3 3 2" xfId="844" xr:uid="{00000000-0005-0000-0000-000075030000}"/>
    <cellStyle name="Separador de milhares 2 9 3 3 2 2" xfId="1673" xr:uid="{00000000-0005-0000-0000-0000B2060000}"/>
    <cellStyle name="Separador de milhares 2 9 3 3 2 2 2" xfId="3784" xr:uid="{00000000-0005-0000-0000-0000F10E0000}"/>
    <cellStyle name="Separador de milhares 2 9 3 3 2 3" xfId="2967" xr:uid="{00000000-0005-0000-0000-0000C00B0000}"/>
    <cellStyle name="Separador de milhares 2 9 3 3 3" xfId="1246" xr:uid="{00000000-0005-0000-0000-000007050000}"/>
    <cellStyle name="Separador de milhares 2 9 3 3 3 2" xfId="3357" xr:uid="{00000000-0005-0000-0000-0000460D0000}"/>
    <cellStyle name="Separador de milhares 2 9 3 3 4" xfId="2540" xr:uid="{00000000-0005-0000-0000-0000150A0000}"/>
    <cellStyle name="Separador de milhares 2 9 3 4" xfId="651" xr:uid="{00000000-0005-0000-0000-0000B4020000}"/>
    <cellStyle name="Separador de milhares 2 9 3 4 2" xfId="1481" xr:uid="{00000000-0005-0000-0000-0000F2050000}"/>
    <cellStyle name="Separador de milhares 2 9 3 4 2 2" xfId="3592" xr:uid="{00000000-0005-0000-0000-0000310E0000}"/>
    <cellStyle name="Separador de milhares 2 9 3 4 3" xfId="2775" xr:uid="{00000000-0005-0000-0000-0000000B0000}"/>
    <cellStyle name="Separador de milhares 2 9 3 5" xfId="1054" xr:uid="{00000000-0005-0000-0000-000047040000}"/>
    <cellStyle name="Separador de milhares 2 9 3 5 2" xfId="3165" xr:uid="{00000000-0005-0000-0000-0000860C0000}"/>
    <cellStyle name="Separador de milhares 2 9 3 6" xfId="2349" xr:uid="{00000000-0005-0000-0000-000056090000}"/>
    <cellStyle name="Separador de milhares 2 9 4" xfId="263" xr:uid="{00000000-0005-0000-0000-000030010000}"/>
    <cellStyle name="Separador de milhares 2 9 4 2" xfId="456" xr:uid="{00000000-0005-0000-0000-0000F1010000}"/>
    <cellStyle name="Separador de milhares 2 9 4 2 2" xfId="901" xr:uid="{00000000-0005-0000-0000-0000AE030000}"/>
    <cellStyle name="Separador de milhares 2 9 4 2 2 2" xfId="1730" xr:uid="{00000000-0005-0000-0000-0000EB060000}"/>
    <cellStyle name="Separador de milhares 2 9 4 2 2 2 2" xfId="3841" xr:uid="{00000000-0005-0000-0000-00002A0F0000}"/>
    <cellStyle name="Separador de milhares 2 9 4 2 2 3" xfId="3024" xr:uid="{00000000-0005-0000-0000-0000F90B0000}"/>
    <cellStyle name="Separador de milhares 2 9 4 2 3" xfId="1303" xr:uid="{00000000-0005-0000-0000-000040050000}"/>
    <cellStyle name="Separador de milhares 2 9 4 2 3 2" xfId="3414" xr:uid="{00000000-0005-0000-0000-00007F0D0000}"/>
    <cellStyle name="Separador de milhares 2 9 4 2 4" xfId="2597" xr:uid="{00000000-0005-0000-0000-00004E0A0000}"/>
    <cellStyle name="Separador de milhares 2 9 4 3" xfId="709" xr:uid="{00000000-0005-0000-0000-0000EE020000}"/>
    <cellStyle name="Separador de milhares 2 9 4 3 2" xfId="1538" xr:uid="{00000000-0005-0000-0000-00002B060000}"/>
    <cellStyle name="Separador de milhares 2 9 4 3 2 2" xfId="3649" xr:uid="{00000000-0005-0000-0000-00006A0E0000}"/>
    <cellStyle name="Separador de milhares 2 9 4 3 3" xfId="2832" xr:uid="{00000000-0005-0000-0000-0000390B0000}"/>
    <cellStyle name="Separador de milhares 2 9 4 4" xfId="1111" xr:uid="{00000000-0005-0000-0000-000080040000}"/>
    <cellStyle name="Separador de milhares 2 9 4 4 2" xfId="3222" xr:uid="{00000000-0005-0000-0000-0000BF0C0000}"/>
    <cellStyle name="Separador de milhares 2 9 4 5" xfId="2405" xr:uid="{00000000-0005-0000-0000-00008E090000}"/>
    <cellStyle name="Separador de milhares 2 9 5" xfId="360" xr:uid="{00000000-0005-0000-0000-000091010000}"/>
    <cellStyle name="Separador de milhares 2 9 5 2" xfId="805" xr:uid="{00000000-0005-0000-0000-00004E030000}"/>
    <cellStyle name="Separador de milhares 2 9 5 2 2" xfId="1634" xr:uid="{00000000-0005-0000-0000-00008B060000}"/>
    <cellStyle name="Separador de milhares 2 9 5 2 2 2" xfId="3745" xr:uid="{00000000-0005-0000-0000-0000CA0E0000}"/>
    <cellStyle name="Separador de milhares 2 9 5 2 3" xfId="2928" xr:uid="{00000000-0005-0000-0000-0000990B0000}"/>
    <cellStyle name="Separador de milhares 2 9 5 3" xfId="1207" xr:uid="{00000000-0005-0000-0000-0000E0040000}"/>
    <cellStyle name="Separador de milhares 2 9 5 3 2" xfId="3318" xr:uid="{00000000-0005-0000-0000-00001F0D0000}"/>
    <cellStyle name="Separador de milhares 2 9 5 4" xfId="2501" xr:uid="{00000000-0005-0000-0000-0000EE090000}"/>
    <cellStyle name="Separador de milhares 2 9 6" xfId="611" xr:uid="{00000000-0005-0000-0000-00008C020000}"/>
    <cellStyle name="Separador de milhares 2 9 6 2" xfId="1442" xr:uid="{00000000-0005-0000-0000-0000CB050000}"/>
    <cellStyle name="Separador de milhares 2 9 6 2 2" xfId="3553" xr:uid="{00000000-0005-0000-0000-00000A0E0000}"/>
    <cellStyle name="Separador de milhares 2 9 6 3" xfId="2736" xr:uid="{00000000-0005-0000-0000-0000D90A0000}"/>
    <cellStyle name="Separador de milhares 2 9 7" xfId="1015" xr:uid="{00000000-0005-0000-0000-000020040000}"/>
    <cellStyle name="Separador de milhares 2 9 7 2" xfId="3126" xr:uid="{00000000-0005-0000-0000-00005F0C0000}"/>
    <cellStyle name="Separador de milhares 2 9 8" xfId="2310" xr:uid="{00000000-0005-0000-0000-00002F090000}"/>
    <cellStyle name="Separador de milhares 3" xfId="111" xr:uid="{00000000-0005-0000-0000-000098000000}"/>
    <cellStyle name="Separador de milhares 3 2" xfId="120" xr:uid="{00000000-0005-0000-0000-0000A1000000}"/>
    <cellStyle name="Separador de milhares 3 2 2" xfId="158" xr:uid="{00000000-0005-0000-0000-0000C7000000}"/>
    <cellStyle name="Separador de milhares 3 2 2 2" xfId="279" xr:uid="{00000000-0005-0000-0000-000040010000}"/>
    <cellStyle name="Separador de milhares 3 2 2 2 2" xfId="472" xr:uid="{00000000-0005-0000-0000-000001020000}"/>
    <cellStyle name="Separador de milhares 3 2 2 2 2 2" xfId="917" xr:uid="{00000000-0005-0000-0000-0000BE030000}"/>
    <cellStyle name="Separador de milhares 3 2 2 2 2 2 2" xfId="1746" xr:uid="{00000000-0005-0000-0000-0000FB060000}"/>
    <cellStyle name="Separador de milhares 3 2 2 2 2 2 2 2" xfId="3857" xr:uid="{00000000-0005-0000-0000-00003A0F0000}"/>
    <cellStyle name="Separador de milhares 3 2 2 2 2 2 3" xfId="3040" xr:uid="{00000000-0005-0000-0000-0000090C0000}"/>
    <cellStyle name="Separador de milhares 3 2 2 2 2 3" xfId="1319" xr:uid="{00000000-0005-0000-0000-000050050000}"/>
    <cellStyle name="Separador de milhares 3 2 2 2 2 3 2" xfId="3430" xr:uid="{00000000-0005-0000-0000-00008F0D0000}"/>
    <cellStyle name="Separador de milhares 3 2 2 2 2 4" xfId="2613" xr:uid="{00000000-0005-0000-0000-00005E0A0000}"/>
    <cellStyle name="Separador de milhares 3 2 2 2 3" xfId="725" xr:uid="{00000000-0005-0000-0000-0000FE020000}"/>
    <cellStyle name="Separador de milhares 3 2 2 2 3 2" xfId="1554" xr:uid="{00000000-0005-0000-0000-00003B060000}"/>
    <cellStyle name="Separador de milhares 3 2 2 2 3 2 2" xfId="3665" xr:uid="{00000000-0005-0000-0000-00007A0E0000}"/>
    <cellStyle name="Separador de milhares 3 2 2 2 3 3" xfId="2848" xr:uid="{00000000-0005-0000-0000-0000490B0000}"/>
    <cellStyle name="Separador de milhares 3 2 2 2 4" xfId="1127" xr:uid="{00000000-0005-0000-0000-000090040000}"/>
    <cellStyle name="Separador de milhares 3 2 2 2 4 2" xfId="3238" xr:uid="{00000000-0005-0000-0000-0000CF0C0000}"/>
    <cellStyle name="Separador de milhares 3 2 2 2 5" xfId="2421" xr:uid="{00000000-0005-0000-0000-00009E090000}"/>
    <cellStyle name="Separador de milhares 3 2 2 3" xfId="376" xr:uid="{00000000-0005-0000-0000-0000A1010000}"/>
    <cellStyle name="Separador de milhares 3 2 2 3 2" xfId="821" xr:uid="{00000000-0005-0000-0000-00005E030000}"/>
    <cellStyle name="Separador de milhares 3 2 2 3 2 2" xfId="1650" xr:uid="{00000000-0005-0000-0000-00009B060000}"/>
    <cellStyle name="Separador de milhares 3 2 2 3 2 2 2" xfId="3761" xr:uid="{00000000-0005-0000-0000-0000DA0E0000}"/>
    <cellStyle name="Separador de milhares 3 2 2 3 2 3" xfId="2944" xr:uid="{00000000-0005-0000-0000-0000A90B0000}"/>
    <cellStyle name="Separador de milhares 3 2 2 3 3" xfId="1223" xr:uid="{00000000-0005-0000-0000-0000F0040000}"/>
    <cellStyle name="Separador de milhares 3 2 2 3 3 2" xfId="3334" xr:uid="{00000000-0005-0000-0000-00002F0D0000}"/>
    <cellStyle name="Separador de milhares 3 2 2 3 4" xfId="2517" xr:uid="{00000000-0005-0000-0000-0000FE090000}"/>
    <cellStyle name="Separador de milhares 3 2 2 4" xfId="627" xr:uid="{00000000-0005-0000-0000-00009C020000}"/>
    <cellStyle name="Separador de milhares 3 2 2 4 2" xfId="1458" xr:uid="{00000000-0005-0000-0000-0000DB050000}"/>
    <cellStyle name="Separador de milhares 3 2 2 4 2 2" xfId="3569" xr:uid="{00000000-0005-0000-0000-00001A0E0000}"/>
    <cellStyle name="Separador de milhares 3 2 2 4 3" xfId="2752" xr:uid="{00000000-0005-0000-0000-0000E90A0000}"/>
    <cellStyle name="Separador de milhares 3 2 2 5" xfId="1031" xr:uid="{00000000-0005-0000-0000-000030040000}"/>
    <cellStyle name="Separador de milhares 3 2 2 5 2" xfId="3142" xr:uid="{00000000-0005-0000-0000-00006F0C0000}"/>
    <cellStyle name="Separador de milhares 3 2 2 6" xfId="2326" xr:uid="{00000000-0005-0000-0000-00003F090000}"/>
    <cellStyle name="Separador de milhares 3 2 3" xfId="247" xr:uid="{00000000-0005-0000-0000-000020010000}"/>
    <cellStyle name="Separador de milhares 3 2 3 2" xfId="440" xr:uid="{00000000-0005-0000-0000-0000E1010000}"/>
    <cellStyle name="Separador de milhares 3 2 3 2 2" xfId="885" xr:uid="{00000000-0005-0000-0000-00009E030000}"/>
    <cellStyle name="Separador de milhares 3 2 3 2 2 2" xfId="1714" xr:uid="{00000000-0005-0000-0000-0000DB060000}"/>
    <cellStyle name="Separador de milhares 3 2 3 2 2 2 2" xfId="3825" xr:uid="{00000000-0005-0000-0000-00001A0F0000}"/>
    <cellStyle name="Separador de milhares 3 2 3 2 2 3" xfId="3008" xr:uid="{00000000-0005-0000-0000-0000E90B0000}"/>
    <cellStyle name="Separador de milhares 3 2 3 2 3" xfId="1287" xr:uid="{00000000-0005-0000-0000-000030050000}"/>
    <cellStyle name="Separador de milhares 3 2 3 2 3 2" xfId="3398" xr:uid="{00000000-0005-0000-0000-00006F0D0000}"/>
    <cellStyle name="Separador de milhares 3 2 3 2 4" xfId="2581" xr:uid="{00000000-0005-0000-0000-00003E0A0000}"/>
    <cellStyle name="Separador de milhares 3 2 3 3" xfId="693" xr:uid="{00000000-0005-0000-0000-0000DE020000}"/>
    <cellStyle name="Separador de milhares 3 2 3 3 2" xfId="1522" xr:uid="{00000000-0005-0000-0000-00001B060000}"/>
    <cellStyle name="Separador de milhares 3 2 3 3 2 2" xfId="3633" xr:uid="{00000000-0005-0000-0000-00005A0E0000}"/>
    <cellStyle name="Separador de milhares 3 2 3 3 3" xfId="2816" xr:uid="{00000000-0005-0000-0000-0000290B0000}"/>
    <cellStyle name="Separador de milhares 3 2 3 4" xfId="1095" xr:uid="{00000000-0005-0000-0000-000070040000}"/>
    <cellStyle name="Separador de milhares 3 2 3 4 2" xfId="3206" xr:uid="{00000000-0005-0000-0000-0000AF0C0000}"/>
    <cellStyle name="Separador de milhares 3 2 3 5" xfId="2389" xr:uid="{00000000-0005-0000-0000-00007E090000}"/>
    <cellStyle name="Separador de milhares 3 2 4" xfId="344" xr:uid="{00000000-0005-0000-0000-000081010000}"/>
    <cellStyle name="Separador de milhares 3 2 4 2" xfId="789" xr:uid="{00000000-0005-0000-0000-00003E030000}"/>
    <cellStyle name="Separador de milhares 3 2 4 2 2" xfId="1618" xr:uid="{00000000-0005-0000-0000-00007B060000}"/>
    <cellStyle name="Separador de milhares 3 2 4 2 2 2" xfId="3729" xr:uid="{00000000-0005-0000-0000-0000BA0E0000}"/>
    <cellStyle name="Separador de milhares 3 2 4 2 3" xfId="2912" xr:uid="{00000000-0005-0000-0000-0000890B0000}"/>
    <cellStyle name="Separador de milhares 3 2 4 3" xfId="1191" xr:uid="{00000000-0005-0000-0000-0000D0040000}"/>
    <cellStyle name="Separador de milhares 3 2 4 3 2" xfId="3302" xr:uid="{00000000-0005-0000-0000-00000F0D0000}"/>
    <cellStyle name="Separador de milhares 3 2 4 4" xfId="2485" xr:uid="{00000000-0005-0000-0000-0000DE090000}"/>
    <cellStyle name="Separador de milhares 3 2 5" xfId="595" xr:uid="{00000000-0005-0000-0000-00007C020000}"/>
    <cellStyle name="Separador de milhares 3 2 5 2" xfId="1426" xr:uid="{00000000-0005-0000-0000-0000BB050000}"/>
    <cellStyle name="Separador de milhares 3 2 5 2 2" xfId="3537" xr:uid="{00000000-0005-0000-0000-0000FA0D0000}"/>
    <cellStyle name="Separador de milhares 3 2 5 3" xfId="2720" xr:uid="{00000000-0005-0000-0000-0000C90A0000}"/>
    <cellStyle name="Separador de milhares 3 2 6" xfId="999" xr:uid="{00000000-0005-0000-0000-000010040000}"/>
    <cellStyle name="Separador de milhares 3 2 6 2" xfId="3110" xr:uid="{00000000-0005-0000-0000-00004F0C0000}"/>
    <cellStyle name="Separador de milhares 3 2 7" xfId="2294" xr:uid="{00000000-0005-0000-0000-00001F090000}"/>
    <cellStyle name="Separador de milhares 3 3" xfId="152" xr:uid="{00000000-0005-0000-0000-0000C1000000}"/>
    <cellStyle name="Separador de milhares 3 3 2" xfId="273" xr:uid="{00000000-0005-0000-0000-00003A010000}"/>
    <cellStyle name="Separador de milhares 3 3 2 2" xfId="466" xr:uid="{00000000-0005-0000-0000-0000FB010000}"/>
    <cellStyle name="Separador de milhares 3 3 2 2 2" xfId="911" xr:uid="{00000000-0005-0000-0000-0000B8030000}"/>
    <cellStyle name="Separador de milhares 3 3 2 2 2 2" xfId="1740" xr:uid="{00000000-0005-0000-0000-0000F5060000}"/>
    <cellStyle name="Separador de milhares 3 3 2 2 2 2 2" xfId="3851" xr:uid="{00000000-0005-0000-0000-0000340F0000}"/>
    <cellStyle name="Separador de milhares 3 3 2 2 2 3" xfId="3034" xr:uid="{00000000-0005-0000-0000-0000030C0000}"/>
    <cellStyle name="Separador de milhares 3 3 2 2 3" xfId="1313" xr:uid="{00000000-0005-0000-0000-00004A050000}"/>
    <cellStyle name="Separador de milhares 3 3 2 2 3 2" xfId="3424" xr:uid="{00000000-0005-0000-0000-0000890D0000}"/>
    <cellStyle name="Separador de milhares 3 3 2 2 4" xfId="2607" xr:uid="{00000000-0005-0000-0000-0000580A0000}"/>
    <cellStyle name="Separador de milhares 3 3 2 3" xfId="719" xr:uid="{00000000-0005-0000-0000-0000F8020000}"/>
    <cellStyle name="Separador de milhares 3 3 2 3 2" xfId="1548" xr:uid="{00000000-0005-0000-0000-000035060000}"/>
    <cellStyle name="Separador de milhares 3 3 2 3 2 2" xfId="3659" xr:uid="{00000000-0005-0000-0000-0000740E0000}"/>
    <cellStyle name="Separador de milhares 3 3 2 3 3" xfId="2842" xr:uid="{00000000-0005-0000-0000-0000430B0000}"/>
    <cellStyle name="Separador de milhares 3 3 2 4" xfId="1121" xr:uid="{00000000-0005-0000-0000-00008A040000}"/>
    <cellStyle name="Separador de milhares 3 3 2 4 2" xfId="3232" xr:uid="{00000000-0005-0000-0000-0000C90C0000}"/>
    <cellStyle name="Separador de milhares 3 3 2 5" xfId="2415" xr:uid="{00000000-0005-0000-0000-000098090000}"/>
    <cellStyle name="Separador de milhares 3 3 3" xfId="370" xr:uid="{00000000-0005-0000-0000-00009B010000}"/>
    <cellStyle name="Separador de milhares 3 3 3 2" xfId="815" xr:uid="{00000000-0005-0000-0000-000058030000}"/>
    <cellStyle name="Separador de milhares 3 3 3 2 2" xfId="1644" xr:uid="{00000000-0005-0000-0000-000095060000}"/>
    <cellStyle name="Separador de milhares 3 3 3 2 2 2" xfId="3755" xr:uid="{00000000-0005-0000-0000-0000D40E0000}"/>
    <cellStyle name="Separador de milhares 3 3 3 2 3" xfId="2938" xr:uid="{00000000-0005-0000-0000-0000A30B0000}"/>
    <cellStyle name="Separador de milhares 3 3 3 3" xfId="1217" xr:uid="{00000000-0005-0000-0000-0000EA040000}"/>
    <cellStyle name="Separador de milhares 3 3 3 3 2" xfId="3328" xr:uid="{00000000-0005-0000-0000-0000290D0000}"/>
    <cellStyle name="Separador de milhares 3 3 3 4" xfId="2511" xr:uid="{00000000-0005-0000-0000-0000F8090000}"/>
    <cellStyle name="Separador de milhares 3 3 4" xfId="621" xr:uid="{00000000-0005-0000-0000-000096020000}"/>
    <cellStyle name="Separador de milhares 3 3 4 2" xfId="1452" xr:uid="{00000000-0005-0000-0000-0000D5050000}"/>
    <cellStyle name="Separador de milhares 3 3 4 2 2" xfId="3563" xr:uid="{00000000-0005-0000-0000-0000140E0000}"/>
    <cellStyle name="Separador de milhares 3 3 4 3" xfId="2746" xr:uid="{00000000-0005-0000-0000-0000E30A0000}"/>
    <cellStyle name="Separador de milhares 3 3 5" xfId="1025" xr:uid="{00000000-0005-0000-0000-00002A040000}"/>
    <cellStyle name="Separador de milhares 3 3 5 2" xfId="3136" xr:uid="{00000000-0005-0000-0000-0000690C0000}"/>
    <cellStyle name="Separador de milhares 3 3 6" xfId="2320" xr:uid="{00000000-0005-0000-0000-000039090000}"/>
    <cellStyle name="Separador de milhares 3 4" xfId="241" xr:uid="{00000000-0005-0000-0000-00001A010000}"/>
    <cellStyle name="Separador de milhares 3 4 2" xfId="434" xr:uid="{00000000-0005-0000-0000-0000DB010000}"/>
    <cellStyle name="Separador de milhares 3 4 2 2" xfId="879" xr:uid="{00000000-0005-0000-0000-000098030000}"/>
    <cellStyle name="Separador de milhares 3 4 2 2 2" xfId="1708" xr:uid="{00000000-0005-0000-0000-0000D5060000}"/>
    <cellStyle name="Separador de milhares 3 4 2 2 2 2" xfId="3819" xr:uid="{00000000-0005-0000-0000-0000140F0000}"/>
    <cellStyle name="Separador de milhares 3 4 2 2 3" xfId="3002" xr:uid="{00000000-0005-0000-0000-0000E30B0000}"/>
    <cellStyle name="Separador de milhares 3 4 2 3" xfId="1281" xr:uid="{00000000-0005-0000-0000-00002A050000}"/>
    <cellStyle name="Separador de milhares 3 4 2 3 2" xfId="3392" xr:uid="{00000000-0005-0000-0000-0000690D0000}"/>
    <cellStyle name="Separador de milhares 3 4 2 4" xfId="2575" xr:uid="{00000000-0005-0000-0000-0000380A0000}"/>
    <cellStyle name="Separador de milhares 3 4 3" xfId="687" xr:uid="{00000000-0005-0000-0000-0000D8020000}"/>
    <cellStyle name="Separador de milhares 3 4 3 2" xfId="1516" xr:uid="{00000000-0005-0000-0000-000015060000}"/>
    <cellStyle name="Separador de milhares 3 4 3 2 2" xfId="3627" xr:uid="{00000000-0005-0000-0000-0000540E0000}"/>
    <cellStyle name="Separador de milhares 3 4 3 3" xfId="2810" xr:uid="{00000000-0005-0000-0000-0000230B0000}"/>
    <cellStyle name="Separador de milhares 3 4 4" xfId="1089" xr:uid="{00000000-0005-0000-0000-00006A040000}"/>
    <cellStyle name="Separador de milhares 3 4 4 2" xfId="3200" xr:uid="{00000000-0005-0000-0000-0000A90C0000}"/>
    <cellStyle name="Separador de milhares 3 4 5" xfId="2383" xr:uid="{00000000-0005-0000-0000-000078090000}"/>
    <cellStyle name="Separador de milhares 3 5" xfId="338" xr:uid="{00000000-0005-0000-0000-00007B010000}"/>
    <cellStyle name="Separador de milhares 3 5 2" xfId="783" xr:uid="{00000000-0005-0000-0000-000038030000}"/>
    <cellStyle name="Separador de milhares 3 5 2 2" xfId="1612" xr:uid="{00000000-0005-0000-0000-000075060000}"/>
    <cellStyle name="Separador de milhares 3 5 2 2 2" xfId="3723" xr:uid="{00000000-0005-0000-0000-0000B40E0000}"/>
    <cellStyle name="Separador de milhares 3 5 2 3" xfId="2906" xr:uid="{00000000-0005-0000-0000-0000830B0000}"/>
    <cellStyle name="Separador de milhares 3 5 3" xfId="1185" xr:uid="{00000000-0005-0000-0000-0000CA040000}"/>
    <cellStyle name="Separador de milhares 3 5 3 2" xfId="3296" xr:uid="{00000000-0005-0000-0000-0000090D0000}"/>
    <cellStyle name="Separador de milhares 3 5 4" xfId="2479" xr:uid="{00000000-0005-0000-0000-0000D8090000}"/>
    <cellStyle name="Separador de milhares 3 6" xfId="589" xr:uid="{00000000-0005-0000-0000-000076020000}"/>
    <cellStyle name="Separador de milhares 3 6 2" xfId="1420" xr:uid="{00000000-0005-0000-0000-0000B5050000}"/>
    <cellStyle name="Separador de milhares 3 6 2 2" xfId="3531" xr:uid="{00000000-0005-0000-0000-0000F40D0000}"/>
    <cellStyle name="Separador de milhares 3 6 3" xfId="2714" xr:uid="{00000000-0005-0000-0000-0000C30A0000}"/>
    <cellStyle name="Separador de milhares 3 7" xfId="993" xr:uid="{00000000-0005-0000-0000-00000A040000}"/>
    <cellStyle name="Separador de milhares 3 7 2" xfId="3104" xr:uid="{00000000-0005-0000-0000-0000490C0000}"/>
    <cellStyle name="Separador de milhares 3 8" xfId="2227" xr:uid="{00000000-0005-0000-0000-0000DC080000}"/>
    <cellStyle name="Separador de milhares 3 9" xfId="2289" xr:uid="{00000000-0005-0000-0000-00001A090000}"/>
    <cellStyle name="Separador de milhares 4" xfId="112" xr:uid="{00000000-0005-0000-0000-000099000000}"/>
    <cellStyle name="Separador de milhares 4 2" xfId="122" xr:uid="{00000000-0005-0000-0000-0000A3000000}"/>
    <cellStyle name="Separador de milhares 4 2 2" xfId="159" xr:uid="{00000000-0005-0000-0000-0000C8000000}"/>
    <cellStyle name="Separador de milhares 4 2 2 2" xfId="280" xr:uid="{00000000-0005-0000-0000-000041010000}"/>
    <cellStyle name="Separador de milhares 4 2 2 2 2" xfId="473" xr:uid="{00000000-0005-0000-0000-000002020000}"/>
    <cellStyle name="Separador de milhares 4 2 2 2 2 2" xfId="918" xr:uid="{00000000-0005-0000-0000-0000BF030000}"/>
    <cellStyle name="Separador de milhares 4 2 2 2 2 2 2" xfId="1747" xr:uid="{00000000-0005-0000-0000-0000FC060000}"/>
    <cellStyle name="Separador de milhares 4 2 2 2 2 2 2 2" xfId="3858" xr:uid="{00000000-0005-0000-0000-00003B0F0000}"/>
    <cellStyle name="Separador de milhares 4 2 2 2 2 2 3" xfId="3041" xr:uid="{00000000-0005-0000-0000-00000A0C0000}"/>
    <cellStyle name="Separador de milhares 4 2 2 2 2 3" xfId="1320" xr:uid="{00000000-0005-0000-0000-000051050000}"/>
    <cellStyle name="Separador de milhares 4 2 2 2 2 3 2" xfId="3431" xr:uid="{00000000-0005-0000-0000-0000900D0000}"/>
    <cellStyle name="Separador de milhares 4 2 2 2 2 4" xfId="2614" xr:uid="{00000000-0005-0000-0000-00005F0A0000}"/>
    <cellStyle name="Separador de milhares 4 2 2 2 3" xfId="726" xr:uid="{00000000-0005-0000-0000-0000FF020000}"/>
    <cellStyle name="Separador de milhares 4 2 2 2 3 2" xfId="1555" xr:uid="{00000000-0005-0000-0000-00003C060000}"/>
    <cellStyle name="Separador de milhares 4 2 2 2 3 2 2" xfId="3666" xr:uid="{00000000-0005-0000-0000-00007B0E0000}"/>
    <cellStyle name="Separador de milhares 4 2 2 2 3 3" xfId="2849" xr:uid="{00000000-0005-0000-0000-00004A0B0000}"/>
    <cellStyle name="Separador de milhares 4 2 2 2 4" xfId="1128" xr:uid="{00000000-0005-0000-0000-000091040000}"/>
    <cellStyle name="Separador de milhares 4 2 2 2 4 2" xfId="3239" xr:uid="{00000000-0005-0000-0000-0000D00C0000}"/>
    <cellStyle name="Separador de milhares 4 2 2 2 5" xfId="2422" xr:uid="{00000000-0005-0000-0000-00009F090000}"/>
    <cellStyle name="Separador de milhares 4 2 2 3" xfId="377" xr:uid="{00000000-0005-0000-0000-0000A2010000}"/>
    <cellStyle name="Separador de milhares 4 2 2 3 2" xfId="822" xr:uid="{00000000-0005-0000-0000-00005F030000}"/>
    <cellStyle name="Separador de milhares 4 2 2 3 2 2" xfId="1651" xr:uid="{00000000-0005-0000-0000-00009C060000}"/>
    <cellStyle name="Separador de milhares 4 2 2 3 2 2 2" xfId="3762" xr:uid="{00000000-0005-0000-0000-0000DB0E0000}"/>
    <cellStyle name="Separador de milhares 4 2 2 3 2 3" xfId="2945" xr:uid="{00000000-0005-0000-0000-0000AA0B0000}"/>
    <cellStyle name="Separador de milhares 4 2 2 3 3" xfId="1224" xr:uid="{00000000-0005-0000-0000-0000F1040000}"/>
    <cellStyle name="Separador de milhares 4 2 2 3 3 2" xfId="3335" xr:uid="{00000000-0005-0000-0000-0000300D0000}"/>
    <cellStyle name="Separador de milhares 4 2 2 3 4" xfId="2518" xr:uid="{00000000-0005-0000-0000-0000FF090000}"/>
    <cellStyle name="Separador de milhares 4 2 2 4" xfId="628" xr:uid="{00000000-0005-0000-0000-00009D020000}"/>
    <cellStyle name="Separador de milhares 4 2 2 4 2" xfId="1459" xr:uid="{00000000-0005-0000-0000-0000DC050000}"/>
    <cellStyle name="Separador de milhares 4 2 2 4 2 2" xfId="3570" xr:uid="{00000000-0005-0000-0000-00001B0E0000}"/>
    <cellStyle name="Separador de milhares 4 2 2 4 3" xfId="2753" xr:uid="{00000000-0005-0000-0000-0000EA0A0000}"/>
    <cellStyle name="Separador de milhares 4 2 2 5" xfId="1032" xr:uid="{00000000-0005-0000-0000-000031040000}"/>
    <cellStyle name="Separador de milhares 4 2 2 5 2" xfId="3143" xr:uid="{00000000-0005-0000-0000-0000700C0000}"/>
    <cellStyle name="Separador de milhares 4 2 2 6" xfId="2327" xr:uid="{00000000-0005-0000-0000-000040090000}"/>
    <cellStyle name="Separador de milhares 4 2 3" xfId="248" xr:uid="{00000000-0005-0000-0000-000021010000}"/>
    <cellStyle name="Separador de milhares 4 2 3 2" xfId="441" xr:uid="{00000000-0005-0000-0000-0000E2010000}"/>
    <cellStyle name="Separador de milhares 4 2 3 2 2" xfId="886" xr:uid="{00000000-0005-0000-0000-00009F030000}"/>
    <cellStyle name="Separador de milhares 4 2 3 2 2 2" xfId="1715" xr:uid="{00000000-0005-0000-0000-0000DC060000}"/>
    <cellStyle name="Separador de milhares 4 2 3 2 2 2 2" xfId="3826" xr:uid="{00000000-0005-0000-0000-00001B0F0000}"/>
    <cellStyle name="Separador de milhares 4 2 3 2 2 3" xfId="3009" xr:uid="{00000000-0005-0000-0000-0000EA0B0000}"/>
    <cellStyle name="Separador de milhares 4 2 3 2 3" xfId="1288" xr:uid="{00000000-0005-0000-0000-000031050000}"/>
    <cellStyle name="Separador de milhares 4 2 3 2 3 2" xfId="3399" xr:uid="{00000000-0005-0000-0000-0000700D0000}"/>
    <cellStyle name="Separador de milhares 4 2 3 2 4" xfId="2582" xr:uid="{00000000-0005-0000-0000-00003F0A0000}"/>
    <cellStyle name="Separador de milhares 4 2 3 3" xfId="694" xr:uid="{00000000-0005-0000-0000-0000DF020000}"/>
    <cellStyle name="Separador de milhares 4 2 3 3 2" xfId="1523" xr:uid="{00000000-0005-0000-0000-00001C060000}"/>
    <cellStyle name="Separador de milhares 4 2 3 3 2 2" xfId="3634" xr:uid="{00000000-0005-0000-0000-00005B0E0000}"/>
    <cellStyle name="Separador de milhares 4 2 3 3 3" xfId="2817" xr:uid="{00000000-0005-0000-0000-00002A0B0000}"/>
    <cellStyle name="Separador de milhares 4 2 3 4" xfId="1096" xr:uid="{00000000-0005-0000-0000-000071040000}"/>
    <cellStyle name="Separador de milhares 4 2 3 4 2" xfId="3207" xr:uid="{00000000-0005-0000-0000-0000B00C0000}"/>
    <cellStyle name="Separador de milhares 4 2 3 5" xfId="2390" xr:uid="{00000000-0005-0000-0000-00007F090000}"/>
    <cellStyle name="Separador de milhares 4 2 4" xfId="345" xr:uid="{00000000-0005-0000-0000-000082010000}"/>
    <cellStyle name="Separador de milhares 4 2 4 2" xfId="790" xr:uid="{00000000-0005-0000-0000-00003F030000}"/>
    <cellStyle name="Separador de milhares 4 2 4 2 2" xfId="1619" xr:uid="{00000000-0005-0000-0000-00007C060000}"/>
    <cellStyle name="Separador de milhares 4 2 4 2 2 2" xfId="3730" xr:uid="{00000000-0005-0000-0000-0000BB0E0000}"/>
    <cellStyle name="Separador de milhares 4 2 4 2 3" xfId="2913" xr:uid="{00000000-0005-0000-0000-00008A0B0000}"/>
    <cellStyle name="Separador de milhares 4 2 4 3" xfId="1192" xr:uid="{00000000-0005-0000-0000-0000D1040000}"/>
    <cellStyle name="Separador de milhares 4 2 4 3 2" xfId="3303" xr:uid="{00000000-0005-0000-0000-0000100D0000}"/>
    <cellStyle name="Separador de milhares 4 2 4 4" xfId="2486" xr:uid="{00000000-0005-0000-0000-0000DF090000}"/>
    <cellStyle name="Separador de milhares 4 2 5" xfId="596" xr:uid="{00000000-0005-0000-0000-00007D020000}"/>
    <cellStyle name="Separador de milhares 4 2 5 2" xfId="1427" xr:uid="{00000000-0005-0000-0000-0000BC050000}"/>
    <cellStyle name="Separador de milhares 4 2 5 2 2" xfId="3538" xr:uid="{00000000-0005-0000-0000-0000FB0D0000}"/>
    <cellStyle name="Separador de milhares 4 2 5 3" xfId="2721" xr:uid="{00000000-0005-0000-0000-0000CA0A0000}"/>
    <cellStyle name="Separador de milhares 4 2 6" xfId="1000" xr:uid="{00000000-0005-0000-0000-000011040000}"/>
    <cellStyle name="Separador de milhares 4 2 6 2" xfId="3111" xr:uid="{00000000-0005-0000-0000-0000500C0000}"/>
    <cellStyle name="Separador de milhares 4 2 7" xfId="2295" xr:uid="{00000000-0005-0000-0000-000020090000}"/>
    <cellStyle name="Separador de milhares 4 3" xfId="153" xr:uid="{00000000-0005-0000-0000-0000C2000000}"/>
    <cellStyle name="Separador de milhares 4 3 2" xfId="274" xr:uid="{00000000-0005-0000-0000-00003B010000}"/>
    <cellStyle name="Separador de milhares 4 3 2 2" xfId="467" xr:uid="{00000000-0005-0000-0000-0000FC010000}"/>
    <cellStyle name="Separador de milhares 4 3 2 2 2" xfId="912" xr:uid="{00000000-0005-0000-0000-0000B9030000}"/>
    <cellStyle name="Separador de milhares 4 3 2 2 2 2" xfId="1741" xr:uid="{00000000-0005-0000-0000-0000F6060000}"/>
    <cellStyle name="Separador de milhares 4 3 2 2 2 2 2" xfId="3852" xr:uid="{00000000-0005-0000-0000-0000350F0000}"/>
    <cellStyle name="Separador de milhares 4 3 2 2 2 3" xfId="3035" xr:uid="{00000000-0005-0000-0000-0000040C0000}"/>
    <cellStyle name="Separador de milhares 4 3 2 2 3" xfId="1314" xr:uid="{00000000-0005-0000-0000-00004B050000}"/>
    <cellStyle name="Separador de milhares 4 3 2 2 3 2" xfId="3425" xr:uid="{00000000-0005-0000-0000-00008A0D0000}"/>
    <cellStyle name="Separador de milhares 4 3 2 2 4" xfId="2608" xr:uid="{00000000-0005-0000-0000-0000590A0000}"/>
    <cellStyle name="Separador de milhares 4 3 2 3" xfId="720" xr:uid="{00000000-0005-0000-0000-0000F9020000}"/>
    <cellStyle name="Separador de milhares 4 3 2 3 2" xfId="1549" xr:uid="{00000000-0005-0000-0000-000036060000}"/>
    <cellStyle name="Separador de milhares 4 3 2 3 2 2" xfId="3660" xr:uid="{00000000-0005-0000-0000-0000750E0000}"/>
    <cellStyle name="Separador de milhares 4 3 2 3 3" xfId="2843" xr:uid="{00000000-0005-0000-0000-0000440B0000}"/>
    <cellStyle name="Separador de milhares 4 3 2 4" xfId="1122" xr:uid="{00000000-0005-0000-0000-00008B040000}"/>
    <cellStyle name="Separador de milhares 4 3 2 4 2" xfId="3233" xr:uid="{00000000-0005-0000-0000-0000CA0C0000}"/>
    <cellStyle name="Separador de milhares 4 3 2 5" xfId="2416" xr:uid="{00000000-0005-0000-0000-000099090000}"/>
    <cellStyle name="Separador de milhares 4 3 3" xfId="371" xr:uid="{00000000-0005-0000-0000-00009C010000}"/>
    <cellStyle name="Separador de milhares 4 3 3 2" xfId="816" xr:uid="{00000000-0005-0000-0000-000059030000}"/>
    <cellStyle name="Separador de milhares 4 3 3 2 2" xfId="1645" xr:uid="{00000000-0005-0000-0000-000096060000}"/>
    <cellStyle name="Separador de milhares 4 3 3 2 2 2" xfId="3756" xr:uid="{00000000-0005-0000-0000-0000D50E0000}"/>
    <cellStyle name="Separador de milhares 4 3 3 2 3" xfId="2939" xr:uid="{00000000-0005-0000-0000-0000A40B0000}"/>
    <cellStyle name="Separador de milhares 4 3 3 3" xfId="1218" xr:uid="{00000000-0005-0000-0000-0000EB040000}"/>
    <cellStyle name="Separador de milhares 4 3 3 3 2" xfId="3329" xr:uid="{00000000-0005-0000-0000-00002A0D0000}"/>
    <cellStyle name="Separador de milhares 4 3 3 4" xfId="2512" xr:uid="{00000000-0005-0000-0000-0000F9090000}"/>
    <cellStyle name="Separador de milhares 4 3 4" xfId="622" xr:uid="{00000000-0005-0000-0000-000097020000}"/>
    <cellStyle name="Separador de milhares 4 3 4 2" xfId="1453" xr:uid="{00000000-0005-0000-0000-0000D6050000}"/>
    <cellStyle name="Separador de milhares 4 3 4 2 2" xfId="3564" xr:uid="{00000000-0005-0000-0000-0000150E0000}"/>
    <cellStyle name="Separador de milhares 4 3 4 3" xfId="2747" xr:uid="{00000000-0005-0000-0000-0000E40A0000}"/>
    <cellStyle name="Separador de milhares 4 3 5" xfId="1026" xr:uid="{00000000-0005-0000-0000-00002B040000}"/>
    <cellStyle name="Separador de milhares 4 3 5 2" xfId="3137" xr:uid="{00000000-0005-0000-0000-00006A0C0000}"/>
    <cellStyle name="Separador de milhares 4 3 6" xfId="2321" xr:uid="{00000000-0005-0000-0000-00003A090000}"/>
    <cellStyle name="Separador de milhares 4 4" xfId="242" xr:uid="{00000000-0005-0000-0000-00001B010000}"/>
    <cellStyle name="Separador de milhares 4 4 2" xfId="435" xr:uid="{00000000-0005-0000-0000-0000DC010000}"/>
    <cellStyle name="Separador de milhares 4 4 2 2" xfId="880" xr:uid="{00000000-0005-0000-0000-000099030000}"/>
    <cellStyle name="Separador de milhares 4 4 2 2 2" xfId="1709" xr:uid="{00000000-0005-0000-0000-0000D6060000}"/>
    <cellStyle name="Separador de milhares 4 4 2 2 2 2" xfId="3820" xr:uid="{00000000-0005-0000-0000-0000150F0000}"/>
    <cellStyle name="Separador de milhares 4 4 2 2 3" xfId="3003" xr:uid="{00000000-0005-0000-0000-0000E40B0000}"/>
    <cellStyle name="Separador de milhares 4 4 2 3" xfId="1282" xr:uid="{00000000-0005-0000-0000-00002B050000}"/>
    <cellStyle name="Separador de milhares 4 4 2 3 2" xfId="3393" xr:uid="{00000000-0005-0000-0000-00006A0D0000}"/>
    <cellStyle name="Separador de milhares 4 4 2 4" xfId="2576" xr:uid="{00000000-0005-0000-0000-0000390A0000}"/>
    <cellStyle name="Separador de milhares 4 4 3" xfId="688" xr:uid="{00000000-0005-0000-0000-0000D9020000}"/>
    <cellStyle name="Separador de milhares 4 4 3 2" xfId="1517" xr:uid="{00000000-0005-0000-0000-000016060000}"/>
    <cellStyle name="Separador de milhares 4 4 3 2 2" xfId="3628" xr:uid="{00000000-0005-0000-0000-0000550E0000}"/>
    <cellStyle name="Separador de milhares 4 4 3 3" xfId="2811" xr:uid="{00000000-0005-0000-0000-0000240B0000}"/>
    <cellStyle name="Separador de milhares 4 4 4" xfId="1090" xr:uid="{00000000-0005-0000-0000-00006B040000}"/>
    <cellStyle name="Separador de milhares 4 4 4 2" xfId="3201" xr:uid="{00000000-0005-0000-0000-0000AA0C0000}"/>
    <cellStyle name="Separador de milhares 4 4 5" xfId="2384" xr:uid="{00000000-0005-0000-0000-000079090000}"/>
    <cellStyle name="Separador de milhares 4 5" xfId="339" xr:uid="{00000000-0005-0000-0000-00007C010000}"/>
    <cellStyle name="Separador de milhares 4 5 2" xfId="784" xr:uid="{00000000-0005-0000-0000-000039030000}"/>
    <cellStyle name="Separador de milhares 4 5 2 2" xfId="1613" xr:uid="{00000000-0005-0000-0000-000076060000}"/>
    <cellStyle name="Separador de milhares 4 5 2 2 2" xfId="3724" xr:uid="{00000000-0005-0000-0000-0000B50E0000}"/>
    <cellStyle name="Separador de milhares 4 5 2 3" xfId="2907" xr:uid="{00000000-0005-0000-0000-0000840B0000}"/>
    <cellStyle name="Separador de milhares 4 5 3" xfId="1186" xr:uid="{00000000-0005-0000-0000-0000CB040000}"/>
    <cellStyle name="Separador de milhares 4 5 3 2" xfId="3297" xr:uid="{00000000-0005-0000-0000-00000A0D0000}"/>
    <cellStyle name="Separador de milhares 4 5 4" xfId="2480" xr:uid="{00000000-0005-0000-0000-0000D9090000}"/>
    <cellStyle name="Separador de milhares 4 6" xfId="590" xr:uid="{00000000-0005-0000-0000-000077020000}"/>
    <cellStyle name="Separador de milhares 4 6 2" xfId="1421" xr:uid="{00000000-0005-0000-0000-0000B6050000}"/>
    <cellStyle name="Separador de milhares 4 6 2 2" xfId="3532" xr:uid="{00000000-0005-0000-0000-0000F50D0000}"/>
    <cellStyle name="Separador de milhares 4 6 3" xfId="2715" xr:uid="{00000000-0005-0000-0000-0000C40A0000}"/>
    <cellStyle name="Separador de milhares 4 7" xfId="994" xr:uid="{00000000-0005-0000-0000-00000B040000}"/>
    <cellStyle name="Separador de milhares 4 7 2" xfId="3105" xr:uid="{00000000-0005-0000-0000-00004A0C0000}"/>
    <cellStyle name="Separador de milhares 4 8" xfId="2290" xr:uid="{00000000-0005-0000-0000-00001B090000}"/>
    <cellStyle name="Separador de milhares 5" xfId="123" xr:uid="{00000000-0005-0000-0000-0000A4000000}"/>
    <cellStyle name="Separador de milhares 5 2" xfId="160" xr:uid="{00000000-0005-0000-0000-0000C9000000}"/>
    <cellStyle name="Separador de milhares 5 2 2" xfId="281" xr:uid="{00000000-0005-0000-0000-000042010000}"/>
    <cellStyle name="Separador de milhares 5 2 2 2" xfId="474" xr:uid="{00000000-0005-0000-0000-000003020000}"/>
    <cellStyle name="Separador de milhares 5 2 2 2 2" xfId="919" xr:uid="{00000000-0005-0000-0000-0000C0030000}"/>
    <cellStyle name="Separador de milhares 5 2 2 2 2 2" xfId="1748" xr:uid="{00000000-0005-0000-0000-0000FD060000}"/>
    <cellStyle name="Separador de milhares 5 2 2 2 2 2 2" xfId="3859" xr:uid="{00000000-0005-0000-0000-00003C0F0000}"/>
    <cellStyle name="Separador de milhares 5 2 2 2 2 3" xfId="3042" xr:uid="{00000000-0005-0000-0000-00000B0C0000}"/>
    <cellStyle name="Separador de milhares 5 2 2 2 3" xfId="1321" xr:uid="{00000000-0005-0000-0000-000052050000}"/>
    <cellStyle name="Separador de milhares 5 2 2 2 3 2" xfId="3432" xr:uid="{00000000-0005-0000-0000-0000910D0000}"/>
    <cellStyle name="Separador de milhares 5 2 2 2 4" xfId="2615" xr:uid="{00000000-0005-0000-0000-0000600A0000}"/>
    <cellStyle name="Separador de milhares 5 2 2 3" xfId="727" xr:uid="{00000000-0005-0000-0000-000000030000}"/>
    <cellStyle name="Separador de milhares 5 2 2 3 2" xfId="1556" xr:uid="{00000000-0005-0000-0000-00003D060000}"/>
    <cellStyle name="Separador de milhares 5 2 2 3 2 2" xfId="3667" xr:uid="{00000000-0005-0000-0000-00007C0E0000}"/>
    <cellStyle name="Separador de milhares 5 2 2 3 3" xfId="2850" xr:uid="{00000000-0005-0000-0000-00004B0B0000}"/>
    <cellStyle name="Separador de milhares 5 2 2 4" xfId="1129" xr:uid="{00000000-0005-0000-0000-000092040000}"/>
    <cellStyle name="Separador de milhares 5 2 2 4 2" xfId="3240" xr:uid="{00000000-0005-0000-0000-0000D10C0000}"/>
    <cellStyle name="Separador de milhares 5 2 2 5" xfId="2423" xr:uid="{00000000-0005-0000-0000-0000A0090000}"/>
    <cellStyle name="Separador de milhares 5 2 3" xfId="378" xr:uid="{00000000-0005-0000-0000-0000A3010000}"/>
    <cellStyle name="Separador de milhares 5 2 3 2" xfId="823" xr:uid="{00000000-0005-0000-0000-000060030000}"/>
    <cellStyle name="Separador de milhares 5 2 3 2 2" xfId="1652" xr:uid="{00000000-0005-0000-0000-00009D060000}"/>
    <cellStyle name="Separador de milhares 5 2 3 2 2 2" xfId="3763" xr:uid="{00000000-0005-0000-0000-0000DC0E0000}"/>
    <cellStyle name="Separador de milhares 5 2 3 2 3" xfId="2946" xr:uid="{00000000-0005-0000-0000-0000AB0B0000}"/>
    <cellStyle name="Separador de milhares 5 2 3 3" xfId="1225" xr:uid="{00000000-0005-0000-0000-0000F2040000}"/>
    <cellStyle name="Separador de milhares 5 2 3 3 2" xfId="3336" xr:uid="{00000000-0005-0000-0000-0000310D0000}"/>
    <cellStyle name="Separador de milhares 5 2 3 4" xfId="2519" xr:uid="{00000000-0005-0000-0000-0000000A0000}"/>
    <cellStyle name="Separador de milhares 5 2 4" xfId="629" xr:uid="{00000000-0005-0000-0000-00009E020000}"/>
    <cellStyle name="Separador de milhares 5 2 4 2" xfId="1460" xr:uid="{00000000-0005-0000-0000-0000DD050000}"/>
    <cellStyle name="Separador de milhares 5 2 4 2 2" xfId="3571" xr:uid="{00000000-0005-0000-0000-00001C0E0000}"/>
    <cellStyle name="Separador de milhares 5 2 4 3" xfId="2754" xr:uid="{00000000-0005-0000-0000-0000EB0A0000}"/>
    <cellStyle name="Separador de milhares 5 2 5" xfId="1033" xr:uid="{00000000-0005-0000-0000-000032040000}"/>
    <cellStyle name="Separador de milhares 5 2 5 2" xfId="3144" xr:uid="{00000000-0005-0000-0000-0000710C0000}"/>
    <cellStyle name="Separador de milhares 5 2 6" xfId="2328" xr:uid="{00000000-0005-0000-0000-000041090000}"/>
    <cellStyle name="Separador de milhares 5 3" xfId="249" xr:uid="{00000000-0005-0000-0000-000022010000}"/>
    <cellStyle name="Separador de milhares 5 3 2" xfId="442" xr:uid="{00000000-0005-0000-0000-0000E3010000}"/>
    <cellStyle name="Separador de milhares 5 3 2 2" xfId="887" xr:uid="{00000000-0005-0000-0000-0000A0030000}"/>
    <cellStyle name="Separador de milhares 5 3 2 2 2" xfId="1716" xr:uid="{00000000-0005-0000-0000-0000DD060000}"/>
    <cellStyle name="Separador de milhares 5 3 2 2 2 2" xfId="3827" xr:uid="{00000000-0005-0000-0000-00001C0F0000}"/>
    <cellStyle name="Separador de milhares 5 3 2 2 3" xfId="3010" xr:uid="{00000000-0005-0000-0000-0000EB0B0000}"/>
    <cellStyle name="Separador de milhares 5 3 2 3" xfId="1289" xr:uid="{00000000-0005-0000-0000-000032050000}"/>
    <cellStyle name="Separador de milhares 5 3 2 3 2" xfId="3400" xr:uid="{00000000-0005-0000-0000-0000710D0000}"/>
    <cellStyle name="Separador de milhares 5 3 2 4" xfId="2583" xr:uid="{00000000-0005-0000-0000-0000400A0000}"/>
    <cellStyle name="Separador de milhares 5 3 3" xfId="695" xr:uid="{00000000-0005-0000-0000-0000E0020000}"/>
    <cellStyle name="Separador de milhares 5 3 3 2" xfId="1524" xr:uid="{00000000-0005-0000-0000-00001D060000}"/>
    <cellStyle name="Separador de milhares 5 3 3 2 2" xfId="3635" xr:uid="{00000000-0005-0000-0000-00005C0E0000}"/>
    <cellStyle name="Separador de milhares 5 3 3 3" xfId="2818" xr:uid="{00000000-0005-0000-0000-00002B0B0000}"/>
    <cellStyle name="Separador de milhares 5 3 4" xfId="1097" xr:uid="{00000000-0005-0000-0000-000072040000}"/>
    <cellStyle name="Separador de milhares 5 3 4 2" xfId="3208" xr:uid="{00000000-0005-0000-0000-0000B10C0000}"/>
    <cellStyle name="Separador de milhares 5 3 5" xfId="2391" xr:uid="{00000000-0005-0000-0000-000080090000}"/>
    <cellStyle name="Separador de milhares 5 4" xfId="346" xr:uid="{00000000-0005-0000-0000-000083010000}"/>
    <cellStyle name="Separador de milhares 5 4 2" xfId="791" xr:uid="{00000000-0005-0000-0000-000040030000}"/>
    <cellStyle name="Separador de milhares 5 4 2 2" xfId="1620" xr:uid="{00000000-0005-0000-0000-00007D060000}"/>
    <cellStyle name="Separador de milhares 5 4 2 2 2" xfId="3731" xr:uid="{00000000-0005-0000-0000-0000BC0E0000}"/>
    <cellStyle name="Separador de milhares 5 4 2 3" xfId="2914" xr:uid="{00000000-0005-0000-0000-00008B0B0000}"/>
    <cellStyle name="Separador de milhares 5 4 3" xfId="1193" xr:uid="{00000000-0005-0000-0000-0000D2040000}"/>
    <cellStyle name="Separador de milhares 5 4 3 2" xfId="3304" xr:uid="{00000000-0005-0000-0000-0000110D0000}"/>
    <cellStyle name="Separador de milhares 5 4 4" xfId="2487" xr:uid="{00000000-0005-0000-0000-0000E0090000}"/>
    <cellStyle name="Separador de milhares 5 5" xfId="597" xr:uid="{00000000-0005-0000-0000-00007E020000}"/>
    <cellStyle name="Separador de milhares 5 5 2" xfId="1428" xr:uid="{00000000-0005-0000-0000-0000BD050000}"/>
    <cellStyle name="Separador de milhares 5 5 2 2" xfId="3539" xr:uid="{00000000-0005-0000-0000-0000FC0D0000}"/>
    <cellStyle name="Separador de milhares 5 5 3" xfId="2722" xr:uid="{00000000-0005-0000-0000-0000CB0A0000}"/>
    <cellStyle name="Separador de milhares 5 6" xfId="1001" xr:uid="{00000000-0005-0000-0000-000012040000}"/>
    <cellStyle name="Separador de milhares 5 6 2" xfId="3112" xr:uid="{00000000-0005-0000-0000-0000510C0000}"/>
    <cellStyle name="Separador de milhares 5 7" xfId="2296" xr:uid="{00000000-0005-0000-0000-000021090000}"/>
    <cellStyle name="Separador de milhares 6" xfId="124" xr:uid="{00000000-0005-0000-0000-0000A5000000}"/>
    <cellStyle name="Separador de milhares 6 2" xfId="161" xr:uid="{00000000-0005-0000-0000-0000CA000000}"/>
    <cellStyle name="Separador de milhares 6 2 2" xfId="282" xr:uid="{00000000-0005-0000-0000-000043010000}"/>
    <cellStyle name="Separador de milhares 6 2 2 2" xfId="475" xr:uid="{00000000-0005-0000-0000-000004020000}"/>
    <cellStyle name="Separador de milhares 6 2 2 2 2" xfId="920" xr:uid="{00000000-0005-0000-0000-0000C1030000}"/>
    <cellStyle name="Separador de milhares 6 2 2 2 2 2" xfId="1749" xr:uid="{00000000-0005-0000-0000-0000FE060000}"/>
    <cellStyle name="Separador de milhares 6 2 2 2 2 2 2" xfId="3860" xr:uid="{00000000-0005-0000-0000-00003D0F0000}"/>
    <cellStyle name="Separador de milhares 6 2 2 2 2 3" xfId="3043" xr:uid="{00000000-0005-0000-0000-00000C0C0000}"/>
    <cellStyle name="Separador de milhares 6 2 2 2 3" xfId="1322" xr:uid="{00000000-0005-0000-0000-000053050000}"/>
    <cellStyle name="Separador de milhares 6 2 2 2 3 2" xfId="3433" xr:uid="{00000000-0005-0000-0000-0000920D0000}"/>
    <cellStyle name="Separador de milhares 6 2 2 2 4" xfId="2616" xr:uid="{00000000-0005-0000-0000-0000610A0000}"/>
    <cellStyle name="Separador de milhares 6 2 2 3" xfId="728" xr:uid="{00000000-0005-0000-0000-000001030000}"/>
    <cellStyle name="Separador de milhares 6 2 2 3 2" xfId="1557" xr:uid="{00000000-0005-0000-0000-00003E060000}"/>
    <cellStyle name="Separador de milhares 6 2 2 3 2 2" xfId="3668" xr:uid="{00000000-0005-0000-0000-00007D0E0000}"/>
    <cellStyle name="Separador de milhares 6 2 2 3 3" xfId="2851" xr:uid="{00000000-0005-0000-0000-00004C0B0000}"/>
    <cellStyle name="Separador de milhares 6 2 2 4" xfId="1130" xr:uid="{00000000-0005-0000-0000-000093040000}"/>
    <cellStyle name="Separador de milhares 6 2 2 4 2" xfId="3241" xr:uid="{00000000-0005-0000-0000-0000D20C0000}"/>
    <cellStyle name="Separador de milhares 6 2 2 5" xfId="2424" xr:uid="{00000000-0005-0000-0000-0000A1090000}"/>
    <cellStyle name="Separador de milhares 6 2 3" xfId="379" xr:uid="{00000000-0005-0000-0000-0000A4010000}"/>
    <cellStyle name="Separador de milhares 6 2 3 2" xfId="824" xr:uid="{00000000-0005-0000-0000-000061030000}"/>
    <cellStyle name="Separador de milhares 6 2 3 2 2" xfId="1653" xr:uid="{00000000-0005-0000-0000-00009E060000}"/>
    <cellStyle name="Separador de milhares 6 2 3 2 2 2" xfId="3764" xr:uid="{00000000-0005-0000-0000-0000DD0E0000}"/>
    <cellStyle name="Separador de milhares 6 2 3 2 3" xfId="2947" xr:uid="{00000000-0005-0000-0000-0000AC0B0000}"/>
    <cellStyle name="Separador de milhares 6 2 3 3" xfId="1226" xr:uid="{00000000-0005-0000-0000-0000F3040000}"/>
    <cellStyle name="Separador de milhares 6 2 3 3 2" xfId="3337" xr:uid="{00000000-0005-0000-0000-0000320D0000}"/>
    <cellStyle name="Separador de milhares 6 2 3 4" xfId="2520" xr:uid="{00000000-0005-0000-0000-0000010A0000}"/>
    <cellStyle name="Separador de milhares 6 2 4" xfId="630" xr:uid="{00000000-0005-0000-0000-00009F020000}"/>
    <cellStyle name="Separador de milhares 6 2 4 2" xfId="1461" xr:uid="{00000000-0005-0000-0000-0000DE050000}"/>
    <cellStyle name="Separador de milhares 6 2 4 2 2" xfId="3572" xr:uid="{00000000-0005-0000-0000-00001D0E0000}"/>
    <cellStyle name="Separador de milhares 6 2 4 3" xfId="2755" xr:uid="{00000000-0005-0000-0000-0000EC0A0000}"/>
    <cellStyle name="Separador de milhares 6 2 5" xfId="1034" xr:uid="{00000000-0005-0000-0000-000033040000}"/>
    <cellStyle name="Separador de milhares 6 2 5 2" xfId="3145" xr:uid="{00000000-0005-0000-0000-0000720C0000}"/>
    <cellStyle name="Separador de milhares 6 2 6" xfId="2329" xr:uid="{00000000-0005-0000-0000-000042090000}"/>
    <cellStyle name="Separador de milhares 6 3" xfId="250" xr:uid="{00000000-0005-0000-0000-000023010000}"/>
    <cellStyle name="Separador de milhares 6 3 2" xfId="443" xr:uid="{00000000-0005-0000-0000-0000E4010000}"/>
    <cellStyle name="Separador de milhares 6 3 2 2" xfId="888" xr:uid="{00000000-0005-0000-0000-0000A1030000}"/>
    <cellStyle name="Separador de milhares 6 3 2 2 2" xfId="1717" xr:uid="{00000000-0005-0000-0000-0000DE060000}"/>
    <cellStyle name="Separador de milhares 6 3 2 2 2 2" xfId="3828" xr:uid="{00000000-0005-0000-0000-00001D0F0000}"/>
    <cellStyle name="Separador de milhares 6 3 2 2 3" xfId="3011" xr:uid="{00000000-0005-0000-0000-0000EC0B0000}"/>
    <cellStyle name="Separador de milhares 6 3 2 3" xfId="1290" xr:uid="{00000000-0005-0000-0000-000033050000}"/>
    <cellStyle name="Separador de milhares 6 3 2 3 2" xfId="3401" xr:uid="{00000000-0005-0000-0000-0000720D0000}"/>
    <cellStyle name="Separador de milhares 6 3 2 4" xfId="2584" xr:uid="{00000000-0005-0000-0000-0000410A0000}"/>
    <cellStyle name="Separador de milhares 6 3 3" xfId="696" xr:uid="{00000000-0005-0000-0000-0000E1020000}"/>
    <cellStyle name="Separador de milhares 6 3 3 2" xfId="1525" xr:uid="{00000000-0005-0000-0000-00001E060000}"/>
    <cellStyle name="Separador de milhares 6 3 3 2 2" xfId="3636" xr:uid="{00000000-0005-0000-0000-00005D0E0000}"/>
    <cellStyle name="Separador de milhares 6 3 3 3" xfId="2819" xr:uid="{00000000-0005-0000-0000-00002C0B0000}"/>
    <cellStyle name="Separador de milhares 6 3 4" xfId="1098" xr:uid="{00000000-0005-0000-0000-000073040000}"/>
    <cellStyle name="Separador de milhares 6 3 4 2" xfId="3209" xr:uid="{00000000-0005-0000-0000-0000B20C0000}"/>
    <cellStyle name="Separador de milhares 6 3 5" xfId="2392" xr:uid="{00000000-0005-0000-0000-000081090000}"/>
    <cellStyle name="Separador de milhares 6 4" xfId="347" xr:uid="{00000000-0005-0000-0000-000084010000}"/>
    <cellStyle name="Separador de milhares 6 4 2" xfId="792" xr:uid="{00000000-0005-0000-0000-000041030000}"/>
    <cellStyle name="Separador de milhares 6 4 2 2" xfId="1621" xr:uid="{00000000-0005-0000-0000-00007E060000}"/>
    <cellStyle name="Separador de milhares 6 4 2 2 2" xfId="3732" xr:uid="{00000000-0005-0000-0000-0000BD0E0000}"/>
    <cellStyle name="Separador de milhares 6 4 2 3" xfId="2915" xr:uid="{00000000-0005-0000-0000-00008C0B0000}"/>
    <cellStyle name="Separador de milhares 6 4 3" xfId="1194" xr:uid="{00000000-0005-0000-0000-0000D3040000}"/>
    <cellStyle name="Separador de milhares 6 4 3 2" xfId="3305" xr:uid="{00000000-0005-0000-0000-0000120D0000}"/>
    <cellStyle name="Separador de milhares 6 4 4" xfId="2488" xr:uid="{00000000-0005-0000-0000-0000E1090000}"/>
    <cellStyle name="Separador de milhares 6 5" xfId="598" xr:uid="{00000000-0005-0000-0000-00007F020000}"/>
    <cellStyle name="Separador de milhares 6 5 2" xfId="1429" xr:uid="{00000000-0005-0000-0000-0000BE050000}"/>
    <cellStyle name="Separador de milhares 6 5 2 2" xfId="3540" xr:uid="{00000000-0005-0000-0000-0000FD0D0000}"/>
    <cellStyle name="Separador de milhares 6 5 3" xfId="2723" xr:uid="{00000000-0005-0000-0000-0000CC0A0000}"/>
    <cellStyle name="Separador de milhares 6 6" xfId="1002" xr:uid="{00000000-0005-0000-0000-000013040000}"/>
    <cellStyle name="Separador de milhares 6 6 2" xfId="3113" xr:uid="{00000000-0005-0000-0000-0000520C0000}"/>
    <cellStyle name="Separador de milhares 6 7" xfId="2297" xr:uid="{00000000-0005-0000-0000-000022090000}"/>
    <cellStyle name="Separador de milhares 7" xfId="125" xr:uid="{00000000-0005-0000-0000-0000A6000000}"/>
    <cellStyle name="Separador de milhares 7 2" xfId="162" xr:uid="{00000000-0005-0000-0000-0000CB000000}"/>
    <cellStyle name="Separador de milhares 7 2 2" xfId="283" xr:uid="{00000000-0005-0000-0000-000044010000}"/>
    <cellStyle name="Separador de milhares 7 2 2 2" xfId="476" xr:uid="{00000000-0005-0000-0000-000005020000}"/>
    <cellStyle name="Separador de milhares 7 2 2 2 2" xfId="921" xr:uid="{00000000-0005-0000-0000-0000C2030000}"/>
    <cellStyle name="Separador de milhares 7 2 2 2 2 2" xfId="1750" xr:uid="{00000000-0005-0000-0000-0000FF060000}"/>
    <cellStyle name="Separador de milhares 7 2 2 2 2 2 2" xfId="3861" xr:uid="{00000000-0005-0000-0000-00003E0F0000}"/>
    <cellStyle name="Separador de milhares 7 2 2 2 2 3" xfId="3044" xr:uid="{00000000-0005-0000-0000-00000D0C0000}"/>
    <cellStyle name="Separador de milhares 7 2 2 2 3" xfId="1323" xr:uid="{00000000-0005-0000-0000-000054050000}"/>
    <cellStyle name="Separador de milhares 7 2 2 2 3 2" xfId="3434" xr:uid="{00000000-0005-0000-0000-0000930D0000}"/>
    <cellStyle name="Separador de milhares 7 2 2 2 4" xfId="2617" xr:uid="{00000000-0005-0000-0000-0000620A0000}"/>
    <cellStyle name="Separador de milhares 7 2 2 3" xfId="729" xr:uid="{00000000-0005-0000-0000-000002030000}"/>
    <cellStyle name="Separador de milhares 7 2 2 3 2" xfId="1558" xr:uid="{00000000-0005-0000-0000-00003F060000}"/>
    <cellStyle name="Separador de milhares 7 2 2 3 2 2" xfId="3669" xr:uid="{00000000-0005-0000-0000-00007E0E0000}"/>
    <cellStyle name="Separador de milhares 7 2 2 3 3" xfId="2852" xr:uid="{00000000-0005-0000-0000-00004D0B0000}"/>
    <cellStyle name="Separador de milhares 7 2 2 4" xfId="1131" xr:uid="{00000000-0005-0000-0000-000094040000}"/>
    <cellStyle name="Separador de milhares 7 2 2 4 2" xfId="3242" xr:uid="{00000000-0005-0000-0000-0000D30C0000}"/>
    <cellStyle name="Separador de milhares 7 2 2 5" xfId="2425" xr:uid="{00000000-0005-0000-0000-0000A2090000}"/>
    <cellStyle name="Separador de milhares 7 2 3" xfId="380" xr:uid="{00000000-0005-0000-0000-0000A5010000}"/>
    <cellStyle name="Separador de milhares 7 2 3 2" xfId="825" xr:uid="{00000000-0005-0000-0000-000062030000}"/>
    <cellStyle name="Separador de milhares 7 2 3 2 2" xfId="1654" xr:uid="{00000000-0005-0000-0000-00009F060000}"/>
    <cellStyle name="Separador de milhares 7 2 3 2 2 2" xfId="3765" xr:uid="{00000000-0005-0000-0000-0000DE0E0000}"/>
    <cellStyle name="Separador de milhares 7 2 3 2 3" xfId="2948" xr:uid="{00000000-0005-0000-0000-0000AD0B0000}"/>
    <cellStyle name="Separador de milhares 7 2 3 3" xfId="1227" xr:uid="{00000000-0005-0000-0000-0000F4040000}"/>
    <cellStyle name="Separador de milhares 7 2 3 3 2" xfId="3338" xr:uid="{00000000-0005-0000-0000-0000330D0000}"/>
    <cellStyle name="Separador de milhares 7 2 3 4" xfId="2521" xr:uid="{00000000-0005-0000-0000-0000020A0000}"/>
    <cellStyle name="Separador de milhares 7 2 4" xfId="631" xr:uid="{00000000-0005-0000-0000-0000A0020000}"/>
    <cellStyle name="Separador de milhares 7 2 4 2" xfId="1462" xr:uid="{00000000-0005-0000-0000-0000DF050000}"/>
    <cellStyle name="Separador de milhares 7 2 4 2 2" xfId="3573" xr:uid="{00000000-0005-0000-0000-00001E0E0000}"/>
    <cellStyle name="Separador de milhares 7 2 4 3" xfId="2756" xr:uid="{00000000-0005-0000-0000-0000ED0A0000}"/>
    <cellStyle name="Separador de milhares 7 2 5" xfId="1035" xr:uid="{00000000-0005-0000-0000-000034040000}"/>
    <cellStyle name="Separador de milhares 7 2 5 2" xfId="3146" xr:uid="{00000000-0005-0000-0000-0000730C0000}"/>
    <cellStyle name="Separador de milhares 7 2 6" xfId="2330" xr:uid="{00000000-0005-0000-0000-000043090000}"/>
    <cellStyle name="Separador de milhares 7 3" xfId="251" xr:uid="{00000000-0005-0000-0000-000024010000}"/>
    <cellStyle name="Separador de milhares 7 3 2" xfId="444" xr:uid="{00000000-0005-0000-0000-0000E5010000}"/>
    <cellStyle name="Separador de milhares 7 3 2 2" xfId="889" xr:uid="{00000000-0005-0000-0000-0000A2030000}"/>
    <cellStyle name="Separador de milhares 7 3 2 2 2" xfId="1718" xr:uid="{00000000-0005-0000-0000-0000DF060000}"/>
    <cellStyle name="Separador de milhares 7 3 2 2 2 2" xfId="3829" xr:uid="{00000000-0005-0000-0000-00001E0F0000}"/>
    <cellStyle name="Separador de milhares 7 3 2 2 3" xfId="3012" xr:uid="{00000000-0005-0000-0000-0000ED0B0000}"/>
    <cellStyle name="Separador de milhares 7 3 2 3" xfId="1291" xr:uid="{00000000-0005-0000-0000-000034050000}"/>
    <cellStyle name="Separador de milhares 7 3 2 3 2" xfId="3402" xr:uid="{00000000-0005-0000-0000-0000730D0000}"/>
    <cellStyle name="Separador de milhares 7 3 2 4" xfId="2585" xr:uid="{00000000-0005-0000-0000-0000420A0000}"/>
    <cellStyle name="Separador de milhares 7 3 3" xfId="697" xr:uid="{00000000-0005-0000-0000-0000E2020000}"/>
    <cellStyle name="Separador de milhares 7 3 3 2" xfId="1526" xr:uid="{00000000-0005-0000-0000-00001F060000}"/>
    <cellStyle name="Separador de milhares 7 3 3 2 2" xfId="3637" xr:uid="{00000000-0005-0000-0000-00005E0E0000}"/>
    <cellStyle name="Separador de milhares 7 3 3 3" xfId="2820" xr:uid="{00000000-0005-0000-0000-00002D0B0000}"/>
    <cellStyle name="Separador de milhares 7 3 4" xfId="1099" xr:uid="{00000000-0005-0000-0000-000074040000}"/>
    <cellStyle name="Separador de milhares 7 3 4 2" xfId="3210" xr:uid="{00000000-0005-0000-0000-0000B30C0000}"/>
    <cellStyle name="Separador de milhares 7 3 5" xfId="2393" xr:uid="{00000000-0005-0000-0000-000082090000}"/>
    <cellStyle name="Separador de milhares 7 4" xfId="348" xr:uid="{00000000-0005-0000-0000-000085010000}"/>
    <cellStyle name="Separador de milhares 7 4 2" xfId="793" xr:uid="{00000000-0005-0000-0000-000042030000}"/>
    <cellStyle name="Separador de milhares 7 4 2 2" xfId="1622" xr:uid="{00000000-0005-0000-0000-00007F060000}"/>
    <cellStyle name="Separador de milhares 7 4 2 2 2" xfId="3733" xr:uid="{00000000-0005-0000-0000-0000BE0E0000}"/>
    <cellStyle name="Separador de milhares 7 4 2 3" xfId="2916" xr:uid="{00000000-0005-0000-0000-00008D0B0000}"/>
    <cellStyle name="Separador de milhares 7 4 3" xfId="1195" xr:uid="{00000000-0005-0000-0000-0000D4040000}"/>
    <cellStyle name="Separador de milhares 7 4 3 2" xfId="3306" xr:uid="{00000000-0005-0000-0000-0000130D0000}"/>
    <cellStyle name="Separador de milhares 7 4 4" xfId="2489" xr:uid="{00000000-0005-0000-0000-0000E2090000}"/>
    <cellStyle name="Separador de milhares 7 5" xfId="599" xr:uid="{00000000-0005-0000-0000-000080020000}"/>
    <cellStyle name="Separador de milhares 7 5 2" xfId="1430" xr:uid="{00000000-0005-0000-0000-0000BF050000}"/>
    <cellStyle name="Separador de milhares 7 5 2 2" xfId="3541" xr:uid="{00000000-0005-0000-0000-0000FE0D0000}"/>
    <cellStyle name="Separador de milhares 7 5 3" xfId="2724" xr:uid="{00000000-0005-0000-0000-0000CD0A0000}"/>
    <cellStyle name="Separador de milhares 7 6" xfId="1003" xr:uid="{00000000-0005-0000-0000-000014040000}"/>
    <cellStyle name="Separador de milhares 7 6 2" xfId="3114" xr:uid="{00000000-0005-0000-0000-0000530C0000}"/>
    <cellStyle name="Separador de milhares 7 7" xfId="2298" xr:uid="{00000000-0005-0000-0000-000023090000}"/>
    <cellStyle name="Separador de milhares 8" xfId="126" xr:uid="{00000000-0005-0000-0000-0000A7000000}"/>
    <cellStyle name="Separador de milhares 8 2" xfId="163" xr:uid="{00000000-0005-0000-0000-0000CC000000}"/>
    <cellStyle name="Separador de milhares 8 2 2" xfId="284" xr:uid="{00000000-0005-0000-0000-000045010000}"/>
    <cellStyle name="Separador de milhares 8 2 2 2" xfId="477" xr:uid="{00000000-0005-0000-0000-000006020000}"/>
    <cellStyle name="Separador de milhares 8 2 2 2 2" xfId="922" xr:uid="{00000000-0005-0000-0000-0000C3030000}"/>
    <cellStyle name="Separador de milhares 8 2 2 2 2 2" xfId="1751" xr:uid="{00000000-0005-0000-0000-000000070000}"/>
    <cellStyle name="Separador de milhares 8 2 2 2 2 2 2" xfId="3862" xr:uid="{00000000-0005-0000-0000-00003F0F0000}"/>
    <cellStyle name="Separador de milhares 8 2 2 2 2 3" xfId="3045" xr:uid="{00000000-0005-0000-0000-00000E0C0000}"/>
    <cellStyle name="Separador de milhares 8 2 2 2 3" xfId="1324" xr:uid="{00000000-0005-0000-0000-000055050000}"/>
    <cellStyle name="Separador de milhares 8 2 2 2 3 2" xfId="3435" xr:uid="{00000000-0005-0000-0000-0000940D0000}"/>
    <cellStyle name="Separador de milhares 8 2 2 2 4" xfId="2618" xr:uid="{00000000-0005-0000-0000-0000630A0000}"/>
    <cellStyle name="Separador de milhares 8 2 2 3" xfId="730" xr:uid="{00000000-0005-0000-0000-000003030000}"/>
    <cellStyle name="Separador de milhares 8 2 2 3 2" xfId="1559" xr:uid="{00000000-0005-0000-0000-000040060000}"/>
    <cellStyle name="Separador de milhares 8 2 2 3 2 2" xfId="3670" xr:uid="{00000000-0005-0000-0000-00007F0E0000}"/>
    <cellStyle name="Separador de milhares 8 2 2 3 3" xfId="2853" xr:uid="{00000000-0005-0000-0000-00004E0B0000}"/>
    <cellStyle name="Separador de milhares 8 2 2 4" xfId="1132" xr:uid="{00000000-0005-0000-0000-000095040000}"/>
    <cellStyle name="Separador de milhares 8 2 2 4 2" xfId="3243" xr:uid="{00000000-0005-0000-0000-0000D40C0000}"/>
    <cellStyle name="Separador de milhares 8 2 2 5" xfId="2426" xr:uid="{00000000-0005-0000-0000-0000A3090000}"/>
    <cellStyle name="Separador de milhares 8 2 3" xfId="381" xr:uid="{00000000-0005-0000-0000-0000A6010000}"/>
    <cellStyle name="Separador de milhares 8 2 3 2" xfId="826" xr:uid="{00000000-0005-0000-0000-000063030000}"/>
    <cellStyle name="Separador de milhares 8 2 3 2 2" xfId="1655" xr:uid="{00000000-0005-0000-0000-0000A0060000}"/>
    <cellStyle name="Separador de milhares 8 2 3 2 2 2" xfId="3766" xr:uid="{00000000-0005-0000-0000-0000DF0E0000}"/>
    <cellStyle name="Separador de milhares 8 2 3 2 3" xfId="2949" xr:uid="{00000000-0005-0000-0000-0000AE0B0000}"/>
    <cellStyle name="Separador de milhares 8 2 3 3" xfId="1228" xr:uid="{00000000-0005-0000-0000-0000F5040000}"/>
    <cellStyle name="Separador de milhares 8 2 3 3 2" xfId="3339" xr:uid="{00000000-0005-0000-0000-0000340D0000}"/>
    <cellStyle name="Separador de milhares 8 2 3 4" xfId="2522" xr:uid="{00000000-0005-0000-0000-0000030A0000}"/>
    <cellStyle name="Separador de milhares 8 2 4" xfId="632" xr:uid="{00000000-0005-0000-0000-0000A1020000}"/>
    <cellStyle name="Separador de milhares 8 2 4 2" xfId="1463" xr:uid="{00000000-0005-0000-0000-0000E0050000}"/>
    <cellStyle name="Separador de milhares 8 2 4 2 2" xfId="3574" xr:uid="{00000000-0005-0000-0000-00001F0E0000}"/>
    <cellStyle name="Separador de milhares 8 2 4 3" xfId="2757" xr:uid="{00000000-0005-0000-0000-0000EE0A0000}"/>
    <cellStyle name="Separador de milhares 8 2 5" xfId="1036" xr:uid="{00000000-0005-0000-0000-000035040000}"/>
    <cellStyle name="Separador de milhares 8 2 5 2" xfId="3147" xr:uid="{00000000-0005-0000-0000-0000740C0000}"/>
    <cellStyle name="Separador de milhares 8 2 6" xfId="2331" xr:uid="{00000000-0005-0000-0000-000044090000}"/>
    <cellStyle name="Separador de milhares 8 3" xfId="252" xr:uid="{00000000-0005-0000-0000-000025010000}"/>
    <cellStyle name="Separador de milhares 8 3 2" xfId="445" xr:uid="{00000000-0005-0000-0000-0000E6010000}"/>
    <cellStyle name="Separador de milhares 8 3 2 2" xfId="890" xr:uid="{00000000-0005-0000-0000-0000A3030000}"/>
    <cellStyle name="Separador de milhares 8 3 2 2 2" xfId="1719" xr:uid="{00000000-0005-0000-0000-0000E0060000}"/>
    <cellStyle name="Separador de milhares 8 3 2 2 2 2" xfId="3830" xr:uid="{00000000-0005-0000-0000-00001F0F0000}"/>
    <cellStyle name="Separador de milhares 8 3 2 2 3" xfId="3013" xr:uid="{00000000-0005-0000-0000-0000EE0B0000}"/>
    <cellStyle name="Separador de milhares 8 3 2 3" xfId="1292" xr:uid="{00000000-0005-0000-0000-000035050000}"/>
    <cellStyle name="Separador de milhares 8 3 2 3 2" xfId="3403" xr:uid="{00000000-0005-0000-0000-0000740D0000}"/>
    <cellStyle name="Separador de milhares 8 3 2 4" xfId="2586" xr:uid="{00000000-0005-0000-0000-0000430A0000}"/>
    <cellStyle name="Separador de milhares 8 3 3" xfId="698" xr:uid="{00000000-0005-0000-0000-0000E3020000}"/>
    <cellStyle name="Separador de milhares 8 3 3 2" xfId="1527" xr:uid="{00000000-0005-0000-0000-000020060000}"/>
    <cellStyle name="Separador de milhares 8 3 3 2 2" xfId="3638" xr:uid="{00000000-0005-0000-0000-00005F0E0000}"/>
    <cellStyle name="Separador de milhares 8 3 3 3" xfId="2821" xr:uid="{00000000-0005-0000-0000-00002E0B0000}"/>
    <cellStyle name="Separador de milhares 8 3 4" xfId="1100" xr:uid="{00000000-0005-0000-0000-000075040000}"/>
    <cellStyle name="Separador de milhares 8 3 4 2" xfId="3211" xr:uid="{00000000-0005-0000-0000-0000B40C0000}"/>
    <cellStyle name="Separador de milhares 8 3 5" xfId="2394" xr:uid="{00000000-0005-0000-0000-000083090000}"/>
    <cellStyle name="Separador de milhares 8 4" xfId="349" xr:uid="{00000000-0005-0000-0000-000086010000}"/>
    <cellStyle name="Separador de milhares 8 4 2" xfId="794" xr:uid="{00000000-0005-0000-0000-000043030000}"/>
    <cellStyle name="Separador de milhares 8 4 2 2" xfId="1623" xr:uid="{00000000-0005-0000-0000-000080060000}"/>
    <cellStyle name="Separador de milhares 8 4 2 2 2" xfId="3734" xr:uid="{00000000-0005-0000-0000-0000BF0E0000}"/>
    <cellStyle name="Separador de milhares 8 4 2 3" xfId="2917" xr:uid="{00000000-0005-0000-0000-00008E0B0000}"/>
    <cellStyle name="Separador de milhares 8 4 3" xfId="1196" xr:uid="{00000000-0005-0000-0000-0000D5040000}"/>
    <cellStyle name="Separador de milhares 8 4 3 2" xfId="3307" xr:uid="{00000000-0005-0000-0000-0000140D0000}"/>
    <cellStyle name="Separador de milhares 8 4 4" xfId="2490" xr:uid="{00000000-0005-0000-0000-0000E3090000}"/>
    <cellStyle name="Separador de milhares 8 5" xfId="600" xr:uid="{00000000-0005-0000-0000-000081020000}"/>
    <cellStyle name="Separador de milhares 8 5 2" xfId="1431" xr:uid="{00000000-0005-0000-0000-0000C0050000}"/>
    <cellStyle name="Separador de milhares 8 5 2 2" xfId="3542" xr:uid="{00000000-0005-0000-0000-0000FF0D0000}"/>
    <cellStyle name="Separador de milhares 8 5 3" xfId="2725" xr:uid="{00000000-0005-0000-0000-0000CE0A0000}"/>
    <cellStyle name="Separador de milhares 8 6" xfId="1004" xr:uid="{00000000-0005-0000-0000-000015040000}"/>
    <cellStyle name="Separador de milhares 8 6 2" xfId="3115" xr:uid="{00000000-0005-0000-0000-0000540C0000}"/>
    <cellStyle name="Separador de milhares 8 7" xfId="2299" xr:uid="{00000000-0005-0000-0000-000024090000}"/>
    <cellStyle name="Separador de milhares 9" xfId="127" xr:uid="{00000000-0005-0000-0000-0000A8000000}"/>
    <cellStyle name="Separador de milhares 9 2" xfId="164" xr:uid="{00000000-0005-0000-0000-0000CD000000}"/>
    <cellStyle name="Separador de milhares 9 2 2" xfId="285" xr:uid="{00000000-0005-0000-0000-000046010000}"/>
    <cellStyle name="Separador de milhares 9 2 2 2" xfId="478" xr:uid="{00000000-0005-0000-0000-000007020000}"/>
    <cellStyle name="Separador de milhares 9 2 2 2 2" xfId="923" xr:uid="{00000000-0005-0000-0000-0000C4030000}"/>
    <cellStyle name="Separador de milhares 9 2 2 2 2 2" xfId="1752" xr:uid="{00000000-0005-0000-0000-000001070000}"/>
    <cellStyle name="Separador de milhares 9 2 2 2 2 2 2" xfId="3863" xr:uid="{00000000-0005-0000-0000-0000400F0000}"/>
    <cellStyle name="Separador de milhares 9 2 2 2 2 3" xfId="3046" xr:uid="{00000000-0005-0000-0000-00000F0C0000}"/>
    <cellStyle name="Separador de milhares 9 2 2 2 3" xfId="1325" xr:uid="{00000000-0005-0000-0000-000056050000}"/>
    <cellStyle name="Separador de milhares 9 2 2 2 3 2" xfId="3436" xr:uid="{00000000-0005-0000-0000-0000950D0000}"/>
    <cellStyle name="Separador de milhares 9 2 2 2 4" xfId="2619" xr:uid="{00000000-0005-0000-0000-0000640A0000}"/>
    <cellStyle name="Separador de milhares 9 2 2 3" xfId="731" xr:uid="{00000000-0005-0000-0000-000004030000}"/>
    <cellStyle name="Separador de milhares 9 2 2 3 2" xfId="1560" xr:uid="{00000000-0005-0000-0000-000041060000}"/>
    <cellStyle name="Separador de milhares 9 2 2 3 2 2" xfId="3671" xr:uid="{00000000-0005-0000-0000-0000800E0000}"/>
    <cellStyle name="Separador de milhares 9 2 2 3 3" xfId="2854" xr:uid="{00000000-0005-0000-0000-00004F0B0000}"/>
    <cellStyle name="Separador de milhares 9 2 2 4" xfId="1133" xr:uid="{00000000-0005-0000-0000-000096040000}"/>
    <cellStyle name="Separador de milhares 9 2 2 4 2" xfId="3244" xr:uid="{00000000-0005-0000-0000-0000D50C0000}"/>
    <cellStyle name="Separador de milhares 9 2 2 5" xfId="2427" xr:uid="{00000000-0005-0000-0000-0000A4090000}"/>
    <cellStyle name="Separador de milhares 9 2 3" xfId="382" xr:uid="{00000000-0005-0000-0000-0000A7010000}"/>
    <cellStyle name="Separador de milhares 9 2 3 2" xfId="827" xr:uid="{00000000-0005-0000-0000-000064030000}"/>
    <cellStyle name="Separador de milhares 9 2 3 2 2" xfId="1656" xr:uid="{00000000-0005-0000-0000-0000A1060000}"/>
    <cellStyle name="Separador de milhares 9 2 3 2 2 2" xfId="3767" xr:uid="{00000000-0005-0000-0000-0000E00E0000}"/>
    <cellStyle name="Separador de milhares 9 2 3 2 3" xfId="2950" xr:uid="{00000000-0005-0000-0000-0000AF0B0000}"/>
    <cellStyle name="Separador de milhares 9 2 3 3" xfId="1229" xr:uid="{00000000-0005-0000-0000-0000F6040000}"/>
    <cellStyle name="Separador de milhares 9 2 3 3 2" xfId="3340" xr:uid="{00000000-0005-0000-0000-0000350D0000}"/>
    <cellStyle name="Separador de milhares 9 2 3 4" xfId="2523" xr:uid="{00000000-0005-0000-0000-0000040A0000}"/>
    <cellStyle name="Separador de milhares 9 2 4" xfId="633" xr:uid="{00000000-0005-0000-0000-0000A2020000}"/>
    <cellStyle name="Separador de milhares 9 2 4 2" xfId="1464" xr:uid="{00000000-0005-0000-0000-0000E1050000}"/>
    <cellStyle name="Separador de milhares 9 2 4 2 2" xfId="3575" xr:uid="{00000000-0005-0000-0000-0000200E0000}"/>
    <cellStyle name="Separador de milhares 9 2 4 3" xfId="2758" xr:uid="{00000000-0005-0000-0000-0000EF0A0000}"/>
    <cellStyle name="Separador de milhares 9 2 5" xfId="1037" xr:uid="{00000000-0005-0000-0000-000036040000}"/>
    <cellStyle name="Separador de milhares 9 2 5 2" xfId="3148" xr:uid="{00000000-0005-0000-0000-0000750C0000}"/>
    <cellStyle name="Separador de milhares 9 2 6" xfId="2332" xr:uid="{00000000-0005-0000-0000-000045090000}"/>
    <cellStyle name="Separador de milhares 9 3" xfId="253" xr:uid="{00000000-0005-0000-0000-000026010000}"/>
    <cellStyle name="Separador de milhares 9 3 2" xfId="446" xr:uid="{00000000-0005-0000-0000-0000E7010000}"/>
    <cellStyle name="Separador de milhares 9 3 2 2" xfId="891" xr:uid="{00000000-0005-0000-0000-0000A4030000}"/>
    <cellStyle name="Separador de milhares 9 3 2 2 2" xfId="1720" xr:uid="{00000000-0005-0000-0000-0000E1060000}"/>
    <cellStyle name="Separador de milhares 9 3 2 2 2 2" xfId="3831" xr:uid="{00000000-0005-0000-0000-0000200F0000}"/>
    <cellStyle name="Separador de milhares 9 3 2 2 3" xfId="3014" xr:uid="{00000000-0005-0000-0000-0000EF0B0000}"/>
    <cellStyle name="Separador de milhares 9 3 2 3" xfId="1293" xr:uid="{00000000-0005-0000-0000-000036050000}"/>
    <cellStyle name="Separador de milhares 9 3 2 3 2" xfId="3404" xr:uid="{00000000-0005-0000-0000-0000750D0000}"/>
    <cellStyle name="Separador de milhares 9 3 2 4" xfId="2587" xr:uid="{00000000-0005-0000-0000-0000440A0000}"/>
    <cellStyle name="Separador de milhares 9 3 3" xfId="699" xr:uid="{00000000-0005-0000-0000-0000E4020000}"/>
    <cellStyle name="Separador de milhares 9 3 3 2" xfId="1528" xr:uid="{00000000-0005-0000-0000-000021060000}"/>
    <cellStyle name="Separador de milhares 9 3 3 2 2" xfId="3639" xr:uid="{00000000-0005-0000-0000-0000600E0000}"/>
    <cellStyle name="Separador de milhares 9 3 3 3" xfId="2822" xr:uid="{00000000-0005-0000-0000-00002F0B0000}"/>
    <cellStyle name="Separador de milhares 9 3 4" xfId="1101" xr:uid="{00000000-0005-0000-0000-000076040000}"/>
    <cellStyle name="Separador de milhares 9 3 4 2" xfId="3212" xr:uid="{00000000-0005-0000-0000-0000B50C0000}"/>
    <cellStyle name="Separador de milhares 9 3 5" xfId="2395" xr:uid="{00000000-0005-0000-0000-000084090000}"/>
    <cellStyle name="Separador de milhares 9 4" xfId="350" xr:uid="{00000000-0005-0000-0000-000087010000}"/>
    <cellStyle name="Separador de milhares 9 4 2" xfId="795" xr:uid="{00000000-0005-0000-0000-000044030000}"/>
    <cellStyle name="Separador de milhares 9 4 2 2" xfId="1624" xr:uid="{00000000-0005-0000-0000-000081060000}"/>
    <cellStyle name="Separador de milhares 9 4 2 2 2" xfId="3735" xr:uid="{00000000-0005-0000-0000-0000C00E0000}"/>
    <cellStyle name="Separador de milhares 9 4 2 3" xfId="2918" xr:uid="{00000000-0005-0000-0000-00008F0B0000}"/>
    <cellStyle name="Separador de milhares 9 4 3" xfId="1197" xr:uid="{00000000-0005-0000-0000-0000D6040000}"/>
    <cellStyle name="Separador de milhares 9 4 3 2" xfId="3308" xr:uid="{00000000-0005-0000-0000-0000150D0000}"/>
    <cellStyle name="Separador de milhares 9 4 4" xfId="2491" xr:uid="{00000000-0005-0000-0000-0000E4090000}"/>
    <cellStyle name="Separador de milhares 9 5" xfId="601" xr:uid="{00000000-0005-0000-0000-000082020000}"/>
    <cellStyle name="Separador de milhares 9 5 2" xfId="1432" xr:uid="{00000000-0005-0000-0000-0000C1050000}"/>
    <cellStyle name="Separador de milhares 9 5 2 2" xfId="3543" xr:uid="{00000000-0005-0000-0000-0000000E0000}"/>
    <cellStyle name="Separador de milhares 9 5 3" xfId="2726" xr:uid="{00000000-0005-0000-0000-0000CF0A0000}"/>
    <cellStyle name="Separador de milhares 9 6" xfId="1005" xr:uid="{00000000-0005-0000-0000-000016040000}"/>
    <cellStyle name="Separador de milhares 9 6 2" xfId="3116" xr:uid="{00000000-0005-0000-0000-0000550C0000}"/>
    <cellStyle name="Separador de milhares 9 7" xfId="2300" xr:uid="{00000000-0005-0000-0000-000025090000}"/>
    <cellStyle name="Título 1 1" xfId="31" xr:uid="{00000000-0005-0000-0000-000048000000}"/>
    <cellStyle name="Título 5" xfId="33" xr:uid="{00000000-0005-0000-0000-00004A000000}"/>
    <cellStyle name="Vírgula" xfId="1" builtinId="3"/>
    <cellStyle name="Vírgula 10" xfId="1973" xr:uid="{00000000-0005-0000-0000-0000DE070000}"/>
    <cellStyle name="Vírgula 10 2" xfId="2186" xr:uid="{00000000-0005-0000-0000-0000B3080000}"/>
    <cellStyle name="Vírgula 10 2 2" xfId="4252" xr:uid="{00000000-0005-0000-0000-0000C5100000}"/>
    <cellStyle name="Vírgula 10 3" xfId="2228" xr:uid="{00000000-0005-0000-0000-0000DD080000}"/>
    <cellStyle name="Vírgula 10 4" xfId="4066" xr:uid="{00000000-0005-0000-0000-00000B100000}"/>
    <cellStyle name="Vírgula 11" xfId="2020" xr:uid="{00000000-0005-0000-0000-00000D080000}"/>
    <cellStyle name="Vírgula 11 2" xfId="2229" xr:uid="{00000000-0005-0000-0000-0000DE080000}"/>
    <cellStyle name="Vírgula 11 3" xfId="4088" xr:uid="{00000000-0005-0000-0000-000021100000}"/>
    <cellStyle name="Vírgula 12" xfId="2230" xr:uid="{00000000-0005-0000-0000-0000DF080000}"/>
    <cellStyle name="Vírgula 13" xfId="4273" xr:uid="{00000000-0005-0000-0000-0000DA100000}"/>
    <cellStyle name="Vírgula 2" xfId="8" xr:uid="{00000000-0005-0000-0000-000031000000}"/>
    <cellStyle name="Vírgula 2 10" xfId="1978" xr:uid="{00000000-0005-0000-0000-0000E3070000}"/>
    <cellStyle name="Vírgula 2 10 2" xfId="2187" xr:uid="{00000000-0005-0000-0000-0000B4080000}"/>
    <cellStyle name="Vírgula 2 10 2 2" xfId="4253" xr:uid="{00000000-0005-0000-0000-0000C6100000}"/>
    <cellStyle name="Vírgula 2 10 3" xfId="4067" xr:uid="{00000000-0005-0000-0000-00000C100000}"/>
    <cellStyle name="Vírgula 2 11" xfId="2023" xr:uid="{00000000-0005-0000-0000-000010080000}"/>
    <cellStyle name="Vírgula 2 11 2" xfId="4089" xr:uid="{00000000-0005-0000-0000-000022100000}"/>
    <cellStyle name="Vírgula 2 12" xfId="2240" xr:uid="{00000000-0005-0000-0000-0000E9080000}"/>
    <cellStyle name="Vírgula 2 2" xfId="2" xr:uid="{00000000-0005-0000-0000-000002000000}"/>
    <cellStyle name="Vírgula 2 2 2" xfId="48" xr:uid="{00000000-0005-0000-0000-000059000000}"/>
    <cellStyle name="Vírgula 2 2 2 10" xfId="1806" xr:uid="{00000000-0005-0000-0000-000037070000}"/>
    <cellStyle name="Vírgula 2 2 2 10 2" xfId="3916" xr:uid="{00000000-0005-0000-0000-0000750F0000}"/>
    <cellStyle name="Vírgula 2 2 2 11" xfId="2252" xr:uid="{00000000-0005-0000-0000-0000F5080000}"/>
    <cellStyle name="Vírgula 2 2 2 2" xfId="74" xr:uid="{00000000-0005-0000-0000-000073000000}"/>
    <cellStyle name="Vírgula 2 2 2 2 2" xfId="319" xr:uid="{00000000-0005-0000-0000-000068010000}"/>
    <cellStyle name="Vírgula 2 2 2 2 2 2" xfId="511" xr:uid="{00000000-0005-0000-0000-000028020000}"/>
    <cellStyle name="Vírgula 2 2 2 2 2 2 2" xfId="956" xr:uid="{00000000-0005-0000-0000-0000E5030000}"/>
    <cellStyle name="Vírgula 2 2 2 2 2 2 2 2" xfId="1785" xr:uid="{00000000-0005-0000-0000-000022070000}"/>
    <cellStyle name="Vírgula 2 2 2 2 2 2 2 2 2" xfId="3896" xr:uid="{00000000-0005-0000-0000-0000610F0000}"/>
    <cellStyle name="Vírgula 2 2 2 2 2 2 2 3" xfId="2177" xr:uid="{00000000-0005-0000-0000-0000AA080000}"/>
    <cellStyle name="Vírgula 2 2 2 2 2 2 2 3 2" xfId="4243" xr:uid="{00000000-0005-0000-0000-0000BC100000}"/>
    <cellStyle name="Vírgula 2 2 2 2 2 2 2 4" xfId="3079" xr:uid="{00000000-0005-0000-0000-0000300C0000}"/>
    <cellStyle name="Vírgula 2 2 2 2 2 2 3" xfId="1358" xr:uid="{00000000-0005-0000-0000-000077050000}"/>
    <cellStyle name="Vírgula 2 2 2 2 2 2 3 2" xfId="3469" xr:uid="{00000000-0005-0000-0000-0000B60D0000}"/>
    <cellStyle name="Vírgula 2 2 2 2 2 2 4" xfId="1963" xr:uid="{00000000-0005-0000-0000-0000D4070000}"/>
    <cellStyle name="Vírgula 2 2 2 2 2 2 4 2" xfId="4057" xr:uid="{00000000-0005-0000-0000-000002100000}"/>
    <cellStyle name="Vírgula 2 2 2 2 2 2 5" xfId="2652" xr:uid="{00000000-0005-0000-0000-0000850A0000}"/>
    <cellStyle name="Vírgula 2 2 2 2 2 3" xfId="764" xr:uid="{00000000-0005-0000-0000-000025030000}"/>
    <cellStyle name="Vírgula 2 2 2 2 2 3 2" xfId="1593" xr:uid="{00000000-0005-0000-0000-000062060000}"/>
    <cellStyle name="Vírgula 2 2 2 2 2 3 2 2" xfId="3704" xr:uid="{00000000-0005-0000-0000-0000A10E0000}"/>
    <cellStyle name="Vírgula 2 2 2 2 2 3 3" xfId="2097" xr:uid="{00000000-0005-0000-0000-00005A080000}"/>
    <cellStyle name="Vírgula 2 2 2 2 2 3 3 2" xfId="4163" xr:uid="{00000000-0005-0000-0000-00006C100000}"/>
    <cellStyle name="Vírgula 2 2 2 2 2 3 4" xfId="2887" xr:uid="{00000000-0005-0000-0000-0000700B0000}"/>
    <cellStyle name="Vírgula 2 2 2 2 2 4" xfId="1166" xr:uid="{00000000-0005-0000-0000-0000B7040000}"/>
    <cellStyle name="Vírgula 2 2 2 2 2 4 2" xfId="3277" xr:uid="{00000000-0005-0000-0000-0000F60C0000}"/>
    <cellStyle name="Vírgula 2 2 2 2 2 5" xfId="1878" xr:uid="{00000000-0005-0000-0000-00007F070000}"/>
    <cellStyle name="Vírgula 2 2 2 2 2 5 2" xfId="3977" xr:uid="{00000000-0005-0000-0000-0000B20F0000}"/>
    <cellStyle name="Vírgula 2 2 2 2 2 6" xfId="2460" xr:uid="{00000000-0005-0000-0000-0000C5090000}"/>
    <cellStyle name="Vírgula 2 2 2 2 3" xfId="415" xr:uid="{00000000-0005-0000-0000-0000C8010000}"/>
    <cellStyle name="Vírgula 2 2 2 2 3 2" xfId="860" xr:uid="{00000000-0005-0000-0000-000085030000}"/>
    <cellStyle name="Vírgula 2 2 2 2 3 2 2" xfId="1689" xr:uid="{00000000-0005-0000-0000-0000C2060000}"/>
    <cellStyle name="Vírgula 2 2 2 2 3 2 2 2" xfId="3800" xr:uid="{00000000-0005-0000-0000-0000010F0000}"/>
    <cellStyle name="Vírgula 2 2 2 2 3 2 3" xfId="2135" xr:uid="{00000000-0005-0000-0000-000080080000}"/>
    <cellStyle name="Vírgula 2 2 2 2 3 2 3 2" xfId="4201" xr:uid="{00000000-0005-0000-0000-000092100000}"/>
    <cellStyle name="Vírgula 2 2 2 2 3 2 4" xfId="2983" xr:uid="{00000000-0005-0000-0000-0000D00B0000}"/>
    <cellStyle name="Vírgula 2 2 2 2 3 3" xfId="1262" xr:uid="{00000000-0005-0000-0000-000017050000}"/>
    <cellStyle name="Vírgula 2 2 2 2 3 3 2" xfId="3373" xr:uid="{00000000-0005-0000-0000-0000560D0000}"/>
    <cellStyle name="Vírgula 2 2 2 2 3 4" xfId="1921" xr:uid="{00000000-0005-0000-0000-0000AA070000}"/>
    <cellStyle name="Vírgula 2 2 2 2 3 4 2" xfId="4015" xr:uid="{00000000-0005-0000-0000-0000D80F0000}"/>
    <cellStyle name="Vírgula 2 2 2 2 3 5" xfId="2556" xr:uid="{00000000-0005-0000-0000-0000250A0000}"/>
    <cellStyle name="Vírgula 2 2 2 2 4" xfId="668" xr:uid="{00000000-0005-0000-0000-0000C5020000}"/>
    <cellStyle name="Vírgula 2 2 2 2 4 2" xfId="1497" xr:uid="{00000000-0005-0000-0000-000002060000}"/>
    <cellStyle name="Vírgula 2 2 2 2 4 2 2" xfId="2200" xr:uid="{00000000-0005-0000-0000-0000C1080000}"/>
    <cellStyle name="Vírgula 2 2 2 2 4 2 2 2" xfId="4266" xr:uid="{00000000-0005-0000-0000-0000D3100000}"/>
    <cellStyle name="Vírgula 2 2 2 2 4 2 3" xfId="3608" xr:uid="{00000000-0005-0000-0000-0000410E0000}"/>
    <cellStyle name="Vírgula 2 2 2 2 4 3" xfId="1993" xr:uid="{00000000-0005-0000-0000-0000F2070000}"/>
    <cellStyle name="Vírgula 2 2 2 2 4 3 2" xfId="4080" xr:uid="{00000000-0005-0000-0000-000019100000}"/>
    <cellStyle name="Vírgula 2 2 2 2 4 4" xfId="2791" xr:uid="{00000000-0005-0000-0000-0000100B0000}"/>
    <cellStyle name="Vírgula 2 2 2 2 5" xfId="556" xr:uid="{00000000-0005-0000-0000-000055020000}"/>
    <cellStyle name="Vírgula 2 2 2 2 5 2" xfId="1403" xr:uid="{00000000-0005-0000-0000-0000A4050000}"/>
    <cellStyle name="Vírgula 2 2 2 2 5 2 2" xfId="3514" xr:uid="{00000000-0005-0000-0000-0000E30D0000}"/>
    <cellStyle name="Vírgula 2 2 2 2 5 3" xfId="2055" xr:uid="{00000000-0005-0000-0000-000030080000}"/>
    <cellStyle name="Vírgula 2 2 2 2 5 3 2" xfId="4121" xr:uid="{00000000-0005-0000-0000-000042100000}"/>
    <cellStyle name="Vírgula 2 2 2 2 5 4" xfId="2697" xr:uid="{00000000-0005-0000-0000-0000B20A0000}"/>
    <cellStyle name="Vírgula 2 2 2 2 6" xfId="214" xr:uid="{00000000-0005-0000-0000-0000FF000000}"/>
    <cellStyle name="Vírgula 2 2 2 2 6 2" xfId="2365" xr:uid="{00000000-0005-0000-0000-000066090000}"/>
    <cellStyle name="Vírgula 2 2 2 2 7" xfId="1070" xr:uid="{00000000-0005-0000-0000-000057040000}"/>
    <cellStyle name="Vírgula 2 2 2 2 7 2" xfId="3181" xr:uid="{00000000-0005-0000-0000-0000960C0000}"/>
    <cellStyle name="Vírgula 2 2 2 2 8" xfId="1825" xr:uid="{00000000-0005-0000-0000-00004A070000}"/>
    <cellStyle name="Vírgula 2 2 2 2 8 2" xfId="3935" xr:uid="{00000000-0005-0000-0000-0000880F0000}"/>
    <cellStyle name="Vírgula 2 2 2 2 9" xfId="2271" xr:uid="{00000000-0005-0000-0000-000008090000}"/>
    <cellStyle name="Vírgula 2 2 2 3" xfId="265" xr:uid="{00000000-0005-0000-0000-000032010000}"/>
    <cellStyle name="Vírgula 2 2 2 3 2" xfId="458" xr:uid="{00000000-0005-0000-0000-0000F3010000}"/>
    <cellStyle name="Vírgula 2 2 2 3 2 2" xfId="903" xr:uid="{00000000-0005-0000-0000-0000B0030000}"/>
    <cellStyle name="Vírgula 2 2 2 3 2 2 2" xfId="1732" xr:uid="{00000000-0005-0000-0000-0000ED060000}"/>
    <cellStyle name="Vírgula 2 2 2 3 2 2 2 2" xfId="3843" xr:uid="{00000000-0005-0000-0000-00002C0F0000}"/>
    <cellStyle name="Vírgula 2 2 2 3 2 2 3" xfId="2158" xr:uid="{00000000-0005-0000-0000-000097080000}"/>
    <cellStyle name="Vírgula 2 2 2 3 2 2 3 2" xfId="4224" xr:uid="{00000000-0005-0000-0000-0000A9100000}"/>
    <cellStyle name="Vírgula 2 2 2 3 2 2 4" xfId="3026" xr:uid="{00000000-0005-0000-0000-0000FB0B0000}"/>
    <cellStyle name="Vírgula 2 2 2 3 2 3" xfId="1305" xr:uid="{00000000-0005-0000-0000-000042050000}"/>
    <cellStyle name="Vírgula 2 2 2 3 2 3 2" xfId="3416" xr:uid="{00000000-0005-0000-0000-0000810D0000}"/>
    <cellStyle name="Vírgula 2 2 2 3 2 4" xfId="1944" xr:uid="{00000000-0005-0000-0000-0000C1070000}"/>
    <cellStyle name="Vírgula 2 2 2 3 2 4 2" xfId="4038" xr:uid="{00000000-0005-0000-0000-0000EF0F0000}"/>
    <cellStyle name="Vírgula 2 2 2 3 2 5" xfId="2599" xr:uid="{00000000-0005-0000-0000-0000500A0000}"/>
    <cellStyle name="Vírgula 2 2 2 3 3" xfId="711" xr:uid="{00000000-0005-0000-0000-0000F0020000}"/>
    <cellStyle name="Vírgula 2 2 2 3 3 2" xfId="1540" xr:uid="{00000000-0005-0000-0000-00002D060000}"/>
    <cellStyle name="Vírgula 2 2 2 3 3 2 2" xfId="3651" xr:uid="{00000000-0005-0000-0000-00006C0E0000}"/>
    <cellStyle name="Vírgula 2 2 2 3 3 3" xfId="2078" xr:uid="{00000000-0005-0000-0000-000047080000}"/>
    <cellStyle name="Vírgula 2 2 2 3 3 3 2" xfId="4144" xr:uid="{00000000-0005-0000-0000-000059100000}"/>
    <cellStyle name="Vírgula 2 2 2 3 3 4" xfId="2834" xr:uid="{00000000-0005-0000-0000-00003B0B0000}"/>
    <cellStyle name="Vírgula 2 2 2 3 4" xfId="1113" xr:uid="{00000000-0005-0000-0000-000082040000}"/>
    <cellStyle name="Vírgula 2 2 2 3 4 2" xfId="3224" xr:uid="{00000000-0005-0000-0000-0000C10C0000}"/>
    <cellStyle name="Vírgula 2 2 2 3 5" xfId="1857" xr:uid="{00000000-0005-0000-0000-00006A070000}"/>
    <cellStyle name="Vírgula 2 2 2 3 5 2" xfId="3958" xr:uid="{00000000-0005-0000-0000-00009F0F0000}"/>
    <cellStyle name="Vírgula 2 2 2 3 6" xfId="2407" xr:uid="{00000000-0005-0000-0000-000090090000}"/>
    <cellStyle name="Vírgula 2 2 2 4" xfId="362" xr:uid="{00000000-0005-0000-0000-000093010000}"/>
    <cellStyle name="Vírgula 2 2 2 4 2" xfId="807" xr:uid="{00000000-0005-0000-0000-000050030000}"/>
    <cellStyle name="Vírgula 2 2 2 4 2 2" xfId="1636" xr:uid="{00000000-0005-0000-0000-00008D060000}"/>
    <cellStyle name="Vírgula 2 2 2 4 2 2 2" xfId="3747" xr:uid="{00000000-0005-0000-0000-0000CC0E0000}"/>
    <cellStyle name="Vírgula 2 2 2 4 2 3" xfId="2116" xr:uid="{00000000-0005-0000-0000-00006D080000}"/>
    <cellStyle name="Vírgula 2 2 2 4 2 3 2" xfId="4182" xr:uid="{00000000-0005-0000-0000-00007F100000}"/>
    <cellStyle name="Vírgula 2 2 2 4 2 4" xfId="2930" xr:uid="{00000000-0005-0000-0000-00009B0B0000}"/>
    <cellStyle name="Vírgula 2 2 2 4 3" xfId="1209" xr:uid="{00000000-0005-0000-0000-0000E2040000}"/>
    <cellStyle name="Vírgula 2 2 2 4 3 2" xfId="3320" xr:uid="{00000000-0005-0000-0000-0000210D0000}"/>
    <cellStyle name="Vírgula 2 2 2 4 4" xfId="1902" xr:uid="{00000000-0005-0000-0000-000097070000}"/>
    <cellStyle name="Vírgula 2 2 2 4 4 2" xfId="3996" xr:uid="{00000000-0005-0000-0000-0000C50F0000}"/>
    <cellStyle name="Vírgula 2 2 2 4 5" xfId="2503" xr:uid="{00000000-0005-0000-0000-0000F0090000}"/>
    <cellStyle name="Vírgula 2 2 2 5" xfId="613" xr:uid="{00000000-0005-0000-0000-00008E020000}"/>
    <cellStyle name="Vírgula 2 2 2 5 2" xfId="1444" xr:uid="{00000000-0005-0000-0000-0000CD050000}"/>
    <cellStyle name="Vírgula 2 2 2 5 2 2" xfId="2193" xr:uid="{00000000-0005-0000-0000-0000BA080000}"/>
    <cellStyle name="Vírgula 2 2 2 5 2 2 2" xfId="4259" xr:uid="{00000000-0005-0000-0000-0000CC100000}"/>
    <cellStyle name="Vírgula 2 2 2 5 2 3" xfId="3555" xr:uid="{00000000-0005-0000-0000-00000C0E0000}"/>
    <cellStyle name="Vírgula 2 2 2 5 3" xfId="1985" xr:uid="{00000000-0005-0000-0000-0000EA070000}"/>
    <cellStyle name="Vírgula 2 2 2 5 3 2" xfId="4073" xr:uid="{00000000-0005-0000-0000-000012100000}"/>
    <cellStyle name="Vírgula 2 2 2 5 4" xfId="2738" xr:uid="{00000000-0005-0000-0000-0000DB0A0000}"/>
    <cellStyle name="Vírgula 2 2 2 6" xfId="537" xr:uid="{00000000-0005-0000-0000-000042020000}"/>
    <cellStyle name="Vírgula 2 2 2 6 2" xfId="1384" xr:uid="{00000000-0005-0000-0000-000091050000}"/>
    <cellStyle name="Vírgula 2 2 2 6 2 2" xfId="3495" xr:uid="{00000000-0005-0000-0000-0000D00D0000}"/>
    <cellStyle name="Vírgula 2 2 2 6 3" xfId="2036" xr:uid="{00000000-0005-0000-0000-00001D080000}"/>
    <cellStyle name="Vírgula 2 2 2 6 3 2" xfId="4102" xr:uid="{00000000-0005-0000-0000-00002F100000}"/>
    <cellStyle name="Vírgula 2 2 2 6 4" xfId="2678" xr:uid="{00000000-0005-0000-0000-00009F0A0000}"/>
    <cellStyle name="Vírgula 2 2 2 7" xfId="142" xr:uid="{00000000-0005-0000-0000-0000B7000000}"/>
    <cellStyle name="Vírgula 2 2 2 7 2" xfId="2312" xr:uid="{00000000-0005-0000-0000-000031090000}"/>
    <cellStyle name="Vírgula 2 2 2 8" xfId="973" xr:uid="{00000000-0005-0000-0000-0000F6030000}"/>
    <cellStyle name="Vírgula 2 2 2 8 2" xfId="3091" xr:uid="{00000000-0005-0000-0000-00003C0C0000}"/>
    <cellStyle name="Vírgula 2 2 2 9" xfId="1017" xr:uid="{00000000-0005-0000-0000-000022040000}"/>
    <cellStyle name="Vírgula 2 2 2 9 2" xfId="3128" xr:uid="{00000000-0005-0000-0000-0000610C0000}"/>
    <cellStyle name="Vírgula 2 2 3" xfId="32" xr:uid="{00000000-0005-0000-0000-000049000000}"/>
    <cellStyle name="Vírgula 2 2 3 10" xfId="2248" xr:uid="{00000000-0005-0000-0000-0000F1080000}"/>
    <cellStyle name="Vírgula 2 2 3 2" xfId="70" xr:uid="{00000000-0005-0000-0000-00006F000000}"/>
    <cellStyle name="Vírgula 2 2 3 2 2" xfId="507" xr:uid="{00000000-0005-0000-0000-000024020000}"/>
    <cellStyle name="Vírgula 2 2 3 2 2 2" xfId="952" xr:uid="{00000000-0005-0000-0000-0000E1030000}"/>
    <cellStyle name="Vírgula 2 2 3 2 2 2 2" xfId="1781" xr:uid="{00000000-0005-0000-0000-00001E070000}"/>
    <cellStyle name="Vírgula 2 2 3 2 2 2 2 2" xfId="2173" xr:uid="{00000000-0005-0000-0000-0000A6080000}"/>
    <cellStyle name="Vírgula 2 2 3 2 2 2 2 2 2" xfId="4239" xr:uid="{00000000-0005-0000-0000-0000B8100000}"/>
    <cellStyle name="Vírgula 2 2 3 2 2 2 2 3" xfId="3892" xr:uid="{00000000-0005-0000-0000-00005D0F0000}"/>
    <cellStyle name="Vírgula 2 2 3 2 2 2 3" xfId="1959" xr:uid="{00000000-0005-0000-0000-0000D0070000}"/>
    <cellStyle name="Vírgula 2 2 3 2 2 2 3 2" xfId="4053" xr:uid="{00000000-0005-0000-0000-0000FE0F0000}"/>
    <cellStyle name="Vírgula 2 2 3 2 2 2 4" xfId="3075" xr:uid="{00000000-0005-0000-0000-00002C0C0000}"/>
    <cellStyle name="Vírgula 2 2 3 2 2 3" xfId="1354" xr:uid="{00000000-0005-0000-0000-000073050000}"/>
    <cellStyle name="Vírgula 2 2 3 2 2 3 2" xfId="2093" xr:uid="{00000000-0005-0000-0000-000056080000}"/>
    <cellStyle name="Vírgula 2 2 3 2 2 3 2 2" xfId="4159" xr:uid="{00000000-0005-0000-0000-000068100000}"/>
    <cellStyle name="Vírgula 2 2 3 2 2 3 3" xfId="3465" xr:uid="{00000000-0005-0000-0000-0000B20D0000}"/>
    <cellStyle name="Vírgula 2 2 3 2 2 4" xfId="1874" xr:uid="{00000000-0005-0000-0000-00007B070000}"/>
    <cellStyle name="Vírgula 2 2 3 2 2 4 2" xfId="3973" xr:uid="{00000000-0005-0000-0000-0000AE0F0000}"/>
    <cellStyle name="Vírgula 2 2 3 2 2 5" xfId="2648" xr:uid="{00000000-0005-0000-0000-0000810A0000}"/>
    <cellStyle name="Vírgula 2 2 3 2 3" xfId="760" xr:uid="{00000000-0005-0000-0000-000021030000}"/>
    <cellStyle name="Vírgula 2 2 3 2 3 2" xfId="1589" xr:uid="{00000000-0005-0000-0000-00005E060000}"/>
    <cellStyle name="Vírgula 2 2 3 2 3 2 2" xfId="2131" xr:uid="{00000000-0005-0000-0000-00007C080000}"/>
    <cellStyle name="Vírgula 2 2 3 2 3 2 2 2" xfId="4197" xr:uid="{00000000-0005-0000-0000-00008E100000}"/>
    <cellStyle name="Vírgula 2 2 3 2 3 2 3" xfId="3700" xr:uid="{00000000-0005-0000-0000-00009D0E0000}"/>
    <cellStyle name="Vírgula 2 2 3 2 3 3" xfId="1917" xr:uid="{00000000-0005-0000-0000-0000A6070000}"/>
    <cellStyle name="Vírgula 2 2 3 2 3 3 2" xfId="4011" xr:uid="{00000000-0005-0000-0000-0000D40F0000}"/>
    <cellStyle name="Vírgula 2 2 3 2 3 4" xfId="2883" xr:uid="{00000000-0005-0000-0000-00006C0B0000}"/>
    <cellStyle name="Vírgula 2 2 3 2 4" xfId="552" xr:uid="{00000000-0005-0000-0000-000051020000}"/>
    <cellStyle name="Vírgula 2 2 3 2 4 2" xfId="1399" xr:uid="{00000000-0005-0000-0000-0000A0050000}"/>
    <cellStyle name="Vírgula 2 2 3 2 4 2 2" xfId="3510" xr:uid="{00000000-0005-0000-0000-0000DF0D0000}"/>
    <cellStyle name="Vírgula 2 2 3 2 4 3" xfId="2051" xr:uid="{00000000-0005-0000-0000-00002C080000}"/>
    <cellStyle name="Vírgula 2 2 3 2 4 3 2" xfId="4117" xr:uid="{00000000-0005-0000-0000-00003E100000}"/>
    <cellStyle name="Vírgula 2 2 3 2 4 4" xfId="2693" xr:uid="{00000000-0005-0000-0000-0000AE0A0000}"/>
    <cellStyle name="Vírgula 2 2 3 2 5" xfId="315" xr:uid="{00000000-0005-0000-0000-000064010000}"/>
    <cellStyle name="Vírgula 2 2 3 2 5 2" xfId="2456" xr:uid="{00000000-0005-0000-0000-0000C1090000}"/>
    <cellStyle name="Vírgula 2 2 3 2 6" xfId="1162" xr:uid="{00000000-0005-0000-0000-0000B3040000}"/>
    <cellStyle name="Vírgula 2 2 3 2 6 2" xfId="3273" xr:uid="{00000000-0005-0000-0000-0000F20C0000}"/>
    <cellStyle name="Vírgula 2 2 3 2 7" xfId="1821" xr:uid="{00000000-0005-0000-0000-000046070000}"/>
    <cellStyle name="Vírgula 2 2 3 2 7 2" xfId="3931" xr:uid="{00000000-0005-0000-0000-0000840F0000}"/>
    <cellStyle name="Vírgula 2 2 3 2 8" xfId="2267" xr:uid="{00000000-0005-0000-0000-000004090000}"/>
    <cellStyle name="Vírgula 2 2 3 3" xfId="411" xr:uid="{00000000-0005-0000-0000-0000C4010000}"/>
    <cellStyle name="Vírgula 2 2 3 3 2" xfId="856" xr:uid="{00000000-0005-0000-0000-000081030000}"/>
    <cellStyle name="Vírgula 2 2 3 3 2 2" xfId="1685" xr:uid="{00000000-0005-0000-0000-0000BE060000}"/>
    <cellStyle name="Vírgula 2 2 3 3 2 2 2" xfId="2154" xr:uid="{00000000-0005-0000-0000-000093080000}"/>
    <cellStyle name="Vírgula 2 2 3 3 2 2 2 2" xfId="4220" xr:uid="{00000000-0005-0000-0000-0000A5100000}"/>
    <cellStyle name="Vírgula 2 2 3 3 2 2 3" xfId="3796" xr:uid="{00000000-0005-0000-0000-0000FD0E0000}"/>
    <cellStyle name="Vírgula 2 2 3 3 2 3" xfId="1940" xr:uid="{00000000-0005-0000-0000-0000BD070000}"/>
    <cellStyle name="Vírgula 2 2 3 3 2 3 2" xfId="4034" xr:uid="{00000000-0005-0000-0000-0000EB0F0000}"/>
    <cellStyle name="Vírgula 2 2 3 3 2 4" xfId="2979" xr:uid="{00000000-0005-0000-0000-0000CC0B0000}"/>
    <cellStyle name="Vírgula 2 2 3 3 3" xfId="1258" xr:uid="{00000000-0005-0000-0000-000013050000}"/>
    <cellStyle name="Vírgula 2 2 3 3 3 2" xfId="2074" xr:uid="{00000000-0005-0000-0000-000043080000}"/>
    <cellStyle name="Vírgula 2 2 3 3 3 2 2" xfId="4140" xr:uid="{00000000-0005-0000-0000-000055100000}"/>
    <cellStyle name="Vírgula 2 2 3 3 3 3" xfId="3369" xr:uid="{00000000-0005-0000-0000-0000520D0000}"/>
    <cellStyle name="Vírgula 2 2 3 3 4" xfId="1852" xr:uid="{00000000-0005-0000-0000-000065070000}"/>
    <cellStyle name="Vírgula 2 2 3 3 4 2" xfId="3954" xr:uid="{00000000-0005-0000-0000-00009B0F0000}"/>
    <cellStyle name="Vírgula 2 2 3 3 5" xfId="2552" xr:uid="{00000000-0005-0000-0000-0000210A0000}"/>
    <cellStyle name="Vírgula 2 2 3 4" xfId="664" xr:uid="{00000000-0005-0000-0000-0000C1020000}"/>
    <cellStyle name="Vírgula 2 2 3 4 2" xfId="1493" xr:uid="{00000000-0005-0000-0000-0000FE050000}"/>
    <cellStyle name="Vírgula 2 2 3 4 2 2" xfId="2112" xr:uid="{00000000-0005-0000-0000-000069080000}"/>
    <cellStyle name="Vírgula 2 2 3 4 2 2 2" xfId="4178" xr:uid="{00000000-0005-0000-0000-00007B100000}"/>
    <cellStyle name="Vírgula 2 2 3 4 2 3" xfId="3604" xr:uid="{00000000-0005-0000-0000-00003D0E0000}"/>
    <cellStyle name="Vírgula 2 2 3 4 3" xfId="1898" xr:uid="{00000000-0005-0000-0000-000093070000}"/>
    <cellStyle name="Vírgula 2 2 3 4 3 2" xfId="3992" xr:uid="{00000000-0005-0000-0000-0000C10F0000}"/>
    <cellStyle name="Vírgula 2 2 3 4 4" xfId="2787" xr:uid="{00000000-0005-0000-0000-00000C0B0000}"/>
    <cellStyle name="Vírgula 2 2 3 5" xfId="533" xr:uid="{00000000-0005-0000-0000-00003E020000}"/>
    <cellStyle name="Vírgula 2 2 3 5 2" xfId="1380" xr:uid="{00000000-0005-0000-0000-00008D050000}"/>
    <cellStyle name="Vírgula 2 2 3 5 2 2" xfId="3491" xr:uid="{00000000-0005-0000-0000-0000CC0D0000}"/>
    <cellStyle name="Vírgula 2 2 3 5 3" xfId="2032" xr:uid="{00000000-0005-0000-0000-000019080000}"/>
    <cellStyle name="Vírgula 2 2 3 5 3 2" xfId="4098" xr:uid="{00000000-0005-0000-0000-00002B100000}"/>
    <cellStyle name="Vírgula 2 2 3 5 4" xfId="2674" xr:uid="{00000000-0005-0000-0000-00009B0A0000}"/>
    <cellStyle name="Vírgula 2 2 3 6" xfId="209" xr:uid="{00000000-0005-0000-0000-0000FA000000}"/>
    <cellStyle name="Vírgula 2 2 3 6 2" xfId="2361" xr:uid="{00000000-0005-0000-0000-000062090000}"/>
    <cellStyle name="Vírgula 2 2 3 7" xfId="89" xr:uid="{00000000-0005-0000-0000-000082000000}"/>
    <cellStyle name="Vírgula 2 2 3 7 2" xfId="2281" xr:uid="{00000000-0005-0000-0000-000012090000}"/>
    <cellStyle name="Vírgula 2 2 3 8" xfId="1066" xr:uid="{00000000-0005-0000-0000-000053040000}"/>
    <cellStyle name="Vírgula 2 2 3 8 2" xfId="3177" xr:uid="{00000000-0005-0000-0000-0000920C0000}"/>
    <cellStyle name="Vírgula 2 2 3 9" xfId="1802" xr:uid="{00000000-0005-0000-0000-000033070000}"/>
    <cellStyle name="Vírgula 2 2 3 9 2" xfId="3912" xr:uid="{00000000-0005-0000-0000-0000710F0000}"/>
    <cellStyle name="Vírgula 2 2 4" xfId="65" xr:uid="{00000000-0005-0000-0000-00006A000000}"/>
    <cellStyle name="Vírgula 2 2 4 2" xfId="310" xr:uid="{00000000-0005-0000-0000-00005F010000}"/>
    <cellStyle name="Vírgula 2 2 4 2 2" xfId="502" xr:uid="{00000000-0005-0000-0000-00001F020000}"/>
    <cellStyle name="Vírgula 2 2 4 2 2 2" xfId="947" xr:uid="{00000000-0005-0000-0000-0000DC030000}"/>
    <cellStyle name="Vírgula 2 2 4 2 2 2 2" xfId="1776" xr:uid="{00000000-0005-0000-0000-000019070000}"/>
    <cellStyle name="Vírgula 2 2 4 2 2 2 2 2" xfId="3887" xr:uid="{00000000-0005-0000-0000-0000580F0000}"/>
    <cellStyle name="Vírgula 2 2 4 2 2 2 3" xfId="2168" xr:uid="{00000000-0005-0000-0000-0000A1080000}"/>
    <cellStyle name="Vírgula 2 2 4 2 2 2 3 2" xfId="4234" xr:uid="{00000000-0005-0000-0000-0000B3100000}"/>
    <cellStyle name="Vírgula 2 2 4 2 2 2 4" xfId="3070" xr:uid="{00000000-0005-0000-0000-0000270C0000}"/>
    <cellStyle name="Vírgula 2 2 4 2 2 3" xfId="1349" xr:uid="{00000000-0005-0000-0000-00006E050000}"/>
    <cellStyle name="Vírgula 2 2 4 2 2 3 2" xfId="3460" xr:uid="{00000000-0005-0000-0000-0000AD0D0000}"/>
    <cellStyle name="Vírgula 2 2 4 2 2 4" xfId="1954" xr:uid="{00000000-0005-0000-0000-0000CB070000}"/>
    <cellStyle name="Vírgula 2 2 4 2 2 4 2" xfId="4048" xr:uid="{00000000-0005-0000-0000-0000F90F0000}"/>
    <cellStyle name="Vírgula 2 2 4 2 2 5" xfId="2643" xr:uid="{00000000-0005-0000-0000-00007C0A0000}"/>
    <cellStyle name="Vírgula 2 2 4 2 3" xfId="755" xr:uid="{00000000-0005-0000-0000-00001C030000}"/>
    <cellStyle name="Vírgula 2 2 4 2 3 2" xfId="1584" xr:uid="{00000000-0005-0000-0000-000059060000}"/>
    <cellStyle name="Vírgula 2 2 4 2 3 2 2" xfId="3695" xr:uid="{00000000-0005-0000-0000-0000980E0000}"/>
    <cellStyle name="Vírgula 2 2 4 2 3 3" xfId="2088" xr:uid="{00000000-0005-0000-0000-000051080000}"/>
    <cellStyle name="Vírgula 2 2 4 2 3 3 2" xfId="4154" xr:uid="{00000000-0005-0000-0000-000063100000}"/>
    <cellStyle name="Vírgula 2 2 4 2 3 4" xfId="2878" xr:uid="{00000000-0005-0000-0000-0000670B0000}"/>
    <cellStyle name="Vírgula 2 2 4 2 4" xfId="1157" xr:uid="{00000000-0005-0000-0000-0000AE040000}"/>
    <cellStyle name="Vírgula 2 2 4 2 4 2" xfId="3268" xr:uid="{00000000-0005-0000-0000-0000ED0C0000}"/>
    <cellStyle name="Vírgula 2 2 4 2 5" xfId="1869" xr:uid="{00000000-0005-0000-0000-000076070000}"/>
    <cellStyle name="Vírgula 2 2 4 2 5 2" xfId="3968" xr:uid="{00000000-0005-0000-0000-0000A90F0000}"/>
    <cellStyle name="Vírgula 2 2 4 2 6" xfId="2451" xr:uid="{00000000-0005-0000-0000-0000BC090000}"/>
    <cellStyle name="Vírgula 2 2 4 3" xfId="406" xr:uid="{00000000-0005-0000-0000-0000BF010000}"/>
    <cellStyle name="Vírgula 2 2 4 3 2" xfId="851" xr:uid="{00000000-0005-0000-0000-00007C030000}"/>
    <cellStyle name="Vírgula 2 2 4 3 2 2" xfId="1680" xr:uid="{00000000-0005-0000-0000-0000B9060000}"/>
    <cellStyle name="Vírgula 2 2 4 3 2 2 2" xfId="3791" xr:uid="{00000000-0005-0000-0000-0000F80E0000}"/>
    <cellStyle name="Vírgula 2 2 4 3 2 3" xfId="2126" xr:uid="{00000000-0005-0000-0000-000077080000}"/>
    <cellStyle name="Vírgula 2 2 4 3 2 3 2" xfId="4192" xr:uid="{00000000-0005-0000-0000-000089100000}"/>
    <cellStyle name="Vírgula 2 2 4 3 2 4" xfId="2974" xr:uid="{00000000-0005-0000-0000-0000C70B0000}"/>
    <cellStyle name="Vírgula 2 2 4 3 3" xfId="1253" xr:uid="{00000000-0005-0000-0000-00000E050000}"/>
    <cellStyle name="Vírgula 2 2 4 3 3 2" xfId="3364" xr:uid="{00000000-0005-0000-0000-00004D0D0000}"/>
    <cellStyle name="Vírgula 2 2 4 3 4" xfId="1912" xr:uid="{00000000-0005-0000-0000-0000A1070000}"/>
    <cellStyle name="Vírgula 2 2 4 3 4 2" xfId="4006" xr:uid="{00000000-0005-0000-0000-0000CF0F0000}"/>
    <cellStyle name="Vírgula 2 2 4 3 5" xfId="2547" xr:uid="{00000000-0005-0000-0000-00001C0A0000}"/>
    <cellStyle name="Vírgula 2 2 4 4" xfId="659" xr:uid="{00000000-0005-0000-0000-0000BC020000}"/>
    <cellStyle name="Vírgula 2 2 4 4 2" xfId="1488" xr:uid="{00000000-0005-0000-0000-0000F9050000}"/>
    <cellStyle name="Vírgula 2 2 4 4 2 2" xfId="3599" xr:uid="{00000000-0005-0000-0000-0000380E0000}"/>
    <cellStyle name="Vírgula 2 2 4 4 3" xfId="2046" xr:uid="{00000000-0005-0000-0000-000027080000}"/>
    <cellStyle name="Vírgula 2 2 4 4 3 2" xfId="4112" xr:uid="{00000000-0005-0000-0000-000039100000}"/>
    <cellStyle name="Vírgula 2 2 4 4 4" xfId="2782" xr:uid="{00000000-0005-0000-0000-0000070B0000}"/>
    <cellStyle name="Vírgula 2 2 4 5" xfId="547" xr:uid="{00000000-0005-0000-0000-00004C020000}"/>
    <cellStyle name="Vírgula 2 2 4 5 2" xfId="1394" xr:uid="{00000000-0005-0000-0000-00009B050000}"/>
    <cellStyle name="Vírgula 2 2 4 5 2 2" xfId="3505" xr:uid="{00000000-0005-0000-0000-0000DA0D0000}"/>
    <cellStyle name="Vírgula 2 2 4 5 3" xfId="2688" xr:uid="{00000000-0005-0000-0000-0000A90A0000}"/>
    <cellStyle name="Vírgula 2 2 4 6" xfId="200" xr:uid="{00000000-0005-0000-0000-0000F1000000}"/>
    <cellStyle name="Vírgula 2 2 4 6 2" xfId="2356" xr:uid="{00000000-0005-0000-0000-00005D090000}"/>
    <cellStyle name="Vírgula 2 2 4 7" xfId="1061" xr:uid="{00000000-0005-0000-0000-00004E040000}"/>
    <cellStyle name="Vírgula 2 2 4 7 2" xfId="3172" xr:uid="{00000000-0005-0000-0000-00008D0C0000}"/>
    <cellStyle name="Vírgula 2 2 4 8" xfId="1816" xr:uid="{00000000-0005-0000-0000-000041070000}"/>
    <cellStyle name="Vírgula 2 2 4 8 2" xfId="3926" xr:uid="{00000000-0005-0000-0000-00007F0F0000}"/>
    <cellStyle name="Vírgula 2 2 4 9" xfId="2262" xr:uid="{00000000-0005-0000-0000-0000FF080000}"/>
    <cellStyle name="Vírgula 2 2 5" xfId="20" xr:uid="{00000000-0005-0000-0000-00003D000000}"/>
    <cellStyle name="Vírgula 2 2 5 2" xfId="528" xr:uid="{00000000-0005-0000-0000-000039020000}"/>
    <cellStyle name="Vírgula 2 2 5 2 2" xfId="2149" xr:uid="{00000000-0005-0000-0000-00008E080000}"/>
    <cellStyle name="Vírgula 2 2 5 2 2 2" xfId="4215" xr:uid="{00000000-0005-0000-0000-0000A0100000}"/>
    <cellStyle name="Vírgula 2 2 5 2 3" xfId="1935" xr:uid="{00000000-0005-0000-0000-0000B8070000}"/>
    <cellStyle name="Vírgula 2 2 5 2 3 2" xfId="4029" xr:uid="{00000000-0005-0000-0000-0000E60F0000}"/>
    <cellStyle name="Vírgula 2 2 5 2 4" xfId="2669" xr:uid="{00000000-0005-0000-0000-0000960A0000}"/>
    <cellStyle name="Vírgula 2 2 5 3" xfId="1375" xr:uid="{00000000-0005-0000-0000-000088050000}"/>
    <cellStyle name="Vírgula 2 2 5 3 2" xfId="2069" xr:uid="{00000000-0005-0000-0000-00003E080000}"/>
    <cellStyle name="Vírgula 2 2 5 3 2 2" xfId="4135" xr:uid="{00000000-0005-0000-0000-000050100000}"/>
    <cellStyle name="Vírgula 2 2 5 3 3" xfId="3486" xr:uid="{00000000-0005-0000-0000-0000C70D0000}"/>
    <cellStyle name="Vírgula 2 2 5 4" xfId="1847" xr:uid="{00000000-0005-0000-0000-000060070000}"/>
    <cellStyle name="Vírgula 2 2 5 4 2" xfId="3949" xr:uid="{00000000-0005-0000-0000-0000960F0000}"/>
    <cellStyle name="Vírgula 2 2 5 5" xfId="2244" xr:uid="{00000000-0005-0000-0000-0000ED080000}"/>
    <cellStyle name="Vírgula 2 2 6" xfId="570" xr:uid="{00000000-0005-0000-0000-000063020000}"/>
    <cellStyle name="Vírgula 2 2 6 2" xfId="1412" xr:uid="{00000000-0005-0000-0000-0000AD050000}"/>
    <cellStyle name="Vírgula 2 2 6 2 2" xfId="2189" xr:uid="{00000000-0005-0000-0000-0000B6080000}"/>
    <cellStyle name="Vírgula 2 2 6 2 2 2" xfId="4255" xr:uid="{00000000-0005-0000-0000-0000C8100000}"/>
    <cellStyle name="Vírgula 2 2 6 2 3" xfId="3523" xr:uid="{00000000-0005-0000-0000-0000EC0D0000}"/>
    <cellStyle name="Vírgula 2 2 6 3" xfId="1980" xr:uid="{00000000-0005-0000-0000-0000E5070000}"/>
    <cellStyle name="Vírgula 2 2 6 3 2" xfId="4069" xr:uid="{00000000-0005-0000-0000-00000E100000}"/>
    <cellStyle name="Vírgula 2 2 6 4" xfId="2706" xr:uid="{00000000-0005-0000-0000-0000BB0A0000}"/>
    <cellStyle name="Vírgula 2 2 7" xfId="88" xr:uid="{00000000-0005-0000-0000-000081000000}"/>
    <cellStyle name="Vírgula 2 2 7 2" xfId="2027" xr:uid="{00000000-0005-0000-0000-000014080000}"/>
    <cellStyle name="Vírgula 2 2 7 2 2" xfId="4093" xr:uid="{00000000-0005-0000-0000-000026100000}"/>
    <cellStyle name="Vírgula 2 2 7 3" xfId="2280" xr:uid="{00000000-0005-0000-0000-000011090000}"/>
    <cellStyle name="Vírgula 2 2 8" xfId="979" xr:uid="{00000000-0005-0000-0000-0000FC030000}"/>
    <cellStyle name="Vírgula 2 3" xfId="45" xr:uid="{00000000-0005-0000-0000-000056000000}"/>
    <cellStyle name="Vírgula 2 3 10" xfId="1804" xr:uid="{00000000-0005-0000-0000-000035070000}"/>
    <cellStyle name="Vírgula 2 3 10 2" xfId="3914" xr:uid="{00000000-0005-0000-0000-0000730F0000}"/>
    <cellStyle name="Vírgula 2 3 11" xfId="2250" xr:uid="{00000000-0005-0000-0000-0000F3080000}"/>
    <cellStyle name="Vírgula 2 3 2" xfId="72" xr:uid="{00000000-0005-0000-0000-000071000000}"/>
    <cellStyle name="Vírgula 2 3 2 2" xfId="267" xr:uid="{00000000-0005-0000-0000-000034010000}"/>
    <cellStyle name="Vírgula 2 3 2 2 2" xfId="460" xr:uid="{00000000-0005-0000-0000-0000F5010000}"/>
    <cellStyle name="Vírgula 2 3 2 2 2 2" xfId="905" xr:uid="{00000000-0005-0000-0000-0000B2030000}"/>
    <cellStyle name="Vírgula 2 3 2 2 2 2 2" xfId="1734" xr:uid="{00000000-0005-0000-0000-0000EF060000}"/>
    <cellStyle name="Vírgula 2 3 2 2 2 2 2 2" xfId="3845" xr:uid="{00000000-0005-0000-0000-00002E0F0000}"/>
    <cellStyle name="Vírgula 2 3 2 2 2 2 3" xfId="2175" xr:uid="{00000000-0005-0000-0000-0000A8080000}"/>
    <cellStyle name="Vírgula 2 3 2 2 2 2 3 2" xfId="4241" xr:uid="{00000000-0005-0000-0000-0000BA100000}"/>
    <cellStyle name="Vírgula 2 3 2 2 2 2 4" xfId="3028" xr:uid="{00000000-0005-0000-0000-0000FD0B0000}"/>
    <cellStyle name="Vírgula 2 3 2 2 2 3" xfId="1307" xr:uid="{00000000-0005-0000-0000-000044050000}"/>
    <cellStyle name="Vírgula 2 3 2 2 2 3 2" xfId="3418" xr:uid="{00000000-0005-0000-0000-0000830D0000}"/>
    <cellStyle name="Vírgula 2 3 2 2 2 4" xfId="1961" xr:uid="{00000000-0005-0000-0000-0000D2070000}"/>
    <cellStyle name="Vírgula 2 3 2 2 2 4 2" xfId="4055" xr:uid="{00000000-0005-0000-0000-000000100000}"/>
    <cellStyle name="Vírgula 2 3 2 2 2 5" xfId="2601" xr:uid="{00000000-0005-0000-0000-0000520A0000}"/>
    <cellStyle name="Vírgula 2 3 2 2 3" xfId="713" xr:uid="{00000000-0005-0000-0000-0000F2020000}"/>
    <cellStyle name="Vírgula 2 3 2 2 3 2" xfId="1542" xr:uid="{00000000-0005-0000-0000-00002F060000}"/>
    <cellStyle name="Vírgula 2 3 2 2 3 2 2" xfId="3653" xr:uid="{00000000-0005-0000-0000-00006E0E0000}"/>
    <cellStyle name="Vírgula 2 3 2 2 3 3" xfId="2095" xr:uid="{00000000-0005-0000-0000-000058080000}"/>
    <cellStyle name="Vírgula 2 3 2 2 3 3 2" xfId="4161" xr:uid="{00000000-0005-0000-0000-00006A100000}"/>
    <cellStyle name="Vírgula 2 3 2 2 3 4" xfId="2836" xr:uid="{00000000-0005-0000-0000-00003D0B0000}"/>
    <cellStyle name="Vírgula 2 3 2 2 4" xfId="1115" xr:uid="{00000000-0005-0000-0000-000084040000}"/>
    <cellStyle name="Vírgula 2 3 2 2 4 2" xfId="3226" xr:uid="{00000000-0005-0000-0000-0000C30C0000}"/>
    <cellStyle name="Vírgula 2 3 2 2 5" xfId="1876" xr:uid="{00000000-0005-0000-0000-00007D070000}"/>
    <cellStyle name="Vírgula 2 3 2 2 5 2" xfId="3975" xr:uid="{00000000-0005-0000-0000-0000B00F0000}"/>
    <cellStyle name="Vírgula 2 3 2 2 6" xfId="2409" xr:uid="{00000000-0005-0000-0000-000092090000}"/>
    <cellStyle name="Vírgula 2 3 2 3" xfId="364" xr:uid="{00000000-0005-0000-0000-000095010000}"/>
    <cellStyle name="Vírgula 2 3 2 3 2" xfId="809" xr:uid="{00000000-0005-0000-0000-000052030000}"/>
    <cellStyle name="Vírgula 2 3 2 3 2 2" xfId="1638" xr:uid="{00000000-0005-0000-0000-00008F060000}"/>
    <cellStyle name="Vírgula 2 3 2 3 2 2 2" xfId="3749" xr:uid="{00000000-0005-0000-0000-0000CE0E0000}"/>
    <cellStyle name="Vírgula 2 3 2 3 2 3" xfId="2133" xr:uid="{00000000-0005-0000-0000-00007E080000}"/>
    <cellStyle name="Vírgula 2 3 2 3 2 3 2" xfId="4199" xr:uid="{00000000-0005-0000-0000-000090100000}"/>
    <cellStyle name="Vírgula 2 3 2 3 2 4" xfId="2932" xr:uid="{00000000-0005-0000-0000-00009D0B0000}"/>
    <cellStyle name="Vírgula 2 3 2 3 3" xfId="1211" xr:uid="{00000000-0005-0000-0000-0000E4040000}"/>
    <cellStyle name="Vírgula 2 3 2 3 3 2" xfId="3322" xr:uid="{00000000-0005-0000-0000-0000230D0000}"/>
    <cellStyle name="Vírgula 2 3 2 3 4" xfId="1919" xr:uid="{00000000-0005-0000-0000-0000A8070000}"/>
    <cellStyle name="Vírgula 2 3 2 3 4 2" xfId="4013" xr:uid="{00000000-0005-0000-0000-0000D60F0000}"/>
    <cellStyle name="Vírgula 2 3 2 3 5" xfId="2505" xr:uid="{00000000-0005-0000-0000-0000F2090000}"/>
    <cellStyle name="Vírgula 2 3 2 4" xfId="615" xr:uid="{00000000-0005-0000-0000-000090020000}"/>
    <cellStyle name="Vírgula 2 3 2 4 2" xfId="1446" xr:uid="{00000000-0005-0000-0000-0000CF050000}"/>
    <cellStyle name="Vírgula 2 3 2 4 2 2" xfId="2198" xr:uid="{00000000-0005-0000-0000-0000BF080000}"/>
    <cellStyle name="Vírgula 2 3 2 4 2 2 2" xfId="4264" xr:uid="{00000000-0005-0000-0000-0000D1100000}"/>
    <cellStyle name="Vírgula 2 3 2 4 2 3" xfId="3557" xr:uid="{00000000-0005-0000-0000-00000E0E0000}"/>
    <cellStyle name="Vírgula 2 3 2 4 3" xfId="1991" xr:uid="{00000000-0005-0000-0000-0000F0070000}"/>
    <cellStyle name="Vírgula 2 3 2 4 3 2" xfId="4078" xr:uid="{00000000-0005-0000-0000-000017100000}"/>
    <cellStyle name="Vírgula 2 3 2 4 4" xfId="2740" xr:uid="{00000000-0005-0000-0000-0000DD0A0000}"/>
    <cellStyle name="Vírgula 2 3 2 5" xfId="554" xr:uid="{00000000-0005-0000-0000-000053020000}"/>
    <cellStyle name="Vírgula 2 3 2 5 2" xfId="1401" xr:uid="{00000000-0005-0000-0000-0000A2050000}"/>
    <cellStyle name="Vírgula 2 3 2 5 2 2" xfId="3512" xr:uid="{00000000-0005-0000-0000-0000E10D0000}"/>
    <cellStyle name="Vírgula 2 3 2 5 3" xfId="2053" xr:uid="{00000000-0005-0000-0000-00002E080000}"/>
    <cellStyle name="Vírgula 2 3 2 5 3 2" xfId="4119" xr:uid="{00000000-0005-0000-0000-000040100000}"/>
    <cellStyle name="Vírgula 2 3 2 5 4" xfId="2695" xr:uid="{00000000-0005-0000-0000-0000B00A0000}"/>
    <cellStyle name="Vírgula 2 3 2 6" xfId="144" xr:uid="{00000000-0005-0000-0000-0000B9000000}"/>
    <cellStyle name="Vírgula 2 3 2 6 2" xfId="2314" xr:uid="{00000000-0005-0000-0000-000033090000}"/>
    <cellStyle name="Vírgula 2 3 2 7" xfId="1019" xr:uid="{00000000-0005-0000-0000-000024040000}"/>
    <cellStyle name="Vírgula 2 3 2 7 2" xfId="3130" xr:uid="{00000000-0005-0000-0000-0000630C0000}"/>
    <cellStyle name="Vírgula 2 3 2 8" xfId="1823" xr:uid="{00000000-0005-0000-0000-000048070000}"/>
    <cellStyle name="Vírgula 2 3 2 8 2" xfId="3933" xr:uid="{00000000-0005-0000-0000-0000860F0000}"/>
    <cellStyle name="Vírgula 2 3 2 9" xfId="2269" xr:uid="{00000000-0005-0000-0000-000006090000}"/>
    <cellStyle name="Vírgula 2 3 3" xfId="211" xr:uid="{00000000-0005-0000-0000-0000FC000000}"/>
    <cellStyle name="Vírgula 2 3 3 2" xfId="317" xr:uid="{00000000-0005-0000-0000-000066010000}"/>
    <cellStyle name="Vírgula 2 3 3 2 2" xfId="509" xr:uid="{00000000-0005-0000-0000-000026020000}"/>
    <cellStyle name="Vírgula 2 3 3 2 2 2" xfId="954" xr:uid="{00000000-0005-0000-0000-0000E3030000}"/>
    <cellStyle name="Vírgula 2 3 3 2 2 2 2" xfId="1783" xr:uid="{00000000-0005-0000-0000-000020070000}"/>
    <cellStyle name="Vírgula 2 3 3 2 2 2 2 2" xfId="3894" xr:uid="{00000000-0005-0000-0000-00005F0F0000}"/>
    <cellStyle name="Vírgula 2 3 3 2 2 2 3" xfId="3077" xr:uid="{00000000-0005-0000-0000-00002E0C0000}"/>
    <cellStyle name="Vírgula 2 3 3 2 2 3" xfId="1356" xr:uid="{00000000-0005-0000-0000-000075050000}"/>
    <cellStyle name="Vírgula 2 3 3 2 2 3 2" xfId="3467" xr:uid="{00000000-0005-0000-0000-0000B40D0000}"/>
    <cellStyle name="Vírgula 2 3 3 2 2 4" xfId="2156" xr:uid="{00000000-0005-0000-0000-000095080000}"/>
    <cellStyle name="Vírgula 2 3 3 2 2 4 2" xfId="4222" xr:uid="{00000000-0005-0000-0000-0000A7100000}"/>
    <cellStyle name="Vírgula 2 3 3 2 2 5" xfId="2650" xr:uid="{00000000-0005-0000-0000-0000830A0000}"/>
    <cellStyle name="Vírgula 2 3 3 2 3" xfId="762" xr:uid="{00000000-0005-0000-0000-000023030000}"/>
    <cellStyle name="Vírgula 2 3 3 2 3 2" xfId="1591" xr:uid="{00000000-0005-0000-0000-000060060000}"/>
    <cellStyle name="Vírgula 2 3 3 2 3 2 2" xfId="3702" xr:uid="{00000000-0005-0000-0000-00009F0E0000}"/>
    <cellStyle name="Vírgula 2 3 3 2 3 3" xfId="2885" xr:uid="{00000000-0005-0000-0000-00006E0B0000}"/>
    <cellStyle name="Vírgula 2 3 3 2 4" xfId="1164" xr:uid="{00000000-0005-0000-0000-0000B5040000}"/>
    <cellStyle name="Vírgula 2 3 3 2 4 2" xfId="3275" xr:uid="{00000000-0005-0000-0000-0000F40C0000}"/>
    <cellStyle name="Vírgula 2 3 3 2 5" xfId="1942" xr:uid="{00000000-0005-0000-0000-0000BF070000}"/>
    <cellStyle name="Vírgula 2 3 3 2 5 2" xfId="4036" xr:uid="{00000000-0005-0000-0000-0000ED0F0000}"/>
    <cellStyle name="Vírgula 2 3 3 2 6" xfId="2458" xr:uid="{00000000-0005-0000-0000-0000C3090000}"/>
    <cellStyle name="Vírgula 2 3 3 3" xfId="413" xr:uid="{00000000-0005-0000-0000-0000C6010000}"/>
    <cellStyle name="Vírgula 2 3 3 3 2" xfId="858" xr:uid="{00000000-0005-0000-0000-000083030000}"/>
    <cellStyle name="Vírgula 2 3 3 3 2 2" xfId="1687" xr:uid="{00000000-0005-0000-0000-0000C0060000}"/>
    <cellStyle name="Vírgula 2 3 3 3 2 2 2" xfId="3798" xr:uid="{00000000-0005-0000-0000-0000FF0E0000}"/>
    <cellStyle name="Vírgula 2 3 3 3 2 3" xfId="2981" xr:uid="{00000000-0005-0000-0000-0000CE0B0000}"/>
    <cellStyle name="Vírgula 2 3 3 3 3" xfId="1260" xr:uid="{00000000-0005-0000-0000-000015050000}"/>
    <cellStyle name="Vírgula 2 3 3 3 3 2" xfId="3371" xr:uid="{00000000-0005-0000-0000-0000540D0000}"/>
    <cellStyle name="Vírgula 2 3 3 3 4" xfId="2076" xr:uid="{00000000-0005-0000-0000-000045080000}"/>
    <cellStyle name="Vírgula 2 3 3 3 4 2" xfId="4142" xr:uid="{00000000-0005-0000-0000-000057100000}"/>
    <cellStyle name="Vírgula 2 3 3 3 5" xfId="2554" xr:uid="{00000000-0005-0000-0000-0000230A0000}"/>
    <cellStyle name="Vírgula 2 3 3 4" xfId="666" xr:uid="{00000000-0005-0000-0000-0000C3020000}"/>
    <cellStyle name="Vírgula 2 3 3 4 2" xfId="1495" xr:uid="{00000000-0005-0000-0000-000000060000}"/>
    <cellStyle name="Vírgula 2 3 3 4 2 2" xfId="3606" xr:uid="{00000000-0005-0000-0000-00003F0E0000}"/>
    <cellStyle name="Vírgula 2 3 3 4 3" xfId="2789" xr:uid="{00000000-0005-0000-0000-00000E0B0000}"/>
    <cellStyle name="Vírgula 2 3 3 5" xfId="1068" xr:uid="{00000000-0005-0000-0000-000055040000}"/>
    <cellStyle name="Vírgula 2 3 3 5 2" xfId="3179" xr:uid="{00000000-0005-0000-0000-0000940C0000}"/>
    <cellStyle name="Vírgula 2 3 3 6" xfId="1855" xr:uid="{00000000-0005-0000-0000-000068070000}"/>
    <cellStyle name="Vírgula 2 3 3 6 2" xfId="3956" xr:uid="{00000000-0005-0000-0000-00009D0F0000}"/>
    <cellStyle name="Vírgula 2 3 3 7" xfId="2363" xr:uid="{00000000-0005-0000-0000-000064090000}"/>
    <cellStyle name="Vírgula 2 3 4" xfId="235" xr:uid="{00000000-0005-0000-0000-000014010000}"/>
    <cellStyle name="Vírgula 2 3 4 2" xfId="428" xr:uid="{00000000-0005-0000-0000-0000D5010000}"/>
    <cellStyle name="Vírgula 2 3 4 2 2" xfId="873" xr:uid="{00000000-0005-0000-0000-000092030000}"/>
    <cellStyle name="Vírgula 2 3 4 2 2 2" xfId="1702" xr:uid="{00000000-0005-0000-0000-0000CF060000}"/>
    <cellStyle name="Vírgula 2 3 4 2 2 2 2" xfId="3813" xr:uid="{00000000-0005-0000-0000-00000E0F0000}"/>
    <cellStyle name="Vírgula 2 3 4 2 2 3" xfId="2996" xr:uid="{00000000-0005-0000-0000-0000DD0B0000}"/>
    <cellStyle name="Vírgula 2 3 4 2 3" xfId="1275" xr:uid="{00000000-0005-0000-0000-000024050000}"/>
    <cellStyle name="Vírgula 2 3 4 2 3 2" xfId="3386" xr:uid="{00000000-0005-0000-0000-0000630D0000}"/>
    <cellStyle name="Vírgula 2 3 4 2 4" xfId="2114" xr:uid="{00000000-0005-0000-0000-00006B080000}"/>
    <cellStyle name="Vírgula 2 3 4 2 4 2" xfId="4180" xr:uid="{00000000-0005-0000-0000-00007D100000}"/>
    <cellStyle name="Vírgula 2 3 4 2 5" xfId="2569" xr:uid="{00000000-0005-0000-0000-0000320A0000}"/>
    <cellStyle name="Vírgula 2 3 4 3" xfId="681" xr:uid="{00000000-0005-0000-0000-0000D2020000}"/>
    <cellStyle name="Vírgula 2 3 4 3 2" xfId="1510" xr:uid="{00000000-0005-0000-0000-00000F060000}"/>
    <cellStyle name="Vírgula 2 3 4 3 2 2" xfId="3621" xr:uid="{00000000-0005-0000-0000-00004E0E0000}"/>
    <cellStyle name="Vírgula 2 3 4 3 3" xfId="2804" xr:uid="{00000000-0005-0000-0000-00001D0B0000}"/>
    <cellStyle name="Vírgula 2 3 4 4" xfId="1083" xr:uid="{00000000-0005-0000-0000-000064040000}"/>
    <cellStyle name="Vírgula 2 3 4 4 2" xfId="3194" xr:uid="{00000000-0005-0000-0000-0000A30C0000}"/>
    <cellStyle name="Vírgula 2 3 4 5" xfId="1900" xr:uid="{00000000-0005-0000-0000-000095070000}"/>
    <cellStyle name="Vírgula 2 3 4 5 2" xfId="3994" xr:uid="{00000000-0005-0000-0000-0000C30F0000}"/>
    <cellStyle name="Vírgula 2 3 4 6" xfId="2377" xr:uid="{00000000-0005-0000-0000-000072090000}"/>
    <cellStyle name="Vírgula 2 3 5" xfId="332" xr:uid="{00000000-0005-0000-0000-000075010000}"/>
    <cellStyle name="Vírgula 2 3 5 2" xfId="777" xr:uid="{00000000-0005-0000-0000-000032030000}"/>
    <cellStyle name="Vírgula 2 3 5 2 2" xfId="1606" xr:uid="{00000000-0005-0000-0000-00006F060000}"/>
    <cellStyle name="Vírgula 2 3 5 2 2 2" xfId="3717" xr:uid="{00000000-0005-0000-0000-0000AE0E0000}"/>
    <cellStyle name="Vírgula 2 3 5 2 3" xfId="2191" xr:uid="{00000000-0005-0000-0000-0000B8080000}"/>
    <cellStyle name="Vírgula 2 3 5 2 3 2" xfId="4257" xr:uid="{00000000-0005-0000-0000-0000CA100000}"/>
    <cellStyle name="Vírgula 2 3 5 2 4" xfId="2900" xr:uid="{00000000-0005-0000-0000-00007D0B0000}"/>
    <cellStyle name="Vírgula 2 3 5 3" xfId="1179" xr:uid="{00000000-0005-0000-0000-0000C4040000}"/>
    <cellStyle name="Vírgula 2 3 5 3 2" xfId="3290" xr:uid="{00000000-0005-0000-0000-0000030D0000}"/>
    <cellStyle name="Vírgula 2 3 5 4" xfId="1982" xr:uid="{00000000-0005-0000-0000-0000E7070000}"/>
    <cellStyle name="Vírgula 2 3 5 4 2" xfId="4071" xr:uid="{00000000-0005-0000-0000-000010100000}"/>
    <cellStyle name="Vírgula 2 3 5 5" xfId="2473" xr:uid="{00000000-0005-0000-0000-0000D2090000}"/>
    <cellStyle name="Vírgula 2 3 6" xfId="575" xr:uid="{00000000-0005-0000-0000-000068020000}"/>
    <cellStyle name="Vírgula 2 3 6 2" xfId="1414" xr:uid="{00000000-0005-0000-0000-0000AF050000}"/>
    <cellStyle name="Vírgula 2 3 6 2 2" xfId="3525" xr:uid="{00000000-0005-0000-0000-0000EE0D0000}"/>
    <cellStyle name="Vírgula 2 3 6 3" xfId="2034" xr:uid="{00000000-0005-0000-0000-00001B080000}"/>
    <cellStyle name="Vírgula 2 3 6 3 2" xfId="4100" xr:uid="{00000000-0005-0000-0000-00002D100000}"/>
    <cellStyle name="Vírgula 2 3 6 4" xfId="2708" xr:uid="{00000000-0005-0000-0000-0000BD0A0000}"/>
    <cellStyle name="Vírgula 2 3 7" xfId="535" xr:uid="{00000000-0005-0000-0000-000040020000}"/>
    <cellStyle name="Vírgula 2 3 7 2" xfId="1382" xr:uid="{00000000-0005-0000-0000-00008F050000}"/>
    <cellStyle name="Vírgula 2 3 7 2 2" xfId="3493" xr:uid="{00000000-0005-0000-0000-0000CE0D0000}"/>
    <cellStyle name="Vírgula 2 3 7 3" xfId="2676" xr:uid="{00000000-0005-0000-0000-00009D0A0000}"/>
    <cellStyle name="Vírgula 2 3 8" xfId="94" xr:uid="{00000000-0005-0000-0000-000087000000}"/>
    <cellStyle name="Vírgula 2 3 8 2" xfId="2283" xr:uid="{00000000-0005-0000-0000-000014090000}"/>
    <cellStyle name="Vírgula 2 3 9" xfId="987" xr:uid="{00000000-0005-0000-0000-000004040000}"/>
    <cellStyle name="Vírgula 2 3 9 2" xfId="3098" xr:uid="{00000000-0005-0000-0000-0000430C0000}"/>
    <cellStyle name="Vírgula 2 4" xfId="54" xr:uid="{00000000-0005-0000-0000-00005F000000}"/>
    <cellStyle name="Vírgula 2 4 10" xfId="1810" xr:uid="{00000000-0005-0000-0000-00003B070000}"/>
    <cellStyle name="Vírgula 2 4 10 2" xfId="3920" xr:uid="{00000000-0005-0000-0000-0000790F0000}"/>
    <cellStyle name="Vírgula 2 4 11" xfId="2256" xr:uid="{00000000-0005-0000-0000-0000F9080000}"/>
    <cellStyle name="Vírgula 2 4 2" xfId="78" xr:uid="{00000000-0005-0000-0000-000077000000}"/>
    <cellStyle name="Vírgula 2 4 2 2" xfId="276" xr:uid="{00000000-0005-0000-0000-00003D010000}"/>
    <cellStyle name="Vírgula 2 4 2 2 2" xfId="469" xr:uid="{00000000-0005-0000-0000-0000FE010000}"/>
    <cellStyle name="Vírgula 2 4 2 2 2 2" xfId="914" xr:uid="{00000000-0005-0000-0000-0000BB030000}"/>
    <cellStyle name="Vírgula 2 4 2 2 2 2 2" xfId="1743" xr:uid="{00000000-0005-0000-0000-0000F8060000}"/>
    <cellStyle name="Vírgula 2 4 2 2 2 2 2 2" xfId="3854" xr:uid="{00000000-0005-0000-0000-0000370F0000}"/>
    <cellStyle name="Vírgula 2 4 2 2 2 2 3" xfId="2181" xr:uid="{00000000-0005-0000-0000-0000AE080000}"/>
    <cellStyle name="Vírgula 2 4 2 2 2 2 3 2" xfId="4247" xr:uid="{00000000-0005-0000-0000-0000C0100000}"/>
    <cellStyle name="Vírgula 2 4 2 2 2 2 4" xfId="3037" xr:uid="{00000000-0005-0000-0000-0000060C0000}"/>
    <cellStyle name="Vírgula 2 4 2 2 2 3" xfId="1316" xr:uid="{00000000-0005-0000-0000-00004D050000}"/>
    <cellStyle name="Vírgula 2 4 2 2 2 3 2" xfId="3427" xr:uid="{00000000-0005-0000-0000-00008C0D0000}"/>
    <cellStyle name="Vírgula 2 4 2 2 2 4" xfId="1967" xr:uid="{00000000-0005-0000-0000-0000D8070000}"/>
    <cellStyle name="Vírgula 2 4 2 2 2 4 2" xfId="4061" xr:uid="{00000000-0005-0000-0000-000006100000}"/>
    <cellStyle name="Vírgula 2 4 2 2 2 5" xfId="2610" xr:uid="{00000000-0005-0000-0000-00005B0A0000}"/>
    <cellStyle name="Vírgula 2 4 2 2 3" xfId="722" xr:uid="{00000000-0005-0000-0000-0000FB020000}"/>
    <cellStyle name="Vírgula 2 4 2 2 3 2" xfId="1551" xr:uid="{00000000-0005-0000-0000-000038060000}"/>
    <cellStyle name="Vírgula 2 4 2 2 3 2 2" xfId="3662" xr:uid="{00000000-0005-0000-0000-0000770E0000}"/>
    <cellStyle name="Vírgula 2 4 2 2 3 3" xfId="2101" xr:uid="{00000000-0005-0000-0000-00005E080000}"/>
    <cellStyle name="Vírgula 2 4 2 2 3 3 2" xfId="4167" xr:uid="{00000000-0005-0000-0000-000070100000}"/>
    <cellStyle name="Vírgula 2 4 2 2 3 4" xfId="2845" xr:uid="{00000000-0005-0000-0000-0000460B0000}"/>
    <cellStyle name="Vírgula 2 4 2 2 4" xfId="1124" xr:uid="{00000000-0005-0000-0000-00008D040000}"/>
    <cellStyle name="Vírgula 2 4 2 2 4 2" xfId="3235" xr:uid="{00000000-0005-0000-0000-0000CC0C0000}"/>
    <cellStyle name="Vírgula 2 4 2 2 5" xfId="1882" xr:uid="{00000000-0005-0000-0000-000083070000}"/>
    <cellStyle name="Vírgula 2 4 2 2 5 2" xfId="3981" xr:uid="{00000000-0005-0000-0000-0000B60F0000}"/>
    <cellStyle name="Vírgula 2 4 2 2 6" xfId="2418" xr:uid="{00000000-0005-0000-0000-00009B090000}"/>
    <cellStyle name="Vírgula 2 4 2 3" xfId="373" xr:uid="{00000000-0005-0000-0000-00009E010000}"/>
    <cellStyle name="Vírgula 2 4 2 3 2" xfId="818" xr:uid="{00000000-0005-0000-0000-00005B030000}"/>
    <cellStyle name="Vírgula 2 4 2 3 2 2" xfId="1647" xr:uid="{00000000-0005-0000-0000-000098060000}"/>
    <cellStyle name="Vírgula 2 4 2 3 2 2 2" xfId="3758" xr:uid="{00000000-0005-0000-0000-0000D70E0000}"/>
    <cellStyle name="Vírgula 2 4 2 3 2 3" xfId="2139" xr:uid="{00000000-0005-0000-0000-000084080000}"/>
    <cellStyle name="Vírgula 2 4 2 3 2 3 2" xfId="4205" xr:uid="{00000000-0005-0000-0000-000096100000}"/>
    <cellStyle name="Vírgula 2 4 2 3 2 4" xfId="2941" xr:uid="{00000000-0005-0000-0000-0000A60B0000}"/>
    <cellStyle name="Vírgula 2 4 2 3 3" xfId="1220" xr:uid="{00000000-0005-0000-0000-0000ED040000}"/>
    <cellStyle name="Vírgula 2 4 2 3 3 2" xfId="3331" xr:uid="{00000000-0005-0000-0000-00002C0D0000}"/>
    <cellStyle name="Vírgula 2 4 2 3 4" xfId="1925" xr:uid="{00000000-0005-0000-0000-0000AE070000}"/>
    <cellStyle name="Vírgula 2 4 2 3 4 2" xfId="4019" xr:uid="{00000000-0005-0000-0000-0000DC0F0000}"/>
    <cellStyle name="Vírgula 2 4 2 3 5" xfId="2514" xr:uid="{00000000-0005-0000-0000-0000FB090000}"/>
    <cellStyle name="Vírgula 2 4 2 4" xfId="624" xr:uid="{00000000-0005-0000-0000-000099020000}"/>
    <cellStyle name="Vírgula 2 4 2 4 2" xfId="1455" xr:uid="{00000000-0005-0000-0000-0000D8050000}"/>
    <cellStyle name="Vírgula 2 4 2 4 2 2" xfId="3566" xr:uid="{00000000-0005-0000-0000-0000170E0000}"/>
    <cellStyle name="Vírgula 2 4 2 4 3" xfId="2059" xr:uid="{00000000-0005-0000-0000-000034080000}"/>
    <cellStyle name="Vírgula 2 4 2 4 3 2" xfId="4125" xr:uid="{00000000-0005-0000-0000-000046100000}"/>
    <cellStyle name="Vírgula 2 4 2 4 4" xfId="2749" xr:uid="{00000000-0005-0000-0000-0000E60A0000}"/>
    <cellStyle name="Vírgula 2 4 2 5" xfId="560" xr:uid="{00000000-0005-0000-0000-000059020000}"/>
    <cellStyle name="Vírgula 2 4 2 5 2" xfId="1407" xr:uid="{00000000-0005-0000-0000-0000A8050000}"/>
    <cellStyle name="Vírgula 2 4 2 5 2 2" xfId="3518" xr:uid="{00000000-0005-0000-0000-0000E70D0000}"/>
    <cellStyle name="Vírgula 2 4 2 5 3" xfId="2701" xr:uid="{00000000-0005-0000-0000-0000B60A0000}"/>
    <cellStyle name="Vírgula 2 4 2 6" xfId="155" xr:uid="{00000000-0005-0000-0000-0000C4000000}"/>
    <cellStyle name="Vírgula 2 4 2 6 2" xfId="2323" xr:uid="{00000000-0005-0000-0000-00003C090000}"/>
    <cellStyle name="Vírgula 2 4 2 7" xfId="1028" xr:uid="{00000000-0005-0000-0000-00002D040000}"/>
    <cellStyle name="Vírgula 2 4 2 7 2" xfId="3139" xr:uid="{00000000-0005-0000-0000-00006C0C0000}"/>
    <cellStyle name="Vírgula 2 4 2 8" xfId="1829" xr:uid="{00000000-0005-0000-0000-00004E070000}"/>
    <cellStyle name="Vírgula 2 4 2 8 2" xfId="3939" xr:uid="{00000000-0005-0000-0000-00008C0F0000}"/>
    <cellStyle name="Vírgula 2 4 2 9" xfId="2275" xr:uid="{00000000-0005-0000-0000-00000C090000}"/>
    <cellStyle name="Vírgula 2 4 3" xfId="220" xr:uid="{00000000-0005-0000-0000-000005010000}"/>
    <cellStyle name="Vírgula 2 4 3 2" xfId="323" xr:uid="{00000000-0005-0000-0000-00006C010000}"/>
    <cellStyle name="Vírgula 2 4 3 2 2" xfId="515" xr:uid="{00000000-0005-0000-0000-00002C020000}"/>
    <cellStyle name="Vírgula 2 4 3 2 2 2" xfId="960" xr:uid="{00000000-0005-0000-0000-0000E9030000}"/>
    <cellStyle name="Vírgula 2 4 3 2 2 2 2" xfId="1789" xr:uid="{00000000-0005-0000-0000-000026070000}"/>
    <cellStyle name="Vírgula 2 4 3 2 2 2 2 2" xfId="3900" xr:uid="{00000000-0005-0000-0000-0000650F0000}"/>
    <cellStyle name="Vírgula 2 4 3 2 2 2 3" xfId="3083" xr:uid="{00000000-0005-0000-0000-0000340C0000}"/>
    <cellStyle name="Vírgula 2 4 3 2 2 3" xfId="1362" xr:uid="{00000000-0005-0000-0000-00007B050000}"/>
    <cellStyle name="Vírgula 2 4 3 2 2 3 2" xfId="3473" xr:uid="{00000000-0005-0000-0000-0000BA0D0000}"/>
    <cellStyle name="Vírgula 2 4 3 2 2 4" xfId="2162" xr:uid="{00000000-0005-0000-0000-00009B080000}"/>
    <cellStyle name="Vírgula 2 4 3 2 2 4 2" xfId="4228" xr:uid="{00000000-0005-0000-0000-0000AD100000}"/>
    <cellStyle name="Vírgula 2 4 3 2 2 5" xfId="2656" xr:uid="{00000000-0005-0000-0000-0000890A0000}"/>
    <cellStyle name="Vírgula 2 4 3 2 3" xfId="768" xr:uid="{00000000-0005-0000-0000-000029030000}"/>
    <cellStyle name="Vírgula 2 4 3 2 3 2" xfId="1597" xr:uid="{00000000-0005-0000-0000-000066060000}"/>
    <cellStyle name="Vírgula 2 4 3 2 3 2 2" xfId="3708" xr:uid="{00000000-0005-0000-0000-0000A50E0000}"/>
    <cellStyle name="Vírgula 2 4 3 2 3 3" xfId="2891" xr:uid="{00000000-0005-0000-0000-0000740B0000}"/>
    <cellStyle name="Vírgula 2 4 3 2 4" xfId="1170" xr:uid="{00000000-0005-0000-0000-0000BB040000}"/>
    <cellStyle name="Vírgula 2 4 3 2 4 2" xfId="3281" xr:uid="{00000000-0005-0000-0000-0000FA0C0000}"/>
    <cellStyle name="Vírgula 2 4 3 2 5" xfId="1948" xr:uid="{00000000-0005-0000-0000-0000C5070000}"/>
    <cellStyle name="Vírgula 2 4 3 2 5 2" xfId="4042" xr:uid="{00000000-0005-0000-0000-0000F30F0000}"/>
    <cellStyle name="Vírgula 2 4 3 2 6" xfId="2464" xr:uid="{00000000-0005-0000-0000-0000C9090000}"/>
    <cellStyle name="Vírgula 2 4 3 3" xfId="419" xr:uid="{00000000-0005-0000-0000-0000CC010000}"/>
    <cellStyle name="Vírgula 2 4 3 3 2" xfId="864" xr:uid="{00000000-0005-0000-0000-000089030000}"/>
    <cellStyle name="Vírgula 2 4 3 3 2 2" xfId="1693" xr:uid="{00000000-0005-0000-0000-0000C6060000}"/>
    <cellStyle name="Vírgula 2 4 3 3 2 2 2" xfId="3804" xr:uid="{00000000-0005-0000-0000-0000050F0000}"/>
    <cellStyle name="Vírgula 2 4 3 3 2 3" xfId="2987" xr:uid="{00000000-0005-0000-0000-0000D40B0000}"/>
    <cellStyle name="Vírgula 2 4 3 3 3" xfId="1266" xr:uid="{00000000-0005-0000-0000-00001B050000}"/>
    <cellStyle name="Vírgula 2 4 3 3 3 2" xfId="3377" xr:uid="{00000000-0005-0000-0000-00005A0D0000}"/>
    <cellStyle name="Vírgula 2 4 3 3 4" xfId="2082" xr:uid="{00000000-0005-0000-0000-00004B080000}"/>
    <cellStyle name="Vírgula 2 4 3 3 4 2" xfId="4148" xr:uid="{00000000-0005-0000-0000-00005D100000}"/>
    <cellStyle name="Vírgula 2 4 3 3 5" xfId="2560" xr:uid="{00000000-0005-0000-0000-0000290A0000}"/>
    <cellStyle name="Vírgula 2 4 3 4" xfId="672" xr:uid="{00000000-0005-0000-0000-0000C9020000}"/>
    <cellStyle name="Vírgula 2 4 3 4 2" xfId="1501" xr:uid="{00000000-0005-0000-0000-000006060000}"/>
    <cellStyle name="Vírgula 2 4 3 4 2 2" xfId="3612" xr:uid="{00000000-0005-0000-0000-0000450E0000}"/>
    <cellStyle name="Vírgula 2 4 3 4 3" xfId="2795" xr:uid="{00000000-0005-0000-0000-0000140B0000}"/>
    <cellStyle name="Vírgula 2 4 3 5" xfId="1074" xr:uid="{00000000-0005-0000-0000-00005B040000}"/>
    <cellStyle name="Vírgula 2 4 3 5 2" xfId="3185" xr:uid="{00000000-0005-0000-0000-00009A0C0000}"/>
    <cellStyle name="Vírgula 2 4 3 6" xfId="1861" xr:uid="{00000000-0005-0000-0000-00006E070000}"/>
    <cellStyle name="Vírgula 2 4 3 6 2" xfId="3962" xr:uid="{00000000-0005-0000-0000-0000A30F0000}"/>
    <cellStyle name="Vírgula 2 4 3 7" xfId="2369" xr:uid="{00000000-0005-0000-0000-00006A090000}"/>
    <cellStyle name="Vírgula 2 4 4" xfId="244" xr:uid="{00000000-0005-0000-0000-00001D010000}"/>
    <cellStyle name="Vírgula 2 4 4 2" xfId="437" xr:uid="{00000000-0005-0000-0000-0000DE010000}"/>
    <cellStyle name="Vírgula 2 4 4 2 2" xfId="882" xr:uid="{00000000-0005-0000-0000-00009B030000}"/>
    <cellStyle name="Vírgula 2 4 4 2 2 2" xfId="1711" xr:uid="{00000000-0005-0000-0000-0000D8060000}"/>
    <cellStyle name="Vírgula 2 4 4 2 2 2 2" xfId="3822" xr:uid="{00000000-0005-0000-0000-0000170F0000}"/>
    <cellStyle name="Vírgula 2 4 4 2 2 3" xfId="3005" xr:uid="{00000000-0005-0000-0000-0000E60B0000}"/>
    <cellStyle name="Vírgula 2 4 4 2 3" xfId="1284" xr:uid="{00000000-0005-0000-0000-00002D050000}"/>
    <cellStyle name="Vírgula 2 4 4 2 3 2" xfId="3395" xr:uid="{00000000-0005-0000-0000-00006C0D0000}"/>
    <cellStyle name="Vírgula 2 4 4 2 4" xfId="2120" xr:uid="{00000000-0005-0000-0000-000071080000}"/>
    <cellStyle name="Vírgula 2 4 4 2 4 2" xfId="4186" xr:uid="{00000000-0005-0000-0000-000083100000}"/>
    <cellStyle name="Vírgula 2 4 4 2 5" xfId="2578" xr:uid="{00000000-0005-0000-0000-00003B0A0000}"/>
    <cellStyle name="Vírgula 2 4 4 3" xfId="690" xr:uid="{00000000-0005-0000-0000-0000DB020000}"/>
    <cellStyle name="Vírgula 2 4 4 3 2" xfId="1519" xr:uid="{00000000-0005-0000-0000-000018060000}"/>
    <cellStyle name="Vírgula 2 4 4 3 2 2" xfId="3630" xr:uid="{00000000-0005-0000-0000-0000570E0000}"/>
    <cellStyle name="Vírgula 2 4 4 3 3" xfId="2813" xr:uid="{00000000-0005-0000-0000-0000260B0000}"/>
    <cellStyle name="Vírgula 2 4 4 4" xfId="1092" xr:uid="{00000000-0005-0000-0000-00006D040000}"/>
    <cellStyle name="Vírgula 2 4 4 4 2" xfId="3203" xr:uid="{00000000-0005-0000-0000-0000AC0C0000}"/>
    <cellStyle name="Vírgula 2 4 4 5" xfId="1906" xr:uid="{00000000-0005-0000-0000-00009B070000}"/>
    <cellStyle name="Vírgula 2 4 4 5 2" xfId="4000" xr:uid="{00000000-0005-0000-0000-0000C90F0000}"/>
    <cellStyle name="Vírgula 2 4 4 6" xfId="2386" xr:uid="{00000000-0005-0000-0000-00007B090000}"/>
    <cellStyle name="Vírgula 2 4 5" xfId="341" xr:uid="{00000000-0005-0000-0000-00007E010000}"/>
    <cellStyle name="Vírgula 2 4 5 2" xfId="786" xr:uid="{00000000-0005-0000-0000-00003B030000}"/>
    <cellStyle name="Vírgula 2 4 5 2 2" xfId="1615" xr:uid="{00000000-0005-0000-0000-000078060000}"/>
    <cellStyle name="Vírgula 2 4 5 2 2 2" xfId="3726" xr:uid="{00000000-0005-0000-0000-0000B70E0000}"/>
    <cellStyle name="Vírgula 2 4 5 2 3" xfId="2204" xr:uid="{00000000-0005-0000-0000-0000C5080000}"/>
    <cellStyle name="Vírgula 2 4 5 2 3 2" xfId="4270" xr:uid="{00000000-0005-0000-0000-0000D7100000}"/>
    <cellStyle name="Vírgula 2 4 5 2 4" xfId="2909" xr:uid="{00000000-0005-0000-0000-0000860B0000}"/>
    <cellStyle name="Vírgula 2 4 5 3" xfId="1188" xr:uid="{00000000-0005-0000-0000-0000CD040000}"/>
    <cellStyle name="Vírgula 2 4 5 3 2" xfId="3299" xr:uid="{00000000-0005-0000-0000-00000C0D0000}"/>
    <cellStyle name="Vírgula 2 4 5 4" xfId="1997" xr:uid="{00000000-0005-0000-0000-0000F6070000}"/>
    <cellStyle name="Vírgula 2 4 5 4 2" xfId="4084" xr:uid="{00000000-0005-0000-0000-00001D100000}"/>
    <cellStyle name="Vírgula 2 4 5 5" xfId="2482" xr:uid="{00000000-0005-0000-0000-0000DB090000}"/>
    <cellStyle name="Vírgula 2 4 6" xfId="592" xr:uid="{00000000-0005-0000-0000-000079020000}"/>
    <cellStyle name="Vírgula 2 4 6 2" xfId="1423" xr:uid="{00000000-0005-0000-0000-0000B8050000}"/>
    <cellStyle name="Vírgula 2 4 6 2 2" xfId="3534" xr:uid="{00000000-0005-0000-0000-0000F70D0000}"/>
    <cellStyle name="Vírgula 2 4 6 3" xfId="2040" xr:uid="{00000000-0005-0000-0000-000021080000}"/>
    <cellStyle name="Vírgula 2 4 6 3 2" xfId="4106" xr:uid="{00000000-0005-0000-0000-000033100000}"/>
    <cellStyle name="Vírgula 2 4 6 4" xfId="2717" xr:uid="{00000000-0005-0000-0000-0000C60A0000}"/>
    <cellStyle name="Vírgula 2 4 7" xfId="541" xr:uid="{00000000-0005-0000-0000-000046020000}"/>
    <cellStyle name="Vírgula 2 4 7 2" xfId="1388" xr:uid="{00000000-0005-0000-0000-000095050000}"/>
    <cellStyle name="Vírgula 2 4 7 2 2" xfId="3499" xr:uid="{00000000-0005-0000-0000-0000D40D0000}"/>
    <cellStyle name="Vírgula 2 4 7 3" xfId="2682" xr:uid="{00000000-0005-0000-0000-0000A30A0000}"/>
    <cellStyle name="Vírgula 2 4 8" xfId="115" xr:uid="{00000000-0005-0000-0000-00009C000000}"/>
    <cellStyle name="Vírgula 2 4 8 2" xfId="2292" xr:uid="{00000000-0005-0000-0000-00001D090000}"/>
    <cellStyle name="Vírgula 2 4 9" xfId="996" xr:uid="{00000000-0005-0000-0000-00000D040000}"/>
    <cellStyle name="Vírgula 2 4 9 2" xfId="3107" xr:uid="{00000000-0005-0000-0000-00004C0C0000}"/>
    <cellStyle name="Vírgula 2 5" xfId="26" xr:uid="{00000000-0005-0000-0000-000043000000}"/>
    <cellStyle name="Vírgula 2 5 10" xfId="2246" xr:uid="{00000000-0005-0000-0000-0000EF080000}"/>
    <cellStyle name="Vírgula 2 5 2" xfId="68" xr:uid="{00000000-0005-0000-0000-00006D000000}"/>
    <cellStyle name="Vírgula 2 5 2 2" xfId="313" xr:uid="{00000000-0005-0000-0000-000062010000}"/>
    <cellStyle name="Vírgula 2 5 2 2 2" xfId="505" xr:uid="{00000000-0005-0000-0000-000022020000}"/>
    <cellStyle name="Vírgula 2 5 2 2 2 2" xfId="950" xr:uid="{00000000-0005-0000-0000-0000DF030000}"/>
    <cellStyle name="Vírgula 2 5 2 2 2 2 2" xfId="1779" xr:uid="{00000000-0005-0000-0000-00001C070000}"/>
    <cellStyle name="Vírgula 2 5 2 2 2 2 2 2" xfId="3890" xr:uid="{00000000-0005-0000-0000-00005B0F0000}"/>
    <cellStyle name="Vírgula 2 5 2 2 2 2 3" xfId="2171" xr:uid="{00000000-0005-0000-0000-0000A4080000}"/>
    <cellStyle name="Vírgula 2 5 2 2 2 2 3 2" xfId="4237" xr:uid="{00000000-0005-0000-0000-0000B6100000}"/>
    <cellStyle name="Vírgula 2 5 2 2 2 2 4" xfId="3073" xr:uid="{00000000-0005-0000-0000-00002A0C0000}"/>
    <cellStyle name="Vírgula 2 5 2 2 2 3" xfId="1352" xr:uid="{00000000-0005-0000-0000-000071050000}"/>
    <cellStyle name="Vírgula 2 5 2 2 2 3 2" xfId="3463" xr:uid="{00000000-0005-0000-0000-0000B00D0000}"/>
    <cellStyle name="Vírgula 2 5 2 2 2 4" xfId="1957" xr:uid="{00000000-0005-0000-0000-0000CE070000}"/>
    <cellStyle name="Vírgula 2 5 2 2 2 4 2" xfId="4051" xr:uid="{00000000-0005-0000-0000-0000FC0F0000}"/>
    <cellStyle name="Vírgula 2 5 2 2 2 5" xfId="2646" xr:uid="{00000000-0005-0000-0000-00007F0A0000}"/>
    <cellStyle name="Vírgula 2 5 2 2 3" xfId="758" xr:uid="{00000000-0005-0000-0000-00001F030000}"/>
    <cellStyle name="Vírgula 2 5 2 2 3 2" xfId="1587" xr:uid="{00000000-0005-0000-0000-00005C060000}"/>
    <cellStyle name="Vírgula 2 5 2 2 3 2 2" xfId="3698" xr:uid="{00000000-0005-0000-0000-00009B0E0000}"/>
    <cellStyle name="Vírgula 2 5 2 2 3 3" xfId="2091" xr:uid="{00000000-0005-0000-0000-000054080000}"/>
    <cellStyle name="Vírgula 2 5 2 2 3 3 2" xfId="4157" xr:uid="{00000000-0005-0000-0000-000066100000}"/>
    <cellStyle name="Vírgula 2 5 2 2 3 4" xfId="2881" xr:uid="{00000000-0005-0000-0000-00006A0B0000}"/>
    <cellStyle name="Vírgula 2 5 2 2 4" xfId="1160" xr:uid="{00000000-0005-0000-0000-0000B1040000}"/>
    <cellStyle name="Vírgula 2 5 2 2 4 2" xfId="3271" xr:uid="{00000000-0005-0000-0000-0000F00C0000}"/>
    <cellStyle name="Vírgula 2 5 2 2 5" xfId="1872" xr:uid="{00000000-0005-0000-0000-000079070000}"/>
    <cellStyle name="Vírgula 2 5 2 2 5 2" xfId="3971" xr:uid="{00000000-0005-0000-0000-0000AC0F0000}"/>
    <cellStyle name="Vírgula 2 5 2 2 6" xfId="2454" xr:uid="{00000000-0005-0000-0000-0000BF090000}"/>
    <cellStyle name="Vírgula 2 5 2 3" xfId="409" xr:uid="{00000000-0005-0000-0000-0000C2010000}"/>
    <cellStyle name="Vírgula 2 5 2 3 2" xfId="854" xr:uid="{00000000-0005-0000-0000-00007F030000}"/>
    <cellStyle name="Vírgula 2 5 2 3 2 2" xfId="1683" xr:uid="{00000000-0005-0000-0000-0000BC060000}"/>
    <cellStyle name="Vírgula 2 5 2 3 2 2 2" xfId="3794" xr:uid="{00000000-0005-0000-0000-0000FB0E0000}"/>
    <cellStyle name="Vírgula 2 5 2 3 2 3" xfId="2129" xr:uid="{00000000-0005-0000-0000-00007A080000}"/>
    <cellStyle name="Vírgula 2 5 2 3 2 3 2" xfId="4195" xr:uid="{00000000-0005-0000-0000-00008C100000}"/>
    <cellStyle name="Vírgula 2 5 2 3 2 4" xfId="2977" xr:uid="{00000000-0005-0000-0000-0000CA0B0000}"/>
    <cellStyle name="Vírgula 2 5 2 3 3" xfId="1256" xr:uid="{00000000-0005-0000-0000-000011050000}"/>
    <cellStyle name="Vírgula 2 5 2 3 3 2" xfId="3367" xr:uid="{00000000-0005-0000-0000-0000500D0000}"/>
    <cellStyle name="Vírgula 2 5 2 3 4" xfId="1915" xr:uid="{00000000-0005-0000-0000-0000A4070000}"/>
    <cellStyle name="Vírgula 2 5 2 3 4 2" xfId="4009" xr:uid="{00000000-0005-0000-0000-0000D20F0000}"/>
    <cellStyle name="Vírgula 2 5 2 3 5" xfId="2550" xr:uid="{00000000-0005-0000-0000-00001F0A0000}"/>
    <cellStyle name="Vírgula 2 5 2 4" xfId="662" xr:uid="{00000000-0005-0000-0000-0000BF020000}"/>
    <cellStyle name="Vírgula 2 5 2 4 2" xfId="1491" xr:uid="{00000000-0005-0000-0000-0000FC050000}"/>
    <cellStyle name="Vírgula 2 5 2 4 2 2" xfId="3602" xr:uid="{00000000-0005-0000-0000-00003B0E0000}"/>
    <cellStyle name="Vírgula 2 5 2 4 3" xfId="2049" xr:uid="{00000000-0005-0000-0000-00002A080000}"/>
    <cellStyle name="Vírgula 2 5 2 4 3 2" xfId="4115" xr:uid="{00000000-0005-0000-0000-00003C100000}"/>
    <cellStyle name="Vírgula 2 5 2 4 4" xfId="2785" xr:uid="{00000000-0005-0000-0000-00000A0B0000}"/>
    <cellStyle name="Vírgula 2 5 2 5" xfId="550" xr:uid="{00000000-0005-0000-0000-00004F020000}"/>
    <cellStyle name="Vírgula 2 5 2 5 2" xfId="1397" xr:uid="{00000000-0005-0000-0000-00009E050000}"/>
    <cellStyle name="Vírgula 2 5 2 5 2 2" xfId="3508" xr:uid="{00000000-0005-0000-0000-0000DD0D0000}"/>
    <cellStyle name="Vírgula 2 5 2 5 3" xfId="2691" xr:uid="{00000000-0005-0000-0000-0000AC0A0000}"/>
    <cellStyle name="Vírgula 2 5 2 6" xfId="206" xr:uid="{00000000-0005-0000-0000-0000F7000000}"/>
    <cellStyle name="Vírgula 2 5 2 6 2" xfId="2359" xr:uid="{00000000-0005-0000-0000-000060090000}"/>
    <cellStyle name="Vírgula 2 5 2 7" xfId="1064" xr:uid="{00000000-0005-0000-0000-000051040000}"/>
    <cellStyle name="Vírgula 2 5 2 7 2" xfId="3175" xr:uid="{00000000-0005-0000-0000-0000900C0000}"/>
    <cellStyle name="Vírgula 2 5 2 8" xfId="1819" xr:uid="{00000000-0005-0000-0000-000044070000}"/>
    <cellStyle name="Vírgula 2 5 2 8 2" xfId="3929" xr:uid="{00000000-0005-0000-0000-0000820F0000}"/>
    <cellStyle name="Vírgula 2 5 2 9" xfId="2265" xr:uid="{00000000-0005-0000-0000-000002090000}"/>
    <cellStyle name="Vírgula 2 5 3" xfId="264" xr:uid="{00000000-0005-0000-0000-000031010000}"/>
    <cellStyle name="Vírgula 2 5 3 2" xfId="457" xr:uid="{00000000-0005-0000-0000-0000F2010000}"/>
    <cellStyle name="Vírgula 2 5 3 2 2" xfId="902" xr:uid="{00000000-0005-0000-0000-0000AF030000}"/>
    <cellStyle name="Vírgula 2 5 3 2 2 2" xfId="1731" xr:uid="{00000000-0005-0000-0000-0000EC060000}"/>
    <cellStyle name="Vírgula 2 5 3 2 2 2 2" xfId="3842" xr:uid="{00000000-0005-0000-0000-00002B0F0000}"/>
    <cellStyle name="Vírgula 2 5 3 2 2 3" xfId="2152" xr:uid="{00000000-0005-0000-0000-000091080000}"/>
    <cellStyle name="Vírgula 2 5 3 2 2 3 2" xfId="4218" xr:uid="{00000000-0005-0000-0000-0000A3100000}"/>
    <cellStyle name="Vírgula 2 5 3 2 2 4" xfId="3025" xr:uid="{00000000-0005-0000-0000-0000FA0B0000}"/>
    <cellStyle name="Vírgula 2 5 3 2 3" xfId="1304" xr:uid="{00000000-0005-0000-0000-000041050000}"/>
    <cellStyle name="Vírgula 2 5 3 2 3 2" xfId="3415" xr:uid="{00000000-0005-0000-0000-0000800D0000}"/>
    <cellStyle name="Vírgula 2 5 3 2 4" xfId="1938" xr:uid="{00000000-0005-0000-0000-0000BB070000}"/>
    <cellStyle name="Vírgula 2 5 3 2 4 2" xfId="4032" xr:uid="{00000000-0005-0000-0000-0000E90F0000}"/>
    <cellStyle name="Vírgula 2 5 3 2 5" xfId="2598" xr:uid="{00000000-0005-0000-0000-00004F0A0000}"/>
    <cellStyle name="Vírgula 2 5 3 3" xfId="710" xr:uid="{00000000-0005-0000-0000-0000EF020000}"/>
    <cellStyle name="Vírgula 2 5 3 3 2" xfId="1539" xr:uid="{00000000-0005-0000-0000-00002C060000}"/>
    <cellStyle name="Vírgula 2 5 3 3 2 2" xfId="3650" xr:uid="{00000000-0005-0000-0000-00006B0E0000}"/>
    <cellStyle name="Vírgula 2 5 3 3 3" xfId="2072" xr:uid="{00000000-0005-0000-0000-000041080000}"/>
    <cellStyle name="Vírgula 2 5 3 3 3 2" xfId="4138" xr:uid="{00000000-0005-0000-0000-000053100000}"/>
    <cellStyle name="Vírgula 2 5 3 3 4" xfId="2833" xr:uid="{00000000-0005-0000-0000-00003A0B0000}"/>
    <cellStyle name="Vírgula 2 5 3 4" xfId="1112" xr:uid="{00000000-0005-0000-0000-000081040000}"/>
    <cellStyle name="Vírgula 2 5 3 4 2" xfId="3223" xr:uid="{00000000-0005-0000-0000-0000C00C0000}"/>
    <cellStyle name="Vírgula 2 5 3 5" xfId="1850" xr:uid="{00000000-0005-0000-0000-000063070000}"/>
    <cellStyle name="Vírgula 2 5 3 5 2" xfId="3952" xr:uid="{00000000-0005-0000-0000-0000990F0000}"/>
    <cellStyle name="Vírgula 2 5 3 6" xfId="2406" xr:uid="{00000000-0005-0000-0000-00008F090000}"/>
    <cellStyle name="Vírgula 2 5 4" xfId="361" xr:uid="{00000000-0005-0000-0000-000092010000}"/>
    <cellStyle name="Vírgula 2 5 4 2" xfId="806" xr:uid="{00000000-0005-0000-0000-00004F030000}"/>
    <cellStyle name="Vírgula 2 5 4 2 2" xfId="1635" xr:uid="{00000000-0005-0000-0000-00008C060000}"/>
    <cellStyle name="Vírgula 2 5 4 2 2 2" xfId="3746" xr:uid="{00000000-0005-0000-0000-0000CB0E0000}"/>
    <cellStyle name="Vírgula 2 5 4 2 3" xfId="2110" xr:uid="{00000000-0005-0000-0000-000067080000}"/>
    <cellStyle name="Vírgula 2 5 4 2 3 2" xfId="4176" xr:uid="{00000000-0005-0000-0000-000079100000}"/>
    <cellStyle name="Vírgula 2 5 4 2 4" xfId="2929" xr:uid="{00000000-0005-0000-0000-00009A0B0000}"/>
    <cellStyle name="Vírgula 2 5 4 3" xfId="1208" xr:uid="{00000000-0005-0000-0000-0000E1040000}"/>
    <cellStyle name="Vírgula 2 5 4 3 2" xfId="3319" xr:uid="{00000000-0005-0000-0000-0000200D0000}"/>
    <cellStyle name="Vírgula 2 5 4 4" xfId="1896" xr:uid="{00000000-0005-0000-0000-000091070000}"/>
    <cellStyle name="Vírgula 2 5 4 4 2" xfId="3990" xr:uid="{00000000-0005-0000-0000-0000BF0F0000}"/>
    <cellStyle name="Vírgula 2 5 4 5" xfId="2502" xr:uid="{00000000-0005-0000-0000-0000EF090000}"/>
    <cellStyle name="Vírgula 2 5 5" xfId="612" xr:uid="{00000000-0005-0000-0000-00008D020000}"/>
    <cellStyle name="Vírgula 2 5 5 2" xfId="1443" xr:uid="{00000000-0005-0000-0000-0000CC050000}"/>
    <cellStyle name="Vírgula 2 5 5 2 2" xfId="3554" xr:uid="{00000000-0005-0000-0000-00000B0E0000}"/>
    <cellStyle name="Vírgula 2 5 5 3" xfId="2030" xr:uid="{00000000-0005-0000-0000-000017080000}"/>
    <cellStyle name="Vírgula 2 5 5 3 2" xfId="4096" xr:uid="{00000000-0005-0000-0000-000029100000}"/>
    <cellStyle name="Vírgula 2 5 5 4" xfId="2737" xr:uid="{00000000-0005-0000-0000-0000DA0A0000}"/>
    <cellStyle name="Vírgula 2 5 6" xfId="531" xr:uid="{00000000-0005-0000-0000-00003C020000}"/>
    <cellStyle name="Vírgula 2 5 6 2" xfId="1378" xr:uid="{00000000-0005-0000-0000-00008B050000}"/>
    <cellStyle name="Vírgula 2 5 6 2 2" xfId="3489" xr:uid="{00000000-0005-0000-0000-0000CA0D0000}"/>
    <cellStyle name="Vírgula 2 5 6 3" xfId="2672" xr:uid="{00000000-0005-0000-0000-0000990A0000}"/>
    <cellStyle name="Vírgula 2 5 7" xfId="141" xr:uid="{00000000-0005-0000-0000-0000B6000000}"/>
    <cellStyle name="Vírgula 2 5 7 2" xfId="2311" xr:uid="{00000000-0005-0000-0000-000030090000}"/>
    <cellStyle name="Vírgula 2 5 8" xfId="1016" xr:uid="{00000000-0005-0000-0000-000021040000}"/>
    <cellStyle name="Vírgula 2 5 8 2" xfId="3127" xr:uid="{00000000-0005-0000-0000-0000600C0000}"/>
    <cellStyle name="Vírgula 2 5 9" xfId="1800" xr:uid="{00000000-0005-0000-0000-000031070000}"/>
    <cellStyle name="Vírgula 2 5 9 2" xfId="3910" xr:uid="{00000000-0005-0000-0000-00006F0F0000}"/>
    <cellStyle name="Vírgula 2 6" xfId="60" xr:uid="{00000000-0005-0000-0000-000065000000}"/>
    <cellStyle name="Vírgula 2 6 2" xfId="80" xr:uid="{00000000-0005-0000-0000-000079000000}"/>
    <cellStyle name="Vírgula 2 6 2 2" xfId="517" xr:uid="{00000000-0005-0000-0000-00002E020000}"/>
    <cellStyle name="Vírgula 2 6 2 2 2" xfId="962" xr:uid="{00000000-0005-0000-0000-0000EB030000}"/>
    <cellStyle name="Vírgula 2 6 2 2 2 2" xfId="1791" xr:uid="{00000000-0005-0000-0000-000028070000}"/>
    <cellStyle name="Vírgula 2 6 2 2 2 2 2" xfId="2183" xr:uid="{00000000-0005-0000-0000-0000B0080000}"/>
    <cellStyle name="Vírgula 2 6 2 2 2 2 2 2" xfId="4249" xr:uid="{00000000-0005-0000-0000-0000C2100000}"/>
    <cellStyle name="Vírgula 2 6 2 2 2 2 3" xfId="3902" xr:uid="{00000000-0005-0000-0000-0000670F0000}"/>
    <cellStyle name="Vírgula 2 6 2 2 2 3" xfId="1969" xr:uid="{00000000-0005-0000-0000-0000DA070000}"/>
    <cellStyle name="Vírgula 2 6 2 2 2 3 2" xfId="4063" xr:uid="{00000000-0005-0000-0000-000008100000}"/>
    <cellStyle name="Vírgula 2 6 2 2 2 4" xfId="3085" xr:uid="{00000000-0005-0000-0000-0000360C0000}"/>
    <cellStyle name="Vírgula 2 6 2 2 3" xfId="1364" xr:uid="{00000000-0005-0000-0000-00007D050000}"/>
    <cellStyle name="Vírgula 2 6 2 2 3 2" xfId="2103" xr:uid="{00000000-0005-0000-0000-000060080000}"/>
    <cellStyle name="Vírgula 2 6 2 2 3 2 2" xfId="4169" xr:uid="{00000000-0005-0000-0000-000072100000}"/>
    <cellStyle name="Vírgula 2 6 2 2 3 3" xfId="3475" xr:uid="{00000000-0005-0000-0000-0000BC0D0000}"/>
    <cellStyle name="Vírgula 2 6 2 2 4" xfId="1884" xr:uid="{00000000-0005-0000-0000-000085070000}"/>
    <cellStyle name="Vírgula 2 6 2 2 4 2" xfId="3983" xr:uid="{00000000-0005-0000-0000-0000B80F0000}"/>
    <cellStyle name="Vírgula 2 6 2 2 5" xfId="2658" xr:uid="{00000000-0005-0000-0000-00008B0A0000}"/>
    <cellStyle name="Vírgula 2 6 2 3" xfId="770" xr:uid="{00000000-0005-0000-0000-00002B030000}"/>
    <cellStyle name="Vírgula 2 6 2 3 2" xfId="1599" xr:uid="{00000000-0005-0000-0000-000068060000}"/>
    <cellStyle name="Vírgula 2 6 2 3 2 2" xfId="2141" xr:uid="{00000000-0005-0000-0000-000086080000}"/>
    <cellStyle name="Vírgula 2 6 2 3 2 2 2" xfId="4207" xr:uid="{00000000-0005-0000-0000-000098100000}"/>
    <cellStyle name="Vírgula 2 6 2 3 2 3" xfId="3710" xr:uid="{00000000-0005-0000-0000-0000A70E0000}"/>
    <cellStyle name="Vírgula 2 6 2 3 3" xfId="1927" xr:uid="{00000000-0005-0000-0000-0000B0070000}"/>
    <cellStyle name="Vírgula 2 6 2 3 3 2" xfId="4021" xr:uid="{00000000-0005-0000-0000-0000DE0F0000}"/>
    <cellStyle name="Vírgula 2 6 2 3 4" xfId="2893" xr:uid="{00000000-0005-0000-0000-0000760B0000}"/>
    <cellStyle name="Vírgula 2 6 2 4" xfId="562" xr:uid="{00000000-0005-0000-0000-00005B020000}"/>
    <cellStyle name="Vírgula 2 6 2 4 2" xfId="1409" xr:uid="{00000000-0005-0000-0000-0000AA050000}"/>
    <cellStyle name="Vírgula 2 6 2 4 2 2" xfId="3520" xr:uid="{00000000-0005-0000-0000-0000E90D0000}"/>
    <cellStyle name="Vírgula 2 6 2 4 3" xfId="2061" xr:uid="{00000000-0005-0000-0000-000036080000}"/>
    <cellStyle name="Vírgula 2 6 2 4 3 2" xfId="4127" xr:uid="{00000000-0005-0000-0000-000048100000}"/>
    <cellStyle name="Vírgula 2 6 2 4 4" xfId="2703" xr:uid="{00000000-0005-0000-0000-0000B80A0000}"/>
    <cellStyle name="Vírgula 2 6 2 5" xfId="325" xr:uid="{00000000-0005-0000-0000-00006E010000}"/>
    <cellStyle name="Vírgula 2 6 2 5 2" xfId="2466" xr:uid="{00000000-0005-0000-0000-0000CB090000}"/>
    <cellStyle name="Vírgula 2 6 2 6" xfId="1172" xr:uid="{00000000-0005-0000-0000-0000BD040000}"/>
    <cellStyle name="Vírgula 2 6 2 6 2" xfId="3283" xr:uid="{00000000-0005-0000-0000-0000FC0C0000}"/>
    <cellStyle name="Vírgula 2 6 2 7" xfId="1831" xr:uid="{00000000-0005-0000-0000-000050070000}"/>
    <cellStyle name="Vírgula 2 6 2 7 2" xfId="3941" xr:uid="{00000000-0005-0000-0000-00008E0F0000}"/>
    <cellStyle name="Vírgula 2 6 2 8" xfId="2277" xr:uid="{00000000-0005-0000-0000-00000E090000}"/>
    <cellStyle name="Vírgula 2 6 3" xfId="421" xr:uid="{00000000-0005-0000-0000-0000CE010000}"/>
    <cellStyle name="Vírgula 2 6 3 2" xfId="866" xr:uid="{00000000-0005-0000-0000-00008B030000}"/>
    <cellStyle name="Vírgula 2 6 3 2 2" xfId="1695" xr:uid="{00000000-0005-0000-0000-0000C8060000}"/>
    <cellStyle name="Vírgula 2 6 3 2 2 2" xfId="2164" xr:uid="{00000000-0005-0000-0000-00009D080000}"/>
    <cellStyle name="Vírgula 2 6 3 2 2 2 2" xfId="4230" xr:uid="{00000000-0005-0000-0000-0000AF100000}"/>
    <cellStyle name="Vírgula 2 6 3 2 2 3" xfId="3806" xr:uid="{00000000-0005-0000-0000-0000070F0000}"/>
    <cellStyle name="Vírgula 2 6 3 2 3" xfId="1950" xr:uid="{00000000-0005-0000-0000-0000C7070000}"/>
    <cellStyle name="Vírgula 2 6 3 2 3 2" xfId="4044" xr:uid="{00000000-0005-0000-0000-0000F50F0000}"/>
    <cellStyle name="Vírgula 2 6 3 2 4" xfId="2989" xr:uid="{00000000-0005-0000-0000-0000D60B0000}"/>
    <cellStyle name="Vírgula 2 6 3 3" xfId="1268" xr:uid="{00000000-0005-0000-0000-00001D050000}"/>
    <cellStyle name="Vírgula 2 6 3 3 2" xfId="2084" xr:uid="{00000000-0005-0000-0000-00004D080000}"/>
    <cellStyle name="Vírgula 2 6 3 3 2 2" xfId="4150" xr:uid="{00000000-0005-0000-0000-00005F100000}"/>
    <cellStyle name="Vírgula 2 6 3 3 3" xfId="3379" xr:uid="{00000000-0005-0000-0000-00005C0D0000}"/>
    <cellStyle name="Vírgula 2 6 3 4" xfId="1865" xr:uid="{00000000-0005-0000-0000-000072070000}"/>
    <cellStyle name="Vírgula 2 6 3 4 2" xfId="3964" xr:uid="{00000000-0005-0000-0000-0000A50F0000}"/>
    <cellStyle name="Vírgula 2 6 3 5" xfId="2562" xr:uid="{00000000-0005-0000-0000-00002B0A0000}"/>
    <cellStyle name="Vírgula 2 6 4" xfId="674" xr:uid="{00000000-0005-0000-0000-0000CB020000}"/>
    <cellStyle name="Vírgula 2 6 4 2" xfId="1503" xr:uid="{00000000-0005-0000-0000-000008060000}"/>
    <cellStyle name="Vírgula 2 6 4 2 2" xfId="2122" xr:uid="{00000000-0005-0000-0000-000073080000}"/>
    <cellStyle name="Vírgula 2 6 4 2 2 2" xfId="4188" xr:uid="{00000000-0005-0000-0000-000085100000}"/>
    <cellStyle name="Vírgula 2 6 4 2 3" xfId="3614" xr:uid="{00000000-0005-0000-0000-0000470E0000}"/>
    <cellStyle name="Vírgula 2 6 4 3" xfId="1908" xr:uid="{00000000-0005-0000-0000-00009D070000}"/>
    <cellStyle name="Vírgula 2 6 4 3 2" xfId="4002" xr:uid="{00000000-0005-0000-0000-0000CB0F0000}"/>
    <cellStyle name="Vírgula 2 6 4 4" xfId="2797" xr:uid="{00000000-0005-0000-0000-0000160B0000}"/>
    <cellStyle name="Vírgula 2 6 5" xfId="543" xr:uid="{00000000-0005-0000-0000-000048020000}"/>
    <cellStyle name="Vírgula 2 6 5 2" xfId="1390" xr:uid="{00000000-0005-0000-0000-000097050000}"/>
    <cellStyle name="Vírgula 2 6 5 2 2" xfId="3501" xr:uid="{00000000-0005-0000-0000-0000D60D0000}"/>
    <cellStyle name="Vírgula 2 6 5 3" xfId="2042" xr:uid="{00000000-0005-0000-0000-000023080000}"/>
    <cellStyle name="Vírgula 2 6 5 3 2" xfId="4108" xr:uid="{00000000-0005-0000-0000-000035100000}"/>
    <cellStyle name="Vírgula 2 6 5 4" xfId="2684" xr:uid="{00000000-0005-0000-0000-0000A50A0000}"/>
    <cellStyle name="Vírgula 2 6 6" xfId="225" xr:uid="{00000000-0005-0000-0000-00000A010000}"/>
    <cellStyle name="Vírgula 2 6 6 2" xfId="2371" xr:uid="{00000000-0005-0000-0000-00006C090000}"/>
    <cellStyle name="Vírgula 2 6 7" xfId="1076" xr:uid="{00000000-0005-0000-0000-00005D040000}"/>
    <cellStyle name="Vírgula 2 6 7 2" xfId="3187" xr:uid="{00000000-0005-0000-0000-00009C0C0000}"/>
    <cellStyle name="Vírgula 2 6 8" xfId="1812" xr:uid="{00000000-0005-0000-0000-00003D070000}"/>
    <cellStyle name="Vírgula 2 6 8 2" xfId="3922" xr:uid="{00000000-0005-0000-0000-00007B0F0000}"/>
    <cellStyle name="Vírgula 2 6 9" xfId="2258" xr:uid="{00000000-0005-0000-0000-0000FB080000}"/>
    <cellStyle name="Vírgula 2 7" xfId="63" xr:uid="{00000000-0005-0000-0000-000068000000}"/>
    <cellStyle name="Vírgula 2 7 2" xfId="306" xr:uid="{00000000-0005-0000-0000-00005B010000}"/>
    <cellStyle name="Vírgula 2 7 2 2" xfId="498" xr:uid="{00000000-0005-0000-0000-00001B020000}"/>
    <cellStyle name="Vírgula 2 7 2 2 2" xfId="943" xr:uid="{00000000-0005-0000-0000-0000D8030000}"/>
    <cellStyle name="Vírgula 2 7 2 2 2 2" xfId="1772" xr:uid="{00000000-0005-0000-0000-000015070000}"/>
    <cellStyle name="Vírgula 2 7 2 2 2 2 2" xfId="3883" xr:uid="{00000000-0005-0000-0000-0000540F0000}"/>
    <cellStyle name="Vírgula 2 7 2 2 2 3" xfId="2166" xr:uid="{00000000-0005-0000-0000-00009F080000}"/>
    <cellStyle name="Vírgula 2 7 2 2 2 3 2" xfId="4232" xr:uid="{00000000-0005-0000-0000-0000B1100000}"/>
    <cellStyle name="Vírgula 2 7 2 2 2 4" xfId="3066" xr:uid="{00000000-0005-0000-0000-0000230C0000}"/>
    <cellStyle name="Vírgula 2 7 2 2 3" xfId="1345" xr:uid="{00000000-0005-0000-0000-00006A050000}"/>
    <cellStyle name="Vírgula 2 7 2 2 3 2" xfId="3456" xr:uid="{00000000-0005-0000-0000-0000A90D0000}"/>
    <cellStyle name="Vírgula 2 7 2 2 4" xfId="1952" xr:uid="{00000000-0005-0000-0000-0000C9070000}"/>
    <cellStyle name="Vírgula 2 7 2 2 4 2" xfId="4046" xr:uid="{00000000-0005-0000-0000-0000F70F0000}"/>
    <cellStyle name="Vírgula 2 7 2 2 5" xfId="2639" xr:uid="{00000000-0005-0000-0000-0000780A0000}"/>
    <cellStyle name="Vírgula 2 7 2 3" xfId="751" xr:uid="{00000000-0005-0000-0000-000018030000}"/>
    <cellStyle name="Vírgula 2 7 2 3 2" xfId="1580" xr:uid="{00000000-0005-0000-0000-000055060000}"/>
    <cellStyle name="Vírgula 2 7 2 3 2 2" xfId="3691" xr:uid="{00000000-0005-0000-0000-0000940E0000}"/>
    <cellStyle name="Vírgula 2 7 2 3 3" xfId="2086" xr:uid="{00000000-0005-0000-0000-00004F080000}"/>
    <cellStyle name="Vírgula 2 7 2 3 3 2" xfId="4152" xr:uid="{00000000-0005-0000-0000-000061100000}"/>
    <cellStyle name="Vírgula 2 7 2 3 4" xfId="2874" xr:uid="{00000000-0005-0000-0000-0000630B0000}"/>
    <cellStyle name="Vírgula 2 7 2 4" xfId="1153" xr:uid="{00000000-0005-0000-0000-0000AA040000}"/>
    <cellStyle name="Vírgula 2 7 2 4 2" xfId="3264" xr:uid="{00000000-0005-0000-0000-0000E90C0000}"/>
    <cellStyle name="Vírgula 2 7 2 5" xfId="1867" xr:uid="{00000000-0005-0000-0000-000074070000}"/>
    <cellStyle name="Vírgula 2 7 2 5 2" xfId="3966" xr:uid="{00000000-0005-0000-0000-0000A70F0000}"/>
    <cellStyle name="Vírgula 2 7 2 6" xfId="2447" xr:uid="{00000000-0005-0000-0000-0000B8090000}"/>
    <cellStyle name="Vírgula 2 7 3" xfId="402" xr:uid="{00000000-0005-0000-0000-0000BB010000}"/>
    <cellStyle name="Vírgula 2 7 3 2" xfId="847" xr:uid="{00000000-0005-0000-0000-000078030000}"/>
    <cellStyle name="Vírgula 2 7 3 2 2" xfId="1676" xr:uid="{00000000-0005-0000-0000-0000B5060000}"/>
    <cellStyle name="Vírgula 2 7 3 2 2 2" xfId="3787" xr:uid="{00000000-0005-0000-0000-0000F40E0000}"/>
    <cellStyle name="Vírgula 2 7 3 2 3" xfId="2124" xr:uid="{00000000-0005-0000-0000-000075080000}"/>
    <cellStyle name="Vírgula 2 7 3 2 3 2" xfId="4190" xr:uid="{00000000-0005-0000-0000-000087100000}"/>
    <cellStyle name="Vírgula 2 7 3 2 4" xfId="2970" xr:uid="{00000000-0005-0000-0000-0000C30B0000}"/>
    <cellStyle name="Vírgula 2 7 3 3" xfId="1249" xr:uid="{00000000-0005-0000-0000-00000A050000}"/>
    <cellStyle name="Vírgula 2 7 3 3 2" xfId="3360" xr:uid="{00000000-0005-0000-0000-0000490D0000}"/>
    <cellStyle name="Vírgula 2 7 3 4" xfId="1910" xr:uid="{00000000-0005-0000-0000-00009F070000}"/>
    <cellStyle name="Vírgula 2 7 3 4 2" xfId="4004" xr:uid="{00000000-0005-0000-0000-0000CD0F0000}"/>
    <cellStyle name="Vírgula 2 7 3 5" xfId="2543" xr:uid="{00000000-0005-0000-0000-0000180A0000}"/>
    <cellStyle name="Vírgula 2 7 4" xfId="655" xr:uid="{00000000-0005-0000-0000-0000B8020000}"/>
    <cellStyle name="Vírgula 2 7 4 2" xfId="1484" xr:uid="{00000000-0005-0000-0000-0000F5050000}"/>
    <cellStyle name="Vírgula 2 7 4 2 2" xfId="3595" xr:uid="{00000000-0005-0000-0000-0000340E0000}"/>
    <cellStyle name="Vírgula 2 7 4 3" xfId="2044" xr:uid="{00000000-0005-0000-0000-000025080000}"/>
    <cellStyle name="Vírgula 2 7 4 3 2" xfId="4110" xr:uid="{00000000-0005-0000-0000-000037100000}"/>
    <cellStyle name="Vírgula 2 7 4 4" xfId="2778" xr:uid="{00000000-0005-0000-0000-0000030B0000}"/>
    <cellStyle name="Vírgula 2 7 5" xfId="545" xr:uid="{00000000-0005-0000-0000-00004A020000}"/>
    <cellStyle name="Vírgula 2 7 5 2" xfId="1392" xr:uid="{00000000-0005-0000-0000-000099050000}"/>
    <cellStyle name="Vírgula 2 7 5 2 2" xfId="3503" xr:uid="{00000000-0005-0000-0000-0000D80D0000}"/>
    <cellStyle name="Vírgula 2 7 5 3" xfId="2686" xr:uid="{00000000-0005-0000-0000-0000A70A0000}"/>
    <cellStyle name="Vírgula 2 7 6" xfId="189" xr:uid="{00000000-0005-0000-0000-0000E6000000}"/>
    <cellStyle name="Vírgula 2 7 6 2" xfId="2352" xr:uid="{00000000-0005-0000-0000-000059090000}"/>
    <cellStyle name="Vírgula 2 7 7" xfId="1057" xr:uid="{00000000-0005-0000-0000-00004A040000}"/>
    <cellStyle name="Vírgula 2 7 7 2" xfId="3168" xr:uid="{00000000-0005-0000-0000-0000890C0000}"/>
    <cellStyle name="Vírgula 2 7 8" xfId="1814" xr:uid="{00000000-0005-0000-0000-00003F070000}"/>
    <cellStyle name="Vírgula 2 7 8 2" xfId="3924" xr:uid="{00000000-0005-0000-0000-00007D0F0000}"/>
    <cellStyle name="Vírgula 2 7 9" xfId="2260" xr:uid="{00000000-0005-0000-0000-0000FD080000}"/>
    <cellStyle name="Vírgula 2 8" xfId="524" xr:uid="{00000000-0005-0000-0000-000035020000}"/>
    <cellStyle name="Vírgula 2 8 2" xfId="1371" xr:uid="{00000000-0005-0000-0000-000084050000}"/>
    <cellStyle name="Vírgula 2 8 2 2" xfId="2145" xr:uid="{00000000-0005-0000-0000-00008A080000}"/>
    <cellStyle name="Vírgula 2 8 2 2 2" xfId="4211" xr:uid="{00000000-0005-0000-0000-00009C100000}"/>
    <cellStyle name="Vírgula 2 8 2 3" xfId="1931" xr:uid="{00000000-0005-0000-0000-0000B4070000}"/>
    <cellStyle name="Vírgula 2 8 2 3 2" xfId="4025" xr:uid="{00000000-0005-0000-0000-0000E20F0000}"/>
    <cellStyle name="Vírgula 2 8 2 4" xfId="3482" xr:uid="{00000000-0005-0000-0000-0000C30D0000}"/>
    <cellStyle name="Vírgula 2 8 3" xfId="2065" xr:uid="{00000000-0005-0000-0000-00003A080000}"/>
    <cellStyle name="Vírgula 2 8 3 2" xfId="4131" xr:uid="{00000000-0005-0000-0000-00004C100000}"/>
    <cellStyle name="Vírgula 2 8 4" xfId="1843" xr:uid="{00000000-0005-0000-0000-00005C070000}"/>
    <cellStyle name="Vírgula 2 8 4 2" xfId="3945" xr:uid="{00000000-0005-0000-0000-0000920F0000}"/>
    <cellStyle name="Vírgula 2 8 5" xfId="2665" xr:uid="{00000000-0005-0000-0000-0000920A0000}"/>
    <cellStyle name="Vírgula 2 9" xfId="1893" xr:uid="{00000000-0005-0000-0000-00008E070000}"/>
    <cellStyle name="Vírgula 2 9 2" xfId="2107" xr:uid="{00000000-0005-0000-0000-000064080000}"/>
    <cellStyle name="Vírgula 2 9 2 2" xfId="4173" xr:uid="{00000000-0005-0000-0000-000076100000}"/>
    <cellStyle name="Vírgula 2 9 3" xfId="3987" xr:uid="{00000000-0005-0000-0000-0000BC0F0000}"/>
    <cellStyle name="Vírgula 3" xfId="13" xr:uid="{00000000-0005-0000-0000-000036000000}"/>
    <cellStyle name="Vírgula 3 10" xfId="525" xr:uid="{00000000-0005-0000-0000-000036020000}"/>
    <cellStyle name="Vírgula 3 10 2" xfId="1372" xr:uid="{00000000-0005-0000-0000-000085050000}"/>
    <cellStyle name="Vírgula 3 10 2 2" xfId="3483" xr:uid="{00000000-0005-0000-0000-0000C40D0000}"/>
    <cellStyle name="Vírgula 3 10 3" xfId="2666" xr:uid="{00000000-0005-0000-0000-0000930A0000}"/>
    <cellStyle name="Vírgula 3 11" xfId="98" xr:uid="{00000000-0005-0000-0000-00008B000000}"/>
    <cellStyle name="Vírgula 3 11 2" xfId="2284" xr:uid="{00000000-0005-0000-0000-000015090000}"/>
    <cellStyle name="Vírgula 3 12" xfId="988" xr:uid="{00000000-0005-0000-0000-000005040000}"/>
    <cellStyle name="Vírgula 3 12 2" xfId="3099" xr:uid="{00000000-0005-0000-0000-0000440C0000}"/>
    <cellStyle name="Vírgula 3 13" xfId="2231" xr:uid="{00000000-0005-0000-0000-0000E0080000}"/>
    <cellStyle name="Vírgula 3 14" xfId="2241" xr:uid="{00000000-0005-0000-0000-0000EA080000}"/>
    <cellStyle name="Vírgula 3 2" xfId="16" xr:uid="{00000000-0005-0000-0000-000039000000}"/>
    <cellStyle name="Vírgula 3 2 10" xfId="2232" xr:uid="{00000000-0005-0000-0000-0000E1080000}"/>
    <cellStyle name="Vírgula 3 2 11" xfId="2242" xr:uid="{00000000-0005-0000-0000-0000EB080000}"/>
    <cellStyle name="Vírgula 3 2 2" xfId="46" xr:uid="{00000000-0005-0000-0000-000057000000}"/>
    <cellStyle name="Vírgula 3 2 2 10" xfId="2251" xr:uid="{00000000-0005-0000-0000-0000F4080000}"/>
    <cellStyle name="Vírgula 3 2 2 2" xfId="73" xr:uid="{00000000-0005-0000-0000-000072000000}"/>
    <cellStyle name="Vírgula 3 2 2 2 2" xfId="318" xr:uid="{00000000-0005-0000-0000-000067010000}"/>
    <cellStyle name="Vírgula 3 2 2 2 2 2" xfId="510" xr:uid="{00000000-0005-0000-0000-000027020000}"/>
    <cellStyle name="Vírgula 3 2 2 2 2 2 2" xfId="955" xr:uid="{00000000-0005-0000-0000-0000E4030000}"/>
    <cellStyle name="Vírgula 3 2 2 2 2 2 2 2" xfId="1784" xr:uid="{00000000-0005-0000-0000-000021070000}"/>
    <cellStyle name="Vírgula 3 2 2 2 2 2 2 2 2" xfId="3895" xr:uid="{00000000-0005-0000-0000-0000600F0000}"/>
    <cellStyle name="Vírgula 3 2 2 2 2 2 2 3" xfId="2176" xr:uid="{00000000-0005-0000-0000-0000A9080000}"/>
    <cellStyle name="Vírgula 3 2 2 2 2 2 2 3 2" xfId="4242" xr:uid="{00000000-0005-0000-0000-0000BB100000}"/>
    <cellStyle name="Vírgula 3 2 2 2 2 2 2 4" xfId="3078" xr:uid="{00000000-0005-0000-0000-00002F0C0000}"/>
    <cellStyle name="Vírgula 3 2 2 2 2 2 3" xfId="1357" xr:uid="{00000000-0005-0000-0000-000076050000}"/>
    <cellStyle name="Vírgula 3 2 2 2 2 2 3 2" xfId="3468" xr:uid="{00000000-0005-0000-0000-0000B50D0000}"/>
    <cellStyle name="Vírgula 3 2 2 2 2 2 4" xfId="1962" xr:uid="{00000000-0005-0000-0000-0000D3070000}"/>
    <cellStyle name="Vírgula 3 2 2 2 2 2 4 2" xfId="4056" xr:uid="{00000000-0005-0000-0000-000001100000}"/>
    <cellStyle name="Vírgula 3 2 2 2 2 2 5" xfId="2651" xr:uid="{00000000-0005-0000-0000-0000840A0000}"/>
    <cellStyle name="Vírgula 3 2 2 2 2 3" xfId="763" xr:uid="{00000000-0005-0000-0000-000024030000}"/>
    <cellStyle name="Vírgula 3 2 2 2 2 3 2" xfId="1592" xr:uid="{00000000-0005-0000-0000-000061060000}"/>
    <cellStyle name="Vírgula 3 2 2 2 2 3 2 2" xfId="3703" xr:uid="{00000000-0005-0000-0000-0000A00E0000}"/>
    <cellStyle name="Vírgula 3 2 2 2 2 3 3" xfId="2096" xr:uid="{00000000-0005-0000-0000-000059080000}"/>
    <cellStyle name="Vírgula 3 2 2 2 2 3 3 2" xfId="4162" xr:uid="{00000000-0005-0000-0000-00006B100000}"/>
    <cellStyle name="Vírgula 3 2 2 2 2 3 4" xfId="2886" xr:uid="{00000000-0005-0000-0000-00006F0B0000}"/>
    <cellStyle name="Vírgula 3 2 2 2 2 4" xfId="1165" xr:uid="{00000000-0005-0000-0000-0000B6040000}"/>
    <cellStyle name="Vírgula 3 2 2 2 2 4 2" xfId="3276" xr:uid="{00000000-0005-0000-0000-0000F50C0000}"/>
    <cellStyle name="Vírgula 3 2 2 2 2 5" xfId="1877" xr:uid="{00000000-0005-0000-0000-00007E070000}"/>
    <cellStyle name="Vírgula 3 2 2 2 2 5 2" xfId="3976" xr:uid="{00000000-0005-0000-0000-0000B10F0000}"/>
    <cellStyle name="Vírgula 3 2 2 2 2 6" xfId="2459" xr:uid="{00000000-0005-0000-0000-0000C4090000}"/>
    <cellStyle name="Vírgula 3 2 2 2 3" xfId="414" xr:uid="{00000000-0005-0000-0000-0000C7010000}"/>
    <cellStyle name="Vírgula 3 2 2 2 3 2" xfId="859" xr:uid="{00000000-0005-0000-0000-000084030000}"/>
    <cellStyle name="Vírgula 3 2 2 2 3 2 2" xfId="1688" xr:uid="{00000000-0005-0000-0000-0000C1060000}"/>
    <cellStyle name="Vírgula 3 2 2 2 3 2 2 2" xfId="3799" xr:uid="{00000000-0005-0000-0000-0000000F0000}"/>
    <cellStyle name="Vírgula 3 2 2 2 3 2 3" xfId="2134" xr:uid="{00000000-0005-0000-0000-00007F080000}"/>
    <cellStyle name="Vírgula 3 2 2 2 3 2 3 2" xfId="4200" xr:uid="{00000000-0005-0000-0000-000091100000}"/>
    <cellStyle name="Vírgula 3 2 2 2 3 2 4" xfId="2982" xr:uid="{00000000-0005-0000-0000-0000CF0B0000}"/>
    <cellStyle name="Vírgula 3 2 2 2 3 3" xfId="1261" xr:uid="{00000000-0005-0000-0000-000016050000}"/>
    <cellStyle name="Vírgula 3 2 2 2 3 3 2" xfId="3372" xr:uid="{00000000-0005-0000-0000-0000550D0000}"/>
    <cellStyle name="Vírgula 3 2 2 2 3 4" xfId="1920" xr:uid="{00000000-0005-0000-0000-0000A9070000}"/>
    <cellStyle name="Vírgula 3 2 2 2 3 4 2" xfId="4014" xr:uid="{00000000-0005-0000-0000-0000D70F0000}"/>
    <cellStyle name="Vírgula 3 2 2 2 3 5" xfId="2555" xr:uid="{00000000-0005-0000-0000-0000240A0000}"/>
    <cellStyle name="Vírgula 3 2 2 2 4" xfId="667" xr:uid="{00000000-0005-0000-0000-0000C4020000}"/>
    <cellStyle name="Vírgula 3 2 2 2 4 2" xfId="1496" xr:uid="{00000000-0005-0000-0000-000001060000}"/>
    <cellStyle name="Vírgula 3 2 2 2 4 2 2" xfId="3607" xr:uid="{00000000-0005-0000-0000-0000400E0000}"/>
    <cellStyle name="Vírgula 3 2 2 2 4 3" xfId="2054" xr:uid="{00000000-0005-0000-0000-00002F080000}"/>
    <cellStyle name="Vírgula 3 2 2 2 4 3 2" xfId="4120" xr:uid="{00000000-0005-0000-0000-000041100000}"/>
    <cellStyle name="Vírgula 3 2 2 2 4 4" xfId="2790" xr:uid="{00000000-0005-0000-0000-00000F0B0000}"/>
    <cellStyle name="Vírgula 3 2 2 2 5" xfId="555" xr:uid="{00000000-0005-0000-0000-000054020000}"/>
    <cellStyle name="Vírgula 3 2 2 2 5 2" xfId="1402" xr:uid="{00000000-0005-0000-0000-0000A3050000}"/>
    <cellStyle name="Vírgula 3 2 2 2 5 2 2" xfId="3513" xr:uid="{00000000-0005-0000-0000-0000E20D0000}"/>
    <cellStyle name="Vírgula 3 2 2 2 5 3" xfId="2696" xr:uid="{00000000-0005-0000-0000-0000B10A0000}"/>
    <cellStyle name="Vírgula 3 2 2 2 6" xfId="212" xr:uid="{00000000-0005-0000-0000-0000FD000000}"/>
    <cellStyle name="Vírgula 3 2 2 2 6 2" xfId="2364" xr:uid="{00000000-0005-0000-0000-000065090000}"/>
    <cellStyle name="Vírgula 3 2 2 2 7" xfId="1069" xr:uid="{00000000-0005-0000-0000-000056040000}"/>
    <cellStyle name="Vírgula 3 2 2 2 7 2" xfId="3180" xr:uid="{00000000-0005-0000-0000-0000950C0000}"/>
    <cellStyle name="Vírgula 3 2 2 2 8" xfId="1824" xr:uid="{00000000-0005-0000-0000-000049070000}"/>
    <cellStyle name="Vírgula 3 2 2 2 8 2" xfId="3934" xr:uid="{00000000-0005-0000-0000-0000870F0000}"/>
    <cellStyle name="Vírgula 3 2 2 2 9" xfId="2270" xr:uid="{00000000-0005-0000-0000-000007090000}"/>
    <cellStyle name="Vírgula 3 2 2 3" xfId="269" xr:uid="{00000000-0005-0000-0000-000036010000}"/>
    <cellStyle name="Vírgula 3 2 2 3 2" xfId="462" xr:uid="{00000000-0005-0000-0000-0000F7010000}"/>
    <cellStyle name="Vírgula 3 2 2 3 2 2" xfId="907" xr:uid="{00000000-0005-0000-0000-0000B4030000}"/>
    <cellStyle name="Vírgula 3 2 2 3 2 2 2" xfId="1736" xr:uid="{00000000-0005-0000-0000-0000F1060000}"/>
    <cellStyle name="Vírgula 3 2 2 3 2 2 2 2" xfId="3847" xr:uid="{00000000-0005-0000-0000-0000300F0000}"/>
    <cellStyle name="Vírgula 3 2 2 3 2 2 3" xfId="2157" xr:uid="{00000000-0005-0000-0000-000096080000}"/>
    <cellStyle name="Vírgula 3 2 2 3 2 2 3 2" xfId="4223" xr:uid="{00000000-0005-0000-0000-0000A8100000}"/>
    <cellStyle name="Vírgula 3 2 2 3 2 2 4" xfId="3030" xr:uid="{00000000-0005-0000-0000-0000FF0B0000}"/>
    <cellStyle name="Vírgula 3 2 2 3 2 3" xfId="1309" xr:uid="{00000000-0005-0000-0000-000046050000}"/>
    <cellStyle name="Vírgula 3 2 2 3 2 3 2" xfId="3420" xr:uid="{00000000-0005-0000-0000-0000850D0000}"/>
    <cellStyle name="Vírgula 3 2 2 3 2 4" xfId="1943" xr:uid="{00000000-0005-0000-0000-0000C0070000}"/>
    <cellStyle name="Vírgula 3 2 2 3 2 4 2" xfId="4037" xr:uid="{00000000-0005-0000-0000-0000EE0F0000}"/>
    <cellStyle name="Vírgula 3 2 2 3 2 5" xfId="2603" xr:uid="{00000000-0005-0000-0000-0000540A0000}"/>
    <cellStyle name="Vírgula 3 2 2 3 3" xfId="715" xr:uid="{00000000-0005-0000-0000-0000F4020000}"/>
    <cellStyle name="Vírgula 3 2 2 3 3 2" xfId="1544" xr:uid="{00000000-0005-0000-0000-000031060000}"/>
    <cellStyle name="Vírgula 3 2 2 3 3 2 2" xfId="3655" xr:uid="{00000000-0005-0000-0000-0000700E0000}"/>
    <cellStyle name="Vírgula 3 2 2 3 3 3" xfId="2077" xr:uid="{00000000-0005-0000-0000-000046080000}"/>
    <cellStyle name="Vírgula 3 2 2 3 3 3 2" xfId="4143" xr:uid="{00000000-0005-0000-0000-000058100000}"/>
    <cellStyle name="Vírgula 3 2 2 3 3 4" xfId="2838" xr:uid="{00000000-0005-0000-0000-00003F0B0000}"/>
    <cellStyle name="Vírgula 3 2 2 3 4" xfId="1117" xr:uid="{00000000-0005-0000-0000-000086040000}"/>
    <cellStyle name="Vírgula 3 2 2 3 4 2" xfId="3228" xr:uid="{00000000-0005-0000-0000-0000C50C0000}"/>
    <cellStyle name="Vírgula 3 2 2 3 5" xfId="1856" xr:uid="{00000000-0005-0000-0000-000069070000}"/>
    <cellStyle name="Vírgula 3 2 2 3 5 2" xfId="3957" xr:uid="{00000000-0005-0000-0000-00009E0F0000}"/>
    <cellStyle name="Vírgula 3 2 2 3 6" xfId="2411" xr:uid="{00000000-0005-0000-0000-000094090000}"/>
    <cellStyle name="Vírgula 3 2 2 4" xfId="366" xr:uid="{00000000-0005-0000-0000-000097010000}"/>
    <cellStyle name="Vírgula 3 2 2 4 2" xfId="811" xr:uid="{00000000-0005-0000-0000-000054030000}"/>
    <cellStyle name="Vírgula 3 2 2 4 2 2" xfId="1640" xr:uid="{00000000-0005-0000-0000-000091060000}"/>
    <cellStyle name="Vírgula 3 2 2 4 2 2 2" xfId="3751" xr:uid="{00000000-0005-0000-0000-0000D00E0000}"/>
    <cellStyle name="Vírgula 3 2 2 4 2 3" xfId="2115" xr:uid="{00000000-0005-0000-0000-00006C080000}"/>
    <cellStyle name="Vírgula 3 2 2 4 2 3 2" xfId="4181" xr:uid="{00000000-0005-0000-0000-00007E100000}"/>
    <cellStyle name="Vírgula 3 2 2 4 2 4" xfId="2934" xr:uid="{00000000-0005-0000-0000-00009F0B0000}"/>
    <cellStyle name="Vírgula 3 2 2 4 3" xfId="1213" xr:uid="{00000000-0005-0000-0000-0000E6040000}"/>
    <cellStyle name="Vírgula 3 2 2 4 3 2" xfId="3324" xr:uid="{00000000-0005-0000-0000-0000250D0000}"/>
    <cellStyle name="Vírgula 3 2 2 4 4" xfId="1901" xr:uid="{00000000-0005-0000-0000-000096070000}"/>
    <cellStyle name="Vírgula 3 2 2 4 4 2" xfId="3995" xr:uid="{00000000-0005-0000-0000-0000C40F0000}"/>
    <cellStyle name="Vírgula 3 2 2 4 5" xfId="2507" xr:uid="{00000000-0005-0000-0000-0000F4090000}"/>
    <cellStyle name="Vírgula 3 2 2 5" xfId="617" xr:uid="{00000000-0005-0000-0000-000092020000}"/>
    <cellStyle name="Vírgula 3 2 2 5 2" xfId="1448" xr:uid="{00000000-0005-0000-0000-0000D1050000}"/>
    <cellStyle name="Vírgula 3 2 2 5 2 2" xfId="2199" xr:uid="{00000000-0005-0000-0000-0000C0080000}"/>
    <cellStyle name="Vírgula 3 2 2 5 2 2 2" xfId="4265" xr:uid="{00000000-0005-0000-0000-0000D2100000}"/>
    <cellStyle name="Vírgula 3 2 2 5 2 3" xfId="3559" xr:uid="{00000000-0005-0000-0000-0000100E0000}"/>
    <cellStyle name="Vírgula 3 2 2 5 3" xfId="1992" xr:uid="{00000000-0005-0000-0000-0000F1070000}"/>
    <cellStyle name="Vírgula 3 2 2 5 3 2" xfId="4079" xr:uid="{00000000-0005-0000-0000-000018100000}"/>
    <cellStyle name="Vírgula 3 2 2 5 4" xfId="2742" xr:uid="{00000000-0005-0000-0000-0000DF0A0000}"/>
    <cellStyle name="Vírgula 3 2 2 6" xfId="536" xr:uid="{00000000-0005-0000-0000-000041020000}"/>
    <cellStyle name="Vírgula 3 2 2 6 2" xfId="1383" xr:uid="{00000000-0005-0000-0000-000090050000}"/>
    <cellStyle name="Vírgula 3 2 2 6 2 2" xfId="3494" xr:uid="{00000000-0005-0000-0000-0000CF0D0000}"/>
    <cellStyle name="Vírgula 3 2 2 6 3" xfId="2035" xr:uid="{00000000-0005-0000-0000-00001C080000}"/>
    <cellStyle name="Vírgula 3 2 2 6 3 2" xfId="4101" xr:uid="{00000000-0005-0000-0000-00002E100000}"/>
    <cellStyle name="Vírgula 3 2 2 6 4" xfId="2677" xr:uid="{00000000-0005-0000-0000-00009E0A0000}"/>
    <cellStyle name="Vírgula 3 2 2 7" xfId="146" xr:uid="{00000000-0005-0000-0000-0000BB000000}"/>
    <cellStyle name="Vírgula 3 2 2 7 2" xfId="2316" xr:uid="{00000000-0005-0000-0000-000035090000}"/>
    <cellStyle name="Vírgula 3 2 2 8" xfId="1021" xr:uid="{00000000-0005-0000-0000-000026040000}"/>
    <cellStyle name="Vírgula 3 2 2 8 2" xfId="3132" xr:uid="{00000000-0005-0000-0000-0000650C0000}"/>
    <cellStyle name="Vírgula 3 2 2 9" xfId="1805" xr:uid="{00000000-0005-0000-0000-000036070000}"/>
    <cellStyle name="Vírgula 3 2 2 9 2" xfId="3915" xr:uid="{00000000-0005-0000-0000-0000740F0000}"/>
    <cellStyle name="Vírgula 3 2 3" xfId="64" xr:uid="{00000000-0005-0000-0000-000069000000}"/>
    <cellStyle name="Vírgula 3 2 3 2" xfId="308" xr:uid="{00000000-0005-0000-0000-00005D010000}"/>
    <cellStyle name="Vírgula 3 2 3 2 2" xfId="500" xr:uid="{00000000-0005-0000-0000-00001D020000}"/>
    <cellStyle name="Vírgula 3 2 3 2 2 2" xfId="945" xr:uid="{00000000-0005-0000-0000-0000DA030000}"/>
    <cellStyle name="Vírgula 3 2 3 2 2 2 2" xfId="1774" xr:uid="{00000000-0005-0000-0000-000017070000}"/>
    <cellStyle name="Vírgula 3 2 3 2 2 2 2 2" xfId="3885" xr:uid="{00000000-0005-0000-0000-0000560F0000}"/>
    <cellStyle name="Vírgula 3 2 3 2 2 2 3" xfId="2167" xr:uid="{00000000-0005-0000-0000-0000A0080000}"/>
    <cellStyle name="Vírgula 3 2 3 2 2 2 3 2" xfId="4233" xr:uid="{00000000-0005-0000-0000-0000B2100000}"/>
    <cellStyle name="Vírgula 3 2 3 2 2 2 4" xfId="3068" xr:uid="{00000000-0005-0000-0000-0000250C0000}"/>
    <cellStyle name="Vírgula 3 2 3 2 2 3" xfId="1347" xr:uid="{00000000-0005-0000-0000-00006C050000}"/>
    <cellStyle name="Vírgula 3 2 3 2 2 3 2" xfId="3458" xr:uid="{00000000-0005-0000-0000-0000AB0D0000}"/>
    <cellStyle name="Vírgula 3 2 3 2 2 4" xfId="1953" xr:uid="{00000000-0005-0000-0000-0000CA070000}"/>
    <cellStyle name="Vírgula 3 2 3 2 2 4 2" xfId="4047" xr:uid="{00000000-0005-0000-0000-0000F80F0000}"/>
    <cellStyle name="Vírgula 3 2 3 2 2 5" xfId="2641" xr:uid="{00000000-0005-0000-0000-00007A0A0000}"/>
    <cellStyle name="Vírgula 3 2 3 2 3" xfId="753" xr:uid="{00000000-0005-0000-0000-00001A030000}"/>
    <cellStyle name="Vírgula 3 2 3 2 3 2" xfId="1582" xr:uid="{00000000-0005-0000-0000-000057060000}"/>
    <cellStyle name="Vírgula 3 2 3 2 3 2 2" xfId="3693" xr:uid="{00000000-0005-0000-0000-0000960E0000}"/>
    <cellStyle name="Vírgula 3 2 3 2 3 3" xfId="2087" xr:uid="{00000000-0005-0000-0000-000050080000}"/>
    <cellStyle name="Vírgula 3 2 3 2 3 3 2" xfId="4153" xr:uid="{00000000-0005-0000-0000-000062100000}"/>
    <cellStyle name="Vírgula 3 2 3 2 3 4" xfId="2876" xr:uid="{00000000-0005-0000-0000-0000650B0000}"/>
    <cellStyle name="Vírgula 3 2 3 2 4" xfId="1155" xr:uid="{00000000-0005-0000-0000-0000AC040000}"/>
    <cellStyle name="Vírgula 3 2 3 2 4 2" xfId="3266" xr:uid="{00000000-0005-0000-0000-0000EB0C0000}"/>
    <cellStyle name="Vírgula 3 2 3 2 5" xfId="1868" xr:uid="{00000000-0005-0000-0000-000075070000}"/>
    <cellStyle name="Vírgula 3 2 3 2 5 2" xfId="3967" xr:uid="{00000000-0005-0000-0000-0000A80F0000}"/>
    <cellStyle name="Vírgula 3 2 3 2 6" xfId="2449" xr:uid="{00000000-0005-0000-0000-0000BA090000}"/>
    <cellStyle name="Vírgula 3 2 3 3" xfId="404" xr:uid="{00000000-0005-0000-0000-0000BD010000}"/>
    <cellStyle name="Vírgula 3 2 3 3 2" xfId="849" xr:uid="{00000000-0005-0000-0000-00007A030000}"/>
    <cellStyle name="Vírgula 3 2 3 3 2 2" xfId="1678" xr:uid="{00000000-0005-0000-0000-0000B7060000}"/>
    <cellStyle name="Vírgula 3 2 3 3 2 2 2" xfId="3789" xr:uid="{00000000-0005-0000-0000-0000F60E0000}"/>
    <cellStyle name="Vírgula 3 2 3 3 2 3" xfId="2125" xr:uid="{00000000-0005-0000-0000-000076080000}"/>
    <cellStyle name="Vírgula 3 2 3 3 2 3 2" xfId="4191" xr:uid="{00000000-0005-0000-0000-000088100000}"/>
    <cellStyle name="Vírgula 3 2 3 3 2 4" xfId="2972" xr:uid="{00000000-0005-0000-0000-0000C50B0000}"/>
    <cellStyle name="Vírgula 3 2 3 3 3" xfId="1251" xr:uid="{00000000-0005-0000-0000-00000C050000}"/>
    <cellStyle name="Vírgula 3 2 3 3 3 2" xfId="3362" xr:uid="{00000000-0005-0000-0000-00004B0D0000}"/>
    <cellStyle name="Vírgula 3 2 3 3 4" xfId="1911" xr:uid="{00000000-0005-0000-0000-0000A0070000}"/>
    <cellStyle name="Vírgula 3 2 3 3 4 2" xfId="4005" xr:uid="{00000000-0005-0000-0000-0000CE0F0000}"/>
    <cellStyle name="Vírgula 3 2 3 3 5" xfId="2545" xr:uid="{00000000-0005-0000-0000-00001A0A0000}"/>
    <cellStyle name="Vírgula 3 2 3 4" xfId="657" xr:uid="{00000000-0005-0000-0000-0000BA020000}"/>
    <cellStyle name="Vírgula 3 2 3 4 2" xfId="1486" xr:uid="{00000000-0005-0000-0000-0000F7050000}"/>
    <cellStyle name="Vírgula 3 2 3 4 2 2" xfId="3597" xr:uid="{00000000-0005-0000-0000-0000360E0000}"/>
    <cellStyle name="Vírgula 3 2 3 4 3" xfId="2045" xr:uid="{00000000-0005-0000-0000-000026080000}"/>
    <cellStyle name="Vírgula 3 2 3 4 3 2" xfId="4111" xr:uid="{00000000-0005-0000-0000-000038100000}"/>
    <cellStyle name="Vírgula 3 2 3 4 4" xfId="2780" xr:uid="{00000000-0005-0000-0000-0000050B0000}"/>
    <cellStyle name="Vírgula 3 2 3 5" xfId="546" xr:uid="{00000000-0005-0000-0000-00004B020000}"/>
    <cellStyle name="Vírgula 3 2 3 5 2" xfId="1393" xr:uid="{00000000-0005-0000-0000-00009A050000}"/>
    <cellStyle name="Vírgula 3 2 3 5 2 2" xfId="3504" xr:uid="{00000000-0005-0000-0000-0000D90D0000}"/>
    <cellStyle name="Vírgula 3 2 3 5 3" xfId="2687" xr:uid="{00000000-0005-0000-0000-0000A80A0000}"/>
    <cellStyle name="Vírgula 3 2 3 6" xfId="197" xr:uid="{00000000-0005-0000-0000-0000EE000000}"/>
    <cellStyle name="Vírgula 3 2 3 6 2" xfId="2354" xr:uid="{00000000-0005-0000-0000-00005B090000}"/>
    <cellStyle name="Vírgula 3 2 3 7" xfId="1059" xr:uid="{00000000-0005-0000-0000-00004C040000}"/>
    <cellStyle name="Vírgula 3 2 3 7 2" xfId="3170" xr:uid="{00000000-0005-0000-0000-00008B0C0000}"/>
    <cellStyle name="Vírgula 3 2 3 8" xfId="1815" xr:uid="{00000000-0005-0000-0000-000040070000}"/>
    <cellStyle name="Vírgula 3 2 3 8 2" xfId="3925" xr:uid="{00000000-0005-0000-0000-00007E0F0000}"/>
    <cellStyle name="Vírgula 3 2 3 9" xfId="2261" xr:uid="{00000000-0005-0000-0000-0000FE080000}"/>
    <cellStyle name="Vírgula 3 2 4" xfId="237" xr:uid="{00000000-0005-0000-0000-000016010000}"/>
    <cellStyle name="Vírgula 3 2 4 2" xfId="430" xr:uid="{00000000-0005-0000-0000-0000D7010000}"/>
    <cellStyle name="Vírgula 3 2 4 2 2" xfId="875" xr:uid="{00000000-0005-0000-0000-000094030000}"/>
    <cellStyle name="Vírgula 3 2 4 2 2 2" xfId="1704" xr:uid="{00000000-0005-0000-0000-0000D1060000}"/>
    <cellStyle name="Vírgula 3 2 4 2 2 2 2" xfId="3815" xr:uid="{00000000-0005-0000-0000-0000100F0000}"/>
    <cellStyle name="Vírgula 3 2 4 2 2 3" xfId="2147" xr:uid="{00000000-0005-0000-0000-00008C080000}"/>
    <cellStyle name="Vírgula 3 2 4 2 2 3 2" xfId="4213" xr:uid="{00000000-0005-0000-0000-00009E100000}"/>
    <cellStyle name="Vírgula 3 2 4 2 2 4" xfId="2998" xr:uid="{00000000-0005-0000-0000-0000DF0B0000}"/>
    <cellStyle name="Vírgula 3 2 4 2 3" xfId="1277" xr:uid="{00000000-0005-0000-0000-000026050000}"/>
    <cellStyle name="Vírgula 3 2 4 2 3 2" xfId="3388" xr:uid="{00000000-0005-0000-0000-0000650D0000}"/>
    <cellStyle name="Vírgula 3 2 4 2 4" xfId="1933" xr:uid="{00000000-0005-0000-0000-0000B6070000}"/>
    <cellStyle name="Vírgula 3 2 4 2 4 2" xfId="4027" xr:uid="{00000000-0005-0000-0000-0000E40F0000}"/>
    <cellStyle name="Vírgula 3 2 4 2 5" xfId="2571" xr:uid="{00000000-0005-0000-0000-0000340A0000}"/>
    <cellStyle name="Vírgula 3 2 4 3" xfId="683" xr:uid="{00000000-0005-0000-0000-0000D4020000}"/>
    <cellStyle name="Vírgula 3 2 4 3 2" xfId="1512" xr:uid="{00000000-0005-0000-0000-000011060000}"/>
    <cellStyle name="Vírgula 3 2 4 3 2 2" xfId="3623" xr:uid="{00000000-0005-0000-0000-0000500E0000}"/>
    <cellStyle name="Vírgula 3 2 4 3 3" xfId="2067" xr:uid="{00000000-0005-0000-0000-00003C080000}"/>
    <cellStyle name="Vírgula 3 2 4 3 3 2" xfId="4133" xr:uid="{00000000-0005-0000-0000-00004E100000}"/>
    <cellStyle name="Vírgula 3 2 4 3 4" xfId="2806" xr:uid="{00000000-0005-0000-0000-00001F0B0000}"/>
    <cellStyle name="Vírgula 3 2 4 4" xfId="1085" xr:uid="{00000000-0005-0000-0000-000066040000}"/>
    <cellStyle name="Vírgula 3 2 4 4 2" xfId="3196" xr:uid="{00000000-0005-0000-0000-0000A50C0000}"/>
    <cellStyle name="Vírgula 3 2 4 5" xfId="1845" xr:uid="{00000000-0005-0000-0000-00005E070000}"/>
    <cellStyle name="Vírgula 3 2 4 5 2" xfId="3947" xr:uid="{00000000-0005-0000-0000-0000940F0000}"/>
    <cellStyle name="Vírgula 3 2 4 6" xfId="2379" xr:uid="{00000000-0005-0000-0000-000074090000}"/>
    <cellStyle name="Vírgula 3 2 5" xfId="334" xr:uid="{00000000-0005-0000-0000-000077010000}"/>
    <cellStyle name="Vírgula 3 2 5 2" xfId="779" xr:uid="{00000000-0005-0000-0000-000034030000}"/>
    <cellStyle name="Vírgula 3 2 5 2 2" xfId="1608" xr:uid="{00000000-0005-0000-0000-000071060000}"/>
    <cellStyle name="Vírgula 3 2 5 2 2 2" xfId="3719" xr:uid="{00000000-0005-0000-0000-0000B00E0000}"/>
    <cellStyle name="Vírgula 3 2 5 2 3" xfId="2192" xr:uid="{00000000-0005-0000-0000-0000B9080000}"/>
    <cellStyle name="Vírgula 3 2 5 2 3 2" xfId="4258" xr:uid="{00000000-0005-0000-0000-0000CB100000}"/>
    <cellStyle name="Vírgula 3 2 5 2 4" xfId="2902" xr:uid="{00000000-0005-0000-0000-00007F0B0000}"/>
    <cellStyle name="Vírgula 3 2 5 3" xfId="1181" xr:uid="{00000000-0005-0000-0000-0000C6040000}"/>
    <cellStyle name="Vírgula 3 2 5 3 2" xfId="3292" xr:uid="{00000000-0005-0000-0000-0000050D0000}"/>
    <cellStyle name="Vírgula 3 2 5 4" xfId="1983" xr:uid="{00000000-0005-0000-0000-0000E8070000}"/>
    <cellStyle name="Vírgula 3 2 5 4 2" xfId="4072" xr:uid="{00000000-0005-0000-0000-000011100000}"/>
    <cellStyle name="Vírgula 3 2 5 5" xfId="2475" xr:uid="{00000000-0005-0000-0000-0000D4090000}"/>
    <cellStyle name="Vírgula 3 2 6" xfId="579" xr:uid="{00000000-0005-0000-0000-00006C020000}"/>
    <cellStyle name="Vírgula 3 2 6 2" xfId="1416" xr:uid="{00000000-0005-0000-0000-0000B1050000}"/>
    <cellStyle name="Vírgula 3 2 6 2 2" xfId="3527" xr:uid="{00000000-0005-0000-0000-0000F00D0000}"/>
    <cellStyle name="Vírgula 3 2 6 3" xfId="2025" xr:uid="{00000000-0005-0000-0000-000012080000}"/>
    <cellStyle name="Vírgula 3 2 6 3 2" xfId="4091" xr:uid="{00000000-0005-0000-0000-000024100000}"/>
    <cellStyle name="Vírgula 3 2 6 4" xfId="2710" xr:uid="{00000000-0005-0000-0000-0000BF0A0000}"/>
    <cellStyle name="Vírgula 3 2 7" xfId="526" xr:uid="{00000000-0005-0000-0000-000037020000}"/>
    <cellStyle name="Vírgula 3 2 7 2" xfId="1373" xr:uid="{00000000-0005-0000-0000-000086050000}"/>
    <cellStyle name="Vírgula 3 2 7 2 2" xfId="3484" xr:uid="{00000000-0005-0000-0000-0000C50D0000}"/>
    <cellStyle name="Vírgula 3 2 7 3" xfId="2667" xr:uid="{00000000-0005-0000-0000-0000940A0000}"/>
    <cellStyle name="Vírgula 3 2 8" xfId="99" xr:uid="{00000000-0005-0000-0000-00008C000000}"/>
    <cellStyle name="Vírgula 3 2 8 2" xfId="2285" xr:uid="{00000000-0005-0000-0000-000016090000}"/>
    <cellStyle name="Vírgula 3 2 9" xfId="989" xr:uid="{00000000-0005-0000-0000-000006040000}"/>
    <cellStyle name="Vírgula 3 2 9 2" xfId="3100" xr:uid="{00000000-0005-0000-0000-0000450C0000}"/>
    <cellStyle name="Vírgula 3 3" xfId="53" xr:uid="{00000000-0005-0000-0000-00005E000000}"/>
    <cellStyle name="Vírgula 3 3 10" xfId="2233" xr:uid="{00000000-0005-0000-0000-0000E2080000}"/>
    <cellStyle name="Vírgula 3 3 11" xfId="2255" xr:uid="{00000000-0005-0000-0000-0000F8080000}"/>
    <cellStyle name="Vírgula 3 3 2" xfId="77" xr:uid="{00000000-0005-0000-0000-000076000000}"/>
    <cellStyle name="Vírgula 3 3 2 2" xfId="322" xr:uid="{00000000-0005-0000-0000-00006B010000}"/>
    <cellStyle name="Vírgula 3 3 2 2 2" xfId="514" xr:uid="{00000000-0005-0000-0000-00002B020000}"/>
    <cellStyle name="Vírgula 3 3 2 2 2 2" xfId="959" xr:uid="{00000000-0005-0000-0000-0000E8030000}"/>
    <cellStyle name="Vírgula 3 3 2 2 2 2 2" xfId="1788" xr:uid="{00000000-0005-0000-0000-000025070000}"/>
    <cellStyle name="Vírgula 3 3 2 2 2 2 2 2" xfId="3899" xr:uid="{00000000-0005-0000-0000-0000640F0000}"/>
    <cellStyle name="Vírgula 3 3 2 2 2 2 3" xfId="2180" xr:uid="{00000000-0005-0000-0000-0000AD080000}"/>
    <cellStyle name="Vírgula 3 3 2 2 2 2 3 2" xfId="4246" xr:uid="{00000000-0005-0000-0000-0000BF100000}"/>
    <cellStyle name="Vírgula 3 3 2 2 2 2 4" xfId="3082" xr:uid="{00000000-0005-0000-0000-0000330C0000}"/>
    <cellStyle name="Vírgula 3 3 2 2 2 3" xfId="1361" xr:uid="{00000000-0005-0000-0000-00007A050000}"/>
    <cellStyle name="Vírgula 3 3 2 2 2 3 2" xfId="3472" xr:uid="{00000000-0005-0000-0000-0000B90D0000}"/>
    <cellStyle name="Vírgula 3 3 2 2 2 4" xfId="1966" xr:uid="{00000000-0005-0000-0000-0000D7070000}"/>
    <cellStyle name="Vírgula 3 3 2 2 2 4 2" xfId="4060" xr:uid="{00000000-0005-0000-0000-000005100000}"/>
    <cellStyle name="Vírgula 3 3 2 2 2 5" xfId="2655" xr:uid="{00000000-0005-0000-0000-0000880A0000}"/>
    <cellStyle name="Vírgula 3 3 2 2 3" xfId="767" xr:uid="{00000000-0005-0000-0000-000028030000}"/>
    <cellStyle name="Vírgula 3 3 2 2 3 2" xfId="1596" xr:uid="{00000000-0005-0000-0000-000065060000}"/>
    <cellStyle name="Vírgula 3 3 2 2 3 2 2" xfId="3707" xr:uid="{00000000-0005-0000-0000-0000A40E0000}"/>
    <cellStyle name="Vírgula 3 3 2 2 3 3" xfId="2100" xr:uid="{00000000-0005-0000-0000-00005D080000}"/>
    <cellStyle name="Vírgula 3 3 2 2 3 3 2" xfId="4166" xr:uid="{00000000-0005-0000-0000-00006F100000}"/>
    <cellStyle name="Vírgula 3 3 2 2 3 4" xfId="2890" xr:uid="{00000000-0005-0000-0000-0000730B0000}"/>
    <cellStyle name="Vírgula 3 3 2 2 4" xfId="1169" xr:uid="{00000000-0005-0000-0000-0000BA040000}"/>
    <cellStyle name="Vírgula 3 3 2 2 4 2" xfId="3280" xr:uid="{00000000-0005-0000-0000-0000F90C0000}"/>
    <cellStyle name="Vírgula 3 3 2 2 5" xfId="1881" xr:uid="{00000000-0005-0000-0000-000082070000}"/>
    <cellStyle name="Vírgula 3 3 2 2 5 2" xfId="3980" xr:uid="{00000000-0005-0000-0000-0000B50F0000}"/>
    <cellStyle name="Vírgula 3 3 2 2 6" xfId="2463" xr:uid="{00000000-0005-0000-0000-0000C8090000}"/>
    <cellStyle name="Vírgula 3 3 2 3" xfId="418" xr:uid="{00000000-0005-0000-0000-0000CB010000}"/>
    <cellStyle name="Vírgula 3 3 2 3 2" xfId="863" xr:uid="{00000000-0005-0000-0000-000088030000}"/>
    <cellStyle name="Vírgula 3 3 2 3 2 2" xfId="1692" xr:uid="{00000000-0005-0000-0000-0000C5060000}"/>
    <cellStyle name="Vírgula 3 3 2 3 2 2 2" xfId="3803" xr:uid="{00000000-0005-0000-0000-0000040F0000}"/>
    <cellStyle name="Vírgula 3 3 2 3 2 3" xfId="2138" xr:uid="{00000000-0005-0000-0000-000083080000}"/>
    <cellStyle name="Vírgula 3 3 2 3 2 3 2" xfId="4204" xr:uid="{00000000-0005-0000-0000-000095100000}"/>
    <cellStyle name="Vírgula 3 3 2 3 2 4" xfId="2986" xr:uid="{00000000-0005-0000-0000-0000D30B0000}"/>
    <cellStyle name="Vírgula 3 3 2 3 3" xfId="1265" xr:uid="{00000000-0005-0000-0000-00001A050000}"/>
    <cellStyle name="Vírgula 3 3 2 3 3 2" xfId="3376" xr:uid="{00000000-0005-0000-0000-0000590D0000}"/>
    <cellStyle name="Vírgula 3 3 2 3 4" xfId="1924" xr:uid="{00000000-0005-0000-0000-0000AD070000}"/>
    <cellStyle name="Vírgula 3 3 2 3 4 2" xfId="4018" xr:uid="{00000000-0005-0000-0000-0000DB0F0000}"/>
    <cellStyle name="Vírgula 3 3 2 3 5" xfId="2559" xr:uid="{00000000-0005-0000-0000-0000280A0000}"/>
    <cellStyle name="Vírgula 3 3 2 4" xfId="671" xr:uid="{00000000-0005-0000-0000-0000C8020000}"/>
    <cellStyle name="Vírgula 3 3 2 4 2" xfId="1500" xr:uid="{00000000-0005-0000-0000-000005060000}"/>
    <cellStyle name="Vírgula 3 3 2 4 2 2" xfId="3611" xr:uid="{00000000-0005-0000-0000-0000440E0000}"/>
    <cellStyle name="Vírgula 3 3 2 4 3" xfId="2058" xr:uid="{00000000-0005-0000-0000-000033080000}"/>
    <cellStyle name="Vírgula 3 3 2 4 3 2" xfId="4124" xr:uid="{00000000-0005-0000-0000-000045100000}"/>
    <cellStyle name="Vírgula 3 3 2 4 4" xfId="2794" xr:uid="{00000000-0005-0000-0000-0000130B0000}"/>
    <cellStyle name="Vírgula 3 3 2 5" xfId="559" xr:uid="{00000000-0005-0000-0000-000058020000}"/>
    <cellStyle name="Vírgula 3 3 2 5 2" xfId="1406" xr:uid="{00000000-0005-0000-0000-0000A7050000}"/>
    <cellStyle name="Vírgula 3 3 2 5 2 2" xfId="3517" xr:uid="{00000000-0005-0000-0000-0000E60D0000}"/>
    <cellStyle name="Vírgula 3 3 2 5 3" xfId="2700" xr:uid="{00000000-0005-0000-0000-0000B50A0000}"/>
    <cellStyle name="Vírgula 3 3 2 6" xfId="219" xr:uid="{00000000-0005-0000-0000-000004010000}"/>
    <cellStyle name="Vírgula 3 3 2 6 2" xfId="2368" xr:uid="{00000000-0005-0000-0000-000069090000}"/>
    <cellStyle name="Vírgula 3 3 2 7" xfId="1073" xr:uid="{00000000-0005-0000-0000-00005A040000}"/>
    <cellStyle name="Vírgula 3 3 2 7 2" xfId="3184" xr:uid="{00000000-0005-0000-0000-0000990C0000}"/>
    <cellStyle name="Vírgula 3 3 2 8" xfId="1828" xr:uid="{00000000-0005-0000-0000-00004D070000}"/>
    <cellStyle name="Vírgula 3 3 2 8 2" xfId="3938" xr:uid="{00000000-0005-0000-0000-00008B0F0000}"/>
    <cellStyle name="Vírgula 3 3 2 9" xfId="2274" xr:uid="{00000000-0005-0000-0000-00000B090000}"/>
    <cellStyle name="Vírgula 3 3 3" xfId="268" xr:uid="{00000000-0005-0000-0000-000035010000}"/>
    <cellStyle name="Vírgula 3 3 3 2" xfId="461" xr:uid="{00000000-0005-0000-0000-0000F6010000}"/>
    <cellStyle name="Vírgula 3 3 3 2 2" xfId="906" xr:uid="{00000000-0005-0000-0000-0000B3030000}"/>
    <cellStyle name="Vírgula 3 3 3 2 2 2" xfId="1735" xr:uid="{00000000-0005-0000-0000-0000F0060000}"/>
    <cellStyle name="Vírgula 3 3 3 2 2 2 2" xfId="3846" xr:uid="{00000000-0005-0000-0000-00002F0F0000}"/>
    <cellStyle name="Vírgula 3 3 3 2 2 3" xfId="2161" xr:uid="{00000000-0005-0000-0000-00009A080000}"/>
    <cellStyle name="Vírgula 3 3 3 2 2 3 2" xfId="4227" xr:uid="{00000000-0005-0000-0000-0000AC100000}"/>
    <cellStyle name="Vírgula 3 3 3 2 2 4" xfId="3029" xr:uid="{00000000-0005-0000-0000-0000FE0B0000}"/>
    <cellStyle name="Vírgula 3 3 3 2 3" xfId="1308" xr:uid="{00000000-0005-0000-0000-000045050000}"/>
    <cellStyle name="Vírgula 3 3 3 2 3 2" xfId="3419" xr:uid="{00000000-0005-0000-0000-0000840D0000}"/>
    <cellStyle name="Vírgula 3 3 3 2 4" xfId="1947" xr:uid="{00000000-0005-0000-0000-0000C4070000}"/>
    <cellStyle name="Vírgula 3 3 3 2 4 2" xfId="4041" xr:uid="{00000000-0005-0000-0000-0000F20F0000}"/>
    <cellStyle name="Vírgula 3 3 3 2 5" xfId="2602" xr:uid="{00000000-0005-0000-0000-0000530A0000}"/>
    <cellStyle name="Vírgula 3 3 3 3" xfId="714" xr:uid="{00000000-0005-0000-0000-0000F3020000}"/>
    <cellStyle name="Vírgula 3 3 3 3 2" xfId="1543" xr:uid="{00000000-0005-0000-0000-000030060000}"/>
    <cellStyle name="Vírgula 3 3 3 3 2 2" xfId="3654" xr:uid="{00000000-0005-0000-0000-00006F0E0000}"/>
    <cellStyle name="Vírgula 3 3 3 3 3" xfId="2081" xr:uid="{00000000-0005-0000-0000-00004A080000}"/>
    <cellStyle name="Vírgula 3 3 3 3 3 2" xfId="4147" xr:uid="{00000000-0005-0000-0000-00005C100000}"/>
    <cellStyle name="Vírgula 3 3 3 3 4" xfId="2837" xr:uid="{00000000-0005-0000-0000-00003E0B0000}"/>
    <cellStyle name="Vírgula 3 3 3 4" xfId="1116" xr:uid="{00000000-0005-0000-0000-000085040000}"/>
    <cellStyle name="Vírgula 3 3 3 4 2" xfId="3227" xr:uid="{00000000-0005-0000-0000-0000C40C0000}"/>
    <cellStyle name="Vírgula 3 3 3 5" xfId="1860" xr:uid="{00000000-0005-0000-0000-00006D070000}"/>
    <cellStyle name="Vírgula 3 3 3 5 2" xfId="3961" xr:uid="{00000000-0005-0000-0000-0000A20F0000}"/>
    <cellStyle name="Vírgula 3 3 3 6" xfId="2410" xr:uid="{00000000-0005-0000-0000-000093090000}"/>
    <cellStyle name="Vírgula 3 3 4" xfId="365" xr:uid="{00000000-0005-0000-0000-000096010000}"/>
    <cellStyle name="Vírgula 3 3 4 2" xfId="810" xr:uid="{00000000-0005-0000-0000-000053030000}"/>
    <cellStyle name="Vírgula 3 3 4 2 2" xfId="1639" xr:uid="{00000000-0005-0000-0000-000090060000}"/>
    <cellStyle name="Vírgula 3 3 4 2 2 2" xfId="3750" xr:uid="{00000000-0005-0000-0000-0000CF0E0000}"/>
    <cellStyle name="Vírgula 3 3 4 2 3" xfId="2119" xr:uid="{00000000-0005-0000-0000-000070080000}"/>
    <cellStyle name="Vírgula 3 3 4 2 3 2" xfId="4185" xr:uid="{00000000-0005-0000-0000-000082100000}"/>
    <cellStyle name="Vírgula 3 3 4 2 4" xfId="2933" xr:uid="{00000000-0005-0000-0000-00009E0B0000}"/>
    <cellStyle name="Vírgula 3 3 4 3" xfId="1212" xr:uid="{00000000-0005-0000-0000-0000E5040000}"/>
    <cellStyle name="Vírgula 3 3 4 3 2" xfId="3323" xr:uid="{00000000-0005-0000-0000-0000240D0000}"/>
    <cellStyle name="Vírgula 3 3 4 4" xfId="1905" xr:uid="{00000000-0005-0000-0000-00009A070000}"/>
    <cellStyle name="Vírgula 3 3 4 4 2" xfId="3999" xr:uid="{00000000-0005-0000-0000-0000C80F0000}"/>
    <cellStyle name="Vírgula 3 3 4 5" xfId="2506" xr:uid="{00000000-0005-0000-0000-0000F3090000}"/>
    <cellStyle name="Vírgula 3 3 5" xfId="616" xr:uid="{00000000-0005-0000-0000-000091020000}"/>
    <cellStyle name="Vírgula 3 3 5 2" xfId="1447" xr:uid="{00000000-0005-0000-0000-0000D0050000}"/>
    <cellStyle name="Vírgula 3 3 5 2 2" xfId="2205" xr:uid="{00000000-0005-0000-0000-0000C6080000}"/>
    <cellStyle name="Vírgula 3 3 5 2 2 2" xfId="4271" xr:uid="{00000000-0005-0000-0000-0000D8100000}"/>
    <cellStyle name="Vírgula 3 3 5 2 3" xfId="3558" xr:uid="{00000000-0005-0000-0000-00000F0E0000}"/>
    <cellStyle name="Vírgula 3 3 5 3" xfId="1998" xr:uid="{00000000-0005-0000-0000-0000F7070000}"/>
    <cellStyle name="Vírgula 3 3 5 3 2" xfId="4085" xr:uid="{00000000-0005-0000-0000-00001E100000}"/>
    <cellStyle name="Vírgula 3 3 5 4" xfId="2741" xr:uid="{00000000-0005-0000-0000-0000DE0A0000}"/>
    <cellStyle name="Vírgula 3 3 6" xfId="540" xr:uid="{00000000-0005-0000-0000-000045020000}"/>
    <cellStyle name="Vírgula 3 3 6 2" xfId="1387" xr:uid="{00000000-0005-0000-0000-000094050000}"/>
    <cellStyle name="Vírgula 3 3 6 2 2" xfId="3498" xr:uid="{00000000-0005-0000-0000-0000D30D0000}"/>
    <cellStyle name="Vírgula 3 3 6 3" xfId="2039" xr:uid="{00000000-0005-0000-0000-000020080000}"/>
    <cellStyle name="Vírgula 3 3 6 3 2" xfId="4105" xr:uid="{00000000-0005-0000-0000-000032100000}"/>
    <cellStyle name="Vírgula 3 3 6 4" xfId="2681" xr:uid="{00000000-0005-0000-0000-0000A20A0000}"/>
    <cellStyle name="Vírgula 3 3 7" xfId="145" xr:uid="{00000000-0005-0000-0000-0000BA000000}"/>
    <cellStyle name="Vírgula 3 3 7 2" xfId="2315" xr:uid="{00000000-0005-0000-0000-000034090000}"/>
    <cellStyle name="Vírgula 3 3 8" xfId="1020" xr:uid="{00000000-0005-0000-0000-000025040000}"/>
    <cellStyle name="Vírgula 3 3 8 2" xfId="3131" xr:uid="{00000000-0005-0000-0000-0000640C0000}"/>
    <cellStyle name="Vírgula 3 3 9" xfId="1809" xr:uid="{00000000-0005-0000-0000-00003A070000}"/>
    <cellStyle name="Vírgula 3 3 9 2" xfId="3919" xr:uid="{00000000-0005-0000-0000-0000780F0000}"/>
    <cellStyle name="Vírgula 3 4" xfId="27" xr:uid="{00000000-0005-0000-0000-000044000000}"/>
    <cellStyle name="Vírgula 3 4 2" xfId="69" xr:uid="{00000000-0005-0000-0000-00006E000000}"/>
    <cellStyle name="Vírgula 3 4 2 2" xfId="506" xr:uid="{00000000-0005-0000-0000-000023020000}"/>
    <cellStyle name="Vírgula 3 4 2 2 2" xfId="951" xr:uid="{00000000-0005-0000-0000-0000E0030000}"/>
    <cellStyle name="Vírgula 3 4 2 2 2 2" xfId="1780" xr:uid="{00000000-0005-0000-0000-00001D070000}"/>
    <cellStyle name="Vírgula 3 4 2 2 2 2 2" xfId="2172" xr:uid="{00000000-0005-0000-0000-0000A5080000}"/>
    <cellStyle name="Vírgula 3 4 2 2 2 2 2 2" xfId="4238" xr:uid="{00000000-0005-0000-0000-0000B7100000}"/>
    <cellStyle name="Vírgula 3 4 2 2 2 2 3" xfId="3891" xr:uid="{00000000-0005-0000-0000-00005C0F0000}"/>
    <cellStyle name="Vírgula 3 4 2 2 2 3" xfId="1958" xr:uid="{00000000-0005-0000-0000-0000CF070000}"/>
    <cellStyle name="Vírgula 3 4 2 2 2 3 2" xfId="4052" xr:uid="{00000000-0005-0000-0000-0000FD0F0000}"/>
    <cellStyle name="Vírgula 3 4 2 2 2 4" xfId="3074" xr:uid="{00000000-0005-0000-0000-00002B0C0000}"/>
    <cellStyle name="Vírgula 3 4 2 2 3" xfId="1353" xr:uid="{00000000-0005-0000-0000-000072050000}"/>
    <cellStyle name="Vírgula 3 4 2 2 3 2" xfId="2092" xr:uid="{00000000-0005-0000-0000-000055080000}"/>
    <cellStyle name="Vírgula 3 4 2 2 3 2 2" xfId="4158" xr:uid="{00000000-0005-0000-0000-000067100000}"/>
    <cellStyle name="Vírgula 3 4 2 2 3 3" xfId="3464" xr:uid="{00000000-0005-0000-0000-0000B10D0000}"/>
    <cellStyle name="Vírgula 3 4 2 2 4" xfId="1873" xr:uid="{00000000-0005-0000-0000-00007A070000}"/>
    <cellStyle name="Vírgula 3 4 2 2 4 2" xfId="3972" xr:uid="{00000000-0005-0000-0000-0000AD0F0000}"/>
    <cellStyle name="Vírgula 3 4 2 2 5" xfId="2647" xr:uid="{00000000-0005-0000-0000-0000800A0000}"/>
    <cellStyle name="Vírgula 3 4 2 3" xfId="759" xr:uid="{00000000-0005-0000-0000-000020030000}"/>
    <cellStyle name="Vírgula 3 4 2 3 2" xfId="1588" xr:uid="{00000000-0005-0000-0000-00005D060000}"/>
    <cellStyle name="Vírgula 3 4 2 3 2 2" xfId="2130" xr:uid="{00000000-0005-0000-0000-00007B080000}"/>
    <cellStyle name="Vírgula 3 4 2 3 2 2 2" xfId="4196" xr:uid="{00000000-0005-0000-0000-00008D100000}"/>
    <cellStyle name="Vírgula 3 4 2 3 2 3" xfId="3699" xr:uid="{00000000-0005-0000-0000-00009C0E0000}"/>
    <cellStyle name="Vírgula 3 4 2 3 3" xfId="1916" xr:uid="{00000000-0005-0000-0000-0000A5070000}"/>
    <cellStyle name="Vírgula 3 4 2 3 3 2" xfId="4010" xr:uid="{00000000-0005-0000-0000-0000D30F0000}"/>
    <cellStyle name="Vírgula 3 4 2 3 4" xfId="2882" xr:uid="{00000000-0005-0000-0000-00006B0B0000}"/>
    <cellStyle name="Vírgula 3 4 2 4" xfId="551" xr:uid="{00000000-0005-0000-0000-000050020000}"/>
    <cellStyle name="Vírgula 3 4 2 4 2" xfId="1398" xr:uid="{00000000-0005-0000-0000-00009F050000}"/>
    <cellStyle name="Vírgula 3 4 2 4 2 2" xfId="3509" xr:uid="{00000000-0005-0000-0000-0000DE0D0000}"/>
    <cellStyle name="Vírgula 3 4 2 4 3" xfId="2050" xr:uid="{00000000-0005-0000-0000-00002B080000}"/>
    <cellStyle name="Vírgula 3 4 2 4 3 2" xfId="4116" xr:uid="{00000000-0005-0000-0000-00003D100000}"/>
    <cellStyle name="Vírgula 3 4 2 4 4" xfId="2692" xr:uid="{00000000-0005-0000-0000-0000AD0A0000}"/>
    <cellStyle name="Vírgula 3 4 2 5" xfId="314" xr:uid="{00000000-0005-0000-0000-000063010000}"/>
    <cellStyle name="Vírgula 3 4 2 5 2" xfId="2455" xr:uid="{00000000-0005-0000-0000-0000C0090000}"/>
    <cellStyle name="Vírgula 3 4 2 6" xfId="1161" xr:uid="{00000000-0005-0000-0000-0000B2040000}"/>
    <cellStyle name="Vírgula 3 4 2 6 2" xfId="3272" xr:uid="{00000000-0005-0000-0000-0000F10C0000}"/>
    <cellStyle name="Vírgula 3 4 2 7" xfId="1820" xr:uid="{00000000-0005-0000-0000-000045070000}"/>
    <cellStyle name="Vírgula 3 4 2 7 2" xfId="3930" xr:uid="{00000000-0005-0000-0000-0000830F0000}"/>
    <cellStyle name="Vírgula 3 4 2 8" xfId="2266" xr:uid="{00000000-0005-0000-0000-000003090000}"/>
    <cellStyle name="Vírgula 3 4 3" xfId="410" xr:uid="{00000000-0005-0000-0000-0000C3010000}"/>
    <cellStyle name="Vírgula 3 4 3 2" xfId="855" xr:uid="{00000000-0005-0000-0000-000080030000}"/>
    <cellStyle name="Vírgula 3 4 3 2 2" xfId="1684" xr:uid="{00000000-0005-0000-0000-0000BD060000}"/>
    <cellStyle name="Vírgula 3 4 3 2 2 2" xfId="2153" xr:uid="{00000000-0005-0000-0000-000092080000}"/>
    <cellStyle name="Vírgula 3 4 3 2 2 2 2" xfId="4219" xr:uid="{00000000-0005-0000-0000-0000A4100000}"/>
    <cellStyle name="Vírgula 3 4 3 2 2 3" xfId="3795" xr:uid="{00000000-0005-0000-0000-0000FC0E0000}"/>
    <cellStyle name="Vírgula 3 4 3 2 3" xfId="1939" xr:uid="{00000000-0005-0000-0000-0000BC070000}"/>
    <cellStyle name="Vírgula 3 4 3 2 3 2" xfId="4033" xr:uid="{00000000-0005-0000-0000-0000EA0F0000}"/>
    <cellStyle name="Vírgula 3 4 3 2 4" xfId="2978" xr:uid="{00000000-0005-0000-0000-0000CB0B0000}"/>
    <cellStyle name="Vírgula 3 4 3 3" xfId="1257" xr:uid="{00000000-0005-0000-0000-000012050000}"/>
    <cellStyle name="Vírgula 3 4 3 3 2" xfId="2073" xr:uid="{00000000-0005-0000-0000-000042080000}"/>
    <cellStyle name="Vírgula 3 4 3 3 2 2" xfId="4139" xr:uid="{00000000-0005-0000-0000-000054100000}"/>
    <cellStyle name="Vírgula 3 4 3 3 3" xfId="3368" xr:uid="{00000000-0005-0000-0000-0000510D0000}"/>
    <cellStyle name="Vírgula 3 4 3 4" xfId="1851" xr:uid="{00000000-0005-0000-0000-000064070000}"/>
    <cellStyle name="Vírgula 3 4 3 4 2" xfId="3953" xr:uid="{00000000-0005-0000-0000-00009A0F0000}"/>
    <cellStyle name="Vírgula 3 4 3 5" xfId="2551" xr:uid="{00000000-0005-0000-0000-0000200A0000}"/>
    <cellStyle name="Vírgula 3 4 4" xfId="663" xr:uid="{00000000-0005-0000-0000-0000C0020000}"/>
    <cellStyle name="Vírgula 3 4 4 2" xfId="1492" xr:uid="{00000000-0005-0000-0000-0000FD050000}"/>
    <cellStyle name="Vírgula 3 4 4 2 2" xfId="2111" xr:uid="{00000000-0005-0000-0000-000068080000}"/>
    <cellStyle name="Vírgula 3 4 4 2 2 2" xfId="4177" xr:uid="{00000000-0005-0000-0000-00007A100000}"/>
    <cellStyle name="Vírgula 3 4 4 2 3" xfId="3603" xr:uid="{00000000-0005-0000-0000-00003C0E0000}"/>
    <cellStyle name="Vírgula 3 4 4 3" xfId="1897" xr:uid="{00000000-0005-0000-0000-000092070000}"/>
    <cellStyle name="Vírgula 3 4 4 3 2" xfId="3991" xr:uid="{00000000-0005-0000-0000-0000C00F0000}"/>
    <cellStyle name="Vírgula 3 4 4 4" xfId="2786" xr:uid="{00000000-0005-0000-0000-00000B0B0000}"/>
    <cellStyle name="Vírgula 3 4 5" xfId="532" xr:uid="{00000000-0005-0000-0000-00003D020000}"/>
    <cellStyle name="Vírgula 3 4 5 2" xfId="1379" xr:uid="{00000000-0005-0000-0000-00008C050000}"/>
    <cellStyle name="Vírgula 3 4 5 2 2" xfId="3490" xr:uid="{00000000-0005-0000-0000-0000CB0D0000}"/>
    <cellStyle name="Vírgula 3 4 5 3" xfId="2031" xr:uid="{00000000-0005-0000-0000-000018080000}"/>
    <cellStyle name="Vírgula 3 4 5 3 2" xfId="4097" xr:uid="{00000000-0005-0000-0000-00002A100000}"/>
    <cellStyle name="Vírgula 3 4 5 4" xfId="2673" xr:uid="{00000000-0005-0000-0000-00009A0A0000}"/>
    <cellStyle name="Vírgula 3 4 6" xfId="207" xr:uid="{00000000-0005-0000-0000-0000F8000000}"/>
    <cellStyle name="Vírgula 3 4 6 2" xfId="2360" xr:uid="{00000000-0005-0000-0000-000061090000}"/>
    <cellStyle name="Vírgula 3 4 7" xfId="1065" xr:uid="{00000000-0005-0000-0000-000052040000}"/>
    <cellStyle name="Vírgula 3 4 7 2" xfId="3176" xr:uid="{00000000-0005-0000-0000-0000910C0000}"/>
    <cellStyle name="Vírgula 3 4 8" xfId="1801" xr:uid="{00000000-0005-0000-0000-000032070000}"/>
    <cellStyle name="Vírgula 3 4 8 2" xfId="3911" xr:uid="{00000000-0005-0000-0000-0000700F0000}"/>
    <cellStyle name="Vírgula 3 4 9" xfId="2247" xr:uid="{00000000-0005-0000-0000-0000F0080000}"/>
    <cellStyle name="Vírgula 3 5" xfId="194" xr:uid="{00000000-0005-0000-0000-0000EB000000}"/>
    <cellStyle name="Vírgula 3 5 2" xfId="307" xr:uid="{00000000-0005-0000-0000-00005C010000}"/>
    <cellStyle name="Vírgula 3 5 2 2" xfId="499" xr:uid="{00000000-0005-0000-0000-00001C020000}"/>
    <cellStyle name="Vírgula 3 5 2 2 2" xfId="944" xr:uid="{00000000-0005-0000-0000-0000D9030000}"/>
    <cellStyle name="Vírgula 3 5 2 2 2 2" xfId="1773" xr:uid="{00000000-0005-0000-0000-000016070000}"/>
    <cellStyle name="Vírgula 3 5 2 2 2 2 2" xfId="3884" xr:uid="{00000000-0005-0000-0000-0000550F0000}"/>
    <cellStyle name="Vírgula 3 5 2 2 2 3" xfId="3067" xr:uid="{00000000-0005-0000-0000-0000240C0000}"/>
    <cellStyle name="Vírgula 3 5 2 2 3" xfId="1346" xr:uid="{00000000-0005-0000-0000-00006B050000}"/>
    <cellStyle name="Vírgula 3 5 2 2 3 2" xfId="3457" xr:uid="{00000000-0005-0000-0000-0000AA0D0000}"/>
    <cellStyle name="Vírgula 3 5 2 2 4" xfId="2146" xr:uid="{00000000-0005-0000-0000-00008B080000}"/>
    <cellStyle name="Vírgula 3 5 2 2 4 2" xfId="4212" xr:uid="{00000000-0005-0000-0000-00009D100000}"/>
    <cellStyle name="Vírgula 3 5 2 2 5" xfId="2640" xr:uid="{00000000-0005-0000-0000-0000790A0000}"/>
    <cellStyle name="Vírgula 3 5 2 3" xfId="752" xr:uid="{00000000-0005-0000-0000-000019030000}"/>
    <cellStyle name="Vírgula 3 5 2 3 2" xfId="1581" xr:uid="{00000000-0005-0000-0000-000056060000}"/>
    <cellStyle name="Vírgula 3 5 2 3 2 2" xfId="3692" xr:uid="{00000000-0005-0000-0000-0000950E0000}"/>
    <cellStyle name="Vírgula 3 5 2 3 3" xfId="2875" xr:uid="{00000000-0005-0000-0000-0000640B0000}"/>
    <cellStyle name="Vírgula 3 5 2 4" xfId="1154" xr:uid="{00000000-0005-0000-0000-0000AB040000}"/>
    <cellStyle name="Vírgula 3 5 2 4 2" xfId="3265" xr:uid="{00000000-0005-0000-0000-0000EA0C0000}"/>
    <cellStyle name="Vírgula 3 5 2 5" xfId="1932" xr:uid="{00000000-0005-0000-0000-0000B5070000}"/>
    <cellStyle name="Vírgula 3 5 2 5 2" xfId="4026" xr:uid="{00000000-0005-0000-0000-0000E30F0000}"/>
    <cellStyle name="Vírgula 3 5 2 6" xfId="2448" xr:uid="{00000000-0005-0000-0000-0000B9090000}"/>
    <cellStyle name="Vírgula 3 5 3" xfId="403" xr:uid="{00000000-0005-0000-0000-0000BC010000}"/>
    <cellStyle name="Vírgula 3 5 3 2" xfId="848" xr:uid="{00000000-0005-0000-0000-000079030000}"/>
    <cellStyle name="Vírgula 3 5 3 2 2" xfId="1677" xr:uid="{00000000-0005-0000-0000-0000B6060000}"/>
    <cellStyle name="Vírgula 3 5 3 2 2 2" xfId="3788" xr:uid="{00000000-0005-0000-0000-0000F50E0000}"/>
    <cellStyle name="Vírgula 3 5 3 2 3" xfId="2971" xr:uid="{00000000-0005-0000-0000-0000C40B0000}"/>
    <cellStyle name="Vírgula 3 5 3 3" xfId="1250" xr:uid="{00000000-0005-0000-0000-00000B050000}"/>
    <cellStyle name="Vírgula 3 5 3 3 2" xfId="3361" xr:uid="{00000000-0005-0000-0000-00004A0D0000}"/>
    <cellStyle name="Vírgula 3 5 3 4" xfId="2066" xr:uid="{00000000-0005-0000-0000-00003B080000}"/>
    <cellStyle name="Vírgula 3 5 3 4 2" xfId="4132" xr:uid="{00000000-0005-0000-0000-00004D100000}"/>
    <cellStyle name="Vírgula 3 5 3 5" xfId="2544" xr:uid="{00000000-0005-0000-0000-0000190A0000}"/>
    <cellStyle name="Vírgula 3 5 4" xfId="656" xr:uid="{00000000-0005-0000-0000-0000B9020000}"/>
    <cellStyle name="Vírgula 3 5 4 2" xfId="1485" xr:uid="{00000000-0005-0000-0000-0000F6050000}"/>
    <cellStyle name="Vírgula 3 5 4 2 2" xfId="3596" xr:uid="{00000000-0005-0000-0000-0000350E0000}"/>
    <cellStyle name="Vírgula 3 5 4 3" xfId="2779" xr:uid="{00000000-0005-0000-0000-0000040B0000}"/>
    <cellStyle name="Vírgula 3 5 5" xfId="1058" xr:uid="{00000000-0005-0000-0000-00004B040000}"/>
    <cellStyle name="Vírgula 3 5 5 2" xfId="3169" xr:uid="{00000000-0005-0000-0000-00008A0C0000}"/>
    <cellStyle name="Vírgula 3 5 6" xfId="1844" xr:uid="{00000000-0005-0000-0000-00005D070000}"/>
    <cellStyle name="Vírgula 3 5 6 2" xfId="3946" xr:uid="{00000000-0005-0000-0000-0000930F0000}"/>
    <cellStyle name="Vírgula 3 5 7" xfId="2353" xr:uid="{00000000-0005-0000-0000-00005A090000}"/>
    <cellStyle name="Vírgula 3 6" xfId="233" xr:uid="{00000000-0005-0000-0000-000012010000}"/>
    <cellStyle name="Vírgula 3 6 2" xfId="330" xr:uid="{00000000-0005-0000-0000-000073010000}"/>
    <cellStyle name="Vírgula 3 6 2 2" xfId="522" xr:uid="{00000000-0005-0000-0000-000033020000}"/>
    <cellStyle name="Vírgula 3 6 2 2 2" xfId="967" xr:uid="{00000000-0005-0000-0000-0000F0030000}"/>
    <cellStyle name="Vírgula 3 6 2 2 2 2" xfId="1796" xr:uid="{00000000-0005-0000-0000-00002D070000}"/>
    <cellStyle name="Vírgula 3 6 2 2 2 2 2" xfId="3907" xr:uid="{00000000-0005-0000-0000-00006C0F0000}"/>
    <cellStyle name="Vírgula 3 6 2 2 2 3" xfId="3090" xr:uid="{00000000-0005-0000-0000-00003B0C0000}"/>
    <cellStyle name="Vírgula 3 6 2 2 3" xfId="1369" xr:uid="{00000000-0005-0000-0000-000082050000}"/>
    <cellStyle name="Vírgula 3 6 2 2 3 2" xfId="3480" xr:uid="{00000000-0005-0000-0000-0000C10D0000}"/>
    <cellStyle name="Vírgula 3 6 2 2 4" xfId="2663" xr:uid="{00000000-0005-0000-0000-0000900A0000}"/>
    <cellStyle name="Vírgula 3 6 2 3" xfId="775" xr:uid="{00000000-0005-0000-0000-000030030000}"/>
    <cellStyle name="Vírgula 3 6 2 3 2" xfId="1604" xr:uid="{00000000-0005-0000-0000-00006D060000}"/>
    <cellStyle name="Vírgula 3 6 2 3 2 2" xfId="3715" xr:uid="{00000000-0005-0000-0000-0000AC0E0000}"/>
    <cellStyle name="Vírgula 3 6 2 3 3" xfId="2898" xr:uid="{00000000-0005-0000-0000-00007B0B0000}"/>
    <cellStyle name="Vírgula 3 6 2 4" xfId="1177" xr:uid="{00000000-0005-0000-0000-0000C2040000}"/>
    <cellStyle name="Vírgula 3 6 2 4 2" xfId="3288" xr:uid="{00000000-0005-0000-0000-0000010D0000}"/>
    <cellStyle name="Vírgula 3 6 2 5" xfId="2188" xr:uid="{00000000-0005-0000-0000-0000B5080000}"/>
    <cellStyle name="Vírgula 3 6 2 5 2" xfId="4254" xr:uid="{00000000-0005-0000-0000-0000C7100000}"/>
    <cellStyle name="Vírgula 3 6 2 6" xfId="2471" xr:uid="{00000000-0005-0000-0000-0000D0090000}"/>
    <cellStyle name="Vírgula 3 6 3" xfId="426" xr:uid="{00000000-0005-0000-0000-0000D3010000}"/>
    <cellStyle name="Vírgula 3 6 3 2" xfId="871" xr:uid="{00000000-0005-0000-0000-000090030000}"/>
    <cellStyle name="Vírgula 3 6 3 2 2" xfId="1700" xr:uid="{00000000-0005-0000-0000-0000CD060000}"/>
    <cellStyle name="Vírgula 3 6 3 2 2 2" xfId="3811" xr:uid="{00000000-0005-0000-0000-00000C0F0000}"/>
    <cellStyle name="Vírgula 3 6 3 2 3" xfId="2994" xr:uid="{00000000-0005-0000-0000-0000DB0B0000}"/>
    <cellStyle name="Vírgula 3 6 3 3" xfId="1273" xr:uid="{00000000-0005-0000-0000-000022050000}"/>
    <cellStyle name="Vírgula 3 6 3 3 2" xfId="3384" xr:uid="{00000000-0005-0000-0000-0000610D0000}"/>
    <cellStyle name="Vírgula 3 6 3 4" xfId="2567" xr:uid="{00000000-0005-0000-0000-0000300A0000}"/>
    <cellStyle name="Vírgula 3 6 4" xfId="679" xr:uid="{00000000-0005-0000-0000-0000D0020000}"/>
    <cellStyle name="Vírgula 3 6 4 2" xfId="1508" xr:uid="{00000000-0005-0000-0000-00000D060000}"/>
    <cellStyle name="Vírgula 3 6 4 2 2" xfId="3619" xr:uid="{00000000-0005-0000-0000-00004C0E0000}"/>
    <cellStyle name="Vírgula 3 6 4 3" xfId="2802" xr:uid="{00000000-0005-0000-0000-00001B0B0000}"/>
    <cellStyle name="Vírgula 3 6 5" xfId="1081" xr:uid="{00000000-0005-0000-0000-000062040000}"/>
    <cellStyle name="Vírgula 3 6 5 2" xfId="3192" xr:uid="{00000000-0005-0000-0000-0000A10C0000}"/>
    <cellStyle name="Vírgula 3 6 6" xfId="1979" xr:uid="{00000000-0005-0000-0000-0000E4070000}"/>
    <cellStyle name="Vírgula 3 6 6 2" xfId="4068" xr:uid="{00000000-0005-0000-0000-00000D100000}"/>
    <cellStyle name="Vírgula 3 6 7" xfId="2375" xr:uid="{00000000-0005-0000-0000-000070090000}"/>
    <cellStyle name="Vírgula 3 7" xfId="236" xr:uid="{00000000-0005-0000-0000-000015010000}"/>
    <cellStyle name="Vírgula 3 7 2" xfId="429" xr:uid="{00000000-0005-0000-0000-0000D6010000}"/>
    <cellStyle name="Vírgula 3 7 2 2" xfId="874" xr:uid="{00000000-0005-0000-0000-000093030000}"/>
    <cellStyle name="Vírgula 3 7 2 2 2" xfId="1703" xr:uid="{00000000-0005-0000-0000-0000D0060000}"/>
    <cellStyle name="Vírgula 3 7 2 2 2 2" xfId="3814" xr:uid="{00000000-0005-0000-0000-00000F0F0000}"/>
    <cellStyle name="Vírgula 3 7 2 2 3" xfId="2997" xr:uid="{00000000-0005-0000-0000-0000DE0B0000}"/>
    <cellStyle name="Vírgula 3 7 2 3" xfId="1276" xr:uid="{00000000-0005-0000-0000-000025050000}"/>
    <cellStyle name="Vírgula 3 7 2 3 2" xfId="3387" xr:uid="{00000000-0005-0000-0000-0000640D0000}"/>
    <cellStyle name="Vírgula 3 7 2 4" xfId="2570" xr:uid="{00000000-0005-0000-0000-0000330A0000}"/>
    <cellStyle name="Vírgula 3 7 3" xfId="682" xr:uid="{00000000-0005-0000-0000-0000D3020000}"/>
    <cellStyle name="Vírgula 3 7 3 2" xfId="1511" xr:uid="{00000000-0005-0000-0000-000010060000}"/>
    <cellStyle name="Vírgula 3 7 3 2 2" xfId="3622" xr:uid="{00000000-0005-0000-0000-00004F0E0000}"/>
    <cellStyle name="Vírgula 3 7 3 3" xfId="2805" xr:uid="{00000000-0005-0000-0000-00001E0B0000}"/>
    <cellStyle name="Vírgula 3 7 4" xfId="1084" xr:uid="{00000000-0005-0000-0000-000065040000}"/>
    <cellStyle name="Vírgula 3 7 4 2" xfId="3195" xr:uid="{00000000-0005-0000-0000-0000A40C0000}"/>
    <cellStyle name="Vírgula 3 7 5" xfId="2024" xr:uid="{00000000-0005-0000-0000-000011080000}"/>
    <cellStyle name="Vírgula 3 7 5 2" xfId="4090" xr:uid="{00000000-0005-0000-0000-000023100000}"/>
    <cellStyle name="Vírgula 3 7 6" xfId="2378" xr:uid="{00000000-0005-0000-0000-000073090000}"/>
    <cellStyle name="Vírgula 3 8" xfId="333" xr:uid="{00000000-0005-0000-0000-000076010000}"/>
    <cellStyle name="Vírgula 3 8 2" xfId="778" xr:uid="{00000000-0005-0000-0000-000033030000}"/>
    <cellStyle name="Vírgula 3 8 2 2" xfId="1607" xr:uid="{00000000-0005-0000-0000-000070060000}"/>
    <cellStyle name="Vírgula 3 8 2 2 2" xfId="3718" xr:uid="{00000000-0005-0000-0000-0000AF0E0000}"/>
    <cellStyle name="Vírgula 3 8 2 3" xfId="2901" xr:uid="{00000000-0005-0000-0000-00007E0B0000}"/>
    <cellStyle name="Vírgula 3 8 3" xfId="1180" xr:uid="{00000000-0005-0000-0000-0000C5040000}"/>
    <cellStyle name="Vírgula 3 8 3 2" xfId="3291" xr:uid="{00000000-0005-0000-0000-0000040D0000}"/>
    <cellStyle name="Vírgula 3 8 4" xfId="2474" xr:uid="{00000000-0005-0000-0000-0000D3090000}"/>
    <cellStyle name="Vírgula 3 9" xfId="578" xr:uid="{00000000-0005-0000-0000-00006B020000}"/>
    <cellStyle name="Vírgula 3 9 2" xfId="1415" xr:uid="{00000000-0005-0000-0000-0000B0050000}"/>
    <cellStyle name="Vírgula 3 9 2 2" xfId="3526" xr:uid="{00000000-0005-0000-0000-0000EF0D0000}"/>
    <cellStyle name="Vírgula 3 9 3" xfId="2709" xr:uid="{00000000-0005-0000-0000-0000BE0A0000}"/>
    <cellStyle name="Vírgula 4" xfId="17" xr:uid="{00000000-0005-0000-0000-00003A000000}"/>
    <cellStyle name="Vírgula 4 10" xfId="990" xr:uid="{00000000-0005-0000-0000-000007040000}"/>
    <cellStyle name="Vírgula 4 10 2" xfId="3101" xr:uid="{00000000-0005-0000-0000-0000460C0000}"/>
    <cellStyle name="Vírgula 4 11" xfId="2234" xr:uid="{00000000-0005-0000-0000-0000E3080000}"/>
    <cellStyle name="Vírgula 4 12" xfId="2243" xr:uid="{00000000-0005-0000-0000-0000EC080000}"/>
    <cellStyle name="Vírgula 4 2" xfId="25" xr:uid="{00000000-0005-0000-0000-000042000000}"/>
    <cellStyle name="Vírgula 4 2 10" xfId="2245" xr:uid="{00000000-0005-0000-0000-0000EE080000}"/>
    <cellStyle name="Vírgula 4 2 2" xfId="67" xr:uid="{00000000-0005-0000-0000-00006C000000}"/>
    <cellStyle name="Vírgula 4 2 2 2" xfId="312" xr:uid="{00000000-0005-0000-0000-000061010000}"/>
    <cellStyle name="Vírgula 4 2 2 2 2" xfId="504" xr:uid="{00000000-0005-0000-0000-000021020000}"/>
    <cellStyle name="Vírgula 4 2 2 2 2 2" xfId="949" xr:uid="{00000000-0005-0000-0000-0000DE030000}"/>
    <cellStyle name="Vírgula 4 2 2 2 2 2 2" xfId="1778" xr:uid="{00000000-0005-0000-0000-00001B070000}"/>
    <cellStyle name="Vírgula 4 2 2 2 2 2 2 2" xfId="3889" xr:uid="{00000000-0005-0000-0000-00005A0F0000}"/>
    <cellStyle name="Vírgula 4 2 2 2 2 2 3" xfId="2170" xr:uid="{00000000-0005-0000-0000-0000A3080000}"/>
    <cellStyle name="Vírgula 4 2 2 2 2 2 3 2" xfId="4236" xr:uid="{00000000-0005-0000-0000-0000B5100000}"/>
    <cellStyle name="Vírgula 4 2 2 2 2 2 4" xfId="3072" xr:uid="{00000000-0005-0000-0000-0000290C0000}"/>
    <cellStyle name="Vírgula 4 2 2 2 2 3" xfId="1351" xr:uid="{00000000-0005-0000-0000-000070050000}"/>
    <cellStyle name="Vírgula 4 2 2 2 2 3 2" xfId="3462" xr:uid="{00000000-0005-0000-0000-0000AF0D0000}"/>
    <cellStyle name="Vírgula 4 2 2 2 2 4" xfId="1956" xr:uid="{00000000-0005-0000-0000-0000CD070000}"/>
    <cellStyle name="Vírgula 4 2 2 2 2 4 2" xfId="4050" xr:uid="{00000000-0005-0000-0000-0000FB0F0000}"/>
    <cellStyle name="Vírgula 4 2 2 2 2 5" xfId="2645" xr:uid="{00000000-0005-0000-0000-00007E0A0000}"/>
    <cellStyle name="Vírgula 4 2 2 2 3" xfId="757" xr:uid="{00000000-0005-0000-0000-00001E030000}"/>
    <cellStyle name="Vírgula 4 2 2 2 3 2" xfId="1586" xr:uid="{00000000-0005-0000-0000-00005B060000}"/>
    <cellStyle name="Vírgula 4 2 2 2 3 2 2" xfId="3697" xr:uid="{00000000-0005-0000-0000-00009A0E0000}"/>
    <cellStyle name="Vírgula 4 2 2 2 3 3" xfId="2090" xr:uid="{00000000-0005-0000-0000-000053080000}"/>
    <cellStyle name="Vírgula 4 2 2 2 3 3 2" xfId="4156" xr:uid="{00000000-0005-0000-0000-000065100000}"/>
    <cellStyle name="Vírgula 4 2 2 2 3 4" xfId="2880" xr:uid="{00000000-0005-0000-0000-0000690B0000}"/>
    <cellStyle name="Vírgula 4 2 2 2 4" xfId="1159" xr:uid="{00000000-0005-0000-0000-0000B0040000}"/>
    <cellStyle name="Vírgula 4 2 2 2 4 2" xfId="3270" xr:uid="{00000000-0005-0000-0000-0000EF0C0000}"/>
    <cellStyle name="Vírgula 4 2 2 2 5" xfId="1871" xr:uid="{00000000-0005-0000-0000-000078070000}"/>
    <cellStyle name="Vírgula 4 2 2 2 5 2" xfId="3970" xr:uid="{00000000-0005-0000-0000-0000AB0F0000}"/>
    <cellStyle name="Vírgula 4 2 2 2 6" xfId="2453" xr:uid="{00000000-0005-0000-0000-0000BE090000}"/>
    <cellStyle name="Vírgula 4 2 2 3" xfId="408" xr:uid="{00000000-0005-0000-0000-0000C1010000}"/>
    <cellStyle name="Vírgula 4 2 2 3 2" xfId="853" xr:uid="{00000000-0005-0000-0000-00007E030000}"/>
    <cellStyle name="Vírgula 4 2 2 3 2 2" xfId="1682" xr:uid="{00000000-0005-0000-0000-0000BB060000}"/>
    <cellStyle name="Vírgula 4 2 2 3 2 2 2" xfId="3793" xr:uid="{00000000-0005-0000-0000-0000FA0E0000}"/>
    <cellStyle name="Vírgula 4 2 2 3 2 3" xfId="2128" xr:uid="{00000000-0005-0000-0000-000079080000}"/>
    <cellStyle name="Vírgula 4 2 2 3 2 3 2" xfId="4194" xr:uid="{00000000-0005-0000-0000-00008B100000}"/>
    <cellStyle name="Vírgula 4 2 2 3 2 4" xfId="2976" xr:uid="{00000000-0005-0000-0000-0000C90B0000}"/>
    <cellStyle name="Vírgula 4 2 2 3 3" xfId="1255" xr:uid="{00000000-0005-0000-0000-000010050000}"/>
    <cellStyle name="Vírgula 4 2 2 3 3 2" xfId="3366" xr:uid="{00000000-0005-0000-0000-00004F0D0000}"/>
    <cellStyle name="Vírgula 4 2 2 3 4" xfId="1914" xr:uid="{00000000-0005-0000-0000-0000A3070000}"/>
    <cellStyle name="Vírgula 4 2 2 3 4 2" xfId="4008" xr:uid="{00000000-0005-0000-0000-0000D10F0000}"/>
    <cellStyle name="Vírgula 4 2 2 3 5" xfId="2549" xr:uid="{00000000-0005-0000-0000-00001E0A0000}"/>
    <cellStyle name="Vírgula 4 2 2 4" xfId="661" xr:uid="{00000000-0005-0000-0000-0000BE020000}"/>
    <cellStyle name="Vírgula 4 2 2 4 2" xfId="1490" xr:uid="{00000000-0005-0000-0000-0000FB050000}"/>
    <cellStyle name="Vírgula 4 2 2 4 2 2" xfId="3601" xr:uid="{00000000-0005-0000-0000-00003A0E0000}"/>
    <cellStyle name="Vírgula 4 2 2 4 3" xfId="2048" xr:uid="{00000000-0005-0000-0000-000029080000}"/>
    <cellStyle name="Vírgula 4 2 2 4 3 2" xfId="4114" xr:uid="{00000000-0005-0000-0000-00003B100000}"/>
    <cellStyle name="Vírgula 4 2 2 4 4" xfId="2784" xr:uid="{00000000-0005-0000-0000-0000090B0000}"/>
    <cellStyle name="Vírgula 4 2 2 5" xfId="549" xr:uid="{00000000-0005-0000-0000-00004E020000}"/>
    <cellStyle name="Vírgula 4 2 2 5 2" xfId="1396" xr:uid="{00000000-0005-0000-0000-00009D050000}"/>
    <cellStyle name="Vírgula 4 2 2 5 2 2" xfId="3507" xr:uid="{00000000-0005-0000-0000-0000DC0D0000}"/>
    <cellStyle name="Vírgula 4 2 2 5 3" xfId="2690" xr:uid="{00000000-0005-0000-0000-0000AB0A0000}"/>
    <cellStyle name="Vírgula 4 2 2 6" xfId="205" xr:uid="{00000000-0005-0000-0000-0000F6000000}"/>
    <cellStyle name="Vírgula 4 2 2 6 2" xfId="2358" xr:uid="{00000000-0005-0000-0000-00005F090000}"/>
    <cellStyle name="Vírgula 4 2 2 7" xfId="1063" xr:uid="{00000000-0005-0000-0000-000050040000}"/>
    <cellStyle name="Vírgula 4 2 2 7 2" xfId="3174" xr:uid="{00000000-0005-0000-0000-00008F0C0000}"/>
    <cellStyle name="Vírgula 4 2 2 8" xfId="1818" xr:uid="{00000000-0005-0000-0000-000043070000}"/>
    <cellStyle name="Vírgula 4 2 2 8 2" xfId="3928" xr:uid="{00000000-0005-0000-0000-0000810F0000}"/>
    <cellStyle name="Vírgula 4 2 2 9" xfId="2264" xr:uid="{00000000-0005-0000-0000-000001090000}"/>
    <cellStyle name="Vírgula 4 2 3" xfId="270" xr:uid="{00000000-0005-0000-0000-000037010000}"/>
    <cellStyle name="Vírgula 4 2 3 2" xfId="463" xr:uid="{00000000-0005-0000-0000-0000F8010000}"/>
    <cellStyle name="Vírgula 4 2 3 2 2" xfId="908" xr:uid="{00000000-0005-0000-0000-0000B5030000}"/>
    <cellStyle name="Vírgula 4 2 3 2 2 2" xfId="1737" xr:uid="{00000000-0005-0000-0000-0000F2060000}"/>
    <cellStyle name="Vírgula 4 2 3 2 2 2 2" xfId="3848" xr:uid="{00000000-0005-0000-0000-0000310F0000}"/>
    <cellStyle name="Vírgula 4 2 3 2 2 3" xfId="2151" xr:uid="{00000000-0005-0000-0000-000090080000}"/>
    <cellStyle name="Vírgula 4 2 3 2 2 3 2" xfId="4217" xr:uid="{00000000-0005-0000-0000-0000A2100000}"/>
    <cellStyle name="Vírgula 4 2 3 2 2 4" xfId="3031" xr:uid="{00000000-0005-0000-0000-0000000C0000}"/>
    <cellStyle name="Vírgula 4 2 3 2 3" xfId="1310" xr:uid="{00000000-0005-0000-0000-000047050000}"/>
    <cellStyle name="Vírgula 4 2 3 2 3 2" xfId="3421" xr:uid="{00000000-0005-0000-0000-0000860D0000}"/>
    <cellStyle name="Vírgula 4 2 3 2 4" xfId="1937" xr:uid="{00000000-0005-0000-0000-0000BA070000}"/>
    <cellStyle name="Vírgula 4 2 3 2 4 2" xfId="4031" xr:uid="{00000000-0005-0000-0000-0000E80F0000}"/>
    <cellStyle name="Vírgula 4 2 3 2 5" xfId="2604" xr:uid="{00000000-0005-0000-0000-0000550A0000}"/>
    <cellStyle name="Vírgula 4 2 3 3" xfId="716" xr:uid="{00000000-0005-0000-0000-0000F5020000}"/>
    <cellStyle name="Vírgula 4 2 3 3 2" xfId="1545" xr:uid="{00000000-0005-0000-0000-000032060000}"/>
    <cellStyle name="Vírgula 4 2 3 3 2 2" xfId="3656" xr:uid="{00000000-0005-0000-0000-0000710E0000}"/>
    <cellStyle name="Vírgula 4 2 3 3 3" xfId="2071" xr:uid="{00000000-0005-0000-0000-000040080000}"/>
    <cellStyle name="Vírgula 4 2 3 3 3 2" xfId="4137" xr:uid="{00000000-0005-0000-0000-000052100000}"/>
    <cellStyle name="Vírgula 4 2 3 3 4" xfId="2839" xr:uid="{00000000-0005-0000-0000-0000400B0000}"/>
    <cellStyle name="Vírgula 4 2 3 4" xfId="1118" xr:uid="{00000000-0005-0000-0000-000087040000}"/>
    <cellStyle name="Vírgula 4 2 3 4 2" xfId="3229" xr:uid="{00000000-0005-0000-0000-0000C60C0000}"/>
    <cellStyle name="Vírgula 4 2 3 5" xfId="1849" xr:uid="{00000000-0005-0000-0000-000062070000}"/>
    <cellStyle name="Vírgula 4 2 3 5 2" xfId="3951" xr:uid="{00000000-0005-0000-0000-0000980F0000}"/>
    <cellStyle name="Vírgula 4 2 3 6" xfId="2412" xr:uid="{00000000-0005-0000-0000-000095090000}"/>
    <cellStyle name="Vírgula 4 2 4" xfId="367" xr:uid="{00000000-0005-0000-0000-000098010000}"/>
    <cellStyle name="Vírgula 4 2 4 2" xfId="812" xr:uid="{00000000-0005-0000-0000-000055030000}"/>
    <cellStyle name="Vírgula 4 2 4 2 2" xfId="1641" xr:uid="{00000000-0005-0000-0000-000092060000}"/>
    <cellStyle name="Vírgula 4 2 4 2 2 2" xfId="3752" xr:uid="{00000000-0005-0000-0000-0000D10E0000}"/>
    <cellStyle name="Vírgula 4 2 4 2 3" xfId="2109" xr:uid="{00000000-0005-0000-0000-000066080000}"/>
    <cellStyle name="Vírgula 4 2 4 2 3 2" xfId="4175" xr:uid="{00000000-0005-0000-0000-000078100000}"/>
    <cellStyle name="Vírgula 4 2 4 2 4" xfId="2935" xr:uid="{00000000-0005-0000-0000-0000A00B0000}"/>
    <cellStyle name="Vírgula 4 2 4 3" xfId="1214" xr:uid="{00000000-0005-0000-0000-0000E7040000}"/>
    <cellStyle name="Vírgula 4 2 4 3 2" xfId="3325" xr:uid="{00000000-0005-0000-0000-0000260D0000}"/>
    <cellStyle name="Vírgula 4 2 4 4" xfId="1895" xr:uid="{00000000-0005-0000-0000-000090070000}"/>
    <cellStyle name="Vírgula 4 2 4 4 2" xfId="3989" xr:uid="{00000000-0005-0000-0000-0000BE0F0000}"/>
    <cellStyle name="Vírgula 4 2 4 5" xfId="2508" xr:uid="{00000000-0005-0000-0000-0000F5090000}"/>
    <cellStyle name="Vírgula 4 2 5" xfId="618" xr:uid="{00000000-0005-0000-0000-000093020000}"/>
    <cellStyle name="Vírgula 4 2 5 2" xfId="1449" xr:uid="{00000000-0005-0000-0000-0000D2050000}"/>
    <cellStyle name="Vírgula 4 2 5 2 2" xfId="2203" xr:uid="{00000000-0005-0000-0000-0000C4080000}"/>
    <cellStyle name="Vírgula 4 2 5 2 2 2" xfId="4269" xr:uid="{00000000-0005-0000-0000-0000D6100000}"/>
    <cellStyle name="Vírgula 4 2 5 2 3" xfId="3560" xr:uid="{00000000-0005-0000-0000-0000110E0000}"/>
    <cellStyle name="Vírgula 4 2 5 3" xfId="1996" xr:uid="{00000000-0005-0000-0000-0000F5070000}"/>
    <cellStyle name="Vírgula 4 2 5 3 2" xfId="4083" xr:uid="{00000000-0005-0000-0000-00001C100000}"/>
    <cellStyle name="Vírgula 4 2 5 4" xfId="2743" xr:uid="{00000000-0005-0000-0000-0000E00A0000}"/>
    <cellStyle name="Vírgula 4 2 6" xfId="530" xr:uid="{00000000-0005-0000-0000-00003B020000}"/>
    <cellStyle name="Vírgula 4 2 6 2" xfId="1377" xr:uid="{00000000-0005-0000-0000-00008A050000}"/>
    <cellStyle name="Vírgula 4 2 6 2 2" xfId="3488" xr:uid="{00000000-0005-0000-0000-0000C90D0000}"/>
    <cellStyle name="Vírgula 4 2 6 3" xfId="2029" xr:uid="{00000000-0005-0000-0000-000016080000}"/>
    <cellStyle name="Vírgula 4 2 6 3 2" xfId="4095" xr:uid="{00000000-0005-0000-0000-000028100000}"/>
    <cellStyle name="Vírgula 4 2 6 4" xfId="2671" xr:uid="{00000000-0005-0000-0000-0000980A0000}"/>
    <cellStyle name="Vírgula 4 2 7" xfId="147" xr:uid="{00000000-0005-0000-0000-0000BC000000}"/>
    <cellStyle name="Vírgula 4 2 7 2" xfId="2317" xr:uid="{00000000-0005-0000-0000-000036090000}"/>
    <cellStyle name="Vírgula 4 2 8" xfId="1022" xr:uid="{00000000-0005-0000-0000-000027040000}"/>
    <cellStyle name="Vírgula 4 2 8 2" xfId="3133" xr:uid="{00000000-0005-0000-0000-0000660C0000}"/>
    <cellStyle name="Vírgula 4 2 9" xfId="1799" xr:uid="{00000000-0005-0000-0000-000030070000}"/>
    <cellStyle name="Vírgula 4 2 9 2" xfId="3909" xr:uid="{00000000-0005-0000-0000-00006E0F0000}"/>
    <cellStyle name="Vírgula 4 3" xfId="230" xr:uid="{00000000-0005-0000-0000-00000F010000}"/>
    <cellStyle name="Vírgula 4 3 2" xfId="328" xr:uid="{00000000-0005-0000-0000-000071010000}"/>
    <cellStyle name="Vírgula 4 3 2 2" xfId="520" xr:uid="{00000000-0005-0000-0000-000031020000}"/>
    <cellStyle name="Vírgula 4 3 2 2 2" xfId="965" xr:uid="{00000000-0005-0000-0000-0000EE030000}"/>
    <cellStyle name="Vírgula 4 3 2 2 2 2" xfId="1794" xr:uid="{00000000-0005-0000-0000-00002B070000}"/>
    <cellStyle name="Vírgula 4 3 2 2 2 2 2" xfId="3905" xr:uid="{00000000-0005-0000-0000-00006A0F0000}"/>
    <cellStyle name="Vírgula 4 3 2 2 2 3" xfId="3088" xr:uid="{00000000-0005-0000-0000-0000390C0000}"/>
    <cellStyle name="Vírgula 4 3 2 2 3" xfId="1367" xr:uid="{00000000-0005-0000-0000-000080050000}"/>
    <cellStyle name="Vírgula 4 3 2 2 3 2" xfId="3478" xr:uid="{00000000-0005-0000-0000-0000BF0D0000}"/>
    <cellStyle name="Vírgula 4 3 2 2 4" xfId="2148" xr:uid="{00000000-0005-0000-0000-00008D080000}"/>
    <cellStyle name="Vírgula 4 3 2 2 4 2" xfId="4214" xr:uid="{00000000-0005-0000-0000-00009F100000}"/>
    <cellStyle name="Vírgula 4 3 2 2 5" xfId="2661" xr:uid="{00000000-0005-0000-0000-00008E0A0000}"/>
    <cellStyle name="Vírgula 4 3 2 3" xfId="773" xr:uid="{00000000-0005-0000-0000-00002E030000}"/>
    <cellStyle name="Vírgula 4 3 2 3 2" xfId="1602" xr:uid="{00000000-0005-0000-0000-00006B060000}"/>
    <cellStyle name="Vírgula 4 3 2 3 2 2" xfId="3713" xr:uid="{00000000-0005-0000-0000-0000AA0E0000}"/>
    <cellStyle name="Vírgula 4 3 2 3 3" xfId="2896" xr:uid="{00000000-0005-0000-0000-0000790B0000}"/>
    <cellStyle name="Vírgula 4 3 2 4" xfId="1175" xr:uid="{00000000-0005-0000-0000-0000C0040000}"/>
    <cellStyle name="Vírgula 4 3 2 4 2" xfId="3286" xr:uid="{00000000-0005-0000-0000-0000FF0C0000}"/>
    <cellStyle name="Vírgula 4 3 2 5" xfId="1934" xr:uid="{00000000-0005-0000-0000-0000B7070000}"/>
    <cellStyle name="Vírgula 4 3 2 5 2" xfId="4028" xr:uid="{00000000-0005-0000-0000-0000E50F0000}"/>
    <cellStyle name="Vírgula 4 3 2 6" xfId="2469" xr:uid="{00000000-0005-0000-0000-0000CE090000}"/>
    <cellStyle name="Vírgula 4 3 3" xfId="424" xr:uid="{00000000-0005-0000-0000-0000D1010000}"/>
    <cellStyle name="Vírgula 4 3 3 2" xfId="869" xr:uid="{00000000-0005-0000-0000-00008E030000}"/>
    <cellStyle name="Vírgula 4 3 3 2 2" xfId="1698" xr:uid="{00000000-0005-0000-0000-0000CB060000}"/>
    <cellStyle name="Vírgula 4 3 3 2 2 2" xfId="3809" xr:uid="{00000000-0005-0000-0000-00000A0F0000}"/>
    <cellStyle name="Vírgula 4 3 3 2 3" xfId="2206" xr:uid="{00000000-0005-0000-0000-0000C7080000}"/>
    <cellStyle name="Vírgula 4 3 3 2 3 2" xfId="4272" xr:uid="{00000000-0005-0000-0000-0000D9100000}"/>
    <cellStyle name="Vírgula 4 3 3 2 4" xfId="2992" xr:uid="{00000000-0005-0000-0000-0000D90B0000}"/>
    <cellStyle name="Vírgula 4 3 3 3" xfId="1271" xr:uid="{00000000-0005-0000-0000-000020050000}"/>
    <cellStyle name="Vírgula 4 3 3 3 2" xfId="3382" xr:uid="{00000000-0005-0000-0000-00005F0D0000}"/>
    <cellStyle name="Vírgula 4 3 3 4" xfId="1999" xr:uid="{00000000-0005-0000-0000-0000F8070000}"/>
    <cellStyle name="Vírgula 4 3 3 4 2" xfId="4086" xr:uid="{00000000-0005-0000-0000-00001F100000}"/>
    <cellStyle name="Vírgula 4 3 3 5" xfId="2565" xr:uid="{00000000-0005-0000-0000-00002E0A0000}"/>
    <cellStyle name="Vírgula 4 3 4" xfId="677" xr:uid="{00000000-0005-0000-0000-0000CE020000}"/>
    <cellStyle name="Vírgula 4 3 4 2" xfId="1506" xr:uid="{00000000-0005-0000-0000-00000B060000}"/>
    <cellStyle name="Vírgula 4 3 4 2 2" xfId="3617" xr:uid="{00000000-0005-0000-0000-00004A0E0000}"/>
    <cellStyle name="Vírgula 4 3 4 3" xfId="2068" xr:uid="{00000000-0005-0000-0000-00003D080000}"/>
    <cellStyle name="Vírgula 4 3 4 3 2" xfId="4134" xr:uid="{00000000-0005-0000-0000-00004F100000}"/>
    <cellStyle name="Vírgula 4 3 4 4" xfId="2800" xr:uid="{00000000-0005-0000-0000-0000190B0000}"/>
    <cellStyle name="Vírgula 4 3 5" xfId="1079" xr:uid="{00000000-0005-0000-0000-000060040000}"/>
    <cellStyle name="Vírgula 4 3 5 2" xfId="3190" xr:uid="{00000000-0005-0000-0000-00009F0C0000}"/>
    <cellStyle name="Vírgula 4 3 6" xfId="1846" xr:uid="{00000000-0005-0000-0000-00005F070000}"/>
    <cellStyle name="Vírgula 4 3 6 2" xfId="3948" xr:uid="{00000000-0005-0000-0000-0000950F0000}"/>
    <cellStyle name="Vírgula 4 3 7" xfId="2373" xr:uid="{00000000-0005-0000-0000-00006E090000}"/>
    <cellStyle name="Vírgula 4 4" xfId="198" xr:uid="{00000000-0005-0000-0000-0000EF000000}"/>
    <cellStyle name="Vírgula 4 4 2" xfId="309" xr:uid="{00000000-0005-0000-0000-00005E010000}"/>
    <cellStyle name="Vírgula 4 4 2 2" xfId="501" xr:uid="{00000000-0005-0000-0000-00001E020000}"/>
    <cellStyle name="Vírgula 4 4 2 2 2" xfId="946" xr:uid="{00000000-0005-0000-0000-0000DB030000}"/>
    <cellStyle name="Vírgula 4 4 2 2 2 2" xfId="1775" xr:uid="{00000000-0005-0000-0000-000018070000}"/>
    <cellStyle name="Vírgula 4 4 2 2 2 2 2" xfId="3886" xr:uid="{00000000-0005-0000-0000-0000570F0000}"/>
    <cellStyle name="Vírgula 4 4 2 2 2 3" xfId="3069" xr:uid="{00000000-0005-0000-0000-0000260C0000}"/>
    <cellStyle name="Vírgula 4 4 2 2 3" xfId="1348" xr:uid="{00000000-0005-0000-0000-00006D050000}"/>
    <cellStyle name="Vírgula 4 4 2 2 3 2" xfId="3459" xr:uid="{00000000-0005-0000-0000-0000AC0D0000}"/>
    <cellStyle name="Vírgula 4 4 2 2 4" xfId="2642" xr:uid="{00000000-0005-0000-0000-00007B0A0000}"/>
    <cellStyle name="Vírgula 4 4 2 3" xfId="754" xr:uid="{00000000-0005-0000-0000-00001B030000}"/>
    <cellStyle name="Vírgula 4 4 2 3 2" xfId="1583" xr:uid="{00000000-0005-0000-0000-000058060000}"/>
    <cellStyle name="Vírgula 4 4 2 3 2 2" xfId="3694" xr:uid="{00000000-0005-0000-0000-0000970E0000}"/>
    <cellStyle name="Vírgula 4 4 2 3 3" xfId="2877" xr:uid="{00000000-0005-0000-0000-0000660B0000}"/>
    <cellStyle name="Vírgula 4 4 2 4" xfId="1156" xr:uid="{00000000-0005-0000-0000-0000AD040000}"/>
    <cellStyle name="Vírgula 4 4 2 4 2" xfId="3267" xr:uid="{00000000-0005-0000-0000-0000EC0C0000}"/>
    <cellStyle name="Vírgula 4 4 2 5" xfId="2196" xr:uid="{00000000-0005-0000-0000-0000BD080000}"/>
    <cellStyle name="Vírgula 4 4 2 5 2" xfId="4262" xr:uid="{00000000-0005-0000-0000-0000CF100000}"/>
    <cellStyle name="Vírgula 4 4 2 6" xfId="2450" xr:uid="{00000000-0005-0000-0000-0000BB090000}"/>
    <cellStyle name="Vírgula 4 4 3" xfId="405" xr:uid="{00000000-0005-0000-0000-0000BE010000}"/>
    <cellStyle name="Vírgula 4 4 3 2" xfId="850" xr:uid="{00000000-0005-0000-0000-00007B030000}"/>
    <cellStyle name="Vírgula 4 4 3 2 2" xfId="1679" xr:uid="{00000000-0005-0000-0000-0000B8060000}"/>
    <cellStyle name="Vírgula 4 4 3 2 2 2" xfId="3790" xr:uid="{00000000-0005-0000-0000-0000F70E0000}"/>
    <cellStyle name="Vírgula 4 4 3 2 3" xfId="2973" xr:uid="{00000000-0005-0000-0000-0000C60B0000}"/>
    <cellStyle name="Vírgula 4 4 3 3" xfId="1252" xr:uid="{00000000-0005-0000-0000-00000D050000}"/>
    <cellStyle name="Vírgula 4 4 3 3 2" xfId="3363" xr:uid="{00000000-0005-0000-0000-00004C0D0000}"/>
    <cellStyle name="Vírgula 4 4 3 4" xfId="2546" xr:uid="{00000000-0005-0000-0000-00001B0A0000}"/>
    <cellStyle name="Vírgula 4 4 4" xfId="658" xr:uid="{00000000-0005-0000-0000-0000BB020000}"/>
    <cellStyle name="Vírgula 4 4 4 2" xfId="1487" xr:uid="{00000000-0005-0000-0000-0000F8050000}"/>
    <cellStyle name="Vírgula 4 4 4 2 2" xfId="3598" xr:uid="{00000000-0005-0000-0000-0000370E0000}"/>
    <cellStyle name="Vírgula 4 4 4 3" xfId="2781" xr:uid="{00000000-0005-0000-0000-0000060B0000}"/>
    <cellStyle name="Vírgula 4 4 5" xfId="1060" xr:uid="{00000000-0005-0000-0000-00004D040000}"/>
    <cellStyle name="Vírgula 4 4 5 2" xfId="3171" xr:uid="{00000000-0005-0000-0000-00008C0C0000}"/>
    <cellStyle name="Vírgula 4 4 6" xfId="1989" xr:uid="{00000000-0005-0000-0000-0000EE070000}"/>
    <cellStyle name="Vírgula 4 4 6 2" xfId="4076" xr:uid="{00000000-0005-0000-0000-000015100000}"/>
    <cellStyle name="Vírgula 4 4 7" xfId="2355" xr:uid="{00000000-0005-0000-0000-00005C090000}"/>
    <cellStyle name="Vírgula 4 5" xfId="238" xr:uid="{00000000-0005-0000-0000-000017010000}"/>
    <cellStyle name="Vírgula 4 5 2" xfId="431" xr:uid="{00000000-0005-0000-0000-0000D8010000}"/>
    <cellStyle name="Vírgula 4 5 2 2" xfId="876" xr:uid="{00000000-0005-0000-0000-000095030000}"/>
    <cellStyle name="Vírgula 4 5 2 2 2" xfId="1705" xr:uid="{00000000-0005-0000-0000-0000D2060000}"/>
    <cellStyle name="Vírgula 4 5 2 2 2 2" xfId="3816" xr:uid="{00000000-0005-0000-0000-0000110F0000}"/>
    <cellStyle name="Vírgula 4 5 2 2 3" xfId="2999" xr:uid="{00000000-0005-0000-0000-0000E00B0000}"/>
    <cellStyle name="Vírgula 4 5 2 3" xfId="1278" xr:uid="{00000000-0005-0000-0000-000027050000}"/>
    <cellStyle name="Vírgula 4 5 2 3 2" xfId="3389" xr:uid="{00000000-0005-0000-0000-0000660D0000}"/>
    <cellStyle name="Vírgula 4 5 2 4" xfId="2572" xr:uid="{00000000-0005-0000-0000-0000350A0000}"/>
    <cellStyle name="Vírgula 4 5 3" xfId="684" xr:uid="{00000000-0005-0000-0000-0000D5020000}"/>
    <cellStyle name="Vírgula 4 5 3 2" xfId="1513" xr:uid="{00000000-0005-0000-0000-000012060000}"/>
    <cellStyle name="Vírgula 4 5 3 2 2" xfId="3624" xr:uid="{00000000-0005-0000-0000-0000510E0000}"/>
    <cellStyle name="Vírgula 4 5 3 3" xfId="2807" xr:uid="{00000000-0005-0000-0000-0000200B0000}"/>
    <cellStyle name="Vírgula 4 5 4" xfId="1086" xr:uid="{00000000-0005-0000-0000-000067040000}"/>
    <cellStyle name="Vírgula 4 5 4 2" xfId="3197" xr:uid="{00000000-0005-0000-0000-0000A60C0000}"/>
    <cellStyle name="Vírgula 4 5 5" xfId="2026" xr:uid="{00000000-0005-0000-0000-000013080000}"/>
    <cellStyle name="Vírgula 4 5 5 2" xfId="4092" xr:uid="{00000000-0005-0000-0000-000025100000}"/>
    <cellStyle name="Vírgula 4 5 6" xfId="2380" xr:uid="{00000000-0005-0000-0000-000075090000}"/>
    <cellStyle name="Vírgula 4 6" xfId="335" xr:uid="{00000000-0005-0000-0000-000078010000}"/>
    <cellStyle name="Vírgula 4 6 2" xfId="780" xr:uid="{00000000-0005-0000-0000-000035030000}"/>
    <cellStyle name="Vírgula 4 6 2 2" xfId="1609" xr:uid="{00000000-0005-0000-0000-000072060000}"/>
    <cellStyle name="Vírgula 4 6 2 2 2" xfId="3720" xr:uid="{00000000-0005-0000-0000-0000B10E0000}"/>
    <cellStyle name="Vírgula 4 6 2 3" xfId="2903" xr:uid="{00000000-0005-0000-0000-0000800B0000}"/>
    <cellStyle name="Vírgula 4 6 3" xfId="1182" xr:uid="{00000000-0005-0000-0000-0000C7040000}"/>
    <cellStyle name="Vírgula 4 6 3 2" xfId="3293" xr:uid="{00000000-0005-0000-0000-0000060D0000}"/>
    <cellStyle name="Vírgula 4 6 4" xfId="2476" xr:uid="{00000000-0005-0000-0000-0000D5090000}"/>
    <cellStyle name="Vírgula 4 7" xfId="580" xr:uid="{00000000-0005-0000-0000-00006D020000}"/>
    <cellStyle name="Vírgula 4 7 2" xfId="1417" xr:uid="{00000000-0005-0000-0000-0000B2050000}"/>
    <cellStyle name="Vírgula 4 7 2 2" xfId="3528" xr:uid="{00000000-0005-0000-0000-0000F10D0000}"/>
    <cellStyle name="Vírgula 4 7 3" xfId="2711" xr:uid="{00000000-0005-0000-0000-0000C00A0000}"/>
    <cellStyle name="Vírgula 4 8" xfId="527" xr:uid="{00000000-0005-0000-0000-000038020000}"/>
    <cellStyle name="Vírgula 4 8 2" xfId="1374" xr:uid="{00000000-0005-0000-0000-000087050000}"/>
    <cellStyle name="Vírgula 4 8 2 2" xfId="3485" xr:uid="{00000000-0005-0000-0000-0000C60D0000}"/>
    <cellStyle name="Vírgula 4 8 3" xfId="2668" xr:uid="{00000000-0005-0000-0000-0000950A0000}"/>
    <cellStyle name="Vírgula 4 9" xfId="100" xr:uid="{00000000-0005-0000-0000-00008D000000}"/>
    <cellStyle name="Vírgula 4 9 2" xfId="2286" xr:uid="{00000000-0005-0000-0000-000017090000}"/>
    <cellStyle name="Vírgula 5" xfId="22" xr:uid="{00000000-0005-0000-0000-00003F000000}"/>
    <cellStyle name="Vírgula 5 10" xfId="1798" xr:uid="{00000000-0005-0000-0000-00002F070000}"/>
    <cellStyle name="Vírgula 5 10 2" xfId="3908" xr:uid="{00000000-0005-0000-0000-00006D0F0000}"/>
    <cellStyle name="Vírgula 5 11" xfId="2235" xr:uid="{00000000-0005-0000-0000-0000E4080000}"/>
    <cellStyle name="Vírgula 5 2" xfId="66" xr:uid="{00000000-0005-0000-0000-00006B000000}"/>
    <cellStyle name="Vírgula 5 2 2" xfId="266" xr:uid="{00000000-0005-0000-0000-000033010000}"/>
    <cellStyle name="Vírgula 5 2 2 2" xfId="459" xr:uid="{00000000-0005-0000-0000-0000F4010000}"/>
    <cellStyle name="Vírgula 5 2 2 2 2" xfId="904" xr:uid="{00000000-0005-0000-0000-0000B1030000}"/>
    <cellStyle name="Vírgula 5 2 2 2 2 2" xfId="1733" xr:uid="{00000000-0005-0000-0000-0000EE060000}"/>
    <cellStyle name="Vírgula 5 2 2 2 2 2 2" xfId="3844" xr:uid="{00000000-0005-0000-0000-00002D0F0000}"/>
    <cellStyle name="Vírgula 5 2 2 2 2 3" xfId="2169" xr:uid="{00000000-0005-0000-0000-0000A2080000}"/>
    <cellStyle name="Vírgula 5 2 2 2 2 3 2" xfId="4235" xr:uid="{00000000-0005-0000-0000-0000B4100000}"/>
    <cellStyle name="Vírgula 5 2 2 2 2 4" xfId="3027" xr:uid="{00000000-0005-0000-0000-0000FC0B0000}"/>
    <cellStyle name="Vírgula 5 2 2 2 3" xfId="1306" xr:uid="{00000000-0005-0000-0000-000043050000}"/>
    <cellStyle name="Vírgula 5 2 2 2 3 2" xfId="3417" xr:uid="{00000000-0005-0000-0000-0000820D0000}"/>
    <cellStyle name="Vírgula 5 2 2 2 4" xfId="1955" xr:uid="{00000000-0005-0000-0000-0000CC070000}"/>
    <cellStyle name="Vírgula 5 2 2 2 4 2" xfId="4049" xr:uid="{00000000-0005-0000-0000-0000FA0F0000}"/>
    <cellStyle name="Vírgula 5 2 2 2 5" xfId="2600" xr:uid="{00000000-0005-0000-0000-0000510A0000}"/>
    <cellStyle name="Vírgula 5 2 2 3" xfId="712" xr:uid="{00000000-0005-0000-0000-0000F1020000}"/>
    <cellStyle name="Vírgula 5 2 2 3 2" xfId="1541" xr:uid="{00000000-0005-0000-0000-00002E060000}"/>
    <cellStyle name="Vírgula 5 2 2 3 2 2" xfId="3652" xr:uid="{00000000-0005-0000-0000-00006D0E0000}"/>
    <cellStyle name="Vírgula 5 2 2 3 3" xfId="2089" xr:uid="{00000000-0005-0000-0000-000052080000}"/>
    <cellStyle name="Vírgula 5 2 2 3 3 2" xfId="4155" xr:uid="{00000000-0005-0000-0000-000064100000}"/>
    <cellStyle name="Vírgula 5 2 2 3 4" xfId="2835" xr:uid="{00000000-0005-0000-0000-00003C0B0000}"/>
    <cellStyle name="Vírgula 5 2 2 4" xfId="1114" xr:uid="{00000000-0005-0000-0000-000083040000}"/>
    <cellStyle name="Vírgula 5 2 2 4 2" xfId="3225" xr:uid="{00000000-0005-0000-0000-0000C20C0000}"/>
    <cellStyle name="Vírgula 5 2 2 5" xfId="1870" xr:uid="{00000000-0005-0000-0000-000077070000}"/>
    <cellStyle name="Vírgula 5 2 2 5 2" xfId="3969" xr:uid="{00000000-0005-0000-0000-0000AA0F0000}"/>
    <cellStyle name="Vírgula 5 2 2 6" xfId="2408" xr:uid="{00000000-0005-0000-0000-000091090000}"/>
    <cellStyle name="Vírgula 5 2 3" xfId="363" xr:uid="{00000000-0005-0000-0000-000094010000}"/>
    <cellStyle name="Vírgula 5 2 3 2" xfId="808" xr:uid="{00000000-0005-0000-0000-000051030000}"/>
    <cellStyle name="Vírgula 5 2 3 2 2" xfId="1637" xr:uid="{00000000-0005-0000-0000-00008E060000}"/>
    <cellStyle name="Vírgula 5 2 3 2 2 2" xfId="3748" xr:uid="{00000000-0005-0000-0000-0000CD0E0000}"/>
    <cellStyle name="Vírgula 5 2 3 2 3" xfId="2127" xr:uid="{00000000-0005-0000-0000-000078080000}"/>
    <cellStyle name="Vírgula 5 2 3 2 3 2" xfId="4193" xr:uid="{00000000-0005-0000-0000-00008A100000}"/>
    <cellStyle name="Vírgula 5 2 3 2 4" xfId="2931" xr:uid="{00000000-0005-0000-0000-00009C0B0000}"/>
    <cellStyle name="Vírgula 5 2 3 3" xfId="1210" xr:uid="{00000000-0005-0000-0000-0000E3040000}"/>
    <cellStyle name="Vírgula 5 2 3 3 2" xfId="3321" xr:uid="{00000000-0005-0000-0000-0000220D0000}"/>
    <cellStyle name="Vírgula 5 2 3 4" xfId="1913" xr:uid="{00000000-0005-0000-0000-0000A2070000}"/>
    <cellStyle name="Vírgula 5 2 3 4 2" xfId="4007" xr:uid="{00000000-0005-0000-0000-0000D00F0000}"/>
    <cellStyle name="Vírgula 5 2 3 5" xfId="2504" xr:uid="{00000000-0005-0000-0000-0000F1090000}"/>
    <cellStyle name="Vírgula 5 2 4" xfId="614" xr:uid="{00000000-0005-0000-0000-00008F020000}"/>
    <cellStyle name="Vírgula 5 2 4 2" xfId="1445" xr:uid="{00000000-0005-0000-0000-0000CE050000}"/>
    <cellStyle name="Vírgula 5 2 4 2 2" xfId="3556" xr:uid="{00000000-0005-0000-0000-00000D0E0000}"/>
    <cellStyle name="Vírgula 5 2 4 3" xfId="2047" xr:uid="{00000000-0005-0000-0000-000028080000}"/>
    <cellStyle name="Vírgula 5 2 4 3 2" xfId="4113" xr:uid="{00000000-0005-0000-0000-00003A100000}"/>
    <cellStyle name="Vírgula 5 2 4 4" xfId="2739" xr:uid="{00000000-0005-0000-0000-0000DC0A0000}"/>
    <cellStyle name="Vírgula 5 2 5" xfId="548" xr:uid="{00000000-0005-0000-0000-00004D020000}"/>
    <cellStyle name="Vírgula 5 2 5 2" xfId="1395" xr:uid="{00000000-0005-0000-0000-00009C050000}"/>
    <cellStyle name="Vírgula 5 2 5 2 2" xfId="3506" xr:uid="{00000000-0005-0000-0000-0000DB0D0000}"/>
    <cellStyle name="Vírgula 5 2 5 3" xfId="2689" xr:uid="{00000000-0005-0000-0000-0000AA0A0000}"/>
    <cellStyle name="Vírgula 5 2 6" xfId="143" xr:uid="{00000000-0005-0000-0000-0000B8000000}"/>
    <cellStyle name="Vírgula 5 2 6 2" xfId="2313" xr:uid="{00000000-0005-0000-0000-000032090000}"/>
    <cellStyle name="Vírgula 5 2 7" xfId="1018" xr:uid="{00000000-0005-0000-0000-000023040000}"/>
    <cellStyle name="Vírgula 5 2 7 2" xfId="3129" xr:uid="{00000000-0005-0000-0000-0000620C0000}"/>
    <cellStyle name="Vírgula 5 2 8" xfId="1817" xr:uid="{00000000-0005-0000-0000-000042070000}"/>
    <cellStyle name="Vírgula 5 2 8 2" xfId="3927" xr:uid="{00000000-0005-0000-0000-0000800F0000}"/>
    <cellStyle name="Vírgula 5 2 9" xfId="2263" xr:uid="{00000000-0005-0000-0000-000000090000}"/>
    <cellStyle name="Vírgula 5 3" xfId="202" xr:uid="{00000000-0005-0000-0000-0000F3000000}"/>
    <cellStyle name="Vírgula 5 3 2" xfId="311" xr:uid="{00000000-0005-0000-0000-000060010000}"/>
    <cellStyle name="Vírgula 5 3 2 2" xfId="503" xr:uid="{00000000-0005-0000-0000-000020020000}"/>
    <cellStyle name="Vírgula 5 3 2 2 2" xfId="948" xr:uid="{00000000-0005-0000-0000-0000DD030000}"/>
    <cellStyle name="Vírgula 5 3 2 2 2 2" xfId="1777" xr:uid="{00000000-0005-0000-0000-00001A070000}"/>
    <cellStyle name="Vírgula 5 3 2 2 2 2 2" xfId="3888" xr:uid="{00000000-0005-0000-0000-0000590F0000}"/>
    <cellStyle name="Vírgula 5 3 2 2 2 3" xfId="3071" xr:uid="{00000000-0005-0000-0000-0000280C0000}"/>
    <cellStyle name="Vírgula 5 3 2 2 3" xfId="1350" xr:uid="{00000000-0005-0000-0000-00006F050000}"/>
    <cellStyle name="Vírgula 5 3 2 2 3 2" xfId="3461" xr:uid="{00000000-0005-0000-0000-0000AE0D0000}"/>
    <cellStyle name="Vírgula 5 3 2 2 4" xfId="2150" xr:uid="{00000000-0005-0000-0000-00008F080000}"/>
    <cellStyle name="Vírgula 5 3 2 2 4 2" xfId="4216" xr:uid="{00000000-0005-0000-0000-0000A1100000}"/>
    <cellStyle name="Vírgula 5 3 2 2 5" xfId="2644" xr:uid="{00000000-0005-0000-0000-00007D0A0000}"/>
    <cellStyle name="Vírgula 5 3 2 3" xfId="756" xr:uid="{00000000-0005-0000-0000-00001D030000}"/>
    <cellStyle name="Vírgula 5 3 2 3 2" xfId="1585" xr:uid="{00000000-0005-0000-0000-00005A060000}"/>
    <cellStyle name="Vírgula 5 3 2 3 2 2" xfId="3696" xr:uid="{00000000-0005-0000-0000-0000990E0000}"/>
    <cellStyle name="Vírgula 5 3 2 3 3" xfId="2879" xr:uid="{00000000-0005-0000-0000-0000680B0000}"/>
    <cellStyle name="Vírgula 5 3 2 4" xfId="1158" xr:uid="{00000000-0005-0000-0000-0000AF040000}"/>
    <cellStyle name="Vírgula 5 3 2 4 2" xfId="3269" xr:uid="{00000000-0005-0000-0000-0000EE0C0000}"/>
    <cellStyle name="Vírgula 5 3 2 5" xfId="1936" xr:uid="{00000000-0005-0000-0000-0000B9070000}"/>
    <cellStyle name="Vírgula 5 3 2 5 2" xfId="4030" xr:uid="{00000000-0005-0000-0000-0000E70F0000}"/>
    <cellStyle name="Vírgula 5 3 2 6" xfId="2452" xr:uid="{00000000-0005-0000-0000-0000BD090000}"/>
    <cellStyle name="Vírgula 5 3 3" xfId="407" xr:uid="{00000000-0005-0000-0000-0000C0010000}"/>
    <cellStyle name="Vírgula 5 3 3 2" xfId="852" xr:uid="{00000000-0005-0000-0000-00007D030000}"/>
    <cellStyle name="Vírgula 5 3 3 2 2" xfId="1681" xr:uid="{00000000-0005-0000-0000-0000BA060000}"/>
    <cellStyle name="Vírgula 5 3 3 2 2 2" xfId="3792" xr:uid="{00000000-0005-0000-0000-0000F90E0000}"/>
    <cellStyle name="Vírgula 5 3 3 2 3" xfId="2975" xr:uid="{00000000-0005-0000-0000-0000C80B0000}"/>
    <cellStyle name="Vírgula 5 3 3 3" xfId="1254" xr:uid="{00000000-0005-0000-0000-00000F050000}"/>
    <cellStyle name="Vírgula 5 3 3 3 2" xfId="3365" xr:uid="{00000000-0005-0000-0000-00004E0D0000}"/>
    <cellStyle name="Vírgula 5 3 3 4" xfId="2070" xr:uid="{00000000-0005-0000-0000-00003F080000}"/>
    <cellStyle name="Vírgula 5 3 3 4 2" xfId="4136" xr:uid="{00000000-0005-0000-0000-000051100000}"/>
    <cellStyle name="Vírgula 5 3 3 5" xfId="2548" xr:uid="{00000000-0005-0000-0000-00001D0A0000}"/>
    <cellStyle name="Vírgula 5 3 4" xfId="660" xr:uid="{00000000-0005-0000-0000-0000BD020000}"/>
    <cellStyle name="Vírgula 5 3 4 2" xfId="1489" xr:uid="{00000000-0005-0000-0000-0000FA050000}"/>
    <cellStyle name="Vírgula 5 3 4 2 2" xfId="3600" xr:uid="{00000000-0005-0000-0000-0000390E0000}"/>
    <cellStyle name="Vírgula 5 3 4 3" xfId="2783" xr:uid="{00000000-0005-0000-0000-0000080B0000}"/>
    <cellStyle name="Vírgula 5 3 5" xfId="1062" xr:uid="{00000000-0005-0000-0000-00004F040000}"/>
    <cellStyle name="Vírgula 5 3 5 2" xfId="3173" xr:uid="{00000000-0005-0000-0000-00008E0C0000}"/>
    <cellStyle name="Vírgula 5 3 6" xfId="1848" xr:uid="{00000000-0005-0000-0000-000061070000}"/>
    <cellStyle name="Vírgula 5 3 6 2" xfId="3950" xr:uid="{00000000-0005-0000-0000-0000970F0000}"/>
    <cellStyle name="Vírgula 5 3 7" xfId="2357" xr:uid="{00000000-0005-0000-0000-00005E090000}"/>
    <cellStyle name="Vírgula 5 4" xfId="234" xr:uid="{00000000-0005-0000-0000-000013010000}"/>
    <cellStyle name="Vírgula 5 4 2" xfId="427" xr:uid="{00000000-0005-0000-0000-0000D4010000}"/>
    <cellStyle name="Vírgula 5 4 2 2" xfId="872" xr:uid="{00000000-0005-0000-0000-000091030000}"/>
    <cellStyle name="Vírgula 5 4 2 2 2" xfId="1701" xr:uid="{00000000-0005-0000-0000-0000CE060000}"/>
    <cellStyle name="Vírgula 5 4 2 2 2 2" xfId="3812" xr:uid="{00000000-0005-0000-0000-00000D0F0000}"/>
    <cellStyle name="Vírgula 5 4 2 2 3" xfId="2995" xr:uid="{00000000-0005-0000-0000-0000DC0B0000}"/>
    <cellStyle name="Vírgula 5 4 2 3" xfId="1274" xr:uid="{00000000-0005-0000-0000-000023050000}"/>
    <cellStyle name="Vírgula 5 4 2 3 2" xfId="3385" xr:uid="{00000000-0005-0000-0000-0000620D0000}"/>
    <cellStyle name="Vírgula 5 4 2 4" xfId="2108" xr:uid="{00000000-0005-0000-0000-000065080000}"/>
    <cellStyle name="Vírgula 5 4 2 4 2" xfId="4174" xr:uid="{00000000-0005-0000-0000-000077100000}"/>
    <cellStyle name="Vírgula 5 4 2 5" xfId="2568" xr:uid="{00000000-0005-0000-0000-0000310A0000}"/>
    <cellStyle name="Vírgula 5 4 3" xfId="680" xr:uid="{00000000-0005-0000-0000-0000D1020000}"/>
    <cellStyle name="Vírgula 5 4 3 2" xfId="1509" xr:uid="{00000000-0005-0000-0000-00000E060000}"/>
    <cellStyle name="Vírgula 5 4 3 2 2" xfId="3620" xr:uid="{00000000-0005-0000-0000-00004D0E0000}"/>
    <cellStyle name="Vírgula 5 4 3 3" xfId="2803" xr:uid="{00000000-0005-0000-0000-00001C0B0000}"/>
    <cellStyle name="Vírgula 5 4 4" xfId="1082" xr:uid="{00000000-0005-0000-0000-000063040000}"/>
    <cellStyle name="Vírgula 5 4 4 2" xfId="3193" xr:uid="{00000000-0005-0000-0000-0000A20C0000}"/>
    <cellStyle name="Vírgula 5 4 5" xfId="1894" xr:uid="{00000000-0005-0000-0000-00008F070000}"/>
    <cellStyle name="Vírgula 5 4 5 2" xfId="3988" xr:uid="{00000000-0005-0000-0000-0000BD0F0000}"/>
    <cellStyle name="Vírgula 5 4 6" xfId="2376" xr:uid="{00000000-0005-0000-0000-000071090000}"/>
    <cellStyle name="Vírgula 5 5" xfId="331" xr:uid="{00000000-0005-0000-0000-000074010000}"/>
    <cellStyle name="Vírgula 5 5 2" xfId="776" xr:uid="{00000000-0005-0000-0000-000031030000}"/>
    <cellStyle name="Vírgula 5 5 2 2" xfId="1605" xr:uid="{00000000-0005-0000-0000-00006E060000}"/>
    <cellStyle name="Vírgula 5 5 2 2 2" xfId="3716" xr:uid="{00000000-0005-0000-0000-0000AD0E0000}"/>
    <cellStyle name="Vírgula 5 5 2 3" xfId="2899" xr:uid="{00000000-0005-0000-0000-00007C0B0000}"/>
    <cellStyle name="Vírgula 5 5 3" xfId="1178" xr:uid="{00000000-0005-0000-0000-0000C3040000}"/>
    <cellStyle name="Vírgula 5 5 3 2" xfId="3289" xr:uid="{00000000-0005-0000-0000-0000020D0000}"/>
    <cellStyle name="Vírgula 5 5 4" xfId="2028" xr:uid="{00000000-0005-0000-0000-000015080000}"/>
    <cellStyle name="Vírgula 5 5 4 2" xfId="4094" xr:uid="{00000000-0005-0000-0000-000027100000}"/>
    <cellStyle name="Vírgula 5 5 5" xfId="2472" xr:uid="{00000000-0005-0000-0000-0000D1090000}"/>
    <cellStyle name="Vírgula 5 6" xfId="572" xr:uid="{00000000-0005-0000-0000-000065020000}"/>
    <cellStyle name="Vírgula 5 6 2" xfId="1413" xr:uid="{00000000-0005-0000-0000-0000AE050000}"/>
    <cellStyle name="Vírgula 5 6 2 2" xfId="3524" xr:uid="{00000000-0005-0000-0000-0000ED0D0000}"/>
    <cellStyle name="Vírgula 5 6 3" xfId="2707" xr:uid="{00000000-0005-0000-0000-0000BC0A0000}"/>
    <cellStyle name="Vírgula 5 7" xfId="529" xr:uid="{00000000-0005-0000-0000-00003A020000}"/>
    <cellStyle name="Vírgula 5 7 2" xfId="1376" xr:uid="{00000000-0005-0000-0000-000089050000}"/>
    <cellStyle name="Vírgula 5 7 2 2" xfId="3487" xr:uid="{00000000-0005-0000-0000-0000C80D0000}"/>
    <cellStyle name="Vírgula 5 7 3" xfId="2670" xr:uid="{00000000-0005-0000-0000-0000970A0000}"/>
    <cellStyle name="Vírgula 5 8" xfId="91" xr:uid="{00000000-0005-0000-0000-000084000000}"/>
    <cellStyle name="Vírgula 5 8 2" xfId="2282" xr:uid="{00000000-0005-0000-0000-000013090000}"/>
    <cellStyle name="Vírgula 5 9" xfId="986" xr:uid="{00000000-0005-0000-0000-000003040000}"/>
    <cellStyle name="Vírgula 5 9 2" xfId="3097" xr:uid="{00000000-0005-0000-0000-0000420C0000}"/>
    <cellStyle name="Vírgula 6" xfId="62" xr:uid="{00000000-0005-0000-0000-000067000000}"/>
    <cellStyle name="Vírgula 6 10" xfId="1813" xr:uid="{00000000-0005-0000-0000-00003E070000}"/>
    <cellStyle name="Vírgula 6 10 2" xfId="3923" xr:uid="{00000000-0005-0000-0000-00007C0F0000}"/>
    <cellStyle name="Vírgula 6 11" xfId="2236" xr:uid="{00000000-0005-0000-0000-0000E5080000}"/>
    <cellStyle name="Vírgula 6 12" xfId="2259" xr:uid="{00000000-0005-0000-0000-0000FC080000}"/>
    <cellStyle name="Vírgula 6 2" xfId="81" xr:uid="{00000000-0005-0000-0000-00007A000000}"/>
    <cellStyle name="Vírgula 6 2 2" xfId="271" xr:uid="{00000000-0005-0000-0000-000038010000}"/>
    <cellStyle name="Vírgula 6 2 2 2" xfId="464" xr:uid="{00000000-0005-0000-0000-0000F9010000}"/>
    <cellStyle name="Vírgula 6 2 2 2 2" xfId="909" xr:uid="{00000000-0005-0000-0000-0000B6030000}"/>
    <cellStyle name="Vírgula 6 2 2 2 2 2" xfId="1738" xr:uid="{00000000-0005-0000-0000-0000F3060000}"/>
    <cellStyle name="Vírgula 6 2 2 2 2 2 2" xfId="3849" xr:uid="{00000000-0005-0000-0000-0000320F0000}"/>
    <cellStyle name="Vírgula 6 2 2 2 2 3" xfId="2184" xr:uid="{00000000-0005-0000-0000-0000B1080000}"/>
    <cellStyle name="Vírgula 6 2 2 2 2 3 2" xfId="4250" xr:uid="{00000000-0005-0000-0000-0000C3100000}"/>
    <cellStyle name="Vírgula 6 2 2 2 2 4" xfId="3032" xr:uid="{00000000-0005-0000-0000-0000010C0000}"/>
    <cellStyle name="Vírgula 6 2 2 2 3" xfId="1311" xr:uid="{00000000-0005-0000-0000-000048050000}"/>
    <cellStyle name="Vírgula 6 2 2 2 3 2" xfId="3422" xr:uid="{00000000-0005-0000-0000-0000870D0000}"/>
    <cellStyle name="Vírgula 6 2 2 2 4" xfId="1970" xr:uid="{00000000-0005-0000-0000-0000DB070000}"/>
    <cellStyle name="Vírgula 6 2 2 2 4 2" xfId="4064" xr:uid="{00000000-0005-0000-0000-000009100000}"/>
    <cellStyle name="Vírgula 6 2 2 2 5" xfId="2605" xr:uid="{00000000-0005-0000-0000-0000560A0000}"/>
    <cellStyle name="Vírgula 6 2 2 3" xfId="717" xr:uid="{00000000-0005-0000-0000-0000F6020000}"/>
    <cellStyle name="Vírgula 6 2 2 3 2" xfId="1546" xr:uid="{00000000-0005-0000-0000-000033060000}"/>
    <cellStyle name="Vírgula 6 2 2 3 2 2" xfId="3657" xr:uid="{00000000-0005-0000-0000-0000720E0000}"/>
    <cellStyle name="Vírgula 6 2 2 3 3" xfId="2104" xr:uid="{00000000-0005-0000-0000-000061080000}"/>
    <cellStyle name="Vírgula 6 2 2 3 3 2" xfId="4170" xr:uid="{00000000-0005-0000-0000-000073100000}"/>
    <cellStyle name="Vírgula 6 2 2 3 4" xfId="2840" xr:uid="{00000000-0005-0000-0000-0000410B0000}"/>
    <cellStyle name="Vírgula 6 2 2 4" xfId="1119" xr:uid="{00000000-0005-0000-0000-000088040000}"/>
    <cellStyle name="Vírgula 6 2 2 4 2" xfId="3230" xr:uid="{00000000-0005-0000-0000-0000C70C0000}"/>
    <cellStyle name="Vírgula 6 2 2 5" xfId="1885" xr:uid="{00000000-0005-0000-0000-000086070000}"/>
    <cellStyle name="Vírgula 6 2 2 5 2" xfId="3984" xr:uid="{00000000-0005-0000-0000-0000B90F0000}"/>
    <cellStyle name="Vírgula 6 2 2 6" xfId="2413" xr:uid="{00000000-0005-0000-0000-000096090000}"/>
    <cellStyle name="Vírgula 6 2 3" xfId="368" xr:uid="{00000000-0005-0000-0000-000099010000}"/>
    <cellStyle name="Vírgula 6 2 3 2" xfId="813" xr:uid="{00000000-0005-0000-0000-000056030000}"/>
    <cellStyle name="Vírgula 6 2 3 2 2" xfId="1642" xr:uid="{00000000-0005-0000-0000-000093060000}"/>
    <cellStyle name="Vírgula 6 2 3 2 2 2" xfId="3753" xr:uid="{00000000-0005-0000-0000-0000D20E0000}"/>
    <cellStyle name="Vírgula 6 2 3 2 3" xfId="2142" xr:uid="{00000000-0005-0000-0000-000087080000}"/>
    <cellStyle name="Vírgula 6 2 3 2 3 2" xfId="4208" xr:uid="{00000000-0005-0000-0000-000099100000}"/>
    <cellStyle name="Vírgula 6 2 3 2 4" xfId="2936" xr:uid="{00000000-0005-0000-0000-0000A10B0000}"/>
    <cellStyle name="Vírgula 6 2 3 3" xfId="1215" xr:uid="{00000000-0005-0000-0000-0000E8040000}"/>
    <cellStyle name="Vírgula 6 2 3 3 2" xfId="3326" xr:uid="{00000000-0005-0000-0000-0000270D0000}"/>
    <cellStyle name="Vírgula 6 2 3 4" xfId="1928" xr:uid="{00000000-0005-0000-0000-0000B1070000}"/>
    <cellStyle name="Vírgula 6 2 3 4 2" xfId="4022" xr:uid="{00000000-0005-0000-0000-0000DF0F0000}"/>
    <cellStyle name="Vírgula 6 2 3 5" xfId="2509" xr:uid="{00000000-0005-0000-0000-0000F6090000}"/>
    <cellStyle name="Vírgula 6 2 4" xfId="619" xr:uid="{00000000-0005-0000-0000-000094020000}"/>
    <cellStyle name="Vírgula 6 2 4 2" xfId="1450" xr:uid="{00000000-0005-0000-0000-0000D3050000}"/>
    <cellStyle name="Vírgula 6 2 4 2 2" xfId="3561" xr:uid="{00000000-0005-0000-0000-0000120E0000}"/>
    <cellStyle name="Vírgula 6 2 4 3" xfId="2062" xr:uid="{00000000-0005-0000-0000-000037080000}"/>
    <cellStyle name="Vírgula 6 2 4 3 2" xfId="4128" xr:uid="{00000000-0005-0000-0000-000049100000}"/>
    <cellStyle name="Vírgula 6 2 4 4" xfId="2744" xr:uid="{00000000-0005-0000-0000-0000E10A0000}"/>
    <cellStyle name="Vírgula 6 2 5" xfId="563" xr:uid="{00000000-0005-0000-0000-00005C020000}"/>
    <cellStyle name="Vírgula 6 2 5 2" xfId="1410" xr:uid="{00000000-0005-0000-0000-0000AB050000}"/>
    <cellStyle name="Vírgula 6 2 5 2 2" xfId="3521" xr:uid="{00000000-0005-0000-0000-0000EA0D0000}"/>
    <cellStyle name="Vírgula 6 2 5 3" xfId="2704" xr:uid="{00000000-0005-0000-0000-0000B90A0000}"/>
    <cellStyle name="Vírgula 6 2 6" xfId="150" xr:uid="{00000000-0005-0000-0000-0000BF000000}"/>
    <cellStyle name="Vírgula 6 2 6 2" xfId="2318" xr:uid="{00000000-0005-0000-0000-000037090000}"/>
    <cellStyle name="Vírgula 6 2 7" xfId="1023" xr:uid="{00000000-0005-0000-0000-000028040000}"/>
    <cellStyle name="Vírgula 6 2 7 2" xfId="3134" xr:uid="{00000000-0005-0000-0000-0000670C0000}"/>
    <cellStyle name="Vírgula 6 2 8" xfId="1832" xr:uid="{00000000-0005-0000-0000-000051070000}"/>
    <cellStyle name="Vírgula 6 2 8 2" xfId="3942" xr:uid="{00000000-0005-0000-0000-00008F0F0000}"/>
    <cellStyle name="Vírgula 6 2 9" xfId="2278" xr:uid="{00000000-0005-0000-0000-00000F090000}"/>
    <cellStyle name="Vírgula 6 3" xfId="227" xr:uid="{00000000-0005-0000-0000-00000C010000}"/>
    <cellStyle name="Vírgula 6 3 2" xfId="326" xr:uid="{00000000-0005-0000-0000-00006F010000}"/>
    <cellStyle name="Vírgula 6 3 2 2" xfId="518" xr:uid="{00000000-0005-0000-0000-00002F020000}"/>
    <cellStyle name="Vírgula 6 3 2 2 2" xfId="963" xr:uid="{00000000-0005-0000-0000-0000EC030000}"/>
    <cellStyle name="Vírgula 6 3 2 2 2 2" xfId="1792" xr:uid="{00000000-0005-0000-0000-000029070000}"/>
    <cellStyle name="Vírgula 6 3 2 2 2 2 2" xfId="3903" xr:uid="{00000000-0005-0000-0000-0000680F0000}"/>
    <cellStyle name="Vírgula 6 3 2 2 2 3" xfId="3086" xr:uid="{00000000-0005-0000-0000-0000370C0000}"/>
    <cellStyle name="Vírgula 6 3 2 2 3" xfId="1365" xr:uid="{00000000-0005-0000-0000-00007E050000}"/>
    <cellStyle name="Vírgula 6 3 2 2 3 2" xfId="3476" xr:uid="{00000000-0005-0000-0000-0000BD0D0000}"/>
    <cellStyle name="Vírgula 6 3 2 2 4" xfId="2165" xr:uid="{00000000-0005-0000-0000-00009E080000}"/>
    <cellStyle name="Vírgula 6 3 2 2 4 2" xfId="4231" xr:uid="{00000000-0005-0000-0000-0000B0100000}"/>
    <cellStyle name="Vírgula 6 3 2 2 5" xfId="2659" xr:uid="{00000000-0005-0000-0000-00008C0A0000}"/>
    <cellStyle name="Vírgula 6 3 2 3" xfId="771" xr:uid="{00000000-0005-0000-0000-00002C030000}"/>
    <cellStyle name="Vírgula 6 3 2 3 2" xfId="1600" xr:uid="{00000000-0005-0000-0000-000069060000}"/>
    <cellStyle name="Vírgula 6 3 2 3 2 2" xfId="3711" xr:uid="{00000000-0005-0000-0000-0000A80E0000}"/>
    <cellStyle name="Vírgula 6 3 2 3 3" xfId="2894" xr:uid="{00000000-0005-0000-0000-0000770B0000}"/>
    <cellStyle name="Vírgula 6 3 2 4" xfId="1173" xr:uid="{00000000-0005-0000-0000-0000BE040000}"/>
    <cellStyle name="Vírgula 6 3 2 4 2" xfId="3284" xr:uid="{00000000-0005-0000-0000-0000FD0C0000}"/>
    <cellStyle name="Vírgula 6 3 2 5" xfId="1951" xr:uid="{00000000-0005-0000-0000-0000C8070000}"/>
    <cellStyle name="Vírgula 6 3 2 5 2" xfId="4045" xr:uid="{00000000-0005-0000-0000-0000F60F0000}"/>
    <cellStyle name="Vírgula 6 3 2 6" xfId="2467" xr:uid="{00000000-0005-0000-0000-0000CC090000}"/>
    <cellStyle name="Vírgula 6 3 3" xfId="422" xr:uid="{00000000-0005-0000-0000-0000CF010000}"/>
    <cellStyle name="Vírgula 6 3 3 2" xfId="867" xr:uid="{00000000-0005-0000-0000-00008C030000}"/>
    <cellStyle name="Vírgula 6 3 3 2 2" xfId="1696" xr:uid="{00000000-0005-0000-0000-0000C9060000}"/>
    <cellStyle name="Vírgula 6 3 3 2 2 2" xfId="3807" xr:uid="{00000000-0005-0000-0000-0000080F0000}"/>
    <cellStyle name="Vírgula 6 3 3 2 3" xfId="2990" xr:uid="{00000000-0005-0000-0000-0000D70B0000}"/>
    <cellStyle name="Vírgula 6 3 3 3" xfId="1269" xr:uid="{00000000-0005-0000-0000-00001E050000}"/>
    <cellStyle name="Vírgula 6 3 3 3 2" xfId="3380" xr:uid="{00000000-0005-0000-0000-00005D0D0000}"/>
    <cellStyle name="Vírgula 6 3 3 4" xfId="2085" xr:uid="{00000000-0005-0000-0000-00004E080000}"/>
    <cellStyle name="Vírgula 6 3 3 4 2" xfId="4151" xr:uid="{00000000-0005-0000-0000-000060100000}"/>
    <cellStyle name="Vírgula 6 3 3 5" xfId="2563" xr:uid="{00000000-0005-0000-0000-00002C0A0000}"/>
    <cellStyle name="Vírgula 6 3 4" xfId="675" xr:uid="{00000000-0005-0000-0000-0000CC020000}"/>
    <cellStyle name="Vírgula 6 3 4 2" xfId="1504" xr:uid="{00000000-0005-0000-0000-000009060000}"/>
    <cellStyle name="Vírgula 6 3 4 2 2" xfId="3615" xr:uid="{00000000-0005-0000-0000-0000480E0000}"/>
    <cellStyle name="Vírgula 6 3 4 3" xfId="2798" xr:uid="{00000000-0005-0000-0000-0000170B0000}"/>
    <cellStyle name="Vírgula 6 3 5" xfId="1077" xr:uid="{00000000-0005-0000-0000-00005E040000}"/>
    <cellStyle name="Vírgula 6 3 5 2" xfId="3188" xr:uid="{00000000-0005-0000-0000-00009D0C0000}"/>
    <cellStyle name="Vírgula 6 3 6" xfId="1866" xr:uid="{00000000-0005-0000-0000-000073070000}"/>
    <cellStyle name="Vírgula 6 3 6 2" xfId="3965" xr:uid="{00000000-0005-0000-0000-0000A60F0000}"/>
    <cellStyle name="Vírgula 6 3 7" xfId="2372" xr:uid="{00000000-0005-0000-0000-00006D090000}"/>
    <cellStyle name="Vírgula 6 4" xfId="239" xr:uid="{00000000-0005-0000-0000-000018010000}"/>
    <cellStyle name="Vírgula 6 4 2" xfId="432" xr:uid="{00000000-0005-0000-0000-0000D9010000}"/>
    <cellStyle name="Vírgula 6 4 2 2" xfId="877" xr:uid="{00000000-0005-0000-0000-000096030000}"/>
    <cellStyle name="Vírgula 6 4 2 2 2" xfId="1706" xr:uid="{00000000-0005-0000-0000-0000D3060000}"/>
    <cellStyle name="Vírgula 6 4 2 2 2 2" xfId="3817" xr:uid="{00000000-0005-0000-0000-0000120F0000}"/>
    <cellStyle name="Vírgula 6 4 2 2 3" xfId="3000" xr:uid="{00000000-0005-0000-0000-0000E10B0000}"/>
    <cellStyle name="Vírgula 6 4 2 3" xfId="1279" xr:uid="{00000000-0005-0000-0000-000028050000}"/>
    <cellStyle name="Vírgula 6 4 2 3 2" xfId="3390" xr:uid="{00000000-0005-0000-0000-0000670D0000}"/>
    <cellStyle name="Vírgula 6 4 2 4" xfId="2123" xr:uid="{00000000-0005-0000-0000-000074080000}"/>
    <cellStyle name="Vírgula 6 4 2 4 2" xfId="4189" xr:uid="{00000000-0005-0000-0000-000086100000}"/>
    <cellStyle name="Vírgula 6 4 2 5" xfId="2573" xr:uid="{00000000-0005-0000-0000-0000360A0000}"/>
    <cellStyle name="Vírgula 6 4 3" xfId="685" xr:uid="{00000000-0005-0000-0000-0000D6020000}"/>
    <cellStyle name="Vírgula 6 4 3 2" xfId="1514" xr:uid="{00000000-0005-0000-0000-000013060000}"/>
    <cellStyle name="Vírgula 6 4 3 2 2" xfId="3625" xr:uid="{00000000-0005-0000-0000-0000520E0000}"/>
    <cellStyle name="Vírgula 6 4 3 3" xfId="2808" xr:uid="{00000000-0005-0000-0000-0000210B0000}"/>
    <cellStyle name="Vírgula 6 4 4" xfId="1087" xr:uid="{00000000-0005-0000-0000-000068040000}"/>
    <cellStyle name="Vírgula 6 4 4 2" xfId="3198" xr:uid="{00000000-0005-0000-0000-0000A70C0000}"/>
    <cellStyle name="Vírgula 6 4 5" xfId="1909" xr:uid="{00000000-0005-0000-0000-00009E070000}"/>
    <cellStyle name="Vírgula 6 4 5 2" xfId="4003" xr:uid="{00000000-0005-0000-0000-0000CC0F0000}"/>
    <cellStyle name="Vírgula 6 4 6" xfId="2381" xr:uid="{00000000-0005-0000-0000-000076090000}"/>
    <cellStyle name="Vírgula 6 5" xfId="336" xr:uid="{00000000-0005-0000-0000-000079010000}"/>
    <cellStyle name="Vírgula 6 5 2" xfId="781" xr:uid="{00000000-0005-0000-0000-000036030000}"/>
    <cellStyle name="Vírgula 6 5 2 2" xfId="1610" xr:uid="{00000000-0005-0000-0000-000073060000}"/>
    <cellStyle name="Vírgula 6 5 2 2 2" xfId="3721" xr:uid="{00000000-0005-0000-0000-0000B20E0000}"/>
    <cellStyle name="Vírgula 6 5 2 3" xfId="2904" xr:uid="{00000000-0005-0000-0000-0000810B0000}"/>
    <cellStyle name="Vírgula 6 5 3" xfId="1183" xr:uid="{00000000-0005-0000-0000-0000C8040000}"/>
    <cellStyle name="Vírgula 6 5 3 2" xfId="3294" xr:uid="{00000000-0005-0000-0000-0000070D0000}"/>
    <cellStyle name="Vírgula 6 5 4" xfId="2043" xr:uid="{00000000-0005-0000-0000-000024080000}"/>
    <cellStyle name="Vírgula 6 5 4 2" xfId="4109" xr:uid="{00000000-0005-0000-0000-000036100000}"/>
    <cellStyle name="Vírgula 6 5 5" xfId="2477" xr:uid="{00000000-0005-0000-0000-0000D6090000}"/>
    <cellStyle name="Vírgula 6 6" xfId="587" xr:uid="{00000000-0005-0000-0000-000074020000}"/>
    <cellStyle name="Vírgula 6 6 2" xfId="1418" xr:uid="{00000000-0005-0000-0000-0000B3050000}"/>
    <cellStyle name="Vírgula 6 6 2 2" xfId="3529" xr:uid="{00000000-0005-0000-0000-0000F20D0000}"/>
    <cellStyle name="Vírgula 6 6 3" xfId="2712" xr:uid="{00000000-0005-0000-0000-0000C10A0000}"/>
    <cellStyle name="Vírgula 6 7" xfId="544" xr:uid="{00000000-0005-0000-0000-000049020000}"/>
    <cellStyle name="Vírgula 6 7 2" xfId="1391" xr:uid="{00000000-0005-0000-0000-000098050000}"/>
    <cellStyle name="Vírgula 6 7 2 2" xfId="3502" xr:uid="{00000000-0005-0000-0000-0000D70D0000}"/>
    <cellStyle name="Vírgula 6 7 3" xfId="2685" xr:uid="{00000000-0005-0000-0000-0000A60A0000}"/>
    <cellStyle name="Vírgula 6 8" xfId="109" xr:uid="{00000000-0005-0000-0000-000096000000}"/>
    <cellStyle name="Vírgula 6 8 2" xfId="2287" xr:uid="{00000000-0005-0000-0000-000018090000}"/>
    <cellStyle name="Vírgula 6 9" xfId="991" xr:uid="{00000000-0005-0000-0000-000008040000}"/>
    <cellStyle name="Vírgula 6 9 2" xfId="3102" xr:uid="{00000000-0005-0000-0000-0000470C0000}"/>
    <cellStyle name="Vírgula 7" xfId="83" xr:uid="{00000000-0005-0000-0000-00007C000000}"/>
    <cellStyle name="Vírgula 7 10" xfId="2279" xr:uid="{00000000-0005-0000-0000-000010090000}"/>
    <cellStyle name="Vírgula 7 2" xfId="304" xr:uid="{00000000-0005-0000-0000-000059010000}"/>
    <cellStyle name="Vírgula 7 2 2" xfId="496" xr:uid="{00000000-0005-0000-0000-000019020000}"/>
    <cellStyle name="Vírgula 7 2 2 2" xfId="941" xr:uid="{00000000-0005-0000-0000-0000D6030000}"/>
    <cellStyle name="Vírgula 7 2 2 2 2" xfId="1770" xr:uid="{00000000-0005-0000-0000-000013070000}"/>
    <cellStyle name="Vírgula 7 2 2 2 2 2" xfId="3881" xr:uid="{00000000-0005-0000-0000-0000520F0000}"/>
    <cellStyle name="Vírgula 7 2 2 2 3" xfId="2185" xr:uid="{00000000-0005-0000-0000-0000B2080000}"/>
    <cellStyle name="Vírgula 7 2 2 2 3 2" xfId="4251" xr:uid="{00000000-0005-0000-0000-0000C4100000}"/>
    <cellStyle name="Vírgula 7 2 2 2 4" xfId="3064" xr:uid="{00000000-0005-0000-0000-0000210C0000}"/>
    <cellStyle name="Vírgula 7 2 2 3" xfId="1343" xr:uid="{00000000-0005-0000-0000-000068050000}"/>
    <cellStyle name="Vírgula 7 2 2 3 2" xfId="3454" xr:uid="{00000000-0005-0000-0000-0000A70D0000}"/>
    <cellStyle name="Vírgula 7 2 2 4" xfId="1971" xr:uid="{00000000-0005-0000-0000-0000DC070000}"/>
    <cellStyle name="Vírgula 7 2 2 4 2" xfId="4065" xr:uid="{00000000-0005-0000-0000-00000A100000}"/>
    <cellStyle name="Vírgula 7 2 2 5" xfId="2637" xr:uid="{00000000-0005-0000-0000-0000760A0000}"/>
    <cellStyle name="Vírgula 7 2 3" xfId="749" xr:uid="{00000000-0005-0000-0000-000016030000}"/>
    <cellStyle name="Vírgula 7 2 3 2" xfId="1578" xr:uid="{00000000-0005-0000-0000-000053060000}"/>
    <cellStyle name="Vírgula 7 2 3 2 2" xfId="3689" xr:uid="{00000000-0005-0000-0000-0000920E0000}"/>
    <cellStyle name="Vírgula 7 2 3 3" xfId="2105" xr:uid="{00000000-0005-0000-0000-000062080000}"/>
    <cellStyle name="Vírgula 7 2 3 3 2" xfId="4171" xr:uid="{00000000-0005-0000-0000-000074100000}"/>
    <cellStyle name="Vírgula 7 2 3 4" xfId="2872" xr:uid="{00000000-0005-0000-0000-0000610B0000}"/>
    <cellStyle name="Vírgula 7 2 4" xfId="1151" xr:uid="{00000000-0005-0000-0000-0000A8040000}"/>
    <cellStyle name="Vírgula 7 2 4 2" xfId="3262" xr:uid="{00000000-0005-0000-0000-0000E70C0000}"/>
    <cellStyle name="Vírgula 7 2 5" xfId="1886" xr:uid="{00000000-0005-0000-0000-000087070000}"/>
    <cellStyle name="Vírgula 7 2 5 2" xfId="3985" xr:uid="{00000000-0005-0000-0000-0000BA0F0000}"/>
    <cellStyle name="Vírgula 7 2 6" xfId="2445" xr:uid="{00000000-0005-0000-0000-0000B6090000}"/>
    <cellStyle name="Vírgula 7 3" xfId="400" xr:uid="{00000000-0005-0000-0000-0000B9010000}"/>
    <cellStyle name="Vírgula 7 3 2" xfId="845" xr:uid="{00000000-0005-0000-0000-000076030000}"/>
    <cellStyle name="Vírgula 7 3 2 2" xfId="1674" xr:uid="{00000000-0005-0000-0000-0000B3060000}"/>
    <cellStyle name="Vírgula 7 3 2 2 2" xfId="3785" xr:uid="{00000000-0005-0000-0000-0000F20E0000}"/>
    <cellStyle name="Vírgula 7 3 2 3" xfId="2143" xr:uid="{00000000-0005-0000-0000-000088080000}"/>
    <cellStyle name="Vírgula 7 3 2 3 2" xfId="4209" xr:uid="{00000000-0005-0000-0000-00009A100000}"/>
    <cellStyle name="Vírgula 7 3 2 4" xfId="2968" xr:uid="{00000000-0005-0000-0000-0000C10B0000}"/>
    <cellStyle name="Vírgula 7 3 3" xfId="1247" xr:uid="{00000000-0005-0000-0000-000008050000}"/>
    <cellStyle name="Vírgula 7 3 3 2" xfId="3358" xr:uid="{00000000-0005-0000-0000-0000470D0000}"/>
    <cellStyle name="Vírgula 7 3 4" xfId="1929" xr:uid="{00000000-0005-0000-0000-0000B2070000}"/>
    <cellStyle name="Vírgula 7 3 4 2" xfId="4023" xr:uid="{00000000-0005-0000-0000-0000E00F0000}"/>
    <cellStyle name="Vírgula 7 3 5" xfId="2541" xr:uid="{00000000-0005-0000-0000-0000160A0000}"/>
    <cellStyle name="Vírgula 7 4" xfId="653" xr:uid="{00000000-0005-0000-0000-0000B6020000}"/>
    <cellStyle name="Vírgula 7 4 2" xfId="1482" xr:uid="{00000000-0005-0000-0000-0000F3050000}"/>
    <cellStyle name="Vírgula 7 4 2 2" xfId="3593" xr:uid="{00000000-0005-0000-0000-0000320E0000}"/>
    <cellStyle name="Vírgula 7 4 3" xfId="2063" xr:uid="{00000000-0005-0000-0000-000038080000}"/>
    <cellStyle name="Vírgula 7 4 3 2" xfId="4129" xr:uid="{00000000-0005-0000-0000-00004A100000}"/>
    <cellStyle name="Vírgula 7 4 4" xfId="2776" xr:uid="{00000000-0005-0000-0000-0000010B0000}"/>
    <cellStyle name="Vírgula 7 5" xfId="565" xr:uid="{00000000-0005-0000-0000-00005E020000}"/>
    <cellStyle name="Vírgula 7 5 2" xfId="1411" xr:uid="{00000000-0005-0000-0000-0000AC050000}"/>
    <cellStyle name="Vírgula 7 5 2 2" xfId="3522" xr:uid="{00000000-0005-0000-0000-0000EB0D0000}"/>
    <cellStyle name="Vírgula 7 5 3" xfId="2705" xr:uid="{00000000-0005-0000-0000-0000BA0A0000}"/>
    <cellStyle name="Vírgula 7 6" xfId="184" xr:uid="{00000000-0005-0000-0000-0000E1000000}"/>
    <cellStyle name="Vírgula 7 6 2" xfId="2350" xr:uid="{00000000-0005-0000-0000-000057090000}"/>
    <cellStyle name="Vírgula 7 7" xfId="1055" xr:uid="{00000000-0005-0000-0000-000048040000}"/>
    <cellStyle name="Vírgula 7 7 2" xfId="3166" xr:uid="{00000000-0005-0000-0000-0000870C0000}"/>
    <cellStyle name="Vírgula 7 8" xfId="1833" xr:uid="{00000000-0005-0000-0000-000052070000}"/>
    <cellStyle name="Vírgula 7 8 2" xfId="3943" xr:uid="{00000000-0005-0000-0000-0000900F0000}"/>
    <cellStyle name="Vírgula 7 9" xfId="2237" xr:uid="{00000000-0005-0000-0000-0000E6080000}"/>
    <cellStyle name="Vírgula 8" xfId="228" xr:uid="{00000000-0005-0000-0000-00000D010000}"/>
    <cellStyle name="Vírgula 8 2" xfId="327" xr:uid="{00000000-0005-0000-0000-000070010000}"/>
    <cellStyle name="Vírgula 8 2 2" xfId="519" xr:uid="{00000000-0005-0000-0000-000030020000}"/>
    <cellStyle name="Vírgula 8 2 2 2" xfId="964" xr:uid="{00000000-0005-0000-0000-0000ED030000}"/>
    <cellStyle name="Vírgula 8 2 2 2 2" xfId="1793" xr:uid="{00000000-0005-0000-0000-00002A070000}"/>
    <cellStyle name="Vírgula 8 2 2 2 2 2" xfId="3904" xr:uid="{00000000-0005-0000-0000-0000690F0000}"/>
    <cellStyle name="Vírgula 8 2 2 2 3" xfId="3087" xr:uid="{00000000-0005-0000-0000-0000380C0000}"/>
    <cellStyle name="Vírgula 8 2 2 3" xfId="1366" xr:uid="{00000000-0005-0000-0000-00007F050000}"/>
    <cellStyle name="Vírgula 8 2 2 3 2" xfId="3477" xr:uid="{00000000-0005-0000-0000-0000BE0D0000}"/>
    <cellStyle name="Vírgula 8 2 2 4" xfId="2144" xr:uid="{00000000-0005-0000-0000-000089080000}"/>
    <cellStyle name="Vírgula 8 2 2 4 2" xfId="4210" xr:uid="{00000000-0005-0000-0000-00009B100000}"/>
    <cellStyle name="Vírgula 8 2 2 5" xfId="2660" xr:uid="{00000000-0005-0000-0000-00008D0A0000}"/>
    <cellStyle name="Vírgula 8 2 3" xfId="772" xr:uid="{00000000-0005-0000-0000-00002D030000}"/>
    <cellStyle name="Vírgula 8 2 3 2" xfId="1601" xr:uid="{00000000-0005-0000-0000-00006A060000}"/>
    <cellStyle name="Vírgula 8 2 3 2 2" xfId="3712" xr:uid="{00000000-0005-0000-0000-0000A90E0000}"/>
    <cellStyle name="Vírgula 8 2 3 3" xfId="2895" xr:uid="{00000000-0005-0000-0000-0000780B0000}"/>
    <cellStyle name="Vírgula 8 2 4" xfId="1174" xr:uid="{00000000-0005-0000-0000-0000BF040000}"/>
    <cellStyle name="Vírgula 8 2 4 2" xfId="3285" xr:uid="{00000000-0005-0000-0000-0000FE0C0000}"/>
    <cellStyle name="Vírgula 8 2 5" xfId="1930" xr:uid="{00000000-0005-0000-0000-0000B3070000}"/>
    <cellStyle name="Vírgula 8 2 5 2" xfId="4024" xr:uid="{00000000-0005-0000-0000-0000E10F0000}"/>
    <cellStyle name="Vírgula 8 2 6" xfId="2468" xr:uid="{00000000-0005-0000-0000-0000CD090000}"/>
    <cellStyle name="Vírgula 8 3" xfId="423" xr:uid="{00000000-0005-0000-0000-0000D0010000}"/>
    <cellStyle name="Vírgula 8 3 2" xfId="868" xr:uid="{00000000-0005-0000-0000-00008D030000}"/>
    <cellStyle name="Vírgula 8 3 2 2" xfId="1697" xr:uid="{00000000-0005-0000-0000-0000CA060000}"/>
    <cellStyle name="Vírgula 8 3 2 2 2" xfId="3808" xr:uid="{00000000-0005-0000-0000-0000090F0000}"/>
    <cellStyle name="Vírgula 8 3 2 3" xfId="2991" xr:uid="{00000000-0005-0000-0000-0000D80B0000}"/>
    <cellStyle name="Vírgula 8 3 3" xfId="1270" xr:uid="{00000000-0005-0000-0000-00001F050000}"/>
    <cellStyle name="Vírgula 8 3 3 2" xfId="3381" xr:uid="{00000000-0005-0000-0000-00005E0D0000}"/>
    <cellStyle name="Vírgula 8 3 4" xfId="2064" xr:uid="{00000000-0005-0000-0000-000039080000}"/>
    <cellStyle name="Vírgula 8 3 4 2" xfId="4130" xr:uid="{00000000-0005-0000-0000-00004B100000}"/>
    <cellStyle name="Vírgula 8 3 5" xfId="2564" xr:uid="{00000000-0005-0000-0000-00002D0A0000}"/>
    <cellStyle name="Vírgula 8 4" xfId="676" xr:uid="{00000000-0005-0000-0000-0000CD020000}"/>
    <cellStyle name="Vírgula 8 4 2" xfId="1505" xr:uid="{00000000-0005-0000-0000-00000A060000}"/>
    <cellStyle name="Vírgula 8 4 2 2" xfId="3616" xr:uid="{00000000-0005-0000-0000-0000490E0000}"/>
    <cellStyle name="Vírgula 8 4 3" xfId="2799" xr:uid="{00000000-0005-0000-0000-0000180B0000}"/>
    <cellStyle name="Vírgula 8 5" xfId="1078" xr:uid="{00000000-0005-0000-0000-00005F040000}"/>
    <cellStyle name="Vírgula 8 5 2" xfId="3189" xr:uid="{00000000-0005-0000-0000-00009E0C0000}"/>
    <cellStyle name="Vírgula 8 6" xfId="1834" xr:uid="{00000000-0005-0000-0000-000053070000}"/>
    <cellStyle name="Vírgula 8 6 2" xfId="3944" xr:uid="{00000000-0005-0000-0000-0000910F0000}"/>
    <cellStyle name="Vírgula 8 7" xfId="2238" xr:uid="{00000000-0005-0000-0000-0000E7080000}"/>
    <cellStyle name="Vírgula 9" xfId="523" xr:uid="{00000000-0005-0000-0000-000034020000}"/>
    <cellStyle name="Vírgula 9 2" xfId="1370" xr:uid="{00000000-0005-0000-0000-000083050000}"/>
    <cellStyle name="Vírgula 9 2 2" xfId="2106" xr:uid="{00000000-0005-0000-0000-000063080000}"/>
    <cellStyle name="Vírgula 9 2 2 2" xfId="4172" xr:uid="{00000000-0005-0000-0000-000075100000}"/>
    <cellStyle name="Vírgula 9 2 3" xfId="3481" xr:uid="{00000000-0005-0000-0000-0000C20D0000}"/>
    <cellStyle name="Vírgula 9 3" xfId="1891" xr:uid="{00000000-0005-0000-0000-00008C070000}"/>
    <cellStyle name="Vírgula 9 3 2" xfId="3986" xr:uid="{00000000-0005-0000-0000-0000BB0F0000}"/>
    <cellStyle name="Vírgula 9 4" xfId="2239" xr:uid="{00000000-0005-0000-0000-0000E8080000}"/>
    <cellStyle name="Vírgula 9 5" xfId="2664" xr:uid="{00000000-0005-0000-0000-0000910A0000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4" defaultTableStyle="TableStyleMedium2" defaultPivotStyle="PivotStyleLight16">
    <tableStyle name="Estilo de Tabela 1" pivot="0" count="1" xr9:uid="{00000000-0011-0000-FFFF-FFFF00000000}">
      <tableStyleElement type="wholeTable" dxfId="5"/>
    </tableStyle>
    <tableStyle name="Estilo de Tabela 2" pivot="0" count="1" xr9:uid="{00000000-0011-0000-FFFF-FFFF01000000}">
      <tableStyleElement type="wholeTable" dxfId="4"/>
    </tableStyle>
    <tableStyle name="Estilo de Tabela 3" pivot="0" count="1" xr9:uid="{00000000-0011-0000-FFFF-FFFF02000000}">
      <tableStyleElement type="wholeTable" dxfId="3"/>
    </tableStyle>
    <tableStyle name="Bas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48</xdr:row>
      <xdr:rowOff>38101</xdr:rowOff>
    </xdr:from>
    <xdr:to>
      <xdr:col>8</xdr:col>
      <xdr:colOff>73026</xdr:colOff>
      <xdr:row>63</xdr:row>
      <xdr:rowOff>76201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1752601"/>
          <a:ext cx="5359400" cy="2895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295275</xdr:colOff>
      <xdr:row>45</xdr:row>
      <xdr:rowOff>72337</xdr:rowOff>
    </xdr:from>
    <xdr:to>
      <xdr:col>17</xdr:col>
      <xdr:colOff>19051</xdr:colOff>
      <xdr:row>64</xdr:row>
      <xdr:rowOff>53573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6549337"/>
          <a:ext cx="5381626" cy="36007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133350</xdr:colOff>
      <xdr:row>65</xdr:row>
      <xdr:rowOff>57150</xdr:rowOff>
    </xdr:from>
    <xdr:to>
      <xdr:col>6</xdr:col>
      <xdr:colOff>815340</xdr:colOff>
      <xdr:row>78</xdr:row>
      <xdr:rowOff>17329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10344150"/>
          <a:ext cx="4000500" cy="24519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29</xdr:rowOff>
    </xdr:from>
    <xdr:to>
      <xdr:col>3</xdr:col>
      <xdr:colOff>77925</xdr:colOff>
      <xdr:row>15</xdr:row>
      <xdr:rowOff>83559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542954"/>
          <a:ext cx="1440000" cy="2072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4</xdr:row>
      <xdr:rowOff>1</xdr:rowOff>
    </xdr:from>
    <xdr:to>
      <xdr:col>7</xdr:col>
      <xdr:colOff>112731</xdr:colOff>
      <xdr:row>15</xdr:row>
      <xdr:rowOff>140970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542926"/>
          <a:ext cx="3075006" cy="2133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511969</xdr:colOff>
      <xdr:row>10</xdr:row>
      <xdr:rowOff>0</xdr:rowOff>
    </xdr:from>
    <xdr:to>
      <xdr:col>13</xdr:col>
      <xdr:colOff>287082</xdr:colOff>
      <xdr:row>26</xdr:row>
      <xdr:rowOff>111451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9563" y="1714500"/>
          <a:ext cx="4502370" cy="308801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31</xdr:rowOff>
    </xdr:from>
    <xdr:to>
      <xdr:col>18</xdr:col>
      <xdr:colOff>266000</xdr:colOff>
      <xdr:row>19</xdr:row>
      <xdr:rowOff>97035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0333" y="529198"/>
          <a:ext cx="7632000" cy="31555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18</xdr:col>
      <xdr:colOff>352800</xdr:colOff>
      <xdr:row>35</xdr:row>
      <xdr:rowOff>83413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1867" y="4258733"/>
          <a:ext cx="7668000" cy="25048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387246</xdr:colOff>
      <xdr:row>25</xdr:row>
      <xdr:rowOff>71156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0902" cy="4536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o a Passo"/>
      <sheetName val="Premissas"/>
      <sheetName val="RESULTADO"/>
      <sheetName val="P&amp;L Mensal"/>
      <sheetName val="P&amp;L Acumulado"/>
      <sheetName val="Orçado "/>
      <sheetName val="Realizado"/>
      <sheetName val="Base comparativo - Desp Admin"/>
      <sheetName val="Destaques"/>
      <sheetName val="Organização P&amp;L"/>
      <sheetName val="DRE Simplificado"/>
      <sheetName val="Evolução PDD Imobiliário"/>
      <sheetName val="Despesas"/>
      <sheetName val="Margem Financeira"/>
      <sheetName val="Lista de data para fil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5">
          <cell r="AN125">
            <v>4206375.1311047599</v>
          </cell>
          <cell r="AO125">
            <v>4890079.1595291719</v>
          </cell>
          <cell r="AP125">
            <v>6312897.7173873112</v>
          </cell>
          <cell r="AQ125">
            <v>6729376.2234870158</v>
          </cell>
          <cell r="AR125">
            <v>5884314.6924281418</v>
          </cell>
          <cell r="AS125">
            <v>6283884.4123663129</v>
          </cell>
          <cell r="AT125">
            <v>4964087.6843384253</v>
          </cell>
          <cell r="AU125">
            <v>6326808.8007465899</v>
          </cell>
          <cell r="AV125">
            <v>6337900.1930499552</v>
          </cell>
          <cell r="AW125">
            <v>6771560.9076011591</v>
          </cell>
          <cell r="AX125">
            <v>8003371.3468792625</v>
          </cell>
          <cell r="AY125">
            <v>6717627.009010477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 Alterações"/>
      <sheetName val="Inicio"/>
      <sheetName val="Balancete Inicial Banco"/>
      <sheetName val="Balancete Inicial Hipotecaria"/>
      <sheetName val="Premissas de Crédito"/>
      <sheetName val="Fluxo"/>
      <sheetName val="Balanço"/>
      <sheetName val="Lalur_IR_Mensal"/>
      <sheetName val="DRE"/>
      <sheetName val="DRE por produto"/>
      <sheetName val="Apoio"/>
      <sheetName val="Rating Imobiliário"/>
      <sheetName val="Base Despesas"/>
      <sheetName val="Rating Consignado"/>
      <sheetName val="Indices Economicos"/>
      <sheetName val="TJEO"/>
      <sheetName val="Tabelas"/>
      <sheetName val="Captação"/>
      <sheetName val="Receitas (Fees)"/>
      <sheetName val="Feriados"/>
      <sheetName val="Swaps"/>
      <sheetName val="Despesa"/>
      <sheetName val="TD_Despesas"/>
      <sheetName val="Resumo Despesas"/>
      <sheetName val="TD_Despesa Comissão"/>
      <sheetName val="Despesa_Comissão"/>
      <sheetName val="Planejamento 2025"/>
      <sheetName val="Despesa Adm"/>
      <sheetName val="Rateio"/>
      <sheetName val="PDD por Faixa"/>
      <sheetName val="Dados Cartão"/>
      <sheetName val="Securitização"/>
      <sheetName val="cálculo basiléia"/>
      <sheetName val="Apresentação"/>
      <sheetName val="BaseDoConsignado"/>
      <sheetName val="Planilha1"/>
      <sheetName val="TJEO Consignado"/>
      <sheetName val="INSS"/>
      <sheetName val="Estado PR"/>
      <sheetName val="Prefeituras"/>
      <sheetName val="Cartão Benefício PR"/>
      <sheetName val="BaseDoImobiliario"/>
      <sheetName val="TJEO Imobiliário"/>
      <sheetName val="Home Equity"/>
      <sheetName val="Cartão"/>
      <sheetName val="Compra De Recebível"/>
      <sheetName val="Aquis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A3">
            <v>5107034.8236111198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2" tint="-9.9978637043366805E-2"/>
  </sheetPr>
  <dimension ref="A3:J79"/>
  <sheetViews>
    <sheetView showGridLines="0" workbookViewId="0">
      <selection activeCell="B4" sqref="B4"/>
    </sheetView>
  </sheetViews>
  <sheetFormatPr defaultRowHeight="15" x14ac:dyDescent="0.25"/>
  <cols>
    <col min="1" max="1" width="9" customWidth="1"/>
    <col min="2" max="2" width="12" customWidth="1"/>
    <col min="3" max="3" width="7.85546875" bestFit="1" customWidth="1"/>
    <col min="4" max="4" width="8.140625" bestFit="1" customWidth="1"/>
    <col min="5" max="5" width="12.7109375" customWidth="1"/>
    <col min="7" max="7" width="21.7109375" bestFit="1" customWidth="1"/>
    <col min="8" max="8" width="7.85546875" bestFit="1" customWidth="1"/>
    <col min="9" max="9" width="8.140625" bestFit="1" customWidth="1"/>
    <col min="10" max="10" width="12.7109375" customWidth="1"/>
  </cols>
  <sheetData>
    <row r="3" spans="1:2" x14ac:dyDescent="0.25">
      <c r="A3" s="105">
        <v>1</v>
      </c>
      <c r="B3" t="s">
        <v>61</v>
      </c>
    </row>
    <row r="4" spans="1:2" x14ac:dyDescent="0.25">
      <c r="A4" s="105" t="s">
        <v>62</v>
      </c>
      <c r="B4" t="s">
        <v>63</v>
      </c>
    </row>
    <row r="5" spans="1:2" x14ac:dyDescent="0.25">
      <c r="A5" s="105"/>
    </row>
    <row r="6" spans="1:2" x14ac:dyDescent="0.25">
      <c r="A6" s="105"/>
    </row>
    <row r="7" spans="1:2" x14ac:dyDescent="0.25">
      <c r="A7" s="105"/>
    </row>
    <row r="8" spans="1:2" x14ac:dyDescent="0.25">
      <c r="A8" s="105"/>
    </row>
    <row r="9" spans="1:2" x14ac:dyDescent="0.25">
      <c r="A9" s="105"/>
    </row>
    <row r="10" spans="1:2" x14ac:dyDescent="0.25">
      <c r="A10" s="105"/>
    </row>
    <row r="11" spans="1:2" x14ac:dyDescent="0.25">
      <c r="A11" s="105"/>
    </row>
    <row r="12" spans="1:2" x14ac:dyDescent="0.25">
      <c r="A12" s="105"/>
    </row>
    <row r="13" spans="1:2" x14ac:dyDescent="0.25">
      <c r="A13" s="105"/>
    </row>
    <row r="14" spans="1:2" x14ac:dyDescent="0.25">
      <c r="A14" s="105"/>
    </row>
    <row r="15" spans="1:2" x14ac:dyDescent="0.25">
      <c r="A15" s="105"/>
    </row>
    <row r="16" spans="1:2" x14ac:dyDescent="0.25">
      <c r="A16" s="105"/>
    </row>
    <row r="17" spans="1:10" x14ac:dyDescent="0.25">
      <c r="A17" s="203">
        <v>2</v>
      </c>
      <c r="B17" s="3" t="s">
        <v>64</v>
      </c>
    </row>
    <row r="18" spans="1:10" x14ac:dyDescent="0.25">
      <c r="A18" s="203">
        <v>3</v>
      </c>
      <c r="B18" s="3" t="s">
        <v>65</v>
      </c>
    </row>
    <row r="19" spans="1:10" x14ac:dyDescent="0.25">
      <c r="A19" s="203">
        <v>4</v>
      </c>
      <c r="B19" s="3" t="s">
        <v>66</v>
      </c>
    </row>
    <row r="20" spans="1:10" x14ac:dyDescent="0.25">
      <c r="A20" s="203">
        <v>5</v>
      </c>
      <c r="B20" s="3" t="s">
        <v>67</v>
      </c>
    </row>
    <row r="21" spans="1:10" x14ac:dyDescent="0.25">
      <c r="A21" s="203" t="s">
        <v>68</v>
      </c>
      <c r="B21" s="3" t="s">
        <v>69</v>
      </c>
    </row>
    <row r="22" spans="1:10" x14ac:dyDescent="0.25">
      <c r="A22" s="203"/>
      <c r="B22" s="204" t="s">
        <v>70</v>
      </c>
    </row>
    <row r="23" spans="1:10" x14ac:dyDescent="0.25">
      <c r="A23" s="203"/>
      <c r="B23" s="204" t="s">
        <v>71</v>
      </c>
    </row>
    <row r="24" spans="1:10" x14ac:dyDescent="0.25">
      <c r="A24" s="203" t="s">
        <v>72</v>
      </c>
      <c r="B24" s="3" t="s">
        <v>73</v>
      </c>
    </row>
    <row r="25" spans="1:10" x14ac:dyDescent="0.25">
      <c r="A25" s="203"/>
      <c r="B25" s="3" t="s">
        <v>74</v>
      </c>
    </row>
    <row r="26" spans="1:10" x14ac:dyDescent="0.25">
      <c r="A26" s="203"/>
      <c r="B26" s="3" t="s">
        <v>75</v>
      </c>
    </row>
    <row r="27" spans="1:10" x14ac:dyDescent="0.25">
      <c r="A27" s="203"/>
      <c r="B27" s="3" t="s">
        <v>76</v>
      </c>
    </row>
    <row r="28" spans="1:10" x14ac:dyDescent="0.25">
      <c r="A28" s="203"/>
      <c r="B28" s="3" t="s">
        <v>77</v>
      </c>
    </row>
    <row r="29" spans="1:10" x14ac:dyDescent="0.25">
      <c r="A29" s="105"/>
    </row>
    <row r="30" spans="1:10" x14ac:dyDescent="0.25">
      <c r="A30" s="105"/>
      <c r="B30" s="172" t="s">
        <v>78</v>
      </c>
      <c r="C30" s="172"/>
      <c r="D30" s="172"/>
      <c r="E30" s="172"/>
      <c r="F30" s="173"/>
      <c r="G30" s="174" t="s">
        <v>79</v>
      </c>
      <c r="H30" s="172"/>
      <c r="I30" s="83"/>
      <c r="J30" s="83"/>
    </row>
    <row r="31" spans="1:10" ht="43.15" customHeight="1" x14ac:dyDescent="0.25">
      <c r="A31" s="105"/>
      <c r="B31" s="175" t="s">
        <v>80</v>
      </c>
      <c r="C31" s="175" t="s">
        <v>81</v>
      </c>
      <c r="D31" s="175" t="s">
        <v>82</v>
      </c>
      <c r="E31" s="175" t="s">
        <v>83</v>
      </c>
      <c r="F31" s="176"/>
      <c r="G31" s="175" t="s">
        <v>80</v>
      </c>
      <c r="H31" s="175" t="s">
        <v>81</v>
      </c>
      <c r="I31" s="175" t="s">
        <v>82</v>
      </c>
      <c r="J31" s="175" t="s">
        <v>83</v>
      </c>
    </row>
    <row r="32" spans="1:10" x14ac:dyDescent="0.25">
      <c r="A32" s="105"/>
      <c r="B32" s="173" t="s">
        <v>84</v>
      </c>
      <c r="C32" s="177">
        <v>30</v>
      </c>
      <c r="D32" s="177">
        <v>31</v>
      </c>
      <c r="E32" s="177">
        <f t="shared" ref="E32:E43" si="0">C32-D32</f>
        <v>-1</v>
      </c>
      <c r="F32" s="173"/>
      <c r="G32" s="173" t="s">
        <v>84</v>
      </c>
      <c r="H32" s="177">
        <v>30</v>
      </c>
      <c r="I32" s="177">
        <v>31</v>
      </c>
      <c r="J32" s="177">
        <f t="shared" ref="J32:J43" si="1">H32-I32</f>
        <v>-1</v>
      </c>
    </row>
    <row r="33" spans="1:10" x14ac:dyDescent="0.25">
      <c r="A33" s="105"/>
      <c r="B33" s="173" t="s">
        <v>85</v>
      </c>
      <c r="C33" s="177">
        <v>27</v>
      </c>
      <c r="D33" s="177">
        <v>28</v>
      </c>
      <c r="E33" s="177">
        <f t="shared" si="0"/>
        <v>-1</v>
      </c>
      <c r="F33" s="173"/>
      <c r="G33" s="173" t="s">
        <v>85</v>
      </c>
      <c r="H33" s="177">
        <v>28</v>
      </c>
      <c r="I33" s="177">
        <v>29</v>
      </c>
      <c r="J33" s="177">
        <f t="shared" si="1"/>
        <v>-1</v>
      </c>
    </row>
    <row r="34" spans="1:10" x14ac:dyDescent="0.25">
      <c r="A34" s="105"/>
      <c r="B34" s="173" t="s">
        <v>86</v>
      </c>
      <c r="C34" s="177">
        <v>33</v>
      </c>
      <c r="D34" s="177">
        <v>31</v>
      </c>
      <c r="E34" s="177">
        <f t="shared" si="0"/>
        <v>2</v>
      </c>
      <c r="F34" s="173"/>
      <c r="G34" s="173" t="s">
        <v>86</v>
      </c>
      <c r="H34" s="177">
        <v>32</v>
      </c>
      <c r="I34" s="177">
        <v>31</v>
      </c>
      <c r="J34" s="177">
        <f t="shared" si="1"/>
        <v>1</v>
      </c>
    </row>
    <row r="35" spans="1:10" x14ac:dyDescent="0.25">
      <c r="A35" s="105"/>
      <c r="B35" s="173" t="s">
        <v>87</v>
      </c>
      <c r="C35" s="177">
        <v>29</v>
      </c>
      <c r="D35" s="177">
        <v>30</v>
      </c>
      <c r="E35" s="177">
        <f t="shared" si="0"/>
        <v>-1</v>
      </c>
      <c r="F35" s="173"/>
      <c r="G35" s="173" t="s">
        <v>87</v>
      </c>
      <c r="H35" s="177">
        <v>29</v>
      </c>
      <c r="I35" s="177">
        <v>30</v>
      </c>
      <c r="J35" s="177">
        <f t="shared" si="1"/>
        <v>-1</v>
      </c>
    </row>
    <row r="36" spans="1:10" x14ac:dyDescent="0.25">
      <c r="A36" s="105"/>
      <c r="B36" s="173" t="s">
        <v>88</v>
      </c>
      <c r="C36" s="177">
        <v>31</v>
      </c>
      <c r="D36" s="177">
        <v>31</v>
      </c>
      <c r="E36" s="177">
        <f t="shared" si="0"/>
        <v>0</v>
      </c>
      <c r="F36" s="173"/>
      <c r="G36" s="173" t="s">
        <v>88</v>
      </c>
      <c r="H36" s="177">
        <v>31</v>
      </c>
      <c r="I36" s="177">
        <v>31</v>
      </c>
      <c r="J36" s="177">
        <f t="shared" si="1"/>
        <v>0</v>
      </c>
    </row>
    <row r="37" spans="1:10" x14ac:dyDescent="0.25">
      <c r="A37" s="105"/>
      <c r="B37" s="173" t="s">
        <v>89</v>
      </c>
      <c r="C37" s="177">
        <v>29</v>
      </c>
      <c r="D37" s="177">
        <v>30</v>
      </c>
      <c r="E37" s="177">
        <f t="shared" si="0"/>
        <v>-1</v>
      </c>
      <c r="F37" s="173"/>
      <c r="G37" s="173" t="s">
        <v>89</v>
      </c>
      <c r="H37" s="177">
        <v>29</v>
      </c>
      <c r="I37" s="177">
        <v>30</v>
      </c>
      <c r="J37" s="177">
        <f t="shared" si="1"/>
        <v>-1</v>
      </c>
    </row>
    <row r="38" spans="1:10" x14ac:dyDescent="0.25">
      <c r="A38" s="105"/>
      <c r="B38" s="173" t="s">
        <v>90</v>
      </c>
      <c r="C38" s="177">
        <v>31</v>
      </c>
      <c r="D38" s="177">
        <v>31</v>
      </c>
      <c r="E38" s="177">
        <f t="shared" si="0"/>
        <v>0</v>
      </c>
      <c r="F38" s="173"/>
      <c r="G38" s="173" t="s">
        <v>90</v>
      </c>
      <c r="H38" s="177">
        <v>31</v>
      </c>
      <c r="I38" s="177">
        <v>31</v>
      </c>
      <c r="J38" s="177">
        <f t="shared" si="1"/>
        <v>0</v>
      </c>
    </row>
    <row r="39" spans="1:10" x14ac:dyDescent="0.25">
      <c r="A39" s="105"/>
      <c r="B39" s="173" t="s">
        <v>91</v>
      </c>
      <c r="C39" s="177">
        <v>30</v>
      </c>
      <c r="D39" s="177">
        <v>31</v>
      </c>
      <c r="E39" s="177">
        <f t="shared" si="0"/>
        <v>-1</v>
      </c>
      <c r="F39" s="173"/>
      <c r="G39" s="173" t="s">
        <v>91</v>
      </c>
      <c r="H39" s="177">
        <v>30</v>
      </c>
      <c r="I39" s="177">
        <v>31</v>
      </c>
      <c r="J39" s="177">
        <f t="shared" si="1"/>
        <v>-1</v>
      </c>
    </row>
    <row r="40" spans="1:10" x14ac:dyDescent="0.25">
      <c r="A40" s="105"/>
      <c r="B40" s="173" t="s">
        <v>92</v>
      </c>
      <c r="C40" s="177">
        <v>29</v>
      </c>
      <c r="D40" s="177">
        <v>30</v>
      </c>
      <c r="E40" s="177">
        <f t="shared" si="0"/>
        <v>-1</v>
      </c>
      <c r="F40" s="173"/>
      <c r="G40" s="173" t="s">
        <v>92</v>
      </c>
      <c r="H40" s="177">
        <v>29</v>
      </c>
      <c r="I40" s="177">
        <v>30</v>
      </c>
      <c r="J40" s="177">
        <f t="shared" si="1"/>
        <v>-1</v>
      </c>
    </row>
    <row r="41" spans="1:10" x14ac:dyDescent="0.25">
      <c r="A41" s="105"/>
      <c r="B41" s="173" t="s">
        <v>93</v>
      </c>
      <c r="C41" s="177">
        <v>31</v>
      </c>
      <c r="D41" s="177">
        <v>31</v>
      </c>
      <c r="E41" s="177">
        <f t="shared" si="0"/>
        <v>0</v>
      </c>
      <c r="F41" s="173"/>
      <c r="G41" s="173" t="s">
        <v>93</v>
      </c>
      <c r="H41" s="177">
        <v>31</v>
      </c>
      <c r="I41" s="177">
        <v>31</v>
      </c>
      <c r="J41" s="177">
        <f t="shared" si="1"/>
        <v>0</v>
      </c>
    </row>
    <row r="42" spans="1:10" x14ac:dyDescent="0.25">
      <c r="A42" s="105"/>
      <c r="B42" s="173" t="s">
        <v>94</v>
      </c>
      <c r="C42" s="177">
        <v>29</v>
      </c>
      <c r="D42" s="177">
        <v>30</v>
      </c>
      <c r="E42" s="177">
        <f t="shared" si="0"/>
        <v>-1</v>
      </c>
      <c r="F42" s="173"/>
      <c r="G42" s="173" t="s">
        <v>94</v>
      </c>
      <c r="H42" s="177">
        <v>29</v>
      </c>
      <c r="I42" s="177">
        <v>30</v>
      </c>
      <c r="J42" s="177">
        <f t="shared" si="1"/>
        <v>-1</v>
      </c>
    </row>
    <row r="43" spans="1:10" x14ac:dyDescent="0.25">
      <c r="A43" s="105"/>
      <c r="B43" s="178" t="s">
        <v>95</v>
      </c>
      <c r="C43" s="179">
        <v>31</v>
      </c>
      <c r="D43" s="179">
        <v>31</v>
      </c>
      <c r="E43" s="179">
        <f t="shared" si="0"/>
        <v>0</v>
      </c>
      <c r="F43" s="173"/>
      <c r="G43" s="178" t="s">
        <v>95</v>
      </c>
      <c r="H43" s="179">
        <v>31</v>
      </c>
      <c r="I43" s="179">
        <v>31</v>
      </c>
      <c r="J43" s="179">
        <f t="shared" si="1"/>
        <v>0</v>
      </c>
    </row>
    <row r="44" spans="1:10" x14ac:dyDescent="0.25">
      <c r="A44" s="105"/>
      <c r="B44" s="180" t="s">
        <v>96</v>
      </c>
      <c r="C44" s="181">
        <v>360</v>
      </c>
      <c r="D44" s="181">
        <f>SUM(D32:D43)</f>
        <v>365</v>
      </c>
      <c r="E44" s="181">
        <f>SUM(E32:E43)</f>
        <v>-5</v>
      </c>
      <c r="F44" s="173"/>
      <c r="G44" s="180" t="s">
        <v>96</v>
      </c>
      <c r="H44" s="181">
        <v>360</v>
      </c>
      <c r="I44" s="181">
        <f>SUM(I32:I43)</f>
        <v>366</v>
      </c>
      <c r="J44" s="181">
        <f>SUM(J32:J43)</f>
        <v>-6</v>
      </c>
    </row>
    <row r="45" spans="1:10" x14ac:dyDescent="0.25">
      <c r="A45" s="105"/>
    </row>
    <row r="46" spans="1:10" x14ac:dyDescent="0.25">
      <c r="A46" s="203" t="s">
        <v>97</v>
      </c>
      <c r="B46" s="205" t="s">
        <v>98</v>
      </c>
    </row>
    <row r="47" spans="1:10" x14ac:dyDescent="0.25">
      <c r="A47" s="105"/>
      <c r="B47" s="182"/>
    </row>
    <row r="48" spans="1:10" x14ac:dyDescent="0.25">
      <c r="B48" s="3" t="s">
        <v>99</v>
      </c>
    </row>
    <row r="49" spans="1:1" x14ac:dyDescent="0.25">
      <c r="A49" s="105"/>
    </row>
    <row r="50" spans="1:1" x14ac:dyDescent="0.25">
      <c r="A50" s="105"/>
    </row>
    <row r="51" spans="1:1" x14ac:dyDescent="0.25">
      <c r="A51" s="105"/>
    </row>
    <row r="52" spans="1:1" x14ac:dyDescent="0.25">
      <c r="A52" s="105"/>
    </row>
    <row r="53" spans="1:1" x14ac:dyDescent="0.25">
      <c r="A53" s="105"/>
    </row>
    <row r="54" spans="1:1" x14ac:dyDescent="0.25">
      <c r="A54" s="105"/>
    </row>
    <row r="55" spans="1:1" x14ac:dyDescent="0.25">
      <c r="A55" s="105"/>
    </row>
    <row r="56" spans="1:1" x14ac:dyDescent="0.25">
      <c r="A56" s="105"/>
    </row>
    <row r="57" spans="1:1" x14ac:dyDescent="0.25">
      <c r="A57" s="105"/>
    </row>
    <row r="58" spans="1:1" x14ac:dyDescent="0.25">
      <c r="A58" s="105"/>
    </row>
    <row r="59" spans="1:1" x14ac:dyDescent="0.25">
      <c r="A59" s="105"/>
    </row>
    <row r="60" spans="1:1" x14ac:dyDescent="0.25">
      <c r="A60" s="105"/>
    </row>
    <row r="61" spans="1:1" x14ac:dyDescent="0.25">
      <c r="A61" s="105"/>
    </row>
    <row r="62" spans="1:1" x14ac:dyDescent="0.25">
      <c r="A62" s="105"/>
    </row>
    <row r="63" spans="1:1" x14ac:dyDescent="0.25">
      <c r="A63" s="105"/>
    </row>
    <row r="64" spans="1:1" x14ac:dyDescent="0.25">
      <c r="A64" s="105"/>
    </row>
    <row r="65" spans="1:2" x14ac:dyDescent="0.25">
      <c r="A65" s="105"/>
      <c r="B65" s="3" t="s">
        <v>100</v>
      </c>
    </row>
    <row r="66" spans="1:2" x14ac:dyDescent="0.25">
      <c r="A66" s="105"/>
    </row>
    <row r="67" spans="1:2" x14ac:dyDescent="0.25">
      <c r="A67" s="105"/>
    </row>
    <row r="68" spans="1:2" x14ac:dyDescent="0.25">
      <c r="A68" s="105"/>
    </row>
    <row r="69" spans="1:2" x14ac:dyDescent="0.25">
      <c r="A69" s="105"/>
    </row>
    <row r="70" spans="1:2" x14ac:dyDescent="0.25">
      <c r="A70" s="105"/>
    </row>
    <row r="71" spans="1:2" x14ac:dyDescent="0.25">
      <c r="A71" s="105"/>
    </row>
    <row r="72" spans="1:2" x14ac:dyDescent="0.25">
      <c r="A72" s="105"/>
    </row>
    <row r="73" spans="1:2" x14ac:dyDescent="0.25">
      <c r="A73" s="105"/>
    </row>
    <row r="74" spans="1:2" x14ac:dyDescent="0.25">
      <c r="A74" s="105"/>
    </row>
    <row r="75" spans="1:2" x14ac:dyDescent="0.25">
      <c r="A75" s="105"/>
    </row>
    <row r="76" spans="1:2" x14ac:dyDescent="0.25">
      <c r="A76" s="105"/>
    </row>
    <row r="77" spans="1:2" x14ac:dyDescent="0.25">
      <c r="A77" s="105"/>
    </row>
    <row r="78" spans="1:2" x14ac:dyDescent="0.25">
      <c r="A78" s="105"/>
    </row>
    <row r="79" spans="1:2" x14ac:dyDescent="0.25">
      <c r="A79" s="10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8"/>
  <dimension ref="A2:S108"/>
  <sheetViews>
    <sheetView showGridLines="0" topLeftCell="A37" workbookViewId="0">
      <selection activeCell="B7" sqref="B7:R7"/>
    </sheetView>
  </sheetViews>
  <sheetFormatPr defaultRowHeight="15" x14ac:dyDescent="0.25"/>
  <cols>
    <col min="1" max="1" width="9.140625" customWidth="1"/>
    <col min="2" max="2" width="12" customWidth="1"/>
    <col min="3" max="3" width="10.140625" customWidth="1"/>
    <col min="4" max="4" width="14.28515625" customWidth="1"/>
    <col min="11" max="11" width="16.5703125" bestFit="1" customWidth="1"/>
  </cols>
  <sheetData>
    <row r="2" spans="2:19" x14ac:dyDescent="0.25">
      <c r="B2" s="25" t="s">
        <v>101</v>
      </c>
    </row>
    <row r="3" spans="2:19" x14ac:dyDescent="0.25">
      <c r="B3" t="s">
        <v>102</v>
      </c>
    </row>
    <row r="4" spans="2:19" x14ac:dyDescent="0.25">
      <c r="B4" t="s">
        <v>103</v>
      </c>
    </row>
    <row r="6" spans="2:19" x14ac:dyDescent="0.25">
      <c r="B6" s="25" t="s">
        <v>104</v>
      </c>
    </row>
    <row r="7" spans="2:19" ht="28.9" customHeight="1" x14ac:dyDescent="0.25">
      <c r="B7" s="500" t="s">
        <v>105</v>
      </c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</row>
    <row r="8" spans="2:19" ht="19.149999999999999" customHeight="1" x14ac:dyDescent="0.25">
      <c r="B8" s="497" t="s">
        <v>106</v>
      </c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</row>
    <row r="9" spans="2:19" ht="30" customHeight="1" x14ac:dyDescent="0.25">
      <c r="B9" s="497" t="s">
        <v>107</v>
      </c>
      <c r="C9" s="498"/>
      <c r="D9" s="498"/>
      <c r="E9" s="498"/>
      <c r="F9" s="498"/>
      <c r="G9" s="498"/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206"/>
      <c r="S9" s="206"/>
    </row>
    <row r="10" spans="2:19" ht="14.45" customHeight="1" x14ac:dyDescent="0.25"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</row>
    <row r="11" spans="2:19" x14ac:dyDescent="0.25">
      <c r="B11" s="25" t="s">
        <v>108</v>
      </c>
    </row>
    <row r="12" spans="2:19" x14ac:dyDescent="0.25">
      <c r="B12" t="s">
        <v>109</v>
      </c>
    </row>
    <row r="13" spans="2:19" x14ac:dyDescent="0.25">
      <c r="B13" t="s">
        <v>110</v>
      </c>
    </row>
    <row r="14" spans="2:19" x14ac:dyDescent="0.25">
      <c r="B14" t="s">
        <v>111</v>
      </c>
    </row>
    <row r="16" spans="2:19" x14ac:dyDescent="0.25">
      <c r="B16" s="25" t="s">
        <v>19</v>
      </c>
    </row>
    <row r="17" spans="2:16" x14ac:dyDescent="0.25">
      <c r="B17" t="s">
        <v>112</v>
      </c>
    </row>
    <row r="19" spans="2:16" x14ac:dyDescent="0.25">
      <c r="B19" s="25" t="s">
        <v>113</v>
      </c>
    </row>
    <row r="20" spans="2:16" x14ac:dyDescent="0.25">
      <c r="B20" t="s">
        <v>114</v>
      </c>
    </row>
    <row r="23" spans="2:16" x14ac:dyDescent="0.25">
      <c r="B23" s="25" t="s">
        <v>115</v>
      </c>
    </row>
    <row r="24" spans="2:16" x14ac:dyDescent="0.25">
      <c r="B24" t="s">
        <v>116</v>
      </c>
    </row>
    <row r="25" spans="2:16" x14ac:dyDescent="0.25">
      <c r="B25" t="s">
        <v>117</v>
      </c>
    </row>
    <row r="26" spans="2:16" x14ac:dyDescent="0.25">
      <c r="B26" t="s">
        <v>118</v>
      </c>
    </row>
    <row r="27" spans="2:16" x14ac:dyDescent="0.25">
      <c r="B27" t="s">
        <v>119</v>
      </c>
    </row>
    <row r="28" spans="2:16" ht="14.45" customHeight="1" x14ac:dyDescent="0.25">
      <c r="B28" s="497" t="s">
        <v>120</v>
      </c>
      <c r="C28" s="498"/>
      <c r="D28" s="498"/>
      <c r="E28" s="498"/>
      <c r="F28" s="498"/>
      <c r="G28" s="498"/>
      <c r="H28" s="498"/>
      <c r="I28" s="498"/>
      <c r="J28" s="498"/>
      <c r="K28" s="498"/>
      <c r="L28" s="498"/>
      <c r="M28" s="498"/>
      <c r="N28" s="498"/>
      <c r="O28" s="498"/>
      <c r="P28" s="498"/>
    </row>
    <row r="29" spans="2:16" x14ac:dyDescent="0.25">
      <c r="B29" t="s">
        <v>121</v>
      </c>
    </row>
    <row r="31" spans="2:16" x14ac:dyDescent="0.25">
      <c r="B31" s="25" t="s">
        <v>30</v>
      </c>
    </row>
    <row r="32" spans="2:16" x14ac:dyDescent="0.25">
      <c r="B32" t="s">
        <v>122</v>
      </c>
    </row>
    <row r="33" spans="2:12" x14ac:dyDescent="0.25">
      <c r="B33" t="s">
        <v>123</v>
      </c>
    </row>
    <row r="34" spans="2:12" x14ac:dyDescent="0.25">
      <c r="B34" t="s">
        <v>124</v>
      </c>
    </row>
    <row r="36" spans="2:12" x14ac:dyDescent="0.25">
      <c r="B36" s="25" t="s">
        <v>125</v>
      </c>
    </row>
    <row r="37" spans="2:12" x14ac:dyDescent="0.25">
      <c r="B37" t="s">
        <v>126</v>
      </c>
    </row>
    <row r="38" spans="2:12" x14ac:dyDescent="0.25">
      <c r="B38" t="s">
        <v>127</v>
      </c>
      <c r="K38" s="79"/>
      <c r="L38" s="47"/>
    </row>
    <row r="39" spans="2:12" x14ac:dyDescent="0.25">
      <c r="B39" t="s">
        <v>128</v>
      </c>
      <c r="K39" s="79"/>
      <c r="L39" s="47"/>
    </row>
    <row r="40" spans="2:12" x14ac:dyDescent="0.25">
      <c r="K40" s="4"/>
    </row>
    <row r="41" spans="2:12" x14ac:dyDescent="0.25">
      <c r="B41" s="25" t="s">
        <v>33</v>
      </c>
    </row>
    <row r="42" spans="2:12" x14ac:dyDescent="0.25">
      <c r="B42" t="s">
        <v>129</v>
      </c>
    </row>
    <row r="43" spans="2:12" x14ac:dyDescent="0.25">
      <c r="B43" t="s">
        <v>130</v>
      </c>
    </row>
    <row r="44" spans="2:12" x14ac:dyDescent="0.25">
      <c r="B44" t="s">
        <v>131</v>
      </c>
    </row>
    <row r="45" spans="2:12" x14ac:dyDescent="0.25">
      <c r="B45" t="s">
        <v>132</v>
      </c>
    </row>
    <row r="47" spans="2:12" x14ac:dyDescent="0.25">
      <c r="B47" s="25" t="s">
        <v>31</v>
      </c>
    </row>
    <row r="48" spans="2:12" x14ac:dyDescent="0.25">
      <c r="B48" t="s">
        <v>133</v>
      </c>
    </row>
    <row r="49" spans="2:2" x14ac:dyDescent="0.25">
      <c r="B49" t="s">
        <v>134</v>
      </c>
    </row>
    <row r="50" spans="2:2" x14ac:dyDescent="0.25">
      <c r="B50" t="s">
        <v>135</v>
      </c>
    </row>
    <row r="51" spans="2:2" x14ac:dyDescent="0.25">
      <c r="B51" t="s">
        <v>136</v>
      </c>
    </row>
    <row r="53" spans="2:2" x14ac:dyDescent="0.25">
      <c r="B53" s="25" t="s">
        <v>137</v>
      </c>
    </row>
    <row r="54" spans="2:2" x14ac:dyDescent="0.25">
      <c r="B54" t="s">
        <v>133</v>
      </c>
    </row>
    <row r="55" spans="2:2" x14ac:dyDescent="0.25">
      <c r="B55" t="s">
        <v>138</v>
      </c>
    </row>
    <row r="57" spans="2:2" x14ac:dyDescent="0.25">
      <c r="B57" s="25" t="s">
        <v>139</v>
      </c>
    </row>
    <row r="58" spans="2:2" x14ac:dyDescent="0.25">
      <c r="B58" t="s">
        <v>133</v>
      </c>
    </row>
    <row r="59" spans="2:2" x14ac:dyDescent="0.25">
      <c r="B59" t="s">
        <v>140</v>
      </c>
    </row>
    <row r="60" spans="2:2" x14ac:dyDescent="0.25">
      <c r="B60" t="s">
        <v>141</v>
      </c>
    </row>
    <row r="62" spans="2:2" x14ac:dyDescent="0.25">
      <c r="B62" s="25" t="s">
        <v>142</v>
      </c>
    </row>
    <row r="63" spans="2:2" x14ac:dyDescent="0.25">
      <c r="B63" t="s">
        <v>133</v>
      </c>
    </row>
    <row r="64" spans="2:2" x14ac:dyDescent="0.25">
      <c r="B64" t="s">
        <v>143</v>
      </c>
    </row>
    <row r="65" spans="1:16" x14ac:dyDescent="0.25">
      <c r="B65" t="s">
        <v>144</v>
      </c>
    </row>
    <row r="66" spans="1:16" x14ac:dyDescent="0.25">
      <c r="B66" t="s">
        <v>145</v>
      </c>
    </row>
    <row r="68" spans="1:16" x14ac:dyDescent="0.25">
      <c r="B68" s="25" t="s">
        <v>42</v>
      </c>
    </row>
    <row r="69" spans="1:16" x14ac:dyDescent="0.25">
      <c r="B69" t="s">
        <v>133</v>
      </c>
    </row>
    <row r="70" spans="1:16" x14ac:dyDescent="0.25">
      <c r="B70" t="s">
        <v>146</v>
      </c>
    </row>
    <row r="71" spans="1:16" x14ac:dyDescent="0.25">
      <c r="B71" t="s">
        <v>147</v>
      </c>
    </row>
    <row r="72" spans="1:16" x14ac:dyDescent="0.25">
      <c r="B72" t="s">
        <v>148</v>
      </c>
    </row>
    <row r="74" spans="1:16" x14ac:dyDescent="0.25">
      <c r="B74" s="25" t="s">
        <v>149</v>
      </c>
    </row>
    <row r="75" spans="1:16" x14ac:dyDescent="0.25">
      <c r="B75" t="s">
        <v>150</v>
      </c>
    </row>
    <row r="76" spans="1:16" x14ac:dyDescent="0.25">
      <c r="B76" t="s">
        <v>151</v>
      </c>
    </row>
    <row r="77" spans="1:16" x14ac:dyDescent="0.25">
      <c r="B77" t="s">
        <v>152</v>
      </c>
    </row>
    <row r="79" spans="1:16" x14ac:dyDescent="0.25">
      <c r="A79" s="499" t="s">
        <v>153</v>
      </c>
      <c r="B79" s="498"/>
      <c r="C79" s="498"/>
      <c r="D79" s="498"/>
      <c r="E79" s="498"/>
      <c r="F79" s="498"/>
      <c r="G79" s="498"/>
      <c r="H79" s="498"/>
      <c r="I79" s="498"/>
      <c r="J79" s="498"/>
      <c r="K79" s="498"/>
      <c r="L79" s="498"/>
      <c r="M79" s="498"/>
      <c r="N79" s="498"/>
      <c r="O79" s="498"/>
      <c r="P79" s="498"/>
    </row>
    <row r="81" spans="2:9" x14ac:dyDescent="0.25">
      <c r="B81" s="25" t="s">
        <v>154</v>
      </c>
    </row>
    <row r="82" spans="2:9" x14ac:dyDescent="0.25">
      <c r="B82" t="s">
        <v>155</v>
      </c>
    </row>
    <row r="84" spans="2:9" x14ac:dyDescent="0.25">
      <c r="B84" s="24" t="s">
        <v>156</v>
      </c>
    </row>
    <row r="85" spans="2:9" x14ac:dyDescent="0.25">
      <c r="B85" s="103" t="s">
        <v>157</v>
      </c>
    </row>
    <row r="86" spans="2:9" x14ac:dyDescent="0.25">
      <c r="B86" s="102" t="s">
        <v>158</v>
      </c>
    </row>
    <row r="87" spans="2:9" x14ac:dyDescent="0.25">
      <c r="B87" s="102" t="s">
        <v>159</v>
      </c>
    </row>
    <row r="88" spans="2:9" x14ac:dyDescent="0.25">
      <c r="B88" s="102" t="s">
        <v>160</v>
      </c>
    </row>
    <row r="89" spans="2:9" x14ac:dyDescent="0.25">
      <c r="B89" s="102" t="s">
        <v>161</v>
      </c>
    </row>
    <row r="90" spans="2:9" x14ac:dyDescent="0.25">
      <c r="B90" s="103" t="s">
        <v>162</v>
      </c>
    </row>
    <row r="91" spans="2:9" x14ac:dyDescent="0.25">
      <c r="B91" t="s">
        <v>163</v>
      </c>
    </row>
    <row r="92" spans="2:9" x14ac:dyDescent="0.25">
      <c r="B92" t="s">
        <v>164</v>
      </c>
    </row>
    <row r="93" spans="2:9" x14ac:dyDescent="0.25">
      <c r="B93" t="s">
        <v>165</v>
      </c>
      <c r="E93" s="35"/>
      <c r="F93" s="35"/>
      <c r="G93" s="35"/>
      <c r="H93" s="35"/>
      <c r="I93" s="35"/>
    </row>
    <row r="94" spans="2:9" x14ac:dyDescent="0.25">
      <c r="B94" t="s">
        <v>161</v>
      </c>
      <c r="E94" s="35"/>
      <c r="F94" s="35"/>
      <c r="G94" s="35"/>
      <c r="H94" s="35"/>
      <c r="I94" s="35"/>
    </row>
    <row r="95" spans="2:9" x14ac:dyDescent="0.25">
      <c r="E95" s="35"/>
      <c r="F95" s="35"/>
      <c r="G95" s="35"/>
      <c r="H95" s="35"/>
      <c r="I95" s="35"/>
    </row>
    <row r="96" spans="2:9" x14ac:dyDescent="0.25">
      <c r="B96" s="25" t="s">
        <v>166</v>
      </c>
      <c r="E96" s="35"/>
      <c r="F96" s="35"/>
      <c r="G96" s="35"/>
      <c r="H96" s="35"/>
      <c r="I96" s="35"/>
    </row>
    <row r="97" spans="2:9" x14ac:dyDescent="0.25">
      <c r="B97" s="31" t="s">
        <v>167</v>
      </c>
      <c r="C97" s="35"/>
      <c r="D97" s="35"/>
      <c r="E97" s="35"/>
      <c r="F97" s="35"/>
      <c r="G97" s="35"/>
      <c r="H97" s="35"/>
      <c r="I97" s="35"/>
    </row>
    <row r="98" spans="2:9" ht="13.5" customHeight="1" x14ac:dyDescent="0.25">
      <c r="E98" s="35"/>
      <c r="F98" s="35"/>
      <c r="G98" s="35"/>
      <c r="H98" s="35"/>
      <c r="I98" s="35"/>
    </row>
    <row r="99" spans="2:9" x14ac:dyDescent="0.25">
      <c r="B99" s="25" t="s">
        <v>168</v>
      </c>
      <c r="E99" s="35"/>
      <c r="F99" s="35"/>
      <c r="G99" s="35"/>
      <c r="H99" s="35"/>
      <c r="I99" s="35"/>
    </row>
    <row r="100" spans="2:9" x14ac:dyDescent="0.25">
      <c r="B100" s="31" t="s">
        <v>169</v>
      </c>
      <c r="E100" s="35"/>
      <c r="F100" s="35"/>
      <c r="G100" s="35"/>
      <c r="H100" s="35"/>
      <c r="I100" s="35"/>
    </row>
    <row r="101" spans="2:9" x14ac:dyDescent="0.25">
      <c r="B101" s="31" t="s">
        <v>170</v>
      </c>
      <c r="E101" s="35"/>
      <c r="F101" s="35"/>
      <c r="G101" s="35"/>
      <c r="H101" s="35"/>
      <c r="I101" s="35"/>
    </row>
    <row r="102" spans="2:9" x14ac:dyDescent="0.25">
      <c r="B102" s="31" t="s">
        <v>171</v>
      </c>
    </row>
    <row r="104" spans="2:9" x14ac:dyDescent="0.25">
      <c r="B104" s="25" t="s">
        <v>172</v>
      </c>
    </row>
    <row r="105" spans="2:9" x14ac:dyDescent="0.25">
      <c r="B105" t="s">
        <v>173</v>
      </c>
    </row>
    <row r="106" spans="2:9" x14ac:dyDescent="0.25">
      <c r="B106" t="s">
        <v>174</v>
      </c>
    </row>
    <row r="107" spans="2:9" x14ac:dyDescent="0.25">
      <c r="B107" t="s">
        <v>175</v>
      </c>
    </row>
    <row r="108" spans="2:9" x14ac:dyDescent="0.25">
      <c r="B108" t="s">
        <v>176</v>
      </c>
    </row>
  </sheetData>
  <mergeCells count="5">
    <mergeCell ref="B28:P28"/>
    <mergeCell ref="B9:Q9"/>
    <mergeCell ref="A79:P79"/>
    <mergeCell ref="B7:R7"/>
    <mergeCell ref="B8:S8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>
    <pageSetUpPr fitToPage="1"/>
  </sheetPr>
  <dimension ref="B1:CF29"/>
  <sheetViews>
    <sheetView showGridLines="0" topLeftCell="A28" zoomScale="90" zoomScaleNormal="90" workbookViewId="0">
      <selection activeCell="B48" sqref="B48"/>
    </sheetView>
  </sheetViews>
  <sheetFormatPr defaultColWidth="9.28515625" defaultRowHeight="15" x14ac:dyDescent="0.25"/>
  <cols>
    <col min="1" max="1" width="3.85546875" customWidth="1"/>
    <col min="2" max="2" width="37.7109375" customWidth="1"/>
    <col min="3" max="5" width="12.140625" hidden="1" customWidth="1"/>
    <col min="6" max="6" width="10.7109375" hidden="1" customWidth="1"/>
    <col min="7" max="7" width="13.42578125" hidden="1" customWidth="1"/>
    <col min="8" max="8" width="1.28515625" hidden="1" customWidth="1"/>
    <col min="9" max="9" width="11.28515625" hidden="1" customWidth="1"/>
    <col min="10" max="11" width="10.7109375" hidden="1" customWidth="1"/>
    <col min="12" max="12" width="1.28515625" hidden="1" customWidth="1"/>
    <col min="13" max="13" width="13.42578125" hidden="1" customWidth="1"/>
    <col min="14" max="14" width="1.42578125" hidden="1" customWidth="1"/>
    <col min="15" max="15" width="13.5703125" hidden="1" customWidth="1"/>
    <col min="16" max="16" width="1.28515625" customWidth="1"/>
    <col min="17" max="17" width="10.42578125" hidden="1" customWidth="1"/>
    <col min="18" max="18" width="11.140625" hidden="1" customWidth="1"/>
    <col min="19" max="19" width="10.42578125" hidden="1" customWidth="1"/>
    <col min="20" max="20" width="1.42578125" hidden="1" customWidth="1"/>
    <col min="21" max="21" width="11.140625" hidden="1" customWidth="1"/>
    <col min="22" max="22" width="1.42578125" hidden="1" customWidth="1"/>
    <col min="23" max="24" width="10.42578125" hidden="1" customWidth="1"/>
    <col min="25" max="25" width="11.140625" hidden="1" customWidth="1"/>
    <col min="26" max="26" width="1.42578125" hidden="1" customWidth="1"/>
    <col min="27" max="27" width="18.28515625" hidden="1" customWidth="1"/>
    <col min="28" max="28" width="1.5703125" hidden="1" customWidth="1"/>
    <col min="29" max="29" width="15.42578125" hidden="1" customWidth="1"/>
    <col min="30" max="30" width="1.85546875" hidden="1" customWidth="1"/>
    <col min="31" max="31" width="13.5703125" hidden="1" customWidth="1"/>
    <col min="32" max="32" width="1.42578125" hidden="1" customWidth="1"/>
    <col min="33" max="34" width="12.140625" hidden="1" customWidth="1"/>
    <col min="35" max="35" width="10.7109375" hidden="1" customWidth="1"/>
    <col min="36" max="36" width="1.28515625" hidden="1" customWidth="1"/>
    <col min="37" max="37" width="13.42578125" hidden="1" customWidth="1"/>
    <col min="38" max="38" width="1.28515625" hidden="1" customWidth="1"/>
    <col min="39" max="39" width="11.28515625" hidden="1" customWidth="1"/>
    <col min="40" max="41" width="10.7109375" hidden="1" customWidth="1"/>
    <col min="42" max="42" width="1.28515625" hidden="1" customWidth="1"/>
    <col min="43" max="43" width="13.42578125" hidden="1" customWidth="1"/>
    <col min="44" max="44" width="1.42578125" hidden="1" customWidth="1"/>
    <col min="45" max="45" width="13.5703125" hidden="1" customWidth="1"/>
    <col min="46" max="46" width="1.28515625" hidden="1" customWidth="1"/>
    <col min="47" max="47" width="10.42578125" hidden="1" customWidth="1"/>
    <col min="48" max="48" width="11.140625" hidden="1" customWidth="1"/>
    <col min="49" max="49" width="10.42578125" hidden="1" customWidth="1"/>
    <col min="50" max="50" width="1.42578125" hidden="1" customWidth="1"/>
    <col min="51" max="51" width="11.140625" hidden="1" customWidth="1"/>
    <col min="52" max="52" width="1.42578125" hidden="1" customWidth="1"/>
    <col min="53" max="54" width="10.42578125" hidden="1" customWidth="1"/>
    <col min="55" max="55" width="11.140625" hidden="1" customWidth="1"/>
    <col min="56" max="56" width="1.42578125" hidden="1" customWidth="1"/>
    <col min="57" max="57" width="11" hidden="1" customWidth="1"/>
    <col min="58" max="58" width="1.7109375" hidden="1" customWidth="1"/>
    <col min="59" max="59" width="11.28515625" hidden="1" customWidth="1"/>
    <col min="60" max="60" width="1.85546875" hidden="1" customWidth="1"/>
    <col min="61" max="61" width="10.7109375" hidden="1" customWidth="1"/>
    <col min="62" max="62" width="14.140625" hidden="1" customWidth="1"/>
    <col min="63" max="73" width="12.85546875" hidden="1" customWidth="1"/>
    <col min="74" max="74" width="1.7109375" hidden="1" customWidth="1"/>
    <col min="75" max="75" width="12.85546875" hidden="1" customWidth="1"/>
    <col min="76" max="76" width="1.7109375" hidden="1" customWidth="1"/>
    <col min="77" max="77" width="12.85546875" hidden="1" customWidth="1"/>
    <col min="78" max="78" width="1.7109375" hidden="1" customWidth="1"/>
    <col min="79" max="79" width="11.42578125" hidden="1" customWidth="1"/>
    <col min="80" max="80" width="0.140625" customWidth="1"/>
    <col min="81" max="83" width="14.140625" customWidth="1"/>
    <col min="84" max="84" width="11.5703125" bestFit="1" customWidth="1"/>
  </cols>
  <sheetData>
    <row r="1" spans="2:83" ht="14.45" customHeight="1" x14ac:dyDescent="0.25"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</row>
    <row r="2" spans="2:83" x14ac:dyDescent="0.25">
      <c r="B2" s="1" t="s">
        <v>80</v>
      </c>
      <c r="C2" s="6">
        <f>EOMONTH(D2,-1)</f>
        <v>44926</v>
      </c>
      <c r="D2" s="6">
        <v>44957</v>
      </c>
      <c r="E2" s="6">
        <v>44985</v>
      </c>
      <c r="F2" s="6">
        <v>45016</v>
      </c>
      <c r="G2" s="2" t="s">
        <v>177</v>
      </c>
      <c r="H2" s="11"/>
      <c r="I2" s="6">
        <f>EOMONTH(F2:F2,1)</f>
        <v>45046</v>
      </c>
      <c r="J2" s="6">
        <f>EOMONTH(I2:I2,1)</f>
        <v>45077</v>
      </c>
      <c r="K2" s="6">
        <f>EOMONTH(J2:J2,1)</f>
        <v>45107</v>
      </c>
      <c r="L2" s="10"/>
      <c r="M2" s="2" t="s">
        <v>178</v>
      </c>
      <c r="N2" s="11"/>
      <c r="O2" s="2" t="s">
        <v>179</v>
      </c>
      <c r="P2" s="11"/>
      <c r="Q2" s="6">
        <f>EOMONTH(K2,1)</f>
        <v>45138</v>
      </c>
      <c r="R2" s="6">
        <f>EOMONTH(Q2:Q2,1)</f>
        <v>45169</v>
      </c>
      <c r="S2" s="6">
        <f>EOMONTH(R2:R2,1)</f>
        <v>45199</v>
      </c>
      <c r="T2" s="10"/>
      <c r="U2" s="2" t="s">
        <v>180</v>
      </c>
      <c r="V2" s="11"/>
      <c r="W2" s="6">
        <f>EOMONTH(S2:S2,1)</f>
        <v>45230</v>
      </c>
      <c r="X2" s="6">
        <v>45260</v>
      </c>
      <c r="Y2" s="6">
        <f>EOMONTH(X2:X2,1)</f>
        <v>45291</v>
      </c>
      <c r="Z2" s="10"/>
      <c r="AA2" s="2" t="s">
        <v>181</v>
      </c>
      <c r="AB2" s="11"/>
      <c r="AC2" s="2" t="s">
        <v>182</v>
      </c>
      <c r="AD2" s="11"/>
      <c r="AE2" s="5">
        <v>2023</v>
      </c>
      <c r="AG2" s="6">
        <v>45322</v>
      </c>
      <c r="AH2" s="6">
        <f>EOMONTH(AG2,1)</f>
        <v>45351</v>
      </c>
      <c r="AI2" s="6">
        <f>EOMONTH(AH2,1)</f>
        <v>45382</v>
      </c>
      <c r="AJ2" s="10"/>
      <c r="AK2" s="2" t="s">
        <v>177</v>
      </c>
      <c r="AL2" s="11"/>
      <c r="AM2" s="6">
        <f>EOMONTH(AI2:AI2,1)</f>
        <v>45412</v>
      </c>
      <c r="AN2" s="6">
        <f>EOMONTH(AM2:AM2,1)</f>
        <v>45443</v>
      </c>
      <c r="AO2" s="6">
        <f>EOMONTH(AN2:AN2,1)</f>
        <v>45473</v>
      </c>
      <c r="AP2" s="10"/>
      <c r="AQ2" s="2" t="s">
        <v>178</v>
      </c>
      <c r="AR2" s="11"/>
      <c r="AS2" s="2" t="s">
        <v>179</v>
      </c>
      <c r="AT2" s="11"/>
      <c r="AU2" s="6">
        <f>EOMONTH(AO2,1)</f>
        <v>45504</v>
      </c>
      <c r="AV2" s="6">
        <f>EOMONTH(AU2:AU2,1)</f>
        <v>45535</v>
      </c>
      <c r="AW2" s="6">
        <f>EOMONTH(AV2:AV2,1)</f>
        <v>45565</v>
      </c>
      <c r="AX2" s="10"/>
      <c r="AY2" s="2" t="s">
        <v>180</v>
      </c>
      <c r="AZ2" s="11"/>
      <c r="BA2" s="6">
        <f>EOMONTH(AW2:AW2,1)</f>
        <v>45596</v>
      </c>
      <c r="BB2" s="6">
        <f>EOMONTH(BA2:BA2,1)</f>
        <v>45626</v>
      </c>
      <c r="BC2" s="6">
        <f>EOMONTH(BB2:BB2,1)</f>
        <v>45657</v>
      </c>
      <c r="BD2" s="10"/>
      <c r="BE2" s="2" t="s">
        <v>181</v>
      </c>
      <c r="BF2" s="11"/>
      <c r="BG2" s="2" t="s">
        <v>182</v>
      </c>
      <c r="BH2" s="11"/>
      <c r="BI2" s="5">
        <v>2024</v>
      </c>
      <c r="BJ2" s="6">
        <f>EOMONTH(BC2,1)</f>
        <v>45688</v>
      </c>
      <c r="BK2" s="6">
        <f>EOMONTH(BJ2,1)</f>
        <v>45716</v>
      </c>
      <c r="BL2" s="6">
        <f>EOMONTH(BK2,1)</f>
        <v>45747</v>
      </c>
      <c r="BM2" s="6">
        <f>EOMONTH(BL2:BL2,1)</f>
        <v>45777</v>
      </c>
      <c r="BN2" s="6">
        <f>EOMONTH(BM2:BM2,1)</f>
        <v>45808</v>
      </c>
      <c r="BO2" s="6">
        <f>EOMONTH(BN2:BN2,1)</f>
        <v>45838</v>
      </c>
      <c r="BP2" s="6">
        <f>EOMONTH(BO2,1)</f>
        <v>45869</v>
      </c>
      <c r="BQ2" s="6">
        <f>EOMONTH(BP2:BP2,1)</f>
        <v>45900</v>
      </c>
      <c r="BR2" s="6">
        <v>45930</v>
      </c>
      <c r="BS2" s="6">
        <f>EOMONTH(BR2:BR2,1)</f>
        <v>45961</v>
      </c>
      <c r="BT2" s="6">
        <f>EOMONTH(BS2,1)</f>
        <v>45991</v>
      </c>
      <c r="BU2" s="6">
        <f>EOMONTH(BT2,1)</f>
        <v>46022</v>
      </c>
      <c r="BV2" s="10"/>
      <c r="BW2" s="2" t="s">
        <v>181</v>
      </c>
      <c r="BX2" s="11"/>
      <c r="BY2" s="2" t="s">
        <v>182</v>
      </c>
      <c r="BZ2" s="11"/>
      <c r="CA2" s="5" t="s">
        <v>183</v>
      </c>
      <c r="CB2" s="107"/>
      <c r="CC2" s="6">
        <f>EOMONTH(BU2,1)</f>
        <v>46053</v>
      </c>
      <c r="CD2" s="6">
        <f>EOMONTH(CC2,1)</f>
        <v>46081</v>
      </c>
      <c r="CE2" s="6">
        <f>EOMONTH(CD2,1)</f>
        <v>46112</v>
      </c>
    </row>
    <row r="3" spans="2:83" x14ac:dyDescent="0.25">
      <c r="B3" t="s">
        <v>184</v>
      </c>
      <c r="C3" s="51">
        <v>-1225882.6699998879</v>
      </c>
      <c r="D3" s="51">
        <v>-2256281.7699999888</v>
      </c>
      <c r="E3" s="51">
        <v>-551555.87000001082</v>
      </c>
      <c r="F3" s="51">
        <v>6437130.7699999316</v>
      </c>
      <c r="G3" s="51">
        <f t="shared" ref="G3:G8" si="0">SUM(D3:F3)</f>
        <v>3629293.1299999319</v>
      </c>
      <c r="H3" s="51"/>
      <c r="I3" s="51">
        <v>-1840435.699999952</v>
      </c>
      <c r="J3" s="51">
        <v>471919.39000007138</v>
      </c>
      <c r="K3" s="51">
        <v>2444762.539999967</v>
      </c>
      <c r="L3" s="51"/>
      <c r="M3" s="51">
        <f t="shared" ref="M3:M8" si="1">SUM(I3:K3)</f>
        <v>1076246.2300000864</v>
      </c>
      <c r="N3" s="51"/>
      <c r="O3" s="51">
        <f>SUM(I3:K3,D3:F3)</f>
        <v>4705539.360000018</v>
      </c>
      <c r="P3" s="51"/>
      <c r="Q3" s="51">
        <v>-13238.560000047089</v>
      </c>
      <c r="R3" s="51">
        <v>-260697.35000004811</v>
      </c>
      <c r="S3" s="51">
        <v>5983559.5900000893</v>
      </c>
      <c r="T3" s="51"/>
      <c r="U3" s="51">
        <f t="shared" ref="U3:U8" si="2">SUM(Q3:S3)</f>
        <v>5709623.6799999941</v>
      </c>
      <c r="V3" s="51"/>
      <c r="W3" s="51">
        <v>2301934.5599999758</v>
      </c>
      <c r="X3" s="51">
        <v>2390376.43999983</v>
      </c>
      <c r="Y3" s="51">
        <v>7139953.0600001402</v>
      </c>
      <c r="Z3" s="51"/>
      <c r="AA3" s="51">
        <f t="shared" ref="AA3:AA8" si="3">SUM(W3:Y3)</f>
        <v>11832264.059999947</v>
      </c>
      <c r="AB3" s="51"/>
      <c r="AC3" s="51">
        <f>SUM(W3:Y3,Q3:S3)</f>
        <v>17541887.739999942</v>
      </c>
      <c r="AD3" s="51"/>
      <c r="AE3" s="51">
        <f>O3+AC3</f>
        <v>22247427.099999961</v>
      </c>
      <c r="AG3" s="51">
        <v>135333.0799999958</v>
      </c>
      <c r="AH3" s="51">
        <v>1351348.1199999859</v>
      </c>
      <c r="AI3" s="51">
        <v>1607493.5900000311</v>
      </c>
      <c r="AJ3" s="51"/>
      <c r="AK3" s="51">
        <f t="shared" ref="AK3:AK8" si="4">SUM(AG3:AI3)</f>
        <v>3094174.7900000131</v>
      </c>
      <c r="AL3" s="51"/>
      <c r="AM3" s="51">
        <v>1778241.160000019</v>
      </c>
      <c r="AN3" s="51">
        <v>668906.42999999225</v>
      </c>
      <c r="AO3" s="51">
        <v>4951864.8099998645</v>
      </c>
      <c r="AP3" s="51"/>
      <c r="AQ3" s="51">
        <f t="shared" ref="AQ3:AQ8" si="5">SUM(AM3:AO3)</f>
        <v>7399012.3999998756</v>
      </c>
      <c r="AR3" s="51"/>
      <c r="AS3" s="51">
        <f>SUM(AM3:AO3,AG3:AI3)</f>
        <v>10493187.189999888</v>
      </c>
      <c r="AT3" s="51"/>
      <c r="AU3" s="51">
        <v>1208517.5900001561</v>
      </c>
      <c r="AV3" s="51">
        <v>1317888.2699999399</v>
      </c>
      <c r="AW3" s="51">
        <v>3497672.9800000689</v>
      </c>
      <c r="AX3" s="51"/>
      <c r="AY3" s="51">
        <f t="shared" ref="AY3:AY8" si="6">SUM(AU3:AW3)</f>
        <v>6024078.8400001656</v>
      </c>
      <c r="AZ3" s="51"/>
      <c r="BA3" s="51">
        <v>407091.30000005098</v>
      </c>
      <c r="BB3" s="51">
        <v>2060889.330000028</v>
      </c>
      <c r="BC3" s="51">
        <v>9185197.4700000025</v>
      </c>
      <c r="BD3" s="51"/>
      <c r="BE3" s="51">
        <f t="shared" ref="BE3:BE8" si="7">SUM(BA3:BC3)</f>
        <v>11653178.100000082</v>
      </c>
      <c r="BF3" s="51"/>
      <c r="BG3" s="51">
        <f>SUM(BA3:BC3,AU3:AW3)</f>
        <v>17677256.940000247</v>
      </c>
      <c r="BH3" s="51"/>
      <c r="BI3" s="51">
        <f>AS3+BG3</f>
        <v>28170444.130000137</v>
      </c>
      <c r="BJ3" s="51">
        <v>1184337.9900000021</v>
      </c>
      <c r="BK3" s="51">
        <v>476737.51999999961</v>
      </c>
      <c r="BL3" s="51">
        <v>5719093.1700000018</v>
      </c>
      <c r="BM3" s="51">
        <v>4177224.8000000012</v>
      </c>
      <c r="BN3" s="51">
        <v>2356700.6700000018</v>
      </c>
      <c r="BO3" s="51">
        <v>4784053.5199999996</v>
      </c>
      <c r="BP3" s="51">
        <v>2422631.34</v>
      </c>
      <c r="BQ3" s="51">
        <v>2180652.950000003</v>
      </c>
      <c r="BR3" s="51">
        <v>3140838.2899999991</v>
      </c>
      <c r="BS3" s="51">
        <v>462356.73000000039</v>
      </c>
      <c r="BT3" s="51">
        <v>3972262.0400000028</v>
      </c>
      <c r="BU3" s="51">
        <v>4603577</v>
      </c>
      <c r="BV3" s="51"/>
      <c r="BW3" s="51">
        <f t="shared" ref="BW3:BW8" si="8">SUM(BS3:BU3)</f>
        <v>9038195.7700000033</v>
      </c>
      <c r="BX3" s="51"/>
      <c r="BY3" s="51">
        <f>SUM(BS3:BU3,BP3:BR3)</f>
        <v>16782318.350000005</v>
      </c>
      <c r="BZ3" s="51"/>
      <c r="CA3" s="51">
        <f>SUM(BJ3:BU3)</f>
        <v>35480466.020000011</v>
      </c>
      <c r="CB3" s="269"/>
      <c r="CC3" s="51">
        <v>1868086.050000001</v>
      </c>
      <c r="CD3" s="51">
        <v>2667098.7399999979</v>
      </c>
      <c r="CE3" s="51">
        <v>4416073.4199999981</v>
      </c>
    </row>
    <row r="4" spans="2:83" x14ac:dyDescent="0.25">
      <c r="B4" t="s">
        <v>185</v>
      </c>
      <c r="C4" s="51">
        <v>453185.31999999803</v>
      </c>
      <c r="D4" s="51">
        <v>771628.33000000007</v>
      </c>
      <c r="E4" s="51">
        <v>1431454.9</v>
      </c>
      <c r="F4" s="51">
        <v>2102188.92</v>
      </c>
      <c r="G4" s="51">
        <f t="shared" si="0"/>
        <v>4305272.1500000004</v>
      </c>
      <c r="H4" s="51"/>
      <c r="I4" s="51">
        <v>436785.39999999938</v>
      </c>
      <c r="J4" s="51">
        <v>417689.25</v>
      </c>
      <c r="K4" s="51">
        <v>2852792.98</v>
      </c>
      <c r="L4" s="51"/>
      <c r="M4" s="51">
        <f t="shared" si="1"/>
        <v>3707267.6299999994</v>
      </c>
      <c r="N4" s="51"/>
      <c r="O4" s="51">
        <f>SUM(I4:K4,D4:F4)</f>
        <v>8012539.7799999993</v>
      </c>
      <c r="P4" s="51"/>
      <c r="Q4" s="51">
        <v>554506.76999999955</v>
      </c>
      <c r="R4" s="51">
        <v>852807.66999999993</v>
      </c>
      <c r="S4" s="51">
        <v>-43758.079999998212</v>
      </c>
      <c r="T4" s="51"/>
      <c r="U4" s="51">
        <f t="shared" si="2"/>
        <v>1363556.3600000013</v>
      </c>
      <c r="V4" s="51"/>
      <c r="W4" s="51">
        <v>944140.65000000037</v>
      </c>
      <c r="X4" s="51">
        <v>1170510.5900000001</v>
      </c>
      <c r="Y4" s="51">
        <v>-2091085.0800000019</v>
      </c>
      <c r="Z4" s="51"/>
      <c r="AA4" s="51">
        <f t="shared" si="3"/>
        <v>23566.159999998286</v>
      </c>
      <c r="AB4" s="51"/>
      <c r="AC4" s="51">
        <f>SUM(W4:Y4,Q4:S4)</f>
        <v>1387122.5199999996</v>
      </c>
      <c r="AD4" s="51"/>
      <c r="AE4" s="51">
        <f>O4+AC4</f>
        <v>9399662.2999999989</v>
      </c>
      <c r="AG4" s="51">
        <v>172056.15</v>
      </c>
      <c r="AH4" s="51">
        <v>533427.26</v>
      </c>
      <c r="AI4" s="51">
        <v>444797.30999999988</v>
      </c>
      <c r="AJ4" s="51"/>
      <c r="AK4" s="51">
        <f t="shared" si="4"/>
        <v>1150280.72</v>
      </c>
      <c r="AL4" s="51"/>
      <c r="AM4" s="51">
        <v>485176.53</v>
      </c>
      <c r="AN4" s="51">
        <v>762992.45000000019</v>
      </c>
      <c r="AO4" s="51">
        <v>512552.19999999972</v>
      </c>
      <c r="AP4" s="51"/>
      <c r="AQ4" s="51">
        <f t="shared" si="5"/>
        <v>1760721.18</v>
      </c>
      <c r="AR4" s="51"/>
      <c r="AS4" s="51">
        <f>SUM(AM4:AO4,AG4:AI4)</f>
        <v>2911001.9</v>
      </c>
      <c r="AT4" s="51"/>
      <c r="AU4" s="51">
        <v>754648.10000000009</v>
      </c>
      <c r="AV4" s="51">
        <v>477878.87000000011</v>
      </c>
      <c r="AW4" s="51">
        <v>-268578.25</v>
      </c>
      <c r="AX4" s="51"/>
      <c r="AY4" s="51">
        <f t="shared" si="6"/>
        <v>963948.7200000002</v>
      </c>
      <c r="AZ4" s="51"/>
      <c r="BA4" s="51">
        <v>-655785.64000000013</v>
      </c>
      <c r="BB4" s="51">
        <v>745429.73</v>
      </c>
      <c r="BC4" s="51">
        <v>1669542.1</v>
      </c>
      <c r="BD4" s="51"/>
      <c r="BE4" s="51">
        <f t="shared" si="7"/>
        <v>1759186.19</v>
      </c>
      <c r="BF4" s="51"/>
      <c r="BG4" s="51">
        <f>SUM(BA4:BC4,AU4:AW4)</f>
        <v>2723134.91</v>
      </c>
      <c r="BH4" s="51"/>
      <c r="BI4" s="51">
        <f>AS4+BG4</f>
        <v>5634136.8100000005</v>
      </c>
      <c r="BJ4" s="51">
        <v>541079.53</v>
      </c>
      <c r="BK4" s="51">
        <v>991900.92</v>
      </c>
      <c r="BL4" s="51">
        <v>1442485.32</v>
      </c>
      <c r="BM4" s="51">
        <v>1665618.34</v>
      </c>
      <c r="BN4" s="51">
        <v>1190816.49</v>
      </c>
      <c r="BO4" s="51">
        <v>1675707.89</v>
      </c>
      <c r="BP4" s="51">
        <v>1137988.6499999999</v>
      </c>
      <c r="BQ4" s="51">
        <v>322307.46000000002</v>
      </c>
      <c r="BR4" s="51">
        <v>869987.47</v>
      </c>
      <c r="BS4" s="51">
        <v>382306.92</v>
      </c>
      <c r="BT4" s="51">
        <v>1854232.88</v>
      </c>
      <c r="BU4" s="51">
        <v>1765324.53</v>
      </c>
      <c r="BV4" s="51"/>
      <c r="BW4" s="51">
        <f t="shared" si="8"/>
        <v>4001864.33</v>
      </c>
      <c r="BX4" s="51"/>
      <c r="BY4" s="51">
        <f>SUM(BS4:BU4,BP4:BR4)</f>
        <v>6332147.9100000001</v>
      </c>
      <c r="BZ4" s="51"/>
      <c r="CA4" s="51">
        <f>SUM(BJ4:BU4)</f>
        <v>13839756.4</v>
      </c>
      <c r="CC4" s="51">
        <v>1404277.8</v>
      </c>
      <c r="CD4" s="51">
        <v>1441916.58</v>
      </c>
      <c r="CE4" s="51">
        <v>1955492.36</v>
      </c>
    </row>
    <row r="5" spans="2:83" x14ac:dyDescent="0.25">
      <c r="B5" t="s">
        <v>186</v>
      </c>
      <c r="C5" s="51">
        <v>191960.209999999</v>
      </c>
      <c r="D5" s="51">
        <v>0</v>
      </c>
      <c r="E5" s="51">
        <v>0</v>
      </c>
      <c r="F5" s="51">
        <v>0</v>
      </c>
      <c r="G5" s="51">
        <f t="shared" si="0"/>
        <v>0</v>
      </c>
      <c r="H5" s="51"/>
      <c r="I5" s="51">
        <v>0</v>
      </c>
      <c r="J5" s="51">
        <v>0</v>
      </c>
      <c r="K5" s="51">
        <v>0</v>
      </c>
      <c r="L5" s="51"/>
      <c r="M5" s="51">
        <f t="shared" si="1"/>
        <v>0</v>
      </c>
      <c r="N5" s="51"/>
      <c r="O5" s="51">
        <f>SUM(I5:K5,D5:F5)</f>
        <v>0</v>
      </c>
      <c r="P5" s="51"/>
      <c r="Q5" s="51">
        <v>0</v>
      </c>
      <c r="R5" s="51">
        <v>0</v>
      </c>
      <c r="S5" s="51">
        <v>0</v>
      </c>
      <c r="T5" s="51"/>
      <c r="U5" s="51">
        <f t="shared" si="2"/>
        <v>0</v>
      </c>
      <c r="V5" s="51"/>
      <c r="W5" s="51">
        <v>0</v>
      </c>
      <c r="X5" s="51">
        <v>0</v>
      </c>
      <c r="Y5" s="51">
        <v>4864009.92</v>
      </c>
      <c r="Z5" s="51"/>
      <c r="AA5" s="51">
        <f t="shared" si="3"/>
        <v>4864009.92</v>
      </c>
      <c r="AB5" s="51"/>
      <c r="AC5" s="51">
        <f>SUM(W5:Y5,Q5:S5)</f>
        <v>4864009.92</v>
      </c>
      <c r="AD5" s="51"/>
      <c r="AE5" s="51">
        <f>O5+AC5</f>
        <v>4864009.92</v>
      </c>
      <c r="AG5" s="51">
        <v>0</v>
      </c>
      <c r="AH5" s="51">
        <v>0</v>
      </c>
      <c r="AI5" s="51">
        <v>0</v>
      </c>
      <c r="AJ5" s="51"/>
      <c r="AK5" s="51">
        <f t="shared" si="4"/>
        <v>0</v>
      </c>
      <c r="AL5" s="51"/>
      <c r="AM5" s="51">
        <v>0</v>
      </c>
      <c r="AN5" s="51">
        <v>0</v>
      </c>
      <c r="AO5" s="51">
        <v>1018230.3</v>
      </c>
      <c r="AP5" s="51"/>
      <c r="AQ5" s="51">
        <f t="shared" si="5"/>
        <v>1018230.3</v>
      </c>
      <c r="AR5" s="51"/>
      <c r="AS5" s="51">
        <f>SUM(AM5:AO5,AG5:AI5)</f>
        <v>1018230.3</v>
      </c>
      <c r="AT5" s="51"/>
      <c r="AU5" s="51">
        <v>0</v>
      </c>
      <c r="AV5" s="51">
        <v>0</v>
      </c>
      <c r="AW5" s="51">
        <v>0</v>
      </c>
      <c r="AX5" s="51"/>
      <c r="AY5" s="51">
        <f t="shared" si="6"/>
        <v>0</v>
      </c>
      <c r="AZ5" s="51"/>
      <c r="BA5" s="51">
        <v>0</v>
      </c>
      <c r="BB5" s="51">
        <v>0</v>
      </c>
      <c r="BC5" s="51">
        <v>683065.85999999987</v>
      </c>
      <c r="BD5" s="51"/>
      <c r="BE5" s="51">
        <f t="shared" si="7"/>
        <v>683065.85999999987</v>
      </c>
      <c r="BF5" s="51"/>
      <c r="BG5" s="51">
        <f>SUM(BA5:BC5,AU5:AW5)</f>
        <v>683065.85999999987</v>
      </c>
      <c r="BH5" s="51"/>
      <c r="BI5" s="51">
        <f>AS5+BG5</f>
        <v>1701296.16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0</v>
      </c>
      <c r="BR5" s="51">
        <v>0</v>
      </c>
      <c r="BS5" s="51">
        <v>0</v>
      </c>
      <c r="BT5" s="51">
        <v>0</v>
      </c>
      <c r="BU5" s="51">
        <v>0</v>
      </c>
      <c r="BV5" s="51"/>
      <c r="BW5" s="51">
        <f t="shared" si="8"/>
        <v>0</v>
      </c>
      <c r="BX5" s="51"/>
      <c r="BY5" s="51">
        <f>SUM(BS5:BU5,BP5:BR5)</f>
        <v>0</v>
      </c>
      <c r="BZ5" s="51"/>
      <c r="CA5" s="51">
        <f>SUM(BJ5:BU5)</f>
        <v>0</v>
      </c>
      <c r="CC5" s="51">
        <v>0</v>
      </c>
      <c r="CD5" s="51">
        <v>0</v>
      </c>
      <c r="CE5" s="51">
        <v>0</v>
      </c>
    </row>
    <row r="6" spans="2:83" x14ac:dyDescent="0.25">
      <c r="B6" t="s">
        <v>187</v>
      </c>
      <c r="C6" s="62">
        <v>-1871028.1999998849</v>
      </c>
      <c r="D6" s="121">
        <f>D3-D4-D5</f>
        <v>-3027910.0999999889</v>
      </c>
      <c r="E6" s="121">
        <f>E3-E4-E5</f>
        <v>-1983010.7700000107</v>
      </c>
      <c r="F6" s="121">
        <f>F3-F4-F5</f>
        <v>4334941.8499999316</v>
      </c>
      <c r="G6" s="62">
        <f t="shared" si="0"/>
        <v>-675979.02000006754</v>
      </c>
      <c r="H6" s="51"/>
      <c r="I6" s="121">
        <f>I3-I4-I5</f>
        <v>-2277221.0999999512</v>
      </c>
      <c r="J6" s="121">
        <f>J3-J4-J5</f>
        <v>54230.140000071377</v>
      </c>
      <c r="K6" s="121">
        <f>K3-K4-K5</f>
        <v>-408030.44000003301</v>
      </c>
      <c r="L6" s="51"/>
      <c r="M6" s="62">
        <f t="shared" si="1"/>
        <v>-2631021.3999999128</v>
      </c>
      <c r="N6" s="51"/>
      <c r="O6" s="121">
        <f>O3-O4-O5</f>
        <v>-3307000.4199999813</v>
      </c>
      <c r="P6" s="51"/>
      <c r="Q6" s="121">
        <f>Q3-Q4-Q5</f>
        <v>-567745.33000004664</v>
      </c>
      <c r="R6" s="121">
        <f>R3-R4-R5</f>
        <v>-1113505.020000048</v>
      </c>
      <c r="S6" s="121">
        <f>S3-S4-S5</f>
        <v>6027317.6700000875</v>
      </c>
      <c r="T6" s="51"/>
      <c r="U6" s="62">
        <f t="shared" si="2"/>
        <v>4346067.3199999928</v>
      </c>
      <c r="V6" s="51"/>
      <c r="W6" s="121">
        <v>1357793.9099999759</v>
      </c>
      <c r="X6" s="121">
        <v>1219865.8499998299</v>
      </c>
      <c r="Y6" s="121">
        <v>4367028.2200001422</v>
      </c>
      <c r="Z6" s="51"/>
      <c r="AA6" s="62">
        <f t="shared" si="3"/>
        <v>6944687.9799999483</v>
      </c>
      <c r="AB6" s="51"/>
      <c r="AC6" s="121">
        <f>AC3-AC4-AC5</f>
        <v>11290755.299999943</v>
      </c>
      <c r="AD6" s="51"/>
      <c r="AE6" s="121">
        <f>AE3-AE4-AE5</f>
        <v>7983754.8799999617</v>
      </c>
      <c r="AG6" s="121">
        <v>-36723.070000004227</v>
      </c>
      <c r="AH6" s="121">
        <v>817920.85999998613</v>
      </c>
      <c r="AI6" s="121">
        <v>1162696.280000031</v>
      </c>
      <c r="AJ6" s="51"/>
      <c r="AK6" s="62">
        <f t="shared" si="4"/>
        <v>1943894.0700000129</v>
      </c>
      <c r="AL6" s="51"/>
      <c r="AM6" s="121">
        <v>1293064.630000019</v>
      </c>
      <c r="AN6" s="121">
        <v>-94086.020000007935</v>
      </c>
      <c r="AO6" s="121">
        <v>3421082.309999865</v>
      </c>
      <c r="AP6" s="51"/>
      <c r="AQ6" s="62">
        <f t="shared" si="5"/>
        <v>4620060.9199998761</v>
      </c>
      <c r="AR6" s="51"/>
      <c r="AS6" s="121">
        <f>AS3-AS4-AS5</f>
        <v>6563954.9899998875</v>
      </c>
      <c r="AT6" s="51"/>
      <c r="AU6" s="121">
        <v>453869.49000015622</v>
      </c>
      <c r="AV6" s="121">
        <v>840009.39999993984</v>
      </c>
      <c r="AW6" s="121">
        <v>3766251.2300000689</v>
      </c>
      <c r="AX6" s="51"/>
      <c r="AY6" s="62">
        <f t="shared" si="6"/>
        <v>5060130.120000165</v>
      </c>
      <c r="AZ6" s="51"/>
      <c r="BA6" s="121">
        <v>1062876.9400000509</v>
      </c>
      <c r="BB6" s="121">
        <v>1315459.600000028</v>
      </c>
      <c r="BC6" s="121">
        <v>6832589.5100000044</v>
      </c>
      <c r="BD6" s="51"/>
      <c r="BE6" s="62">
        <f t="shared" si="7"/>
        <v>9210926.0500000827</v>
      </c>
      <c r="BF6" s="51"/>
      <c r="BG6" s="121">
        <f>BG3-BG4-BG5</f>
        <v>14271056.170000248</v>
      </c>
      <c r="BH6" s="51"/>
      <c r="BI6" s="121">
        <f>BI3-BI4-BI5</f>
        <v>20835011.160000134</v>
      </c>
      <c r="BJ6" s="51">
        <v>643258.46000000206</v>
      </c>
      <c r="BK6" s="51">
        <v>-515163.40000000049</v>
      </c>
      <c r="BL6" s="51">
        <v>4276607.8500000006</v>
      </c>
      <c r="BM6" s="51">
        <v>2511606.4600000009</v>
      </c>
      <c r="BN6" s="51">
        <v>1165884.180000002</v>
      </c>
      <c r="BO6" s="51">
        <v>3108345.63</v>
      </c>
      <c r="BP6" s="51">
        <v>1284642.69</v>
      </c>
      <c r="BQ6" s="51">
        <v>1858345.490000003</v>
      </c>
      <c r="BR6" s="51">
        <v>2270850.8199999989</v>
      </c>
      <c r="BS6" s="51">
        <v>80049.810000000463</v>
      </c>
      <c r="BT6" s="51">
        <v>2118029.1600000029</v>
      </c>
      <c r="BU6" s="51">
        <v>2838252.47</v>
      </c>
      <c r="BV6" s="51"/>
      <c r="BW6" s="51">
        <f t="shared" si="8"/>
        <v>5036331.4400000032</v>
      </c>
      <c r="BX6" s="51"/>
      <c r="BY6" s="269">
        <f>BY3-BY4-BY5</f>
        <v>10450170.440000005</v>
      </c>
      <c r="BZ6" s="51"/>
      <c r="CA6" s="51">
        <f>SUM(BJ6:BU6)</f>
        <v>21640709.620000008</v>
      </c>
      <c r="CB6" s="51"/>
      <c r="CC6" s="269">
        <v>463808.2500000007</v>
      </c>
      <c r="CD6" s="269">
        <v>1225182.1599999981</v>
      </c>
      <c r="CE6" s="269">
        <f>CE3-CE4</f>
        <v>2460581.0599999977</v>
      </c>
    </row>
    <row r="7" spans="2:83" x14ac:dyDescent="0.25">
      <c r="B7" t="s">
        <v>188</v>
      </c>
      <c r="C7" s="62">
        <v>569477.66000006348</v>
      </c>
      <c r="D7" s="62">
        <v>184324.92000000129</v>
      </c>
      <c r="E7" s="62">
        <v>1250477.1299999971</v>
      </c>
      <c r="F7" s="62">
        <v>2071688.5200000009</v>
      </c>
      <c r="G7" s="62">
        <f t="shared" si="0"/>
        <v>3506490.5699999994</v>
      </c>
      <c r="H7" s="51"/>
      <c r="I7" s="62">
        <v>411267.59999999963</v>
      </c>
      <c r="J7" s="62">
        <v>-80452.380000001285</v>
      </c>
      <c r="K7" s="62">
        <v>2556900.1100000148</v>
      </c>
      <c r="L7" s="51"/>
      <c r="M7" s="62">
        <f t="shared" si="1"/>
        <v>2887715.3300000131</v>
      </c>
      <c r="N7" s="51"/>
      <c r="O7" s="62">
        <f>SUM(I7:K7,D7:F7)</f>
        <v>6394205.9000000134</v>
      </c>
      <c r="P7" s="51"/>
      <c r="Q7" s="62">
        <v>370274.89999999391</v>
      </c>
      <c r="R7" s="62">
        <v>507165.18000000058</v>
      </c>
      <c r="S7" s="62">
        <v>-90122.920000001788</v>
      </c>
      <c r="T7" s="51"/>
      <c r="U7" s="62">
        <f t="shared" si="2"/>
        <v>787317.1599999927</v>
      </c>
      <c r="V7" s="51"/>
      <c r="W7" s="62">
        <v>886582.59999999218</v>
      </c>
      <c r="X7" s="62">
        <v>857060.11999997962</v>
      </c>
      <c r="Y7" s="62">
        <v>2345408.5100000501</v>
      </c>
      <c r="Z7" s="51"/>
      <c r="AA7" s="62">
        <f t="shared" si="3"/>
        <v>4089051.2300000219</v>
      </c>
      <c r="AB7" s="51"/>
      <c r="AC7" s="62">
        <f>SUM(W7:Y7,Q7:S7)</f>
        <v>4876368.3900000146</v>
      </c>
      <c r="AD7" s="51"/>
      <c r="AE7" s="62">
        <f>O7+AC7</f>
        <v>11270574.290000029</v>
      </c>
      <c r="AG7" s="62">
        <v>110976.49</v>
      </c>
      <c r="AH7" s="62">
        <v>411297.69000000082</v>
      </c>
      <c r="AI7" s="62">
        <v>236500.30999999671</v>
      </c>
      <c r="AJ7" s="51"/>
      <c r="AK7" s="62">
        <f t="shared" si="4"/>
        <v>758774.48999999755</v>
      </c>
      <c r="AL7" s="51"/>
      <c r="AM7" s="62">
        <v>434611.58999999228</v>
      </c>
      <c r="AN7" s="62">
        <v>404507.76000001328</v>
      </c>
      <c r="AO7" s="62">
        <v>1338115.8500000101</v>
      </c>
      <c r="AP7" s="51"/>
      <c r="AQ7" s="62">
        <f t="shared" si="5"/>
        <v>2177235.2000000156</v>
      </c>
      <c r="AR7" s="51"/>
      <c r="AS7" s="62">
        <f>SUM(AM7:AO7,AG7:AI7)</f>
        <v>2936009.6900000134</v>
      </c>
      <c r="AT7" s="51"/>
      <c r="AU7" s="62">
        <v>617707.8499999661</v>
      </c>
      <c r="AV7" s="62">
        <v>430066.94000003347</v>
      </c>
      <c r="AW7" s="62">
        <v>-305419.29000000888</v>
      </c>
      <c r="AX7" s="51"/>
      <c r="AY7" s="62">
        <f t="shared" si="6"/>
        <v>742355.49999999069</v>
      </c>
      <c r="AZ7" s="51"/>
      <c r="BA7" s="62">
        <v>-811427.31000000844</v>
      </c>
      <c r="BB7" s="62">
        <v>850419.33000000101</v>
      </c>
      <c r="BC7" s="62">
        <v>1712350.6899999781</v>
      </c>
      <c r="BD7" s="51"/>
      <c r="BE7" s="62">
        <f t="shared" si="7"/>
        <v>1751342.7099999706</v>
      </c>
      <c r="BF7" s="51"/>
      <c r="BG7" s="62">
        <f>SUM(BA7:BC7,AU7:AW7)</f>
        <v>2493698.2099999613</v>
      </c>
      <c r="BH7" s="51"/>
      <c r="BI7" s="62">
        <f>AS7+BG7</f>
        <v>5429707.8999999743</v>
      </c>
      <c r="BJ7" s="51">
        <v>464703.12000000011</v>
      </c>
      <c r="BK7" s="51">
        <v>871800.97000000067</v>
      </c>
      <c r="BL7" s="51">
        <v>1249780.1099999989</v>
      </c>
      <c r="BM7" s="51">
        <v>1592797.89</v>
      </c>
      <c r="BN7" s="51">
        <v>1100442.51</v>
      </c>
      <c r="BO7" s="51">
        <v>1636029.51</v>
      </c>
      <c r="BP7" s="51">
        <v>1078640.22</v>
      </c>
      <c r="BQ7" s="51">
        <v>108896.66000000011</v>
      </c>
      <c r="BR7" s="51">
        <v>685150.93000000063</v>
      </c>
      <c r="BS7" s="51">
        <v>198757.09000000081</v>
      </c>
      <c r="BT7" s="51">
        <v>1665017.25</v>
      </c>
      <c r="BU7" s="51">
        <v>1403074.800000001</v>
      </c>
      <c r="BV7" s="51"/>
      <c r="BW7" s="51">
        <f t="shared" si="8"/>
        <v>3266849.1400000015</v>
      </c>
      <c r="BX7" s="51"/>
      <c r="BY7" s="51">
        <f>SUM(BS7:BU7,BP7:BR7)</f>
        <v>5139536.950000002</v>
      </c>
      <c r="BZ7" s="51"/>
      <c r="CA7" s="51">
        <f>SUM(BJ7:BU7)</f>
        <v>12055091.060000002</v>
      </c>
      <c r="CB7" s="51"/>
      <c r="CC7" s="51">
        <v>1359401.8800000011</v>
      </c>
      <c r="CD7" s="51">
        <v>1158533.550000001</v>
      </c>
      <c r="CE7" s="51">
        <v>2104762.6700000018</v>
      </c>
    </row>
    <row r="8" spans="2:83" x14ac:dyDescent="0.25">
      <c r="B8" s="9" t="s">
        <v>189</v>
      </c>
      <c r="C8" s="63">
        <v>-1301550.5399998219</v>
      </c>
      <c r="D8" s="63">
        <v>-2843585.1799999881</v>
      </c>
      <c r="E8" s="63">
        <v>-732533.64000001363</v>
      </c>
      <c r="F8" s="63">
        <v>6406630.369999934</v>
      </c>
      <c r="G8" s="63">
        <f t="shared" si="0"/>
        <v>2830511.5499999323</v>
      </c>
      <c r="H8" s="51"/>
      <c r="I8" s="63">
        <v>-1865953.499999952</v>
      </c>
      <c r="J8" s="63">
        <v>-26222.239999929909</v>
      </c>
      <c r="K8" s="63">
        <v>2148869.6699999832</v>
      </c>
      <c r="L8" s="51"/>
      <c r="M8" s="63">
        <f t="shared" si="1"/>
        <v>256693.93000010122</v>
      </c>
      <c r="N8" s="51"/>
      <c r="O8" s="63">
        <f>SUM(I8:K8,D8:F8)</f>
        <v>3087205.4800000335</v>
      </c>
      <c r="P8" s="51"/>
      <c r="Q8" s="63">
        <v>-197470.43000005279</v>
      </c>
      <c r="R8" s="63">
        <v>-606339.84000004735</v>
      </c>
      <c r="S8" s="63">
        <v>5937194.7500000857</v>
      </c>
      <c r="T8" s="51"/>
      <c r="U8" s="63">
        <f t="shared" si="2"/>
        <v>5133384.4799999855</v>
      </c>
      <c r="V8" s="51"/>
      <c r="W8" s="63">
        <v>2244376.5099999681</v>
      </c>
      <c r="X8" s="63">
        <v>2076925.96999981</v>
      </c>
      <c r="Y8" s="63">
        <v>6712436.7300001923</v>
      </c>
      <c r="Z8" s="51"/>
      <c r="AA8" s="63">
        <f t="shared" si="3"/>
        <v>11033739.209999971</v>
      </c>
      <c r="AB8" s="51"/>
      <c r="AC8" s="63">
        <f>SUM(W8:Y8,Q8:S8)</f>
        <v>16167123.689999957</v>
      </c>
      <c r="AD8" s="51"/>
      <c r="AE8" s="63">
        <f>O8+AC8</f>
        <v>19254329.169999991</v>
      </c>
      <c r="AG8" s="63">
        <v>74253.419999995764</v>
      </c>
      <c r="AH8" s="63">
        <v>1229218.549999987</v>
      </c>
      <c r="AI8" s="63">
        <v>1399196.5900000271</v>
      </c>
      <c r="AJ8" s="51"/>
      <c r="AK8" s="63">
        <f t="shared" si="4"/>
        <v>2702668.5600000098</v>
      </c>
      <c r="AL8" s="51"/>
      <c r="AM8" s="63">
        <v>1727676.2200000109</v>
      </c>
      <c r="AN8" s="63">
        <v>310421.74000000529</v>
      </c>
      <c r="AO8" s="63">
        <v>4759198.1599998754</v>
      </c>
      <c r="AP8" s="51"/>
      <c r="AQ8" s="63">
        <f t="shared" si="5"/>
        <v>6797296.1199998911</v>
      </c>
      <c r="AR8" s="51"/>
      <c r="AS8" s="63">
        <f>SUM(AM8:AO8,AG8:AI8)</f>
        <v>9499964.679999901</v>
      </c>
      <c r="AT8" s="51"/>
      <c r="AU8" s="63">
        <v>1071577.3400001221</v>
      </c>
      <c r="AV8" s="63">
        <v>1270076.3399999731</v>
      </c>
      <c r="AW8" s="63">
        <v>3460831.94000006</v>
      </c>
      <c r="AX8" s="51"/>
      <c r="AY8" s="63">
        <f t="shared" si="6"/>
        <v>5802485.6200001556</v>
      </c>
      <c r="AZ8" s="51"/>
      <c r="BA8" s="63">
        <v>251449.6300000427</v>
      </c>
      <c r="BB8" s="63">
        <v>2165878.930000029</v>
      </c>
      <c r="BC8" s="63">
        <v>8544940.1999999806</v>
      </c>
      <c r="BD8" s="51"/>
      <c r="BE8" s="63">
        <f t="shared" si="7"/>
        <v>10962268.760000052</v>
      </c>
      <c r="BF8" s="51"/>
      <c r="BG8" s="63">
        <f>SUM(BA8:BC8,AU8:AW8)</f>
        <v>16764754.380000208</v>
      </c>
      <c r="BH8" s="51"/>
      <c r="BI8" s="63">
        <f>AS8+BG8</f>
        <v>26264719.060000107</v>
      </c>
      <c r="BJ8" s="63">
        <f t="shared" ref="BJ8:BU8" si="9">SUM(BJ6:BJ7)</f>
        <v>1107961.5800000022</v>
      </c>
      <c r="BK8" s="63">
        <f t="shared" si="9"/>
        <v>356637.57000000018</v>
      </c>
      <c r="BL8" s="63">
        <f t="shared" si="9"/>
        <v>5526387.959999999</v>
      </c>
      <c r="BM8" s="63">
        <f t="shared" si="9"/>
        <v>4104404.3500000006</v>
      </c>
      <c r="BN8" s="63">
        <f t="shared" si="9"/>
        <v>2266326.6900000023</v>
      </c>
      <c r="BO8" s="63">
        <f t="shared" si="9"/>
        <v>4744375.1399999997</v>
      </c>
      <c r="BP8" s="63">
        <f t="shared" si="9"/>
        <v>2363282.91</v>
      </c>
      <c r="BQ8" s="63">
        <f t="shared" si="9"/>
        <v>1967242.1500000032</v>
      </c>
      <c r="BR8" s="63">
        <f t="shared" si="9"/>
        <v>2956001.7499999995</v>
      </c>
      <c r="BS8" s="63">
        <f t="shared" si="9"/>
        <v>278806.9000000013</v>
      </c>
      <c r="BT8" s="63">
        <f t="shared" si="9"/>
        <v>3783046.4100000029</v>
      </c>
      <c r="BU8" s="63">
        <f t="shared" si="9"/>
        <v>4241327.2700000014</v>
      </c>
      <c r="BV8" s="51"/>
      <c r="BW8" s="63">
        <f t="shared" si="8"/>
        <v>8303180.5800000057</v>
      </c>
      <c r="BX8" s="51"/>
      <c r="BY8" s="63">
        <f>SUM(BS8:BU8,BP8:BR8)</f>
        <v>15589707.390000008</v>
      </c>
      <c r="BZ8" s="51"/>
      <c r="CA8" s="63">
        <f>SUM(CA6:CA7)</f>
        <v>33695800.680000007</v>
      </c>
      <c r="CB8" s="51"/>
      <c r="CC8" s="63">
        <f>CC6+CC7</f>
        <v>1823210.1300000018</v>
      </c>
      <c r="CD8" s="63">
        <f>CD6+CD7</f>
        <v>2383715.709999999</v>
      </c>
      <c r="CE8" s="63">
        <f>CE6+CE7</f>
        <v>4565343.7299999995</v>
      </c>
    </row>
    <row r="9" spans="2:83" ht="6.75" customHeight="1" x14ac:dyDescent="0.25"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C9" s="51"/>
      <c r="CD9" s="51"/>
      <c r="CE9" s="51"/>
    </row>
    <row r="10" spans="2:83" x14ac:dyDescent="0.25">
      <c r="B10" t="s">
        <v>190</v>
      </c>
      <c r="C10" s="51">
        <v>3097.0599999986589</v>
      </c>
      <c r="D10" s="51">
        <v>45761.359999999841</v>
      </c>
      <c r="E10" s="51">
        <v>41357.8400000002</v>
      </c>
      <c r="F10" s="51">
        <v>179237.5700000003</v>
      </c>
      <c r="G10" s="51">
        <f t="shared" ref="G10:G17" si="10">SUM(D10:F10)</f>
        <v>266356.77000000037</v>
      </c>
      <c r="H10" s="51"/>
      <c r="I10" s="51">
        <v>-41623.050000000047</v>
      </c>
      <c r="J10" s="51">
        <v>187462.07000000149</v>
      </c>
      <c r="K10" s="51">
        <v>-169417.1599999991</v>
      </c>
      <c r="L10" s="51"/>
      <c r="M10" s="51">
        <f t="shared" ref="M10:M17" si="11">SUM(I10:K10)</f>
        <v>-23578.139999997657</v>
      </c>
      <c r="N10" s="51"/>
      <c r="O10" s="51">
        <f t="shared" ref="O10:O17" si="12">SUM(I10:K10,D10:F10)</f>
        <v>242778.63000000268</v>
      </c>
      <c r="P10" s="51"/>
      <c r="Q10" s="51">
        <v>63133.630000002478</v>
      </c>
      <c r="R10" s="51">
        <v>-208725.8299999969</v>
      </c>
      <c r="S10" s="51">
        <v>-304926.61000000202</v>
      </c>
      <c r="T10" s="51"/>
      <c r="U10" s="51">
        <f t="shared" ref="U10:U17" si="13">SUM(Q10:S10)</f>
        <v>-450518.80999999645</v>
      </c>
      <c r="V10" s="51"/>
      <c r="W10" s="51">
        <v>64962.489999994927</v>
      </c>
      <c r="X10" s="51">
        <v>-408320.49999999849</v>
      </c>
      <c r="Y10" s="51">
        <v>-388305.65999999549</v>
      </c>
      <c r="Z10" s="51"/>
      <c r="AA10" s="51">
        <f t="shared" ref="AA10:AA17" si="14">SUM(W10:Y10)</f>
        <v>-731663.66999999899</v>
      </c>
      <c r="AB10" s="51"/>
      <c r="AC10" s="51">
        <f t="shared" ref="AC10:AC17" si="15">SUM(W10:Y10,Q10:S10)</f>
        <v>-1182182.4799999956</v>
      </c>
      <c r="AD10" s="51"/>
      <c r="AE10" s="51">
        <f t="shared" ref="AE10:AE17" si="16">O10+AC10</f>
        <v>-939403.84999999288</v>
      </c>
      <c r="AG10" s="51">
        <v>97102.96000000037</v>
      </c>
      <c r="AH10" s="51">
        <v>301216.36000000051</v>
      </c>
      <c r="AI10" s="51">
        <v>-88491.620000000286</v>
      </c>
      <c r="AJ10" s="51"/>
      <c r="AK10" s="51">
        <f t="shared" ref="AK10:AK17" si="17">SUM(AG10:AI10)</f>
        <v>309827.70000000059</v>
      </c>
      <c r="AL10" s="51"/>
      <c r="AM10" s="51">
        <v>113308.8199999983</v>
      </c>
      <c r="AN10" s="51">
        <v>67062.170000000799</v>
      </c>
      <c r="AO10" s="51">
        <v>-111222.3599999991</v>
      </c>
      <c r="AP10" s="51"/>
      <c r="AQ10" s="51">
        <f t="shared" ref="AQ10:AQ17" si="18">SUM(AM10:AO10)</f>
        <v>69148.630000000019</v>
      </c>
      <c r="AR10" s="51"/>
      <c r="AS10" s="51">
        <f t="shared" ref="AS10:AS17" si="19">SUM(AM10:AO10,AG10:AI10)</f>
        <v>378976.3300000006</v>
      </c>
      <c r="AT10" s="51"/>
      <c r="AU10" s="51">
        <v>103829.46999999799</v>
      </c>
      <c r="AV10" s="51">
        <v>-140484.95999999871</v>
      </c>
      <c r="AW10" s="51">
        <v>170123.98999999711</v>
      </c>
      <c r="AX10" s="51"/>
      <c r="AY10" s="51">
        <f t="shared" ref="AY10:AY17" si="20">SUM(AU10:AW10)</f>
        <v>133468.49999999639</v>
      </c>
      <c r="AZ10" s="51"/>
      <c r="BA10" s="51">
        <v>-220088.0200000022</v>
      </c>
      <c r="BB10" s="51">
        <v>900.53000000561588</v>
      </c>
      <c r="BC10" s="51">
        <v>94783.979999999166</v>
      </c>
      <c r="BD10" s="51"/>
      <c r="BE10" s="51">
        <f t="shared" ref="BE10:BE17" si="21">SUM(BA10:BC10)</f>
        <v>-124403.50999999742</v>
      </c>
      <c r="BF10" s="51"/>
      <c r="BG10" s="51">
        <f t="shared" ref="BG10:BG17" si="22">SUM(BA10:BC10,AU10:AW10)</f>
        <v>9064.9899999989721</v>
      </c>
      <c r="BH10" s="51"/>
      <c r="BI10" s="51">
        <f t="shared" ref="BI10:BI17" si="23">AS10+BG10</f>
        <v>388041.3199999996</v>
      </c>
      <c r="BJ10" s="51">
        <v>8662.4000000001397</v>
      </c>
      <c r="BK10" s="51">
        <v>-46398.020000000019</v>
      </c>
      <c r="BL10" s="51">
        <v>-198223.76</v>
      </c>
      <c r="BM10" s="51">
        <v>286595.95</v>
      </c>
      <c r="BN10" s="51">
        <v>250051.98</v>
      </c>
      <c r="BO10" s="51">
        <v>454587.93000000023</v>
      </c>
      <c r="BP10" s="51">
        <v>531355.3899999999</v>
      </c>
      <c r="BQ10" s="51">
        <v>457762.4700000002</v>
      </c>
      <c r="BR10" s="51">
        <v>267242.21999999997</v>
      </c>
      <c r="BS10" s="51">
        <v>668876.32000000007</v>
      </c>
      <c r="BT10" s="51">
        <v>368998.70999999967</v>
      </c>
      <c r="BU10" s="51">
        <v>-137032.85000000009</v>
      </c>
      <c r="BV10" s="51"/>
      <c r="BW10" s="51">
        <f t="shared" ref="BW10:BW19" si="24">SUM(BS10:BU10)</f>
        <v>900842.1799999997</v>
      </c>
      <c r="BX10" s="51"/>
      <c r="BY10" s="51">
        <f t="shared" ref="BY10:BY19" si="25">SUM(BS10:BU10,BP10:BR10)</f>
        <v>2157202.2599999998</v>
      </c>
      <c r="BZ10" s="51"/>
      <c r="CA10" s="51">
        <f>SUM(BJ10:BL10)+SUM(BM10:BO10)+SUM(BP10:BR10)+SUM(BS10:BU10)</f>
        <v>2912478.74</v>
      </c>
      <c r="CB10" s="51"/>
      <c r="CC10" s="51">
        <v>-67205.14000000013</v>
      </c>
      <c r="CD10" s="51">
        <v>307562.98</v>
      </c>
      <c r="CE10" s="51">
        <v>558365.80999999982</v>
      </c>
    </row>
    <row r="11" spans="2:83" x14ac:dyDescent="0.25">
      <c r="B11" t="s">
        <v>191</v>
      </c>
      <c r="C11" s="51">
        <v>-682901.30000000249</v>
      </c>
      <c r="D11" s="51">
        <v>992683.36</v>
      </c>
      <c r="E11" s="51">
        <v>-497496.40000000078</v>
      </c>
      <c r="F11" s="51">
        <v>560056.26000000106</v>
      </c>
      <c r="G11" s="51">
        <f t="shared" si="10"/>
        <v>1055243.2200000002</v>
      </c>
      <c r="H11" s="51"/>
      <c r="I11" s="51">
        <v>50069.999999999767</v>
      </c>
      <c r="J11" s="51">
        <v>52449.679999999469</v>
      </c>
      <c r="K11" s="51">
        <v>-58278.4300000004</v>
      </c>
      <c r="L11" s="51"/>
      <c r="M11" s="51">
        <f t="shared" si="11"/>
        <v>44241.249999998836</v>
      </c>
      <c r="N11" s="51"/>
      <c r="O11" s="51">
        <f t="shared" si="12"/>
        <v>1099484.4699999993</v>
      </c>
      <c r="P11" s="51"/>
      <c r="Q11" s="51">
        <v>-107595.7799999968</v>
      </c>
      <c r="R11" s="51">
        <v>-143340.3700000009</v>
      </c>
      <c r="S11" s="51">
        <v>-49664.579999999958</v>
      </c>
      <c r="T11" s="51"/>
      <c r="U11" s="51">
        <f t="shared" si="13"/>
        <v>-300600.72999999765</v>
      </c>
      <c r="V11" s="51"/>
      <c r="W11" s="51">
        <v>-83197.010000000591</v>
      </c>
      <c r="X11" s="51">
        <v>-191600.3599999971</v>
      </c>
      <c r="Y11" s="51">
        <v>-144210.21000000439</v>
      </c>
      <c r="Z11" s="51"/>
      <c r="AA11" s="51">
        <f t="shared" si="14"/>
        <v>-419007.58000000205</v>
      </c>
      <c r="AB11" s="51"/>
      <c r="AC11" s="51">
        <f t="shared" si="15"/>
        <v>-719608.30999999971</v>
      </c>
      <c r="AD11" s="51"/>
      <c r="AE11" s="51">
        <f t="shared" si="16"/>
        <v>379876.15999999957</v>
      </c>
      <c r="AG11" s="51">
        <v>-132549.6399999999</v>
      </c>
      <c r="AH11" s="51">
        <v>-53812.189999999828</v>
      </c>
      <c r="AI11" s="51">
        <v>-164625.9700000007</v>
      </c>
      <c r="AJ11" s="51"/>
      <c r="AK11" s="51">
        <f t="shared" si="17"/>
        <v>-350987.8000000004</v>
      </c>
      <c r="AL11" s="51"/>
      <c r="AM11" s="51">
        <v>-198315.58999999971</v>
      </c>
      <c r="AN11" s="51">
        <v>-50199.640000002582</v>
      </c>
      <c r="AO11" s="51">
        <v>12376.660000002361</v>
      </c>
      <c r="AP11" s="51"/>
      <c r="AQ11" s="51">
        <f t="shared" si="18"/>
        <v>-236138.56999999992</v>
      </c>
      <c r="AR11" s="51"/>
      <c r="AS11" s="51">
        <f t="shared" si="19"/>
        <v>-587126.37000000034</v>
      </c>
      <c r="AT11" s="51"/>
      <c r="AU11" s="51">
        <v>-117486.7199999992</v>
      </c>
      <c r="AV11" s="51">
        <v>-47222.000000000349</v>
      </c>
      <c r="AW11" s="51">
        <v>7254.5600000031991</v>
      </c>
      <c r="AX11" s="51"/>
      <c r="AY11" s="51">
        <f t="shared" si="20"/>
        <v>-157454.15999999637</v>
      </c>
      <c r="AZ11" s="51"/>
      <c r="BA11" s="51">
        <v>-74550.020000009215</v>
      </c>
      <c r="BB11" s="51">
        <v>-39497.449999995653</v>
      </c>
      <c r="BC11" s="51">
        <v>46645.509999999311</v>
      </c>
      <c r="BD11" s="51"/>
      <c r="BE11" s="51">
        <f t="shared" si="21"/>
        <v>-67401.960000005551</v>
      </c>
      <c r="BF11" s="51"/>
      <c r="BG11" s="51">
        <f t="shared" si="22"/>
        <v>-224856.12000000192</v>
      </c>
      <c r="BH11" s="51"/>
      <c r="BI11" s="51">
        <f t="shared" si="23"/>
        <v>-811982.49000000232</v>
      </c>
      <c r="BJ11" s="51">
        <v>21886.980000000101</v>
      </c>
      <c r="BK11" s="51">
        <v>-131785.62</v>
      </c>
      <c r="BL11" s="51">
        <v>92197.889999999898</v>
      </c>
      <c r="BM11" s="51">
        <v>39268.279999999912</v>
      </c>
      <c r="BN11" s="51">
        <v>324440.39999999991</v>
      </c>
      <c r="BO11" s="51">
        <v>182046.23</v>
      </c>
      <c r="BP11" s="51">
        <v>167219.5</v>
      </c>
      <c r="BQ11" s="51">
        <v>129182.02</v>
      </c>
      <c r="BR11" s="51">
        <v>203916.29</v>
      </c>
      <c r="BS11" s="51">
        <v>245380.68999999989</v>
      </c>
      <c r="BT11" s="51">
        <v>172928.84000000011</v>
      </c>
      <c r="BU11" s="51">
        <v>212227.37000000011</v>
      </c>
      <c r="BV11" s="51"/>
      <c r="BW11" s="51">
        <f t="shared" si="24"/>
        <v>630536.90000000014</v>
      </c>
      <c r="BX11" s="51"/>
      <c r="BY11" s="51">
        <f t="shared" si="25"/>
        <v>1130854.7100000002</v>
      </c>
      <c r="BZ11" s="51"/>
      <c r="CA11" s="51">
        <f>SUM(BJ11:BL11)+SUM(BM11:BO11)+SUM(BP11:BR11)+SUM(BS11:BU11)</f>
        <v>1658908.87</v>
      </c>
      <c r="CB11" s="51"/>
      <c r="CC11" s="51">
        <v>336620.5</v>
      </c>
      <c r="CD11" s="51">
        <v>238788.29999999981</v>
      </c>
      <c r="CE11" s="51">
        <v>348085</v>
      </c>
    </row>
    <row r="12" spans="2:83" ht="14.45" customHeight="1" x14ac:dyDescent="0.25">
      <c r="B12" t="s">
        <v>192</v>
      </c>
      <c r="C12" s="51">
        <v>-117389.3700000001</v>
      </c>
      <c r="D12" s="51">
        <v>403864.17</v>
      </c>
      <c r="E12" s="51">
        <v>37532.650000000023</v>
      </c>
      <c r="F12" s="51">
        <v>35087.870000000054</v>
      </c>
      <c r="G12" s="51">
        <f t="shared" si="10"/>
        <v>476484.69000000006</v>
      </c>
      <c r="H12" s="51"/>
      <c r="I12" s="51">
        <v>20981.68999999994</v>
      </c>
      <c r="J12" s="51">
        <v>302749.9500000003</v>
      </c>
      <c r="K12" s="51">
        <v>24903.449999999721</v>
      </c>
      <c r="L12" s="51"/>
      <c r="M12" s="51">
        <f t="shared" si="11"/>
        <v>348635.08999999997</v>
      </c>
      <c r="N12" s="51"/>
      <c r="O12" s="51">
        <f t="shared" si="12"/>
        <v>825119.78</v>
      </c>
      <c r="P12" s="51"/>
      <c r="Q12" s="51">
        <v>22459.150000000369</v>
      </c>
      <c r="R12" s="51">
        <v>373949.40999999951</v>
      </c>
      <c r="S12" s="51">
        <v>92606.790000000037</v>
      </c>
      <c r="T12" s="51"/>
      <c r="U12" s="51">
        <f t="shared" si="13"/>
        <v>489015.34999999992</v>
      </c>
      <c r="V12" s="51"/>
      <c r="W12" s="51">
        <v>96234.810000001453</v>
      </c>
      <c r="X12" s="51">
        <v>284203.71000000089</v>
      </c>
      <c r="Y12" s="51">
        <v>192942.87999999899</v>
      </c>
      <c r="Z12" s="51"/>
      <c r="AA12" s="51">
        <f t="shared" si="14"/>
        <v>573381.4000000013</v>
      </c>
      <c r="AB12" s="51"/>
      <c r="AC12" s="51">
        <f t="shared" si="15"/>
        <v>1062396.7500000012</v>
      </c>
      <c r="AD12" s="51"/>
      <c r="AE12" s="51">
        <f t="shared" si="16"/>
        <v>1887516.5300000012</v>
      </c>
      <c r="AG12" s="51">
        <v>93813.739999999962</v>
      </c>
      <c r="AH12" s="51">
        <v>135265.85000000021</v>
      </c>
      <c r="AI12" s="51">
        <v>219542.37000000011</v>
      </c>
      <c r="AJ12" s="51"/>
      <c r="AK12" s="51">
        <f t="shared" si="17"/>
        <v>448621.96000000031</v>
      </c>
      <c r="AL12" s="51"/>
      <c r="AM12" s="51">
        <v>114837.0199999999</v>
      </c>
      <c r="AN12" s="51">
        <v>356560.24999999988</v>
      </c>
      <c r="AO12" s="51">
        <v>208072.75000000049</v>
      </c>
      <c r="AP12" s="51"/>
      <c r="AQ12" s="51">
        <f t="shared" si="18"/>
        <v>679470.02000000025</v>
      </c>
      <c r="AR12" s="51"/>
      <c r="AS12" s="51">
        <f t="shared" si="19"/>
        <v>1128091.9800000004</v>
      </c>
      <c r="AT12" s="51"/>
      <c r="AU12" s="51">
        <v>123558.8199999994</v>
      </c>
      <c r="AV12" s="51">
        <v>40796.910000000848</v>
      </c>
      <c r="AW12" s="51">
        <v>65236.659999999218</v>
      </c>
      <c r="AX12" s="51"/>
      <c r="AY12" s="51">
        <f t="shared" si="20"/>
        <v>229592.38999999946</v>
      </c>
      <c r="AZ12" s="51"/>
      <c r="BA12" s="51">
        <v>171614.11999999991</v>
      </c>
      <c r="BB12" s="51">
        <v>-77824.699999999721</v>
      </c>
      <c r="BC12" s="51">
        <v>584288.66000000108</v>
      </c>
      <c r="BD12" s="51"/>
      <c r="BE12" s="51">
        <f t="shared" si="21"/>
        <v>678078.08000000124</v>
      </c>
      <c r="BF12" s="51"/>
      <c r="BG12" s="51">
        <f t="shared" si="22"/>
        <v>907670.47000000067</v>
      </c>
      <c r="BH12" s="51"/>
      <c r="BI12" s="51">
        <f t="shared" si="23"/>
        <v>2035762.4500000011</v>
      </c>
      <c r="BJ12" s="51">
        <v>55268.020000000019</v>
      </c>
      <c r="BK12" s="51">
        <v>91252.76999999996</v>
      </c>
      <c r="BL12" s="51">
        <v>263356.18</v>
      </c>
      <c r="BM12" s="51">
        <v>62767.150000000023</v>
      </c>
      <c r="BN12" s="51">
        <v>98598.139999999985</v>
      </c>
      <c r="BO12" s="51">
        <v>54470.739999999991</v>
      </c>
      <c r="BP12" s="51">
        <v>91139.910000000033</v>
      </c>
      <c r="BQ12" s="51">
        <v>214580.78</v>
      </c>
      <c r="BR12" s="51">
        <v>198117.49</v>
      </c>
      <c r="BS12" s="51">
        <v>178204.24999999991</v>
      </c>
      <c r="BT12" s="51">
        <v>188001.86</v>
      </c>
      <c r="BU12" s="51">
        <v>387325.02999999991</v>
      </c>
      <c r="BV12" s="51"/>
      <c r="BW12" s="51">
        <f t="shared" si="24"/>
        <v>753531.13999999978</v>
      </c>
      <c r="BX12" s="51"/>
      <c r="BY12" s="51">
        <f t="shared" si="25"/>
        <v>1257369.3199999998</v>
      </c>
      <c r="BZ12" s="51"/>
      <c r="CA12" s="51">
        <f>SUM(BJ12:BL12)+SUM(BM12:BO12)+SUM(BP12:BR12)+SUM(BS12:BU12)</f>
        <v>1883082.3199999998</v>
      </c>
      <c r="CB12" s="51"/>
      <c r="CC12" s="51">
        <v>56226.37</v>
      </c>
      <c r="CD12" s="51">
        <v>243037.75</v>
      </c>
      <c r="CE12" s="51">
        <v>521291.11</v>
      </c>
    </row>
    <row r="13" spans="2:83" x14ac:dyDescent="0.25">
      <c r="B13" t="s">
        <v>193</v>
      </c>
      <c r="C13" s="51">
        <v>156241.10000000009</v>
      </c>
      <c r="D13" s="51">
        <v>251871.21</v>
      </c>
      <c r="E13" s="51">
        <v>45403.030000000028</v>
      </c>
      <c r="F13" s="51">
        <v>327936.66999999981</v>
      </c>
      <c r="G13" s="51">
        <f t="shared" si="10"/>
        <v>625210.9099999998</v>
      </c>
      <c r="H13" s="51"/>
      <c r="I13" s="51">
        <v>138298.78000000009</v>
      </c>
      <c r="J13" s="51">
        <v>144880.25</v>
      </c>
      <c r="K13" s="51">
        <v>186119.58000000031</v>
      </c>
      <c r="L13" s="51"/>
      <c r="M13" s="51">
        <f t="shared" si="11"/>
        <v>469298.61000000039</v>
      </c>
      <c r="N13" s="51"/>
      <c r="O13" s="51">
        <f t="shared" si="12"/>
        <v>1094509.5200000003</v>
      </c>
      <c r="P13" s="51"/>
      <c r="Q13" s="51">
        <v>141568.09999999919</v>
      </c>
      <c r="R13" s="51">
        <v>89515.939999999944</v>
      </c>
      <c r="S13" s="51">
        <v>134228.25999999981</v>
      </c>
      <c r="T13" s="51"/>
      <c r="U13" s="51">
        <f t="shared" si="13"/>
        <v>365312.29999999894</v>
      </c>
      <c r="V13" s="51"/>
      <c r="W13" s="51">
        <v>216658.49999999951</v>
      </c>
      <c r="X13" s="51">
        <v>190560.5700000012</v>
      </c>
      <c r="Y13" s="51">
        <v>195389.67999999991</v>
      </c>
      <c r="Z13" s="51"/>
      <c r="AA13" s="51">
        <f t="shared" si="14"/>
        <v>602608.75000000058</v>
      </c>
      <c r="AB13" s="51"/>
      <c r="AC13" s="51">
        <f t="shared" si="15"/>
        <v>967921.04999999946</v>
      </c>
      <c r="AD13" s="51"/>
      <c r="AE13" s="51">
        <f t="shared" si="16"/>
        <v>2062430.5699999998</v>
      </c>
      <c r="AG13" s="51">
        <v>281362.26000000013</v>
      </c>
      <c r="AH13" s="51">
        <v>228173.22999999989</v>
      </c>
      <c r="AI13" s="51">
        <v>367935.4800000001</v>
      </c>
      <c r="AJ13" s="51"/>
      <c r="AK13" s="51">
        <f t="shared" si="17"/>
        <v>877470.97000000009</v>
      </c>
      <c r="AL13" s="51"/>
      <c r="AM13" s="51">
        <v>416560.48999999987</v>
      </c>
      <c r="AN13" s="51">
        <v>493559.8899999999</v>
      </c>
      <c r="AO13" s="51">
        <v>254753.6100000001</v>
      </c>
      <c r="AP13" s="51"/>
      <c r="AQ13" s="51">
        <f t="shared" si="18"/>
        <v>1164873.9899999998</v>
      </c>
      <c r="AR13" s="51"/>
      <c r="AS13" s="51">
        <f t="shared" si="19"/>
        <v>2042344.96</v>
      </c>
      <c r="AT13" s="51"/>
      <c r="AU13" s="51">
        <v>414080.85000000009</v>
      </c>
      <c r="AV13" s="51">
        <v>435825.79</v>
      </c>
      <c r="AW13" s="51">
        <v>431763.55999999959</v>
      </c>
      <c r="AX13" s="51"/>
      <c r="AY13" s="51">
        <f t="shared" si="20"/>
        <v>1281670.1999999997</v>
      </c>
      <c r="AZ13" s="51"/>
      <c r="BA13" s="51">
        <v>305013.56999999977</v>
      </c>
      <c r="BB13" s="51">
        <v>298152.99999999948</v>
      </c>
      <c r="BC13" s="51">
        <v>244333.20000000019</v>
      </c>
      <c r="BD13" s="51"/>
      <c r="BE13" s="51">
        <f t="shared" si="21"/>
        <v>847499.76999999944</v>
      </c>
      <c r="BF13" s="51"/>
      <c r="BG13" s="51">
        <f t="shared" si="22"/>
        <v>2129169.9699999993</v>
      </c>
      <c r="BH13" s="51"/>
      <c r="BI13" s="51">
        <f t="shared" si="23"/>
        <v>4171514.9299999992</v>
      </c>
      <c r="BJ13" s="51">
        <v>383753.36</v>
      </c>
      <c r="BK13" s="51">
        <v>247766.94</v>
      </c>
      <c r="BL13" s="51">
        <v>197344.81000000011</v>
      </c>
      <c r="BM13" s="51">
        <v>348062.45</v>
      </c>
      <c r="BN13" s="51">
        <v>323628.40999999997</v>
      </c>
      <c r="BO13" s="51">
        <v>296101.84000000003</v>
      </c>
      <c r="BP13" s="51">
        <v>214279.3</v>
      </c>
      <c r="BQ13" s="51">
        <v>295074.06</v>
      </c>
      <c r="BR13" s="51">
        <v>255574.77</v>
      </c>
      <c r="BS13" s="51">
        <v>270061.93</v>
      </c>
      <c r="BT13" s="51">
        <v>196618.29</v>
      </c>
      <c r="BU13" s="51">
        <v>334510.67</v>
      </c>
      <c r="BV13" s="51"/>
      <c r="BW13" s="51">
        <f t="shared" si="24"/>
        <v>801190.8899999999</v>
      </c>
      <c r="BX13" s="51"/>
      <c r="BY13" s="51">
        <f t="shared" si="25"/>
        <v>1566119.02</v>
      </c>
      <c r="BZ13" s="51"/>
      <c r="CA13" s="51">
        <f>SUM(BJ13:BL13)+SUM(BM13:BO13)+SUM(BP13:BR13)+SUM(BS13:BU13)</f>
        <v>3362776.83</v>
      </c>
      <c r="CB13" s="51"/>
      <c r="CC13" s="51">
        <v>294487.17</v>
      </c>
      <c r="CD13" s="51">
        <v>193404.44</v>
      </c>
      <c r="CE13" s="51">
        <v>504122.76000000013</v>
      </c>
    </row>
    <row r="14" spans="2:83" x14ac:dyDescent="0.25">
      <c r="B14" t="s">
        <v>194</v>
      </c>
      <c r="C14" s="51">
        <v>-10022.489999999991</v>
      </c>
      <c r="D14" s="51">
        <v>6101.14</v>
      </c>
      <c r="E14" s="51">
        <v>5599.87</v>
      </c>
      <c r="F14" s="51">
        <v>8798.99</v>
      </c>
      <c r="G14" s="51">
        <f t="shared" si="10"/>
        <v>20500</v>
      </c>
      <c r="H14" s="51"/>
      <c r="I14" s="51">
        <v>7479.119999999999</v>
      </c>
      <c r="J14" s="51">
        <v>9028.8200000000033</v>
      </c>
      <c r="K14" s="51">
        <v>91166.22</v>
      </c>
      <c r="L14" s="51"/>
      <c r="M14" s="51">
        <f t="shared" si="11"/>
        <v>107674.16</v>
      </c>
      <c r="N14" s="51"/>
      <c r="O14" s="51">
        <f t="shared" si="12"/>
        <v>128174.16</v>
      </c>
      <c r="P14" s="51"/>
      <c r="Q14" s="51">
        <v>-80984.460000000006</v>
      </c>
      <c r="R14" s="51">
        <v>6475.4599999999991</v>
      </c>
      <c r="S14" s="51">
        <v>-102983.23</v>
      </c>
      <c r="T14" s="51"/>
      <c r="U14" s="51">
        <f t="shared" si="13"/>
        <v>-177492.22999999998</v>
      </c>
      <c r="V14" s="51"/>
      <c r="W14" s="51">
        <v>5833.5800000000017</v>
      </c>
      <c r="X14" s="51">
        <v>5190.32</v>
      </c>
      <c r="Y14" s="51">
        <v>4246.43</v>
      </c>
      <c r="Z14" s="51"/>
      <c r="AA14" s="51">
        <f t="shared" si="14"/>
        <v>15270.330000000002</v>
      </c>
      <c r="AB14" s="51"/>
      <c r="AC14" s="51">
        <f t="shared" si="15"/>
        <v>-162221.9</v>
      </c>
      <c r="AD14" s="51"/>
      <c r="AE14" s="51">
        <f t="shared" si="16"/>
        <v>-34047.739999999991</v>
      </c>
      <c r="AG14" s="51">
        <v>4972.24</v>
      </c>
      <c r="AH14" s="51">
        <v>4496.1999999999989</v>
      </c>
      <c r="AI14" s="51">
        <v>-90847.58</v>
      </c>
      <c r="AJ14" s="51"/>
      <c r="AK14" s="51">
        <f t="shared" si="17"/>
        <v>-81379.14</v>
      </c>
      <c r="AL14" s="51"/>
      <c r="AM14" s="51">
        <v>4208.7599999999948</v>
      </c>
      <c r="AN14" s="51">
        <v>328.11000000000058</v>
      </c>
      <c r="AO14" s="51">
        <v>2786.929999999993</v>
      </c>
      <c r="AP14" s="51"/>
      <c r="AQ14" s="51">
        <f t="shared" si="18"/>
        <v>7323.7999999999884</v>
      </c>
      <c r="AR14" s="51"/>
      <c r="AS14" s="51">
        <f t="shared" si="19"/>
        <v>-74055.340000000011</v>
      </c>
      <c r="AT14" s="51"/>
      <c r="AU14" s="51">
        <v>-74768.800000000003</v>
      </c>
      <c r="AV14" s="51">
        <v>-131095.45000000001</v>
      </c>
      <c r="AW14" s="51">
        <v>3837.140000000014</v>
      </c>
      <c r="AX14" s="51"/>
      <c r="AY14" s="51">
        <f t="shared" si="20"/>
        <v>-202027.11</v>
      </c>
      <c r="AZ14" s="51"/>
      <c r="BA14" s="51">
        <v>-100170.1</v>
      </c>
      <c r="BB14" s="51">
        <v>-1819.1699999999839</v>
      </c>
      <c r="BC14" s="51">
        <v>-2292.539999999979</v>
      </c>
      <c r="BD14" s="51"/>
      <c r="BE14" s="51">
        <f t="shared" si="21"/>
        <v>-104281.80999999997</v>
      </c>
      <c r="BF14" s="51"/>
      <c r="BG14" s="51">
        <f t="shared" si="22"/>
        <v>-306308.92</v>
      </c>
      <c r="BH14" s="51"/>
      <c r="BI14" s="51">
        <f t="shared" si="23"/>
        <v>-380364.26</v>
      </c>
      <c r="BJ14" s="51">
        <v>-2520.599999999999</v>
      </c>
      <c r="BK14" s="51">
        <v>-3154.3399999999988</v>
      </c>
      <c r="BL14" s="51">
        <v>-2221.5399999999991</v>
      </c>
      <c r="BM14" s="51">
        <v>-1911.070000000002</v>
      </c>
      <c r="BN14" s="51">
        <v>-1765.32</v>
      </c>
      <c r="BO14" s="51">
        <v>-13358.99</v>
      </c>
      <c r="BP14" s="51">
        <v>-12817.43</v>
      </c>
      <c r="BQ14" s="51">
        <v>-13598.6</v>
      </c>
      <c r="BR14" s="51">
        <v>-13542.27</v>
      </c>
      <c r="BS14" s="51">
        <v>-13644.72</v>
      </c>
      <c r="BT14" s="51">
        <v>-15611.28</v>
      </c>
      <c r="BU14" s="51">
        <v>-14857.27</v>
      </c>
      <c r="BV14" s="51"/>
      <c r="BW14" s="51">
        <f t="shared" si="24"/>
        <v>-44113.270000000004</v>
      </c>
      <c r="BX14" s="51"/>
      <c r="BY14" s="51">
        <f t="shared" si="25"/>
        <v>-84071.57</v>
      </c>
      <c r="BZ14" s="51"/>
      <c r="CA14" s="51">
        <f>SUM(BJ14:BL14)+SUM(BM14:BO14)+SUM(BP14:BR14)+SUM(BS14:BU14)</f>
        <v>-109003.43000000001</v>
      </c>
      <c r="CB14" s="51"/>
      <c r="CC14" s="51">
        <v>-17113.78</v>
      </c>
      <c r="CD14" s="51">
        <v>-14676.51</v>
      </c>
      <c r="CE14" s="51">
        <v>-115574.2</v>
      </c>
    </row>
    <row r="15" spans="2:83" x14ac:dyDescent="0.25">
      <c r="B15" t="s">
        <v>195</v>
      </c>
      <c r="C15" s="51">
        <v>-791480.17999999784</v>
      </c>
      <c r="D15" s="51">
        <v>731451.37000000023</v>
      </c>
      <c r="E15" s="51">
        <v>-308631.00000000029</v>
      </c>
      <c r="F15" s="51">
        <v>199923.46999999971</v>
      </c>
      <c r="G15" s="51">
        <f t="shared" si="10"/>
        <v>622743.83999999962</v>
      </c>
      <c r="H15" s="51"/>
      <c r="I15" s="51">
        <v>-21687.429999998189</v>
      </c>
      <c r="J15" s="51">
        <v>10700.659999998639</v>
      </c>
      <c r="K15" s="51">
        <v>-2039.3299999996091</v>
      </c>
      <c r="L15" s="51"/>
      <c r="M15" s="51">
        <f t="shared" si="11"/>
        <v>-13026.099999999158</v>
      </c>
      <c r="N15" s="51"/>
      <c r="O15" s="51">
        <f t="shared" si="12"/>
        <v>609717.74000000046</v>
      </c>
      <c r="P15" s="51"/>
      <c r="Q15" s="51">
        <v>-20611.619999999879</v>
      </c>
      <c r="R15" s="51">
        <v>3981.7099999974021</v>
      </c>
      <c r="S15" s="51">
        <v>13111.09000000067</v>
      </c>
      <c r="T15" s="51"/>
      <c r="U15" s="51">
        <f t="shared" si="13"/>
        <v>-3518.8200000018078</v>
      </c>
      <c r="V15" s="51"/>
      <c r="W15" s="51">
        <v>-79586.879999997676</v>
      </c>
      <c r="X15" s="51">
        <v>-148771.41999999841</v>
      </c>
      <c r="Y15" s="51">
        <v>-71492.450000002515</v>
      </c>
      <c r="Z15" s="51"/>
      <c r="AA15" s="51">
        <f t="shared" si="14"/>
        <v>-299850.7499999986</v>
      </c>
      <c r="AB15" s="51"/>
      <c r="AC15" s="51">
        <f t="shared" si="15"/>
        <v>-303369.57000000041</v>
      </c>
      <c r="AD15" s="51"/>
      <c r="AE15" s="51">
        <f t="shared" si="16"/>
        <v>306348.17000000004</v>
      </c>
      <c r="AF15" s="42"/>
      <c r="AG15" s="51">
        <v>-26043.139999999919</v>
      </c>
      <c r="AH15" s="51">
        <v>8362.0699999999379</v>
      </c>
      <c r="AI15" s="51">
        <v>168585.7699999992</v>
      </c>
      <c r="AJ15" s="51"/>
      <c r="AK15" s="51">
        <f t="shared" si="17"/>
        <v>150904.69999999923</v>
      </c>
      <c r="AL15" s="51"/>
      <c r="AM15" s="51">
        <v>-24037.35000000137</v>
      </c>
      <c r="AN15" s="51">
        <v>-16277.969999997769</v>
      </c>
      <c r="AO15" s="51">
        <v>1932.079999998954</v>
      </c>
      <c r="AP15" s="51"/>
      <c r="AQ15" s="51">
        <f t="shared" si="18"/>
        <v>-38383.240000000187</v>
      </c>
      <c r="AR15" s="51"/>
      <c r="AS15" s="51">
        <f t="shared" si="19"/>
        <v>112521.45999999903</v>
      </c>
      <c r="AT15" s="51"/>
      <c r="AU15" s="51">
        <v>45009.270000000783</v>
      </c>
      <c r="AV15" s="51">
        <v>-19884.460000002549</v>
      </c>
      <c r="AW15" s="51">
        <v>-1861.779999996797</v>
      </c>
      <c r="AX15" s="51"/>
      <c r="AY15" s="51">
        <f t="shared" si="20"/>
        <v>23263.030000001436</v>
      </c>
      <c r="AZ15" s="51"/>
      <c r="BA15" s="51">
        <v>-67172.129999998811</v>
      </c>
      <c r="BB15" s="51">
        <v>-2038.330000003654</v>
      </c>
      <c r="BC15" s="51">
        <v>-6070.2799999985873</v>
      </c>
      <c r="BD15" s="51"/>
      <c r="BE15" s="51">
        <f t="shared" si="21"/>
        <v>-75280.740000001053</v>
      </c>
      <c r="BF15" s="51"/>
      <c r="BG15" s="51">
        <f t="shared" si="22"/>
        <v>-52017.709999999614</v>
      </c>
      <c r="BH15" s="51"/>
      <c r="BI15" s="51">
        <f t="shared" si="23"/>
        <v>60503.749999999418</v>
      </c>
      <c r="BJ15" s="51">
        <v>-40549.829999999958</v>
      </c>
      <c r="BK15" s="51">
        <v>-34014.339999999967</v>
      </c>
      <c r="BL15" s="51">
        <v>2298.890000000014</v>
      </c>
      <c r="BM15" s="51">
        <v>253236.47000000009</v>
      </c>
      <c r="BN15" s="51">
        <v>-91675.209999999963</v>
      </c>
      <c r="BO15" s="51">
        <v>-113088.48</v>
      </c>
      <c r="BP15" s="51">
        <v>-139859.01999999999</v>
      </c>
      <c r="BQ15" s="51">
        <v>-10120.059999999939</v>
      </c>
      <c r="BR15" s="51">
        <v>-59334.210000000079</v>
      </c>
      <c r="BS15" s="51">
        <v>186513.89999999991</v>
      </c>
      <c r="BT15" s="51">
        <v>-75603.340000000084</v>
      </c>
      <c r="BU15" s="51">
        <v>32313.39000000001</v>
      </c>
      <c r="BV15" s="51"/>
      <c r="BW15" s="51">
        <f t="shared" si="24"/>
        <v>143223.94999999984</v>
      </c>
      <c r="BX15" s="51"/>
      <c r="BY15" s="51">
        <f t="shared" si="25"/>
        <v>-66089.340000000171</v>
      </c>
      <c r="BZ15" s="51"/>
      <c r="CA15" s="51">
        <f>SUM(BJ15:BU15)</f>
        <v>-89881.839999999967</v>
      </c>
      <c r="CB15" s="51"/>
      <c r="CC15" s="51">
        <v>6528.2700000000186</v>
      </c>
      <c r="CD15" s="51">
        <v>-37526.589999999967</v>
      </c>
      <c r="CE15" s="51">
        <v>76283.559999999939</v>
      </c>
    </row>
    <row r="16" spans="2:83" x14ac:dyDescent="0.25">
      <c r="B16" t="s">
        <v>196</v>
      </c>
      <c r="C16" s="51">
        <v>384459.98999999982</v>
      </c>
      <c r="D16" s="51">
        <v>392200.68</v>
      </c>
      <c r="E16" s="51">
        <v>398056.12000000011</v>
      </c>
      <c r="F16" s="51">
        <v>375279.67999999988</v>
      </c>
      <c r="G16" s="51">
        <f t="shared" si="10"/>
        <v>1165536.48</v>
      </c>
      <c r="H16" s="51"/>
      <c r="I16" s="51">
        <v>-14816.539999999801</v>
      </c>
      <c r="J16" s="51">
        <v>-10398.999999999771</v>
      </c>
      <c r="K16" s="51">
        <v>-2698.559999999823</v>
      </c>
      <c r="L16" s="51"/>
      <c r="M16" s="51">
        <f t="shared" si="11"/>
        <v>-27914.099999999395</v>
      </c>
      <c r="N16" s="51"/>
      <c r="O16" s="51">
        <f t="shared" si="12"/>
        <v>1137622.3800000006</v>
      </c>
      <c r="P16" s="51"/>
      <c r="Q16" s="51">
        <v>-1222.4200000001581</v>
      </c>
      <c r="R16" s="51">
        <v>13842.240000000689</v>
      </c>
      <c r="S16" s="51">
        <v>56539.339999999152</v>
      </c>
      <c r="T16" s="51"/>
      <c r="U16" s="51">
        <f t="shared" si="13"/>
        <v>69159.159999999683</v>
      </c>
      <c r="V16" s="51"/>
      <c r="W16" s="51">
        <v>31595.859999998469</v>
      </c>
      <c r="X16" s="51">
        <v>25703.990000002319</v>
      </c>
      <c r="Y16" s="51">
        <v>-205781.6800000002</v>
      </c>
      <c r="Z16" s="51"/>
      <c r="AA16" s="51">
        <f t="shared" si="14"/>
        <v>-148481.82999999941</v>
      </c>
      <c r="AB16" s="51"/>
      <c r="AC16" s="51">
        <f t="shared" si="15"/>
        <v>-79322.669999999722</v>
      </c>
      <c r="AD16" s="51"/>
      <c r="AE16" s="51">
        <f t="shared" si="16"/>
        <v>1058299.7100000009</v>
      </c>
      <c r="AG16" s="51">
        <v>57666.950000000157</v>
      </c>
      <c r="AH16" s="51">
        <v>27904.339999999938</v>
      </c>
      <c r="AI16" s="51">
        <v>66053.480000000476</v>
      </c>
      <c r="AJ16" s="51"/>
      <c r="AK16" s="51">
        <f t="shared" si="17"/>
        <v>151624.77000000057</v>
      </c>
      <c r="AL16" s="51"/>
      <c r="AM16" s="51">
        <v>89488.389999998704</v>
      </c>
      <c r="AN16" s="51">
        <v>112473.4199999999</v>
      </c>
      <c r="AO16" s="51">
        <v>112826.4700000007</v>
      </c>
      <c r="AP16" s="51"/>
      <c r="AQ16" s="51">
        <f t="shared" si="18"/>
        <v>314788.27999999933</v>
      </c>
      <c r="AR16" s="51"/>
      <c r="AS16" s="51">
        <f t="shared" si="19"/>
        <v>466413.04999999993</v>
      </c>
      <c r="AT16" s="51"/>
      <c r="AU16" s="51">
        <v>105280.4399999992</v>
      </c>
      <c r="AV16" s="51">
        <v>143270.29000000039</v>
      </c>
      <c r="AW16" s="51">
        <v>159460.56999999899</v>
      </c>
      <c r="AX16" s="51"/>
      <c r="AY16" s="51">
        <f t="shared" si="20"/>
        <v>408011.29999999853</v>
      </c>
      <c r="AZ16" s="51"/>
      <c r="BA16" s="51">
        <v>151077.12999999989</v>
      </c>
      <c r="BB16" s="51">
        <v>187338.62000000291</v>
      </c>
      <c r="BC16" s="51">
        <v>197245.08999999851</v>
      </c>
      <c r="BD16" s="51"/>
      <c r="BE16" s="51">
        <f t="shared" si="21"/>
        <v>535660.84000000125</v>
      </c>
      <c r="BF16" s="51"/>
      <c r="BG16" s="51">
        <f t="shared" si="22"/>
        <v>943672.1399999999</v>
      </c>
      <c r="BH16" s="51"/>
      <c r="BI16" s="51">
        <f t="shared" si="23"/>
        <v>1410085.19</v>
      </c>
      <c r="BJ16" s="51">
        <v>207239.05999999991</v>
      </c>
      <c r="BK16" s="51">
        <v>195013.08</v>
      </c>
      <c r="BL16" s="51">
        <v>144849.37</v>
      </c>
      <c r="BM16" s="51">
        <v>714727.3</v>
      </c>
      <c r="BN16" s="51">
        <v>777002.52</v>
      </c>
      <c r="BO16" s="51">
        <v>744540.08000000007</v>
      </c>
      <c r="BP16" s="51">
        <v>672727.21</v>
      </c>
      <c r="BQ16" s="51">
        <v>726660.72</v>
      </c>
      <c r="BR16" s="51">
        <v>786885.56</v>
      </c>
      <c r="BS16" s="51">
        <v>1080237.8400000001</v>
      </c>
      <c r="BT16" s="51">
        <v>791082.67999999993</v>
      </c>
      <c r="BU16" s="51">
        <v>885803.25</v>
      </c>
      <c r="BV16" s="51"/>
      <c r="BW16" s="51">
        <f t="shared" si="24"/>
        <v>2757123.77</v>
      </c>
      <c r="BX16" s="51"/>
      <c r="BY16" s="51">
        <f t="shared" si="25"/>
        <v>4943397.26</v>
      </c>
      <c r="BZ16" s="51"/>
      <c r="CA16" s="51">
        <f>SUM(BJ16:BU16)</f>
        <v>7726768.6699999999</v>
      </c>
      <c r="CB16" s="51"/>
      <c r="CC16" s="51">
        <v>828615.88</v>
      </c>
      <c r="CD16" s="51">
        <v>743112.13</v>
      </c>
      <c r="CE16" s="51">
        <v>853652.17</v>
      </c>
    </row>
    <row r="17" spans="2:84" x14ac:dyDescent="0.25">
      <c r="B17" t="s">
        <v>197</v>
      </c>
      <c r="C17" s="51">
        <v>109356.4199999999</v>
      </c>
      <c r="D17" s="51">
        <v>301296.69</v>
      </c>
      <c r="E17" s="51">
        <v>139257.7999999999</v>
      </c>
      <c r="F17" s="51">
        <v>232489.40999999989</v>
      </c>
      <c r="G17" s="51">
        <f t="shared" si="10"/>
        <v>673043.89999999979</v>
      </c>
      <c r="H17" s="51"/>
      <c r="I17" s="51">
        <v>263989.08000000019</v>
      </c>
      <c r="J17" s="51">
        <v>49350.589999999967</v>
      </c>
      <c r="K17" s="51">
        <v>39650.019999999793</v>
      </c>
      <c r="L17" s="51"/>
      <c r="M17" s="51">
        <f t="shared" si="11"/>
        <v>352989.68999999994</v>
      </c>
      <c r="N17" s="51"/>
      <c r="O17" s="51">
        <f t="shared" si="12"/>
        <v>1026033.5899999997</v>
      </c>
      <c r="P17" s="51"/>
      <c r="Q17" s="51">
        <v>112270.0199999999</v>
      </c>
      <c r="R17" s="51">
        <v>124876.7600000002</v>
      </c>
      <c r="S17" s="51">
        <v>45239.830000000307</v>
      </c>
      <c r="T17" s="51"/>
      <c r="U17" s="51">
        <f t="shared" si="13"/>
        <v>282386.61000000039</v>
      </c>
      <c r="V17" s="51"/>
      <c r="W17" s="51">
        <v>134299.4999999998</v>
      </c>
      <c r="X17" s="51">
        <v>83571.060000000056</v>
      </c>
      <c r="Y17" s="51">
        <v>57294.260000000242</v>
      </c>
      <c r="Z17" s="51"/>
      <c r="AA17" s="51">
        <f t="shared" si="14"/>
        <v>275164.82000000007</v>
      </c>
      <c r="AB17" s="51"/>
      <c r="AC17" s="51">
        <f t="shared" si="15"/>
        <v>557551.4300000004</v>
      </c>
      <c r="AD17" s="51"/>
      <c r="AE17" s="51">
        <f t="shared" si="16"/>
        <v>1583585.02</v>
      </c>
      <c r="AG17" s="51">
        <v>466252.26</v>
      </c>
      <c r="AH17" s="51">
        <v>248335.25000000009</v>
      </c>
      <c r="AI17" s="51">
        <v>203476.7999999999</v>
      </c>
      <c r="AJ17" s="51"/>
      <c r="AK17" s="51">
        <f t="shared" si="17"/>
        <v>918064.31</v>
      </c>
      <c r="AL17" s="51"/>
      <c r="AM17" s="51">
        <v>282459.25999999989</v>
      </c>
      <c r="AN17" s="51">
        <v>245432.29</v>
      </c>
      <c r="AO17" s="51">
        <v>206602.15999999989</v>
      </c>
      <c r="AP17" s="51"/>
      <c r="AQ17" s="51">
        <f t="shared" si="18"/>
        <v>734493.70999999985</v>
      </c>
      <c r="AR17" s="51"/>
      <c r="AS17" s="51">
        <f t="shared" si="19"/>
        <v>1652558.0199999996</v>
      </c>
      <c r="AT17" s="51"/>
      <c r="AU17" s="51">
        <v>270758.64000000007</v>
      </c>
      <c r="AV17" s="51">
        <v>266385.46999999997</v>
      </c>
      <c r="AW17" s="51">
        <v>271784.93000000058</v>
      </c>
      <c r="AX17" s="51"/>
      <c r="AY17" s="51">
        <f t="shared" si="20"/>
        <v>808929.04000000074</v>
      </c>
      <c r="AZ17" s="51"/>
      <c r="BA17" s="51">
        <v>249579.28000000029</v>
      </c>
      <c r="BB17" s="51">
        <v>275812.1099999994</v>
      </c>
      <c r="BC17" s="51">
        <v>211510.1400000001</v>
      </c>
      <c r="BD17" s="51"/>
      <c r="BE17" s="51">
        <f t="shared" si="21"/>
        <v>736901.5299999998</v>
      </c>
      <c r="BF17" s="51"/>
      <c r="BG17" s="51">
        <f t="shared" si="22"/>
        <v>1545830.5700000005</v>
      </c>
      <c r="BH17" s="51"/>
      <c r="BI17" s="51">
        <f t="shared" si="23"/>
        <v>3198388.59</v>
      </c>
      <c r="BJ17" s="51">
        <v>240407.82</v>
      </c>
      <c r="BK17" s="51">
        <v>411839.17</v>
      </c>
      <c r="BL17" s="51">
        <v>279665.81000000011</v>
      </c>
      <c r="BM17" s="51">
        <v>373531.62999999989</v>
      </c>
      <c r="BN17" s="51">
        <v>295129.34000000003</v>
      </c>
      <c r="BO17" s="51">
        <v>298405.15999999997</v>
      </c>
      <c r="BP17" s="51">
        <v>423635.39</v>
      </c>
      <c r="BQ17" s="51">
        <v>406830.35</v>
      </c>
      <c r="BR17" s="51">
        <v>414584.86</v>
      </c>
      <c r="BS17" s="51">
        <v>503719.17</v>
      </c>
      <c r="BT17" s="51">
        <v>349160.14</v>
      </c>
      <c r="BU17" s="51">
        <v>326824.55</v>
      </c>
      <c r="BV17" s="51"/>
      <c r="BW17" s="51">
        <f t="shared" si="24"/>
        <v>1179703.8600000001</v>
      </c>
      <c r="BX17" s="51"/>
      <c r="BY17" s="51">
        <f t="shared" si="25"/>
        <v>2424754.46</v>
      </c>
      <c r="BZ17" s="51"/>
      <c r="CA17" s="51">
        <f>SUM(BJ17:BU17)</f>
        <v>4323733.3899999997</v>
      </c>
      <c r="CB17" s="51"/>
      <c r="CC17" s="51">
        <v>397092.06000000011</v>
      </c>
      <c r="CD17" s="51">
        <v>252933.85</v>
      </c>
      <c r="CE17" s="51">
        <v>478274.25</v>
      </c>
    </row>
    <row r="18" spans="2:84" x14ac:dyDescent="0.25">
      <c r="B18" t="s">
        <v>198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>
        <v>25293.19</v>
      </c>
      <c r="BK18" s="51">
        <v>19767.84</v>
      </c>
      <c r="BL18" s="51">
        <v>20060.59</v>
      </c>
      <c r="BM18" s="51">
        <v>30800.68</v>
      </c>
      <c r="BN18" s="51">
        <v>15422.58</v>
      </c>
      <c r="BO18" s="51">
        <v>26663.53</v>
      </c>
      <c r="BP18" s="51">
        <v>51975.090000000011</v>
      </c>
      <c r="BQ18" s="51">
        <v>44285.86</v>
      </c>
      <c r="BR18" s="51">
        <v>86107.31</v>
      </c>
      <c r="BS18" s="51">
        <v>79295.220000000016</v>
      </c>
      <c r="BT18" s="51">
        <v>68143.259999999995</v>
      </c>
      <c r="BU18" s="51">
        <v>77136.359999999986</v>
      </c>
      <c r="BV18" s="51"/>
      <c r="BW18" s="51">
        <f t="shared" si="24"/>
        <v>224574.84</v>
      </c>
      <c r="BX18" s="51"/>
      <c r="BY18" s="51">
        <f t="shared" si="25"/>
        <v>406943.1</v>
      </c>
      <c r="BZ18" s="51"/>
      <c r="CA18" s="51">
        <f>SUM(BJ18:BU18)</f>
        <v>544951.51</v>
      </c>
      <c r="CB18" s="51"/>
      <c r="CC18" s="51">
        <v>113327.59</v>
      </c>
      <c r="CD18" s="51">
        <v>-629.71999999999116</v>
      </c>
      <c r="CE18" s="51">
        <v>-202789.07</v>
      </c>
    </row>
    <row r="19" spans="2:84" x14ac:dyDescent="0.25">
      <c r="B19" s="8" t="s">
        <v>199</v>
      </c>
      <c r="C19" s="64">
        <v>-647967.51000000117</v>
      </c>
      <c r="D19" s="64">
        <v>3413438.71</v>
      </c>
      <c r="E19" s="64">
        <v>76555.929999999062</v>
      </c>
      <c r="F19" s="64">
        <v>1854471.8800000011</v>
      </c>
      <c r="G19" s="64">
        <f>SUM(D19:F19)</f>
        <v>5344466.5200000005</v>
      </c>
      <c r="H19" s="51"/>
      <c r="I19" s="64">
        <v>947786.42000000202</v>
      </c>
      <c r="J19" s="64">
        <v>1044795.27</v>
      </c>
      <c r="K19" s="64">
        <v>383120.0900000009</v>
      </c>
      <c r="L19" s="51"/>
      <c r="M19" s="64">
        <f>SUM(I19:K19)</f>
        <v>2375701.7800000031</v>
      </c>
      <c r="N19" s="51"/>
      <c r="O19" s="64">
        <f>SUM(I19:K19,D19:F19)</f>
        <v>7720168.3000000026</v>
      </c>
      <c r="P19" s="51"/>
      <c r="Q19" s="64">
        <v>370689.56000000512</v>
      </c>
      <c r="R19" s="64">
        <v>260575.31999999989</v>
      </c>
      <c r="S19" s="64">
        <v>-115849.11000000199</v>
      </c>
      <c r="T19" s="51"/>
      <c r="U19" s="64">
        <f>SUM(Q19:S19)</f>
        <v>515415.77000000305</v>
      </c>
      <c r="V19" s="51"/>
      <c r="W19" s="64">
        <v>386800.8499999959</v>
      </c>
      <c r="X19" s="64">
        <v>-159462.6299999895</v>
      </c>
      <c r="Y19" s="64">
        <v>-359916.75000000338</v>
      </c>
      <c r="Z19" s="51"/>
      <c r="AA19" s="64">
        <f>SUM(W19:Y19)</f>
        <v>-132578.52999999697</v>
      </c>
      <c r="AB19" s="51"/>
      <c r="AC19" s="64">
        <f>SUM(W19:Y19,Q19:S19)</f>
        <v>382837.24000000604</v>
      </c>
      <c r="AD19" s="51"/>
      <c r="AE19" s="64">
        <f>O19+AC19</f>
        <v>8103005.5400000084</v>
      </c>
      <c r="AG19" s="64">
        <v>842577.63000000082</v>
      </c>
      <c r="AH19" s="64">
        <v>899941.11000000057</v>
      </c>
      <c r="AI19" s="64">
        <v>681628.72999999882</v>
      </c>
      <c r="AJ19" s="51"/>
      <c r="AK19" s="64">
        <f>SUM(AG19:AI19)</f>
        <v>2424147.4700000002</v>
      </c>
      <c r="AL19" s="51"/>
      <c r="AM19" s="64">
        <v>798509.79999999551</v>
      </c>
      <c r="AN19" s="64">
        <v>1208938.52</v>
      </c>
      <c r="AO19" s="64">
        <v>688128.30000000331</v>
      </c>
      <c r="AP19" s="51"/>
      <c r="AQ19" s="64">
        <f>SUM(AM19:AO19)</f>
        <v>2695576.6199999992</v>
      </c>
      <c r="AR19" s="51"/>
      <c r="AS19" s="64">
        <f>SUM(AM19:AO19,AG19:AI19)</f>
        <v>5119724.0899999989</v>
      </c>
      <c r="AT19" s="51"/>
      <c r="AU19" s="64">
        <v>870261.96999999846</v>
      </c>
      <c r="AV19" s="64">
        <v>547591.58999999962</v>
      </c>
      <c r="AW19" s="64">
        <v>1107599.630000002</v>
      </c>
      <c r="AX19" s="51"/>
      <c r="AY19" s="64">
        <f>SUM(AU19:AW19)</f>
        <v>2525453.1900000004</v>
      </c>
      <c r="AZ19" s="51"/>
      <c r="BA19" s="64">
        <v>415303.8299999896</v>
      </c>
      <c r="BB19" s="64">
        <v>641024.61000000848</v>
      </c>
      <c r="BC19" s="64">
        <v>1370443.76</v>
      </c>
      <c r="BD19" s="51"/>
      <c r="BE19" s="64">
        <f>SUM(BA19:BC19)</f>
        <v>2426772.1999999983</v>
      </c>
      <c r="BF19" s="51"/>
      <c r="BG19" s="64">
        <f>SUM(BA19:BC19,AU19:AW19)</f>
        <v>4952225.3899999978</v>
      </c>
      <c r="BH19" s="51"/>
      <c r="BI19" s="64">
        <f>AS19+BG19</f>
        <v>10071949.479999997</v>
      </c>
      <c r="BJ19" s="64">
        <f t="shared" ref="BJ19:BU19" si="26">SUM(BJ10:BJ18)</f>
        <v>899440.40000000014</v>
      </c>
      <c r="BK19" s="64">
        <f t="shared" si="26"/>
        <v>750287.47999999986</v>
      </c>
      <c r="BL19" s="64">
        <f t="shared" si="26"/>
        <v>799328.24000000011</v>
      </c>
      <c r="BM19" s="64">
        <f t="shared" si="26"/>
        <v>2107078.8400000003</v>
      </c>
      <c r="BN19" s="64">
        <f t="shared" si="26"/>
        <v>1990832.84</v>
      </c>
      <c r="BO19" s="64">
        <f t="shared" si="26"/>
        <v>1930368.0400000003</v>
      </c>
      <c r="BP19" s="64">
        <f t="shared" si="26"/>
        <v>1999655.34</v>
      </c>
      <c r="BQ19" s="64">
        <f t="shared" si="26"/>
        <v>2250657.6</v>
      </c>
      <c r="BR19" s="64">
        <f t="shared" si="26"/>
        <v>2139552.02</v>
      </c>
      <c r="BS19" s="64">
        <f t="shared" si="26"/>
        <v>3198644.6</v>
      </c>
      <c r="BT19" s="64">
        <f t="shared" si="26"/>
        <v>2043719.16</v>
      </c>
      <c r="BU19" s="64">
        <f t="shared" si="26"/>
        <v>2104250.5</v>
      </c>
      <c r="BV19" s="51"/>
      <c r="BW19" s="64">
        <f t="shared" si="24"/>
        <v>7346614.2599999998</v>
      </c>
      <c r="BX19" s="51"/>
      <c r="BY19" s="64">
        <f t="shared" si="25"/>
        <v>13736479.219999999</v>
      </c>
      <c r="BZ19" s="51"/>
      <c r="CA19" s="64">
        <f>SUM(CA10:CA18)</f>
        <v>22213815.060000002</v>
      </c>
      <c r="CB19" s="51"/>
      <c r="CC19" s="64">
        <f>SUM(CC10:CC18)</f>
        <v>1948578.9200000002</v>
      </c>
      <c r="CD19" s="64">
        <f>SUM(CD10:CD18)</f>
        <v>1926006.63</v>
      </c>
      <c r="CE19" s="64">
        <f>SUM(CE10:CE18)</f>
        <v>3021711.39</v>
      </c>
    </row>
    <row r="20" spans="2:84" ht="6.75" customHeight="1" x14ac:dyDescent="0.25"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C20" s="51"/>
      <c r="CD20" s="51"/>
      <c r="CE20" s="51"/>
    </row>
    <row r="21" spans="2:84" x14ac:dyDescent="0.25">
      <c r="B21" s="7" t="s">
        <v>200</v>
      </c>
      <c r="C21" s="65">
        <v>-1949518.0499998231</v>
      </c>
      <c r="D21" s="65">
        <v>569853.5300000119</v>
      </c>
      <c r="E21" s="65">
        <v>-655977.71000001463</v>
      </c>
      <c r="F21" s="65">
        <v>8261102.2499999348</v>
      </c>
      <c r="G21" s="65">
        <f>SUM(D21:F21)</f>
        <v>8174978.0699999323</v>
      </c>
      <c r="H21" s="51"/>
      <c r="I21" s="65">
        <v>-918167.07999995002</v>
      </c>
      <c r="J21" s="65">
        <v>1018573.03000007</v>
      </c>
      <c r="K21" s="65">
        <v>2531989.759999983</v>
      </c>
      <c r="L21" s="51"/>
      <c r="M21" s="65">
        <f>SUM(I21:K21)</f>
        <v>2632395.7100001029</v>
      </c>
      <c r="N21" s="51"/>
      <c r="O21" s="65">
        <f>SUM(I21:K21,D21:F21)</f>
        <v>10807373.780000035</v>
      </c>
      <c r="P21" s="51"/>
      <c r="Q21" s="65">
        <v>173219.1299999523</v>
      </c>
      <c r="R21" s="65">
        <v>-345764.52000004752</v>
      </c>
      <c r="S21" s="65">
        <v>5821345.6400000826</v>
      </c>
      <c r="T21" s="51"/>
      <c r="U21" s="65">
        <f>SUM(Q21:S21)</f>
        <v>5648800.249999987</v>
      </c>
      <c r="V21" s="51"/>
      <c r="W21" s="65">
        <v>2631177.359999964</v>
      </c>
      <c r="X21" s="65">
        <v>1917463.3399998201</v>
      </c>
      <c r="Y21" s="65">
        <v>6352519.9800001886</v>
      </c>
      <c r="Z21" s="51"/>
      <c r="AA21" s="65">
        <f>SUM(W21:Y21)</f>
        <v>10901160.679999974</v>
      </c>
      <c r="AB21" s="51"/>
      <c r="AC21" s="65">
        <f>SUM(W21:Y21,Q21:S21)</f>
        <v>16549960.929999961</v>
      </c>
      <c r="AD21" s="51"/>
      <c r="AE21" s="65">
        <f>O21+AC21</f>
        <v>27357334.709999993</v>
      </c>
      <c r="AG21" s="65">
        <v>916831.04999999655</v>
      </c>
      <c r="AH21" s="65">
        <v>2129159.659999988</v>
      </c>
      <c r="AI21" s="65">
        <v>2080825.3200000259</v>
      </c>
      <c r="AJ21" s="51"/>
      <c r="AK21" s="65">
        <f>SUM(AG21:AI21)</f>
        <v>5126816.0300000105</v>
      </c>
      <c r="AL21" s="51"/>
      <c r="AM21" s="65">
        <v>2526186.020000007</v>
      </c>
      <c r="AN21" s="65">
        <v>1519360.2600000061</v>
      </c>
      <c r="AO21" s="65">
        <v>5447326.4599998789</v>
      </c>
      <c r="AP21" s="51"/>
      <c r="AQ21" s="65">
        <f>SUM(AM21:AO21)</f>
        <v>9492872.7399998922</v>
      </c>
      <c r="AR21" s="51"/>
      <c r="AS21" s="65">
        <f>SUM(AM21:AO21,AG21:AI21)</f>
        <v>14619688.769999903</v>
      </c>
      <c r="AT21" s="51"/>
      <c r="AU21" s="65">
        <v>1941839.3100001209</v>
      </c>
      <c r="AV21" s="65">
        <v>1817667.9299999729</v>
      </c>
      <c r="AW21" s="65">
        <v>4568431.5700000627</v>
      </c>
      <c r="AX21" s="51"/>
      <c r="AY21" s="65">
        <f>SUM(AU21:AW21)</f>
        <v>8327938.810000157</v>
      </c>
      <c r="AZ21" s="51"/>
      <c r="BA21" s="65">
        <v>666753.46000003233</v>
      </c>
      <c r="BB21" s="65">
        <v>2806903.5400000368</v>
      </c>
      <c r="BC21" s="65">
        <v>9915383.9599999804</v>
      </c>
      <c r="BD21" s="51"/>
      <c r="BE21" s="65">
        <f>SUM(BA21:BC21)</f>
        <v>13389040.960000049</v>
      </c>
      <c r="BF21" s="51"/>
      <c r="BG21" s="65">
        <f>SUM(BA21:BC21,AU21:AW21)</f>
        <v>21716979.770000208</v>
      </c>
      <c r="BH21" s="51"/>
      <c r="BI21" s="65">
        <f>AS21+BG21</f>
        <v>36336668.540000111</v>
      </c>
      <c r="BJ21" s="65">
        <f t="shared" ref="BJ21:BU21" si="27">BJ8+BJ19</f>
        <v>2007401.9800000023</v>
      </c>
      <c r="BK21" s="65">
        <f t="shared" si="27"/>
        <v>1106925.05</v>
      </c>
      <c r="BL21" s="65">
        <f t="shared" si="27"/>
        <v>6325716.1999999993</v>
      </c>
      <c r="BM21" s="65">
        <f t="shared" si="27"/>
        <v>6211483.1900000013</v>
      </c>
      <c r="BN21" s="65">
        <f t="shared" si="27"/>
        <v>4257159.5300000021</v>
      </c>
      <c r="BO21" s="65">
        <f t="shared" si="27"/>
        <v>6674743.1799999997</v>
      </c>
      <c r="BP21" s="65">
        <f t="shared" si="27"/>
        <v>4362938.25</v>
      </c>
      <c r="BQ21" s="65">
        <f t="shared" si="27"/>
        <v>4217899.7500000037</v>
      </c>
      <c r="BR21" s="65">
        <f t="shared" si="27"/>
        <v>5095553.7699999996</v>
      </c>
      <c r="BS21" s="65">
        <f t="shared" si="27"/>
        <v>3477451.5000000014</v>
      </c>
      <c r="BT21" s="65">
        <f t="shared" si="27"/>
        <v>5826765.5700000031</v>
      </c>
      <c r="BU21" s="65">
        <f t="shared" si="27"/>
        <v>6345577.7700000014</v>
      </c>
      <c r="BV21" s="51"/>
      <c r="BW21" s="65">
        <f>SUM(BS21:BU21)</f>
        <v>15649794.840000005</v>
      </c>
      <c r="BX21" s="51"/>
      <c r="BY21" s="65">
        <f>SUM(BS21:BU21,BP21:BR21)</f>
        <v>29326186.610000007</v>
      </c>
      <c r="BZ21" s="51"/>
      <c r="CA21" s="65">
        <f>CA19+CA8</f>
        <v>55909615.74000001</v>
      </c>
      <c r="CB21" s="51"/>
      <c r="CC21" s="65">
        <f>CC8+CC19</f>
        <v>3771789.0500000017</v>
      </c>
      <c r="CD21" s="65">
        <f>CD8+CD19</f>
        <v>4309722.3399999989</v>
      </c>
      <c r="CE21" s="65">
        <f>CE8+CE19</f>
        <v>7587055.1199999992</v>
      </c>
    </row>
    <row r="22" spans="2:84" ht="6.75" customHeight="1" x14ac:dyDescent="0.25"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C22" s="51"/>
      <c r="CD22" s="51"/>
      <c r="CE22" s="51"/>
    </row>
    <row r="23" spans="2:84" x14ac:dyDescent="0.25">
      <c r="B23" t="s">
        <v>201</v>
      </c>
      <c r="C23" s="51">
        <v>-744679.00999999978</v>
      </c>
      <c r="D23" s="51">
        <v>2842467.48</v>
      </c>
      <c r="E23" s="51">
        <v>-84774.049999999814</v>
      </c>
      <c r="F23" s="51">
        <v>1734470.08</v>
      </c>
      <c r="G23" s="51">
        <f>SUM(D23:F23)</f>
        <v>4492163.51</v>
      </c>
      <c r="H23" s="51"/>
      <c r="I23" s="51">
        <v>336223.28000000032</v>
      </c>
      <c r="J23" s="51">
        <v>424533.91999999993</v>
      </c>
      <c r="K23" s="51">
        <v>146560.61000000031</v>
      </c>
      <c r="L23" s="51"/>
      <c r="M23" s="51">
        <f>SUM(I23:K23)</f>
        <v>907317.81000000052</v>
      </c>
      <c r="N23" s="51"/>
      <c r="O23" s="51">
        <f>SUM(I23:K23,D23:F23)</f>
        <v>5399481.3200000003</v>
      </c>
      <c r="P23" s="51"/>
      <c r="Q23" s="51">
        <v>91429.049999999814</v>
      </c>
      <c r="R23" s="51">
        <v>-137973.28000000029</v>
      </c>
      <c r="S23" s="51">
        <v>-239435.30999999959</v>
      </c>
      <c r="T23" s="51"/>
      <c r="U23" s="51">
        <f>SUM(Q23:S23)</f>
        <v>-285979.54000000004</v>
      </c>
      <c r="V23" s="51"/>
      <c r="W23" s="51">
        <v>273119.43999999948</v>
      </c>
      <c r="X23" s="51">
        <v>-431524.45000000019</v>
      </c>
      <c r="Y23" s="51">
        <v>-600734.71999999974</v>
      </c>
      <c r="Z23" s="51"/>
      <c r="AA23" s="51">
        <f>SUM(W23:Y23)</f>
        <v>-759139.73000000045</v>
      </c>
      <c r="AB23" s="51"/>
      <c r="AC23" s="51">
        <f>SUM(W23:Y23,Q23:S23)</f>
        <v>-1045119.2700000005</v>
      </c>
      <c r="AD23" s="51"/>
      <c r="AE23" s="51">
        <f>O23+AC23</f>
        <v>4354362.05</v>
      </c>
      <c r="AG23" s="51">
        <v>767440.02</v>
      </c>
      <c r="AH23" s="51">
        <v>750979.89999999991</v>
      </c>
      <c r="AI23" s="51">
        <v>432757.06000000011</v>
      </c>
      <c r="AJ23" s="51"/>
      <c r="AK23" s="51">
        <f>SUM(AG23:AI23)</f>
        <v>1951176.98</v>
      </c>
      <c r="AL23" s="51"/>
      <c r="AM23" s="51">
        <v>662524.89000000013</v>
      </c>
      <c r="AN23" s="51">
        <v>842029.62000000011</v>
      </c>
      <c r="AO23" s="51">
        <v>593382.21</v>
      </c>
      <c r="AP23" s="51"/>
      <c r="AQ23" s="51">
        <f>SUM(AM23:AO23)</f>
        <v>2097936.7200000002</v>
      </c>
      <c r="AR23" s="51"/>
      <c r="AS23" s="51">
        <f>SUM(AM23:AO23,AG23:AI23)</f>
        <v>4049113.7</v>
      </c>
      <c r="AT23" s="51"/>
      <c r="AU23" s="51">
        <v>744180.93000000063</v>
      </c>
      <c r="AV23" s="51">
        <v>486306.51999999862</v>
      </c>
      <c r="AW23" s="51">
        <v>1014721.44</v>
      </c>
      <c r="AX23" s="51"/>
      <c r="AY23" s="51">
        <f>SUM(AU23:AW23)</f>
        <v>2245208.8899999992</v>
      </c>
      <c r="AZ23" s="51"/>
      <c r="BA23" s="51">
        <v>214691.41000000009</v>
      </c>
      <c r="BB23" s="51">
        <v>875982.28000000119</v>
      </c>
      <c r="BC23" s="51">
        <v>798970.01999999955</v>
      </c>
      <c r="BD23" s="51"/>
      <c r="BE23" s="51">
        <f>SUM(BA23:BC23)</f>
        <v>1889643.7100000009</v>
      </c>
      <c r="BF23" s="51"/>
      <c r="BG23" s="51">
        <f>SUM(BA23:BC23,AU23:AW23)</f>
        <v>4134852.6</v>
      </c>
      <c r="BH23" s="51"/>
      <c r="BI23" s="51">
        <f>AS23+BG23</f>
        <v>8183966.3000000007</v>
      </c>
      <c r="BJ23" s="51">
        <v>828965.29</v>
      </c>
      <c r="BK23" s="51">
        <v>642854.07999999996</v>
      </c>
      <c r="BL23" s="51">
        <v>537859.73</v>
      </c>
      <c r="BM23" s="51">
        <v>2092438.71</v>
      </c>
      <c r="BN23" s="51">
        <v>1856223.51</v>
      </c>
      <c r="BO23" s="51">
        <v>1915228.42</v>
      </c>
      <c r="BP23" s="51">
        <v>1829491.13</v>
      </c>
      <c r="BQ23" s="51">
        <v>2018509.08</v>
      </c>
      <c r="BR23" s="51">
        <v>2651795.33</v>
      </c>
      <c r="BS23" s="51">
        <v>2635218.7999999998</v>
      </c>
      <c r="BT23" s="51">
        <v>1724928.1</v>
      </c>
      <c r="BU23" s="51">
        <v>1816891.28</v>
      </c>
      <c r="BV23" s="51"/>
      <c r="BW23" s="51">
        <f>SUM(BS23:BU23)</f>
        <v>6177038.1800000006</v>
      </c>
      <c r="BX23" s="51"/>
      <c r="BY23" s="51">
        <f>SUM(BS23:BU23,BP23:BR23)</f>
        <v>12676833.720000001</v>
      </c>
      <c r="BZ23" s="51"/>
      <c r="CA23" s="51">
        <v>21120254.859999999</v>
      </c>
      <c r="CC23" s="51">
        <v>1918146.65</v>
      </c>
      <c r="CD23" s="51">
        <v>1655618.97</v>
      </c>
      <c r="CE23" s="51">
        <v>2648896.4</v>
      </c>
      <c r="CF23" s="340"/>
    </row>
    <row r="24" spans="2:84" x14ac:dyDescent="0.25">
      <c r="B24" t="s">
        <v>202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C24" s="51">
        <v>1872781.9</v>
      </c>
      <c r="CD24" s="51">
        <v>1605888.7</v>
      </c>
      <c r="CE24" s="51">
        <v>2563268.63</v>
      </c>
      <c r="CF24" s="340"/>
    </row>
    <row r="25" spans="2:84" ht="14.45" customHeight="1" x14ac:dyDescent="0.25">
      <c r="B25" t="s">
        <v>203</v>
      </c>
      <c r="C25" s="55"/>
      <c r="D25" s="55"/>
      <c r="E25" s="55"/>
      <c r="F25" s="55"/>
      <c r="G25" s="51"/>
      <c r="H25" s="55"/>
      <c r="I25" s="55"/>
      <c r="J25" s="55"/>
      <c r="K25" s="55"/>
      <c r="L25" s="55"/>
      <c r="M25" s="51"/>
      <c r="N25" s="55"/>
      <c r="O25" s="51"/>
      <c r="P25" s="55"/>
      <c r="Q25" s="55"/>
      <c r="R25" s="55"/>
      <c r="S25" s="55"/>
      <c r="T25" s="55"/>
      <c r="U25" s="51"/>
      <c r="V25" s="55"/>
      <c r="W25" s="55"/>
      <c r="X25" s="55"/>
      <c r="Y25" s="55"/>
      <c r="Z25" s="55"/>
      <c r="AA25" s="51"/>
      <c r="AB25" s="55"/>
      <c r="AC25" s="51"/>
      <c r="AD25" s="55"/>
      <c r="AE25" s="51"/>
      <c r="AG25" s="55"/>
      <c r="AH25" s="55"/>
      <c r="AI25" s="55"/>
      <c r="AJ25" s="55"/>
      <c r="AK25" s="51"/>
      <c r="AL25" s="55"/>
      <c r="AM25" s="55"/>
      <c r="AN25" s="55"/>
      <c r="AO25" s="55"/>
      <c r="AP25" s="55"/>
      <c r="AQ25" s="51"/>
      <c r="AR25" s="55"/>
      <c r="AS25" s="51"/>
      <c r="AT25" s="55"/>
      <c r="AU25" s="55"/>
      <c r="AV25" s="55"/>
      <c r="AW25" s="55"/>
      <c r="AX25" s="55"/>
      <c r="AY25" s="51"/>
      <c r="AZ25" s="55"/>
      <c r="BA25" s="55"/>
      <c r="BB25" s="55"/>
      <c r="BC25" s="55"/>
      <c r="BD25" s="55"/>
      <c r="BE25" s="51"/>
      <c r="BF25" s="55"/>
      <c r="BG25" s="51"/>
      <c r="BH25" s="55"/>
      <c r="BI25" s="51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1"/>
      <c r="BX25" s="55"/>
      <c r="BY25" s="51"/>
      <c r="BZ25" s="55"/>
      <c r="CA25" s="55" t="e">
        <f>CA23-#REF!-#REF!</f>
        <v>#REF!</v>
      </c>
      <c r="CC25" s="55">
        <v>45364.750000000007</v>
      </c>
      <c r="CD25" s="55">
        <v>49730.269999999829</v>
      </c>
      <c r="CE25" s="55">
        <f>CE23-CE24</f>
        <v>85627.770000000019</v>
      </c>
    </row>
    <row r="26" spans="2:84" x14ac:dyDescent="0.25">
      <c r="B26" s="21" t="s">
        <v>204</v>
      </c>
      <c r="C26" s="66" t="e">
        <f>C21+#REF!</f>
        <v>#REF!</v>
      </c>
      <c r="D26" s="66" t="e">
        <f>D21+#REF!</f>
        <v>#REF!</v>
      </c>
      <c r="E26" s="66" t="e">
        <f>E21+#REF!</f>
        <v>#REF!</v>
      </c>
      <c r="F26" s="66" t="e">
        <f>F21+#REF!</f>
        <v>#REF!</v>
      </c>
      <c r="G26" s="66" t="e">
        <f>G21+#REF!</f>
        <v>#REF!</v>
      </c>
      <c r="H26" s="55"/>
      <c r="I26" s="66" t="e">
        <f>I21+#REF!</f>
        <v>#REF!</v>
      </c>
      <c r="J26" s="66" t="e">
        <f>J21+#REF!</f>
        <v>#REF!</v>
      </c>
      <c r="K26" s="66" t="e">
        <f>K21+#REF!</f>
        <v>#REF!</v>
      </c>
      <c r="L26" s="55"/>
      <c r="M26" s="66" t="e">
        <f>SUM(I26:K26)</f>
        <v>#REF!</v>
      </c>
      <c r="N26" s="55"/>
      <c r="O26" s="66" t="e">
        <f>SUM(I26:K26,D26:F26)</f>
        <v>#REF!</v>
      </c>
      <c r="P26" s="55"/>
      <c r="Q26" s="66" t="e">
        <f>Q21+#REF!</f>
        <v>#REF!</v>
      </c>
      <c r="R26" s="66" t="e">
        <f>R21+#REF!</f>
        <v>#REF!</v>
      </c>
      <c r="S26" s="66" t="e">
        <f>S21+#REF!</f>
        <v>#REF!</v>
      </c>
      <c r="T26" s="55"/>
      <c r="U26" s="66" t="e">
        <f>SUM(Q26:S26)</f>
        <v>#REF!</v>
      </c>
      <c r="V26" s="55"/>
      <c r="W26" s="66" t="e">
        <f>W21+#REF!</f>
        <v>#REF!</v>
      </c>
      <c r="X26" s="66" t="e">
        <f>X21+#REF!</f>
        <v>#REF!</v>
      </c>
      <c r="Y26" s="66" t="e">
        <f>Y21+#REF!</f>
        <v>#REF!</v>
      </c>
      <c r="Z26" s="55"/>
      <c r="AA26" s="66" t="e">
        <f>SUM(W26:Y26)</f>
        <v>#REF!</v>
      </c>
      <c r="AB26" s="55"/>
      <c r="AC26" s="66" t="e">
        <f>SUM(W26:Y26,Q26:S26)</f>
        <v>#REF!</v>
      </c>
      <c r="AD26" s="55"/>
      <c r="AE26" s="66" t="e">
        <f>AE21+#REF!</f>
        <v>#REF!</v>
      </c>
      <c r="AG26" s="66" t="e">
        <f>AG21+#REF!</f>
        <v>#REF!</v>
      </c>
      <c r="AH26" s="66" t="e">
        <f>AH21+#REF!</f>
        <v>#REF!</v>
      </c>
      <c r="AI26" s="66" t="e">
        <f>AI21+#REF!</f>
        <v>#REF!</v>
      </c>
      <c r="AJ26" s="55"/>
      <c r="AK26" s="66" t="e">
        <f>AK21+#REF!</f>
        <v>#REF!</v>
      </c>
      <c r="AL26" s="55"/>
      <c r="AM26" s="66" t="e">
        <f>AM21+#REF!</f>
        <v>#REF!</v>
      </c>
      <c r="AN26" s="66" t="e">
        <f>AN21+#REF!</f>
        <v>#REF!</v>
      </c>
      <c r="AO26" s="66" t="e">
        <f>AO21+#REF!</f>
        <v>#REF!</v>
      </c>
      <c r="AP26" s="55"/>
      <c r="AQ26" s="66" t="e">
        <f>SUM(AM26:AO26)</f>
        <v>#REF!</v>
      </c>
      <c r="AR26" s="55"/>
      <c r="AS26" s="66" t="e">
        <f>SUM(AM26:AO26,AG26:AI26)</f>
        <v>#REF!</v>
      </c>
      <c r="AT26" s="55"/>
      <c r="AU26" s="66" t="e">
        <f>AU21+#REF!</f>
        <v>#REF!</v>
      </c>
      <c r="AV26" s="66" t="e">
        <f>AV21+#REF!</f>
        <v>#REF!</v>
      </c>
      <c r="AW26" s="66" t="e">
        <f>AW21+#REF!</f>
        <v>#REF!</v>
      </c>
      <c r="AX26" s="55"/>
      <c r="AY26" s="66" t="e">
        <f>SUM(AU26:AW26)</f>
        <v>#REF!</v>
      </c>
      <c r="AZ26" s="55"/>
      <c r="BA26" s="66" t="e">
        <f>BA21+#REF!</f>
        <v>#REF!</v>
      </c>
      <c r="BB26" s="66" t="e">
        <f>BB21+#REF!</f>
        <v>#REF!</v>
      </c>
      <c r="BC26" s="66" t="e">
        <f>BC21+#REF!</f>
        <v>#REF!</v>
      </c>
      <c r="BD26" s="55"/>
      <c r="BE26" s="66" t="e">
        <f>SUM(BA26:BC26)</f>
        <v>#REF!</v>
      </c>
      <c r="BF26" s="55"/>
      <c r="BG26" s="66" t="e">
        <f>SUM(BA26:BC26,AU26:AW26)</f>
        <v>#REF!</v>
      </c>
      <c r="BH26" s="55"/>
      <c r="BI26" s="66" t="e">
        <f>BI21+#REF!</f>
        <v>#REF!</v>
      </c>
      <c r="BJ26" s="66" t="e">
        <f>BJ21+#REF!</f>
        <v>#REF!</v>
      </c>
      <c r="BK26" s="66" t="e">
        <f>BK21+#REF!</f>
        <v>#REF!</v>
      </c>
      <c r="BL26" s="66" t="e">
        <f>BL21+#REF!</f>
        <v>#REF!</v>
      </c>
      <c r="BM26" s="66" t="e">
        <f>BM21+#REF!</f>
        <v>#REF!</v>
      </c>
      <c r="BN26" s="66" t="e">
        <f>BN21+#REF!</f>
        <v>#REF!</v>
      </c>
      <c r="BO26" s="66" t="e">
        <f>BO21+#REF!</f>
        <v>#REF!</v>
      </c>
      <c r="BP26" s="66" t="e">
        <f>BP21+#REF!</f>
        <v>#REF!</v>
      </c>
      <c r="BQ26" s="66" t="e">
        <f>BQ21+#REF!</f>
        <v>#REF!</v>
      </c>
      <c r="BR26" s="66" t="e">
        <f>BR21+#REF!</f>
        <v>#REF!</v>
      </c>
      <c r="BS26" s="66" t="e">
        <f>BS21+#REF!</f>
        <v>#REF!</v>
      </c>
      <c r="BT26" s="66" t="e">
        <f>BT21+#REF!</f>
        <v>#REF!</v>
      </c>
      <c r="BU26" s="66" t="e">
        <f>BU21+#REF!</f>
        <v>#REF!</v>
      </c>
      <c r="BW26" s="66" t="e">
        <f>SUM(BS26:BU26)</f>
        <v>#REF!</v>
      </c>
      <c r="BY26" s="66" t="e">
        <f>#REF!+BW26</f>
        <v>#REF!</v>
      </c>
      <c r="CA26" s="66" t="e">
        <f>CA21+CA25</f>
        <v>#REF!</v>
      </c>
      <c r="CB26" s="51"/>
      <c r="CC26" s="66">
        <f>CC21+CC25</f>
        <v>3817153.8000000017</v>
      </c>
      <c r="CD26" s="66">
        <f>CD21+CD25</f>
        <v>4359452.6099999985</v>
      </c>
      <c r="CE26" s="66">
        <f>CE21+CE25</f>
        <v>7672682.8899999987</v>
      </c>
    </row>
    <row r="27" spans="2:84" x14ac:dyDescent="0.25">
      <c r="C27" s="51"/>
      <c r="D27" s="51"/>
      <c r="E27" s="51"/>
      <c r="F27" s="51"/>
      <c r="G27" s="51"/>
      <c r="H27" s="55"/>
      <c r="I27" s="51"/>
      <c r="J27" s="51"/>
      <c r="K27" s="51"/>
      <c r="L27" s="55"/>
      <c r="M27" s="51"/>
      <c r="N27" s="55"/>
      <c r="O27" s="51"/>
      <c r="P27" s="55"/>
      <c r="Q27" s="51"/>
      <c r="R27" s="51"/>
      <c r="S27" s="51"/>
      <c r="T27" s="55"/>
      <c r="U27" s="51"/>
      <c r="V27" s="55"/>
      <c r="W27" s="51"/>
      <c r="X27" s="51"/>
      <c r="Y27" s="51"/>
      <c r="Z27" s="55"/>
      <c r="AA27" s="51"/>
      <c r="AB27" s="55"/>
      <c r="AC27" s="51"/>
      <c r="AD27" s="55"/>
      <c r="AE27" s="51"/>
      <c r="AG27" s="51"/>
      <c r="AH27" s="51"/>
      <c r="AI27" s="51"/>
      <c r="AJ27" s="55"/>
      <c r="AK27" s="51"/>
      <c r="AL27" s="55"/>
      <c r="AM27" s="51"/>
      <c r="AN27" s="51"/>
      <c r="AO27" s="51"/>
      <c r="AP27" s="55"/>
      <c r="AQ27" s="51"/>
      <c r="AR27" s="55"/>
      <c r="AS27" s="51"/>
      <c r="AT27" s="55"/>
      <c r="AU27" s="51"/>
      <c r="AV27" s="51"/>
      <c r="AW27" s="51"/>
      <c r="AX27" s="55"/>
      <c r="AY27" s="51"/>
      <c r="AZ27" s="55"/>
      <c r="BA27" s="51"/>
      <c r="BB27" s="51"/>
      <c r="BC27" s="51"/>
      <c r="BD27" s="55"/>
      <c r="BE27" s="51"/>
      <c r="BF27" s="55"/>
      <c r="BG27" s="51"/>
      <c r="BH27" s="55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W27" s="51"/>
      <c r="BY27" s="51"/>
      <c r="CA27" s="51"/>
      <c r="CB27" s="51"/>
      <c r="CC27" s="51"/>
      <c r="CD27" s="51"/>
      <c r="CE27" s="51"/>
    </row>
    <row r="28" spans="2:84" x14ac:dyDescent="0.25">
      <c r="CC28" s="55"/>
      <c r="CD28" s="55"/>
      <c r="CE28" s="55"/>
    </row>
    <row r="29" spans="2:84" x14ac:dyDescent="0.25">
      <c r="CE29" s="55"/>
    </row>
  </sheetData>
  <pageMargins left="0.25" right="0.25" top="0.75" bottom="0.75" header="0.3" footer="0.3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R82"/>
  <sheetViews>
    <sheetView showGridLines="0" topLeftCell="A33" zoomScale="90" zoomScaleNormal="90" workbookViewId="0">
      <selection activeCell="E61" sqref="E61"/>
    </sheetView>
  </sheetViews>
  <sheetFormatPr defaultRowHeight="13.5" customHeight="1" outlineLevelRow="2" x14ac:dyDescent="0.25"/>
  <cols>
    <col min="1" max="1" width="2.5703125" customWidth="1"/>
    <col min="2" max="2" width="41.7109375" customWidth="1"/>
    <col min="3" max="3" width="13.85546875" customWidth="1"/>
    <col min="4" max="4" width="13.5703125" bestFit="1" customWidth="1"/>
    <col min="5" max="5" width="13" style="213" bestFit="1" customWidth="1"/>
    <col min="6" max="6" width="18.140625" customWidth="1"/>
    <col min="7" max="7" width="15.140625" bestFit="1" customWidth="1"/>
    <col min="8" max="8" width="15" style="213" bestFit="1" customWidth="1"/>
    <col min="9" max="9" width="15.7109375" bestFit="1" customWidth="1"/>
    <col min="10" max="10" width="16.42578125" bestFit="1" customWidth="1"/>
    <col min="11" max="11" width="14.28515625" style="213" bestFit="1" customWidth="1"/>
    <col min="12" max="12" width="13.7109375" bestFit="1" customWidth="1"/>
    <col min="13" max="13" width="1.42578125" customWidth="1"/>
    <col min="14" max="14" width="14.7109375" customWidth="1"/>
    <col min="15" max="15" width="14.5703125" style="213" bestFit="1" customWidth="1"/>
    <col min="16" max="16" width="15" customWidth="1"/>
    <col min="17" max="18" width="13.85546875" bestFit="1" customWidth="1"/>
    <col min="19" max="19" width="12.28515625" bestFit="1" customWidth="1"/>
    <col min="20" max="20" width="11" bestFit="1" customWidth="1"/>
  </cols>
  <sheetData>
    <row r="1" spans="2:18" ht="13.5" customHeight="1" x14ac:dyDescent="0.25">
      <c r="B1" s="212" t="s">
        <v>0</v>
      </c>
      <c r="D1" s="55"/>
      <c r="F1" s="214">
        <v>46112</v>
      </c>
      <c r="G1" s="51"/>
      <c r="H1" s="101"/>
      <c r="I1" s="100"/>
      <c r="J1" s="100"/>
      <c r="K1" s="104"/>
      <c r="P1" s="4"/>
    </row>
    <row r="2" spans="2:18" ht="13.5" customHeight="1" x14ac:dyDescent="0.25">
      <c r="B2" s="23"/>
      <c r="C2" s="79"/>
      <c r="D2" s="55"/>
      <c r="E2" s="100"/>
      <c r="F2" s="79"/>
      <c r="G2" s="79"/>
      <c r="H2" s="101"/>
      <c r="I2" s="100"/>
      <c r="J2" s="100"/>
      <c r="K2" s="104"/>
      <c r="L2" s="55"/>
      <c r="M2" s="55"/>
      <c r="P2" s="79"/>
    </row>
    <row r="3" spans="2:18" ht="13.5" customHeight="1" x14ac:dyDescent="0.25">
      <c r="B3" s="76"/>
      <c r="C3" s="491" t="s">
        <v>1</v>
      </c>
      <c r="D3" s="492"/>
      <c r="E3" s="493"/>
      <c r="F3" s="491" t="s">
        <v>2</v>
      </c>
      <c r="G3" s="492"/>
      <c r="H3" s="493"/>
      <c r="I3" s="496" t="s">
        <v>3</v>
      </c>
      <c r="J3" s="492"/>
      <c r="K3" s="492"/>
      <c r="L3" s="232"/>
      <c r="N3" s="501" t="s">
        <v>4</v>
      </c>
      <c r="O3" s="492"/>
      <c r="P3" s="493"/>
    </row>
    <row r="4" spans="2:18" ht="13.5" customHeight="1" x14ac:dyDescent="0.25">
      <c r="B4" s="76"/>
      <c r="C4" s="76" t="s">
        <v>5</v>
      </c>
      <c r="D4" s="48" t="s">
        <v>6</v>
      </c>
      <c r="E4" s="80" t="s">
        <v>7</v>
      </c>
      <c r="F4" s="76" t="s">
        <v>5</v>
      </c>
      <c r="G4" s="48" t="s">
        <v>6</v>
      </c>
      <c r="H4" s="80" t="s">
        <v>7</v>
      </c>
      <c r="I4" s="76" t="s">
        <v>5</v>
      </c>
      <c r="J4" s="48" t="s">
        <v>6</v>
      </c>
      <c r="K4" s="81" t="s">
        <v>7</v>
      </c>
      <c r="L4" s="126" t="s">
        <v>8</v>
      </c>
      <c r="M4" s="239"/>
      <c r="N4" s="424"/>
      <c r="O4" s="423" t="s">
        <v>5</v>
      </c>
      <c r="P4" s="423" t="s">
        <v>6</v>
      </c>
    </row>
    <row r="5" spans="2:18" ht="14.45" customHeight="1" x14ac:dyDescent="0.25">
      <c r="B5" s="367" t="s">
        <v>9</v>
      </c>
      <c r="C5" s="368">
        <f>C6+C13+C15+C16+C17+C18+C14+C19+C20</f>
        <v>7877352.9171399996</v>
      </c>
      <c r="D5" s="369">
        <f>D6+D13+D15+D16+D17+D18+D14+D19+D20</f>
        <v>7759392.6523530688</v>
      </c>
      <c r="E5" s="370">
        <f>IFERROR(C5/D5-1,"-")</f>
        <v>1.52022548763735E-2</v>
      </c>
      <c r="F5" s="368">
        <f>F6+F13+F15+F16+F17+F18+F14+F19+F20</f>
        <v>33774612.562860012</v>
      </c>
      <c r="G5" s="369">
        <f>G6+G13+G15+G16+G17+G18+G14+G19+G20</f>
        <v>29464374.413464338</v>
      </c>
      <c r="H5" s="370">
        <f>IFERROR(F5/G5-1,"-")</f>
        <v>0.14628643014480658</v>
      </c>
      <c r="I5" s="368">
        <f>I6+I13+I15+I16+I17+I18+I14+I19+I20</f>
        <v>41651965.480000012</v>
      </c>
      <c r="J5" s="369">
        <f>J6+J13+J15+J16+J17+J18+J14+J19+J20</f>
        <v>37223767.065817401</v>
      </c>
      <c r="K5" s="370">
        <f>IFERROR(I5/J5-1,"-")</f>
        <v>0.11896158726635231</v>
      </c>
      <c r="L5" s="371">
        <f>I5-J5</f>
        <v>4428198.4141826108</v>
      </c>
      <c r="M5" s="52"/>
      <c r="N5" s="425">
        <v>46023</v>
      </c>
      <c r="O5" s="426">
        <v>3.3E-3</v>
      </c>
      <c r="P5" s="426">
        <v>3.3E-3</v>
      </c>
      <c r="R5" s="70"/>
    </row>
    <row r="6" spans="2:18" ht="13.15" customHeight="1" x14ac:dyDescent="0.25">
      <c r="B6" s="372" t="s">
        <v>10</v>
      </c>
      <c r="C6" s="373">
        <f>SUM(C7:C12)</f>
        <v>7868473.4199999999</v>
      </c>
      <c r="D6" s="374">
        <f>SUM(D7:D12)</f>
        <v>7746926.0906509412</v>
      </c>
      <c r="E6" s="375">
        <f>IFERROR(C6/D6-1,"-")</f>
        <v>1.5689749447299173E-2</v>
      </c>
      <c r="F6" s="376">
        <f>SUM(F7:F12)</f>
        <v>29656160.820000008</v>
      </c>
      <c r="G6" s="374">
        <f>SUM(G7:G12)</f>
        <v>26280606.350166462</v>
      </c>
      <c r="H6" s="375">
        <f>IFERROR(F6/G6-1,"-")</f>
        <v>0.12844279256183011</v>
      </c>
      <c r="I6" s="373">
        <f>C6+F6</f>
        <v>37524634.24000001</v>
      </c>
      <c r="J6" s="374">
        <f>D6+G6</f>
        <v>34027532.440817401</v>
      </c>
      <c r="K6" s="377">
        <f>IFERROR(I6/J6-1,"-")</f>
        <v>0.1027727122225206</v>
      </c>
      <c r="L6" s="378">
        <f>I6-J6</f>
        <v>3497101.7991826087</v>
      </c>
      <c r="M6" s="51"/>
      <c r="N6" s="425">
        <v>46054</v>
      </c>
      <c r="O6" s="426">
        <v>7.0000000000000001E-3</v>
      </c>
      <c r="P6" s="426">
        <v>3.3E-3</v>
      </c>
      <c r="Q6" s="104"/>
      <c r="R6" s="88"/>
    </row>
    <row r="7" spans="2:18" s="70" customFormat="1" ht="12.75" customHeight="1" outlineLevel="1" x14ac:dyDescent="0.25">
      <c r="B7" s="261" t="s">
        <v>11</v>
      </c>
      <c r="C7" s="251">
        <f>INDEX(Realizado!41:41,MATCH('P&amp;L Mensal'!$F$1,Realizado!$2:$2,0))+INDEX(Realizado!42:42,MATCH('P&amp;L Mensal'!$F$1,Realizado!$2:$2,0))</f>
        <v>6041460.75</v>
      </c>
      <c r="D7" s="242">
        <f>INDEX('Orçado '!44:44,MATCH('P&amp;L Mensal'!$F$1,'Orçado '!$2:$2,0))+INDEX('Orçado '!45:45,MATCH('P&amp;L Mensal'!$F$1,'Orçado '!$2:$2,0))</f>
        <v>6046154.6488325596</v>
      </c>
      <c r="E7" s="250">
        <f>IFERROR(C7/D7-1,"-")</f>
        <v>-7.7634448756047636E-4</v>
      </c>
      <c r="F7" s="251">
        <f>INDEX(Realizado!83:83,MATCH('P&amp;L Mensal'!$F$1,Realizado!$2:$2,0))+INDEX(Realizado!84:84,MATCH('P&amp;L Mensal'!$F$1,Realizado!$2:$2,0))</f>
        <v>21983325.100000009</v>
      </c>
      <c r="G7" s="242">
        <f>INDEX('Orçado '!85:85,MATCH('P&amp;L Mensal'!$F$1,'Orçado '!$2:$2,0))+INDEX('Orçado '!86:86,MATCH('P&amp;L Mensal'!$F$1,'Orçado '!$2:$2,0))</f>
        <v>20556771.502015632</v>
      </c>
      <c r="H7" s="250">
        <f>IFERROR(F7/G7-1,"-")</f>
        <v>6.939579971711507E-2</v>
      </c>
      <c r="I7" s="251">
        <f>C7+F7</f>
        <v>28024785.850000009</v>
      </c>
      <c r="J7" s="242">
        <f>D7+G7</f>
        <v>26602926.150848191</v>
      </c>
      <c r="K7" s="115">
        <f>IFERROR(I7/J7-1,"-")</f>
        <v>5.3447492621276238E-2</v>
      </c>
      <c r="L7" s="265">
        <f>I7-J7</f>
        <v>1421859.6991518177</v>
      </c>
      <c r="M7" s="69"/>
      <c r="N7" s="425">
        <v>46082</v>
      </c>
      <c r="O7" s="426">
        <v>8.8000000000000005E-3</v>
      </c>
      <c r="P7" s="426">
        <v>3.3E-3</v>
      </c>
      <c r="R7" s="88"/>
    </row>
    <row r="8" spans="2:18" s="70" customFormat="1" ht="12.75" hidden="1" customHeight="1" outlineLevel="2" x14ac:dyDescent="0.25">
      <c r="B8" s="261"/>
      <c r="C8" s="251"/>
      <c r="D8" s="242"/>
      <c r="E8" s="250"/>
      <c r="F8" s="251"/>
      <c r="G8" s="242"/>
      <c r="H8" s="250"/>
      <c r="I8" s="251"/>
      <c r="J8" s="242"/>
      <c r="K8" s="115"/>
      <c r="L8" s="265"/>
      <c r="M8" s="69"/>
      <c r="N8" s="79"/>
      <c r="O8" s="55"/>
      <c r="R8" s="88"/>
    </row>
    <row r="9" spans="2:18" s="70" customFormat="1" ht="12.75" hidden="1" customHeight="1" outlineLevel="2" x14ac:dyDescent="0.25">
      <c r="B9" s="261"/>
      <c r="C9" s="251"/>
      <c r="D9" s="242"/>
      <c r="E9" s="250"/>
      <c r="F9" s="251"/>
      <c r="G9" s="242"/>
      <c r="H9" s="250"/>
      <c r="I9" s="251"/>
      <c r="J9" s="242"/>
      <c r="K9" s="115"/>
      <c r="L9" s="265"/>
      <c r="M9" s="69"/>
      <c r="N9" s="79"/>
      <c r="O9" s="55"/>
      <c r="R9" s="88"/>
    </row>
    <row r="10" spans="2:18" s="70" customFormat="1" ht="14.25" customHeight="1" outlineLevel="1" collapsed="1" x14ac:dyDescent="0.25">
      <c r="B10" s="261" t="s">
        <v>12</v>
      </c>
      <c r="C10" s="251">
        <f>INDEX(Realizado!43:43,MATCH('P&amp;L Mensal'!$F$1,Realizado!$2:$2,0))</f>
        <v>0</v>
      </c>
      <c r="D10" s="242">
        <f>INDEX('Orçado '!46:46,MATCH('P&amp;L Mensal'!$F$1,'Orçado '!$2:$2,0))</f>
        <v>0</v>
      </c>
      <c r="E10" s="250" t="str">
        <f t="shared" ref="E10:E23" si="0">IFERROR(C10/D10-1,"-")</f>
        <v>-</v>
      </c>
      <c r="F10" s="251">
        <f>INDEX(Realizado!85:85,MATCH('P&amp;L Mensal'!$F$1,Realizado!$2:$2,0))</f>
        <v>7200722.3600000003</v>
      </c>
      <c r="G10" s="242">
        <f>INDEX('Orçado '!87:87,MATCH('P&amp;L Mensal'!$F$1,'Orçado '!$2:$2,0))</f>
        <v>5309468.9457147149</v>
      </c>
      <c r="H10" s="250">
        <f t="shared" ref="H10:H23" si="1">IFERROR(F10/G10-1,"-")</f>
        <v>0.35620387530691189</v>
      </c>
      <c r="I10" s="251">
        <f t="shared" ref="I10:I20" si="2">C10+F10</f>
        <v>7200722.3600000003</v>
      </c>
      <c r="J10" s="242">
        <f t="shared" ref="J10:J20" si="3">D10+G10</f>
        <v>5309468.9457147149</v>
      </c>
      <c r="K10" s="115">
        <f t="shared" ref="K10:K23" si="4">IFERROR(I10/J10-1,"-")</f>
        <v>0.35620387530691189</v>
      </c>
      <c r="L10" s="265">
        <f t="shared" ref="L10:L20" si="5">I10-J10</f>
        <v>1891253.4142852854</v>
      </c>
      <c r="M10" s="69"/>
      <c r="N10" s="79"/>
    </row>
    <row r="11" spans="2:18" s="70" customFormat="1" ht="14.25" customHeight="1" outlineLevel="1" x14ac:dyDescent="0.25">
      <c r="B11" s="261" t="s">
        <v>13</v>
      </c>
      <c r="C11" s="251">
        <f>INDEX(Realizado!44:44,MATCH('P&amp;L Mensal'!$F$1,Realizado!$2:$2,0))</f>
        <v>0</v>
      </c>
      <c r="D11" s="242">
        <f>INDEX('Orçado '!47:47,MATCH('P&amp;L Mensal'!$F$1,'Orçado '!$2:$2,0))</f>
        <v>0</v>
      </c>
      <c r="E11" s="250" t="str">
        <f t="shared" si="0"/>
        <v>-</v>
      </c>
      <c r="F11" s="251">
        <f>INDEX(Realizado!86:86,MATCH('P&amp;L Mensal'!$F$1,Realizado!$2:$2,0))</f>
        <v>394865.93000000011</v>
      </c>
      <c r="G11" s="242">
        <f>INDEX('Orçado '!88:88,MATCH('P&amp;L Mensal'!$F$1,'Orçado '!$2:$2,0))</f>
        <v>372913.43435100798</v>
      </c>
      <c r="H11" s="250">
        <f t="shared" si="1"/>
        <v>5.8867537682563587E-2</v>
      </c>
      <c r="I11" s="251">
        <f t="shared" si="2"/>
        <v>394865.93000000011</v>
      </c>
      <c r="J11" s="242">
        <f t="shared" si="3"/>
        <v>372913.43435100798</v>
      </c>
      <c r="K11" s="115">
        <f t="shared" si="4"/>
        <v>5.8867537682563587E-2</v>
      </c>
      <c r="L11" s="265">
        <f t="shared" si="5"/>
        <v>21952.495648992131</v>
      </c>
      <c r="M11" s="69"/>
      <c r="N11" s="79"/>
      <c r="O11" s="99"/>
      <c r="P11" s="99"/>
    </row>
    <row r="12" spans="2:18" s="70" customFormat="1" ht="12.75" customHeight="1" outlineLevel="1" x14ac:dyDescent="0.25">
      <c r="B12" s="261" t="s">
        <v>14</v>
      </c>
      <c r="C12" s="251">
        <f>INDEX(Realizado!45:45,MATCH('P&amp;L Mensal'!$F$1,Realizado!$2:$2,0))</f>
        <v>1827012.67</v>
      </c>
      <c r="D12" s="242">
        <f>INDEX('Orçado '!48:48,MATCH('P&amp;L Mensal'!$F$1,'Orçado '!$2:$2,0))</f>
        <v>1700771.4418183819</v>
      </c>
      <c r="E12" s="250">
        <f t="shared" si="0"/>
        <v>7.4225863086369248E-2</v>
      </c>
      <c r="F12" s="251">
        <f>INDEX(Realizado!87:87,MATCH('P&amp;L Mensal'!$F$1,Realizado!$2:$2,0))</f>
        <v>77247.429999999993</v>
      </c>
      <c r="G12" s="242">
        <f>INDEX('Orçado '!89:89,MATCH('P&amp;L Mensal'!$F$1,'Orçado '!$2:$2,0))</f>
        <v>41452.468085106389</v>
      </c>
      <c r="H12" s="250">
        <f t="shared" si="1"/>
        <v>0.86351823108343484</v>
      </c>
      <c r="I12" s="251">
        <f t="shared" si="2"/>
        <v>1904260.0999999999</v>
      </c>
      <c r="J12" s="242">
        <f t="shared" si="3"/>
        <v>1742223.9099034884</v>
      </c>
      <c r="K12" s="115">
        <f t="shared" si="4"/>
        <v>9.3005376160569142E-2</v>
      </c>
      <c r="L12" s="265">
        <f t="shared" si="5"/>
        <v>162036.19009651151</v>
      </c>
      <c r="M12" s="69"/>
      <c r="N12" s="42"/>
      <c r="O12" s="42"/>
      <c r="P12" s="42"/>
    </row>
    <row r="13" spans="2:18" ht="13.5" customHeight="1" x14ac:dyDescent="0.25">
      <c r="B13" s="261" t="s">
        <v>15</v>
      </c>
      <c r="C13" s="251">
        <f>INDEX(Realizado!46:46,MATCH('P&amp;L Mensal'!$F$1,Realizado!$2:$2,0))</f>
        <v>0</v>
      </c>
      <c r="D13" s="242">
        <f>INDEX('Orçado '!49:49,MATCH('P&amp;L Mensal'!$F$1,'Orçado '!$2:$2,0))</f>
        <v>0</v>
      </c>
      <c r="E13" s="250" t="str">
        <f t="shared" si="0"/>
        <v>-</v>
      </c>
      <c r="F13" s="251">
        <f>INDEX(Realizado!88:88,MATCH('P&amp;L Mensal'!$F$1,Realizado!$2:$2,0))</f>
        <v>2558364.5600000061</v>
      </c>
      <c r="G13" s="242">
        <f>INDEX('Orçado '!90:90,MATCH('P&amp;L Mensal'!$F$1,'Orçado '!$2:$2,0))</f>
        <v>1754400</v>
      </c>
      <c r="H13" s="250">
        <f t="shared" si="1"/>
        <v>0.45825613315093827</v>
      </c>
      <c r="I13" s="251">
        <f t="shared" si="2"/>
        <v>2558364.5600000061</v>
      </c>
      <c r="J13" s="242">
        <f t="shared" si="3"/>
        <v>1754400</v>
      </c>
      <c r="K13" s="115">
        <f t="shared" si="4"/>
        <v>0.45825613315093827</v>
      </c>
      <c r="L13" s="265">
        <f t="shared" si="5"/>
        <v>803964.56000000611</v>
      </c>
      <c r="M13" s="51"/>
      <c r="N13" s="73"/>
      <c r="O13" s="73"/>
      <c r="P13" s="73"/>
    </row>
    <row r="14" spans="2:18" ht="13.5" customHeight="1" x14ac:dyDescent="0.25">
      <c r="B14" s="238" t="s">
        <v>16</v>
      </c>
      <c r="C14" s="251">
        <f>INDEX(Realizado!47:47,MATCH('P&amp;L Mensal'!$F$1,Realizado!$2:$2,0))</f>
        <v>8879.4971400000013</v>
      </c>
      <c r="D14" s="242">
        <f>INDEX('Orçado '!52:52,MATCH('P&amp;L Mensal'!$F$1,'Orçado '!$2:$2,0))</f>
        <v>12466.561702127659</v>
      </c>
      <c r="E14" s="250">
        <f t="shared" si="0"/>
        <v>-0.28773487412455157</v>
      </c>
      <c r="F14" s="50">
        <f>INDEX(Realizado!89:89,MATCH('P&amp;L Mensal'!$F$1,Realizado!$2:$2,0))</f>
        <v>11964.39286</v>
      </c>
      <c r="G14" s="51">
        <f>INDEX('Orçado '!93:93,MATCH('P&amp;L Mensal'!$F$1,'Orçado '!$2:$2,0))</f>
        <v>16829.858297872339</v>
      </c>
      <c r="H14" s="57">
        <f t="shared" si="1"/>
        <v>-0.2890972313467095</v>
      </c>
      <c r="I14" s="50">
        <f t="shared" si="2"/>
        <v>20843.89</v>
      </c>
      <c r="J14" s="51">
        <f t="shared" si="3"/>
        <v>29296.42</v>
      </c>
      <c r="K14" s="60">
        <f t="shared" si="4"/>
        <v>-0.28851750486919558</v>
      </c>
      <c r="L14" s="163">
        <f t="shared" si="5"/>
        <v>-8452.5299999999988</v>
      </c>
      <c r="M14" s="51"/>
      <c r="N14" s="79"/>
    </row>
    <row r="15" spans="2:18" ht="13.5" customHeight="1" x14ac:dyDescent="0.25">
      <c r="B15" s="238" t="s">
        <v>17</v>
      </c>
      <c r="C15" s="50">
        <f>INDEX(Realizado!48:48,MATCH('P&amp;L Mensal'!$F$1,Realizado!$2:$2,0))</f>
        <v>0</v>
      </c>
      <c r="D15" s="51">
        <f>INDEX('Orçado '!53:53,MATCH('P&amp;L Mensal'!$F$1,'Orçado '!$2:$2,0))</f>
        <v>0</v>
      </c>
      <c r="E15" s="57" t="str">
        <f t="shared" si="0"/>
        <v>-</v>
      </c>
      <c r="F15" s="50">
        <f>INDEX(Realizado!90:90,MATCH('P&amp;L Mensal'!$F$1,Realizado!$2:$2,0))</f>
        <v>0</v>
      </c>
      <c r="G15" s="51">
        <f>INDEX('Orçado '!94:94,MATCH('P&amp;L Mensal'!$F$1,'Orçado '!$2:$2,0))</f>
        <v>0</v>
      </c>
      <c r="H15" s="57" t="str">
        <f t="shared" si="1"/>
        <v>-</v>
      </c>
      <c r="I15" s="50">
        <f t="shared" si="2"/>
        <v>0</v>
      </c>
      <c r="J15" s="51">
        <f t="shared" si="3"/>
        <v>0</v>
      </c>
      <c r="K15" s="60" t="str">
        <f t="shared" si="4"/>
        <v>-</v>
      </c>
      <c r="L15" s="163">
        <f t="shared" si="5"/>
        <v>0</v>
      </c>
      <c r="M15" s="51"/>
      <c r="N15" s="79"/>
    </row>
    <row r="16" spans="2:18" ht="13.5" customHeight="1" x14ac:dyDescent="0.25">
      <c r="B16" s="238" t="s">
        <v>18</v>
      </c>
      <c r="C16" s="50">
        <f>INDEX(Realizado!49:49,MATCH('P&amp;L Mensal'!$F$1,Realizado!$2:$2,0))</f>
        <v>0</v>
      </c>
      <c r="D16" s="51">
        <f>INDEX('Orçado '!54:54,MATCH('P&amp;L Mensal'!$F$1,'Orçado '!$2:$2,0))</f>
        <v>0</v>
      </c>
      <c r="E16" s="57" t="str">
        <f t="shared" si="0"/>
        <v>-</v>
      </c>
      <c r="F16" s="50">
        <f>INDEX(Realizado!91:91,MATCH('P&amp;L Mensal'!$F$1,Realizado!$2:$2,0))</f>
        <v>155899.01</v>
      </c>
      <c r="G16" s="51">
        <f>INDEX('Orçado '!95:95,MATCH('P&amp;L Mensal'!$F$1,'Orçado '!$2:$2,0))</f>
        <v>282753.77250000002</v>
      </c>
      <c r="H16" s="57">
        <f t="shared" si="1"/>
        <v>-0.44864038905086578</v>
      </c>
      <c r="I16" s="50">
        <f t="shared" si="2"/>
        <v>155899.01</v>
      </c>
      <c r="J16" s="51">
        <f t="shared" si="3"/>
        <v>282753.77250000002</v>
      </c>
      <c r="K16" s="60">
        <f t="shared" si="4"/>
        <v>-0.44864038905086578</v>
      </c>
      <c r="L16" s="163">
        <f t="shared" si="5"/>
        <v>-126854.76250000001</v>
      </c>
      <c r="M16" s="51"/>
      <c r="N16" s="79"/>
    </row>
    <row r="17" spans="2:18" ht="13.9" customHeight="1" x14ac:dyDescent="0.25">
      <c r="B17" s="238" t="s">
        <v>19</v>
      </c>
      <c r="C17" s="50">
        <f>INDEX(Realizado!53:53,MATCH('P&amp;L Mensal'!$F$1,Realizado!$2:$2,0))</f>
        <v>0</v>
      </c>
      <c r="D17" s="51">
        <f>INDEX('Orçado '!58:58,MATCH('P&amp;L Mensal'!$F$1,'Orçado '!$2:$2,0))</f>
        <v>0</v>
      </c>
      <c r="E17" s="57" t="str">
        <f t="shared" si="0"/>
        <v>-</v>
      </c>
      <c r="F17" s="50">
        <f>INDEX(Realizado!95:95,MATCH('P&amp;L Mensal'!$F$1,Realizado!$2:$2,0))</f>
        <v>1006702.7</v>
      </c>
      <c r="G17" s="51">
        <f>INDEX('Orçado '!99:99,MATCH('P&amp;L Mensal'!$F$1,'Orçado '!$2:$2,0))</f>
        <v>900000</v>
      </c>
      <c r="H17" s="57">
        <f t="shared" si="1"/>
        <v>0.1185585555555555</v>
      </c>
      <c r="I17" s="50">
        <f t="shared" si="2"/>
        <v>1006702.7</v>
      </c>
      <c r="J17" s="51">
        <f t="shared" si="3"/>
        <v>900000</v>
      </c>
      <c r="K17" s="60">
        <f t="shared" si="4"/>
        <v>0.1185585555555555</v>
      </c>
      <c r="L17" s="163">
        <f t="shared" si="5"/>
        <v>106702.69999999995</v>
      </c>
      <c r="M17" s="51"/>
      <c r="N17" s="79"/>
    </row>
    <row r="18" spans="2:18" ht="13.15" customHeight="1" collapsed="1" x14ac:dyDescent="0.25">
      <c r="B18" s="238" t="s">
        <v>20</v>
      </c>
      <c r="C18" s="50">
        <f>INDEX(Realizado!54:54,MATCH('P&amp;L Mensal'!$F$1,Realizado!$2:$2,0))</f>
        <v>0</v>
      </c>
      <c r="D18" s="51">
        <f>INDEX('Orçado '!59:59,MATCH('P&amp;L Mensal'!$F$1,'Orçado '!$2:$2,0))</f>
        <v>0</v>
      </c>
      <c r="E18" s="57" t="str">
        <f t="shared" si="0"/>
        <v>-</v>
      </c>
      <c r="F18" s="50">
        <f>INDEX(Realizado!96:96,MATCH('P&amp;L Mensal'!$F$1,Realizado!$2:$2,0))</f>
        <v>126708.71999999959</v>
      </c>
      <c r="G18" s="51">
        <f>INDEX('Orçado '!100:100,MATCH('P&amp;L Mensal'!$F$1,'Orçado '!$2:$2,0))</f>
        <v>-163.43500000005221</v>
      </c>
      <c r="H18" s="57">
        <f t="shared" si="1"/>
        <v>-776.2850980509628</v>
      </c>
      <c r="I18" s="50">
        <f t="shared" si="2"/>
        <v>126708.71999999959</v>
      </c>
      <c r="J18" s="51">
        <f t="shared" si="3"/>
        <v>-163.43500000005221</v>
      </c>
      <c r="K18" s="60">
        <f t="shared" si="4"/>
        <v>-776.2850980509628</v>
      </c>
      <c r="L18" s="163">
        <f t="shared" si="5"/>
        <v>126872.15499999965</v>
      </c>
      <c r="M18" s="51"/>
      <c r="N18" s="79"/>
    </row>
    <row r="19" spans="2:18" ht="13.5" customHeight="1" x14ac:dyDescent="0.25">
      <c r="B19" s="238" t="s">
        <v>21</v>
      </c>
      <c r="C19" s="50">
        <f>INDEX(Realizado!55:55,MATCH('P&amp;L Mensal'!$F$1,Realizado!$2:$2,0))</f>
        <v>0</v>
      </c>
      <c r="D19" s="51">
        <f>INDEX('Orçado '!60:60,MATCH('P&amp;L Mensal'!$F$1,'Orçado '!$2:$2,0))</f>
        <v>0</v>
      </c>
      <c r="E19" s="57" t="str">
        <f t="shared" si="0"/>
        <v>-</v>
      </c>
      <c r="F19" s="50">
        <f>INDEX(Realizado!97:97,MATCH('P&amp;L Mensal'!$F$1,Realizado!$2:$2,0))</f>
        <v>-262478.75</v>
      </c>
      <c r="G19" s="51">
        <f>INDEX('Orçado '!101:101,MATCH('P&amp;L Mensal'!$F$1,'Orçado '!$2:$2,0))</f>
        <v>19800</v>
      </c>
      <c r="H19" s="57">
        <f t="shared" si="1"/>
        <v>-14.256502525252525</v>
      </c>
      <c r="I19" s="50">
        <f t="shared" si="2"/>
        <v>-262478.75</v>
      </c>
      <c r="J19" s="51">
        <f t="shared" si="3"/>
        <v>19800</v>
      </c>
      <c r="K19" s="60">
        <f t="shared" si="4"/>
        <v>-14.256502525252525</v>
      </c>
      <c r="L19" s="163">
        <f t="shared" si="5"/>
        <v>-282278.75</v>
      </c>
      <c r="M19" s="51"/>
      <c r="N19" s="79"/>
    </row>
    <row r="20" spans="2:18" ht="13.5" customHeight="1" x14ac:dyDescent="0.25">
      <c r="B20" s="238" t="s">
        <v>22</v>
      </c>
      <c r="C20" s="50">
        <v>0</v>
      </c>
      <c r="D20" s="51">
        <v>0</v>
      </c>
      <c r="E20" s="57" t="str">
        <f t="shared" si="0"/>
        <v>-</v>
      </c>
      <c r="F20" s="50">
        <f>INDEX(Realizado!120:120,MATCH('P&amp;L Mensal'!$F$1,Realizado!$2:$2,0))</f>
        <v>521291.11</v>
      </c>
      <c r="G20" s="51">
        <f>INDEX('Orçado '!102:102,MATCH('P&amp;L Mensal'!$F$1,'Orçado '!$2:$2,0))</f>
        <v>210147.86749999999</v>
      </c>
      <c r="H20" s="57">
        <f t="shared" si="1"/>
        <v>1.4805919574701369</v>
      </c>
      <c r="I20" s="50">
        <f t="shared" si="2"/>
        <v>521291.11</v>
      </c>
      <c r="J20" s="51">
        <f t="shared" si="3"/>
        <v>210147.86749999999</v>
      </c>
      <c r="K20" s="60">
        <f t="shared" si="4"/>
        <v>1.4805919574701369</v>
      </c>
      <c r="L20" s="163">
        <f t="shared" si="5"/>
        <v>311143.24249999999</v>
      </c>
      <c r="M20" s="51"/>
      <c r="N20" s="79"/>
    </row>
    <row r="21" spans="2:18" ht="14.45" customHeight="1" x14ac:dyDescent="0.25">
      <c r="B21" s="338" t="s">
        <v>23</v>
      </c>
      <c r="C21" s="325">
        <f>C22</f>
        <v>-4803644.101999077</v>
      </c>
      <c r="D21" s="326">
        <f>D22</f>
        <v>-4620516.8878536606</v>
      </c>
      <c r="E21" s="327">
        <f t="shared" si="0"/>
        <v>3.9633490925402359E-2</v>
      </c>
      <c r="F21" s="325">
        <f>F22</f>
        <v>-17862654.088000923</v>
      </c>
      <c r="G21" s="326">
        <f>G22</f>
        <v>-15301310.231830858</v>
      </c>
      <c r="H21" s="327">
        <f t="shared" si="1"/>
        <v>0.16739376023118457</v>
      </c>
      <c r="I21" s="325">
        <f>I22</f>
        <v>-22666298.190000001</v>
      </c>
      <c r="J21" s="326">
        <f>J22</f>
        <v>-19921827.119684517</v>
      </c>
      <c r="K21" s="327">
        <f t="shared" si="4"/>
        <v>0.13776201619597961</v>
      </c>
      <c r="L21" s="339">
        <f>ABS(I21)-ABS(J21)</f>
        <v>2744471.070315484</v>
      </c>
      <c r="M21" s="52"/>
      <c r="N21" s="79"/>
      <c r="Q21" s="55"/>
      <c r="R21" s="70"/>
    </row>
    <row r="22" spans="2:18" ht="13.5" customHeight="1" x14ac:dyDescent="0.25">
      <c r="B22" s="238" t="s">
        <v>24</v>
      </c>
      <c r="C22" s="111">
        <f>C23+C26+C27+C28</f>
        <v>-4803644.101999077</v>
      </c>
      <c r="D22" s="112">
        <f>D23+D26+D27+D28</f>
        <v>-4620516.8878536606</v>
      </c>
      <c r="E22" s="168">
        <f t="shared" si="0"/>
        <v>3.9633490925402359E-2</v>
      </c>
      <c r="F22" s="111">
        <f>F23+F26+F27+F28</f>
        <v>-17862654.088000923</v>
      </c>
      <c r="G22" s="112">
        <f>G23+G26+G27+G28</f>
        <v>-15301310.231830858</v>
      </c>
      <c r="H22" s="168">
        <f t="shared" si="1"/>
        <v>0.16739376023118457</v>
      </c>
      <c r="I22" s="50">
        <f t="shared" ref="I22:J29" si="6">C22+F22</f>
        <v>-22666298.190000001</v>
      </c>
      <c r="J22" s="51">
        <f t="shared" si="6"/>
        <v>-19921827.119684517</v>
      </c>
      <c r="K22" s="61">
        <f t="shared" si="4"/>
        <v>0.13776201619597961</v>
      </c>
      <c r="L22" s="163">
        <f>ABS(I22)-ABS(J22)</f>
        <v>2744471.070315484</v>
      </c>
      <c r="M22" s="51"/>
      <c r="N22" s="79"/>
      <c r="O22" s="215"/>
      <c r="P22" s="104"/>
      <c r="Q22" s="55"/>
    </row>
    <row r="23" spans="2:18" s="70" customFormat="1" ht="13.5" customHeight="1" outlineLevel="1" x14ac:dyDescent="0.25">
      <c r="B23" s="261" t="s">
        <v>25</v>
      </c>
      <c r="C23" s="251">
        <f>INDEX(Realizado!58:58,MATCH('P&amp;L Mensal'!$F$1,Realizado!$2:$2,0))</f>
        <v>0</v>
      </c>
      <c r="D23" s="242">
        <f>INDEX('Orçado '!63:63,MATCH('P&amp;L Mensal'!$F$1,'Orçado '!$2:$2,0))</f>
        <v>0</v>
      </c>
      <c r="E23" s="58" t="str">
        <f t="shared" si="0"/>
        <v>-</v>
      </c>
      <c r="F23" s="251">
        <f>INDEX(Realizado!100:100,MATCH('P&amp;L Mensal'!$F$1,Realizado!$2:$2,0))</f>
        <v>-6665373.2300000004</v>
      </c>
      <c r="G23" s="242">
        <f>INDEX('Orçado '!105:105,MATCH('P&amp;L Mensal'!$F$1,'Orçado '!$2:$2,0))</f>
        <v>-5380522.1826135786</v>
      </c>
      <c r="H23" s="58">
        <f t="shared" si="1"/>
        <v>0.2387967196823837</v>
      </c>
      <c r="I23" s="251">
        <f t="shared" si="6"/>
        <v>-6665373.2300000004</v>
      </c>
      <c r="J23" s="242">
        <f t="shared" si="6"/>
        <v>-5380522.1826135786</v>
      </c>
      <c r="K23" s="61">
        <f t="shared" si="4"/>
        <v>0.2387967196823837</v>
      </c>
      <c r="L23" s="265">
        <f>ABS(I23)-ABS(J23)</f>
        <v>1284851.0473864218</v>
      </c>
      <c r="M23" s="69"/>
      <c r="N23" s="79"/>
      <c r="O23" s="215"/>
      <c r="P23" s="104"/>
      <c r="Q23" s="55"/>
    </row>
    <row r="24" spans="2:18" s="70" customFormat="1" ht="13.15" hidden="1" customHeight="1" outlineLevel="2" x14ac:dyDescent="0.25">
      <c r="B24" s="398" t="s">
        <v>26</v>
      </c>
      <c r="C24" s="399"/>
      <c r="D24" s="400"/>
      <c r="E24" s="401"/>
      <c r="F24" s="399">
        <f>INDEX(Realizado!101:101,MATCH('P&amp;L Mensal'!$F$1,Realizado!$2:$2,0))</f>
        <v>0</v>
      </c>
      <c r="G24" s="400">
        <f>INDEX('Orçado '!106:106,MATCH('P&amp;L Mensal'!$F$1,'Orçado '!$2:$2,0))</f>
        <v>-2734250.6567985099</v>
      </c>
      <c r="H24" s="401"/>
      <c r="I24" s="399">
        <f t="shared" si="6"/>
        <v>0</v>
      </c>
      <c r="J24" s="400">
        <f t="shared" si="6"/>
        <v>-2734250.6567985099</v>
      </c>
      <c r="K24" s="402"/>
      <c r="L24" s="403"/>
      <c r="M24" s="69"/>
      <c r="N24" s="79"/>
      <c r="O24" s="215"/>
      <c r="P24" s="104"/>
      <c r="Q24" s="55"/>
    </row>
    <row r="25" spans="2:18" s="70" customFormat="1" ht="13.5" hidden="1" customHeight="1" outlineLevel="2" x14ac:dyDescent="0.25">
      <c r="B25" s="398" t="s">
        <v>27</v>
      </c>
      <c r="C25" s="399"/>
      <c r="D25" s="400"/>
      <c r="E25" s="401"/>
      <c r="F25" s="399">
        <f>INDEX(Realizado!102:102,MATCH('P&amp;L Mensal'!$F$1,Realizado!$2:$2,0))</f>
        <v>0</v>
      </c>
      <c r="G25" s="400">
        <f>INDEX('Orçado '!107:107,MATCH('P&amp;L Mensal'!$F$1,'Orçado '!$2:$2,0))</f>
        <v>-1783873.7280349501</v>
      </c>
      <c r="H25" s="401"/>
      <c r="I25" s="399">
        <f t="shared" si="6"/>
        <v>0</v>
      </c>
      <c r="J25" s="400">
        <f t="shared" si="6"/>
        <v>-1783873.7280349501</v>
      </c>
      <c r="K25" s="402"/>
      <c r="L25" s="403"/>
      <c r="M25" s="69"/>
      <c r="N25" s="79"/>
      <c r="O25" s="215"/>
      <c r="P25" s="104"/>
      <c r="Q25" s="55"/>
    </row>
    <row r="26" spans="2:18" s="70" customFormat="1" ht="13.5" customHeight="1" outlineLevel="1" collapsed="1" x14ac:dyDescent="0.25">
      <c r="B26" s="261" t="s">
        <v>28</v>
      </c>
      <c r="C26" s="251">
        <f>INDEX(Realizado!59:59,MATCH('P&amp;L Mensal'!$F$1,Realizado!$2:$2,0))</f>
        <v>-5760280.4879999999</v>
      </c>
      <c r="D26" s="242">
        <f>INDEX('Orçado '!64:64,MATCH('P&amp;L Mensal'!$F$1,'Orçado '!$2:$2,0))</f>
        <v>-5697287.0868866928</v>
      </c>
      <c r="E26" s="58">
        <f t="shared" ref="E26:E43" si="7">IFERROR(C26/D26-1,"-")</f>
        <v>1.1056736329523753E-2</v>
      </c>
      <c r="F26" s="251">
        <f>INDEX(Realizado!103:103,MATCH('P&amp;L Mensal'!$F$1,Realizado!$2:$2,0))</f>
        <v>-13440654.471999999</v>
      </c>
      <c r="G26" s="242">
        <f>INDEX('Orçado '!108:108,MATCH('P&amp;L Mensal'!$F$1,'Orçado '!$2:$2,0))</f>
        <v>-12757575.74436051</v>
      </c>
      <c r="H26" s="58">
        <f t="shared" ref="H26:H43" si="8">IFERROR(F26/G26-1,"-")</f>
        <v>5.3542988207727849E-2</v>
      </c>
      <c r="I26" s="251">
        <f t="shared" si="6"/>
        <v>-19200934.960000001</v>
      </c>
      <c r="J26" s="242">
        <f t="shared" si="6"/>
        <v>-18454862.831247203</v>
      </c>
      <c r="K26" s="61">
        <f t="shared" ref="K26:K43" si="9">IFERROR(I26/J26-1,"-")</f>
        <v>4.0426858523682441E-2</v>
      </c>
      <c r="L26" s="265">
        <f t="shared" ref="L26:L32" si="10">ABS(I26)-ABS(J26)</f>
        <v>746072.12875279784</v>
      </c>
      <c r="M26" s="69"/>
      <c r="N26" s="79"/>
      <c r="O26" s="215"/>
      <c r="P26" s="104"/>
      <c r="Q26" s="55"/>
    </row>
    <row r="27" spans="2:18" s="70" customFormat="1" ht="13.15" customHeight="1" outlineLevel="1" x14ac:dyDescent="0.25">
      <c r="B27" s="261" t="s">
        <v>29</v>
      </c>
      <c r="C27" s="251">
        <f>+INDEX(Realizado!60:60,MATCH('P&amp;L Mensal'!$F$1,Realizado!$2:$2,0))</f>
        <v>683833.17600092292</v>
      </c>
      <c r="D27" s="242">
        <f>+INDEX('Orçado '!65:65,MATCH('P&amp;L Mensal'!$F$1,'Orçado '!$2:$2,0))</f>
        <v>685924.94413180952</v>
      </c>
      <c r="E27" s="58">
        <f t="shared" si="7"/>
        <v>-3.0495583354738232E-3</v>
      </c>
      <c r="F27" s="251">
        <f>+INDEX(Realizado!104:104,MATCH('P&amp;L Mensal'!$F$1,Realizado!$2:$2,0))</f>
        <v>2424498.8439990771</v>
      </c>
      <c r="G27" s="242">
        <f>+INDEX('Orçado '!109:109,MATCH('P&amp;L Mensal'!$F$1,'Orçado '!$2:$2,0))</f>
        <v>2565677.8285521958</v>
      </c>
      <c r="H27" s="58">
        <f t="shared" si="8"/>
        <v>-5.502599858096191E-2</v>
      </c>
      <c r="I27" s="251">
        <f t="shared" si="6"/>
        <v>3108332.02</v>
      </c>
      <c r="J27" s="242">
        <f t="shared" si="6"/>
        <v>3251602.7726840051</v>
      </c>
      <c r="K27" s="61">
        <f t="shared" si="9"/>
        <v>-4.4061579073431445E-2</v>
      </c>
      <c r="L27" s="265">
        <f t="shared" si="10"/>
        <v>-143270.75268400507</v>
      </c>
      <c r="M27" s="69"/>
      <c r="N27" s="79"/>
      <c r="O27" s="215"/>
      <c r="P27" s="104"/>
      <c r="Q27" s="55"/>
    </row>
    <row r="28" spans="2:18" s="70" customFormat="1" ht="13.15" customHeight="1" outlineLevel="1" x14ac:dyDescent="0.25">
      <c r="B28" s="261" t="s">
        <v>30</v>
      </c>
      <c r="C28" s="251">
        <f>+INDEX(Realizado!61:61,MATCH('P&amp;L Mensal'!$F$1,Realizado!$2:$2,0))</f>
        <v>272803.21000000002</v>
      </c>
      <c r="D28" s="242">
        <f>+INDEX('Orçado '!66:66,MATCH('P&amp;L Mensal'!$F$1,'Orçado '!$2:$2,0))</f>
        <v>390845.25490122271</v>
      </c>
      <c r="E28" s="58">
        <f t="shared" si="7"/>
        <v>-0.30201734169973526</v>
      </c>
      <c r="F28" s="251">
        <f>+INDEX(Realizado!105:105,MATCH('P&amp;L Mensal'!$F$1,Realizado!$2:$2,0))</f>
        <v>-181125.23</v>
      </c>
      <c r="G28" s="242">
        <f>+INDEX('Orçado '!110:110,MATCH('P&amp;L Mensal'!$F$1,'Orçado '!$2:$2,0))</f>
        <v>271109.86659103452</v>
      </c>
      <c r="H28" s="58">
        <f t="shared" si="8"/>
        <v>-1.6680879315736041</v>
      </c>
      <c r="I28" s="251">
        <f t="shared" si="6"/>
        <v>91677.98000000001</v>
      </c>
      <c r="J28" s="242">
        <f t="shared" si="6"/>
        <v>661955.12149225723</v>
      </c>
      <c r="K28" s="61">
        <f t="shared" si="9"/>
        <v>-0.8615042364302149</v>
      </c>
      <c r="L28" s="265">
        <f t="shared" si="10"/>
        <v>-570277.14149225724</v>
      </c>
      <c r="M28" s="69"/>
      <c r="N28" s="79"/>
      <c r="O28" s="215"/>
      <c r="P28" s="104"/>
      <c r="Q28" s="55"/>
    </row>
    <row r="29" spans="2:18" s="70" customFormat="1" ht="13.5" customHeight="1" outlineLevel="1" x14ac:dyDescent="0.25">
      <c r="B29" s="261" t="s">
        <v>31</v>
      </c>
      <c r="C29" s="251">
        <f>INDEX(Realizado!62:62,MATCH('P&amp;L Mensal'!$F$1,Realizado!$2:$2,0))</f>
        <v>-220529.89273334079</v>
      </c>
      <c r="D29" s="242">
        <f>INDEX('Orçado '!67:67,MATCH('P&amp;L Mensal'!$F$1,'Orçado '!$2:$2,0))</f>
        <v>-169005.8018210294</v>
      </c>
      <c r="E29" s="58">
        <f t="shared" si="7"/>
        <v>0.3048658114522802</v>
      </c>
      <c r="F29" s="251">
        <f>INDEX(Realizado!106:106,MATCH('P&amp;L Mensal'!$F$1,Realizado!$2:$2,0))</f>
        <v>-871661.10726665927</v>
      </c>
      <c r="G29" s="242">
        <f>INDEX('Orçado '!111:111,MATCH('P&amp;L Mensal'!$F$1,'Orçado '!$2:$2,0))</f>
        <v>-599202.3882745587</v>
      </c>
      <c r="H29" s="58">
        <f t="shared" si="8"/>
        <v>0.45470232482995065</v>
      </c>
      <c r="I29" s="251">
        <f t="shared" si="6"/>
        <v>-1092191</v>
      </c>
      <c r="J29" s="242">
        <f t="shared" si="6"/>
        <v>-768208.1900955881</v>
      </c>
      <c r="K29" s="61">
        <f t="shared" si="9"/>
        <v>0.42173829188686307</v>
      </c>
      <c r="L29" s="265">
        <f t="shared" si="10"/>
        <v>323982.8099044119</v>
      </c>
      <c r="M29" s="290"/>
      <c r="N29" s="79"/>
      <c r="O29" s="215"/>
      <c r="P29" s="104"/>
      <c r="Q29" s="55"/>
    </row>
    <row r="30" spans="2:18" ht="14.45" customHeight="1" x14ac:dyDescent="0.25">
      <c r="B30" s="338" t="s">
        <v>32</v>
      </c>
      <c r="C30" s="325">
        <f>C5+C21+C29</f>
        <v>2853178.9224075819</v>
      </c>
      <c r="D30" s="326">
        <f>D5+D21+D29</f>
        <v>2969869.9626783789</v>
      </c>
      <c r="E30" s="327">
        <f t="shared" si="7"/>
        <v>-3.9291632878619032E-2</v>
      </c>
      <c r="F30" s="325">
        <f>F5+F21+F29</f>
        <v>15040297.36759243</v>
      </c>
      <c r="G30" s="326">
        <f>G5+G21+G29</f>
        <v>13563861.793358922</v>
      </c>
      <c r="H30" s="327">
        <f t="shared" si="8"/>
        <v>0.10885067960191064</v>
      </c>
      <c r="I30" s="325">
        <f>I5+I21+I29</f>
        <v>17893476.29000001</v>
      </c>
      <c r="J30" s="326">
        <f>J5+J21+J29</f>
        <v>16533731.756037295</v>
      </c>
      <c r="K30" s="327">
        <f t="shared" si="9"/>
        <v>8.2240631094441463E-2</v>
      </c>
      <c r="L30" s="339">
        <f t="shared" si="10"/>
        <v>1359744.5339627154</v>
      </c>
      <c r="M30" s="294"/>
      <c r="N30" s="79"/>
      <c r="O30" s="215"/>
      <c r="P30" s="104"/>
      <c r="Q30" s="55"/>
      <c r="R30" s="70"/>
    </row>
    <row r="31" spans="2:18" ht="13.5" customHeight="1" x14ac:dyDescent="0.25">
      <c r="B31" s="118" t="s">
        <v>33</v>
      </c>
      <c r="C31" s="66">
        <f>SUM(C32:C33)</f>
        <v>-610260.52</v>
      </c>
      <c r="D31" s="66">
        <f>SUM(D32:D33)</f>
        <v>-577819.12003649399</v>
      </c>
      <c r="E31" s="113">
        <f t="shared" si="7"/>
        <v>5.6144559497195434E-2</v>
      </c>
      <c r="F31" s="66">
        <f>SUM(F32:F33)</f>
        <v>-439697.64999999991</v>
      </c>
      <c r="G31" s="66">
        <f>SUM(G32:G33)</f>
        <v>-1292046.243950896</v>
      </c>
      <c r="H31" s="113">
        <f t="shared" si="8"/>
        <v>-0.65968892208109653</v>
      </c>
      <c r="I31" s="164">
        <f t="shared" ref="I31:J33" si="11">C31+F31</f>
        <v>-1049958.17</v>
      </c>
      <c r="J31" s="66">
        <f t="shared" si="11"/>
        <v>-1869865.36398739</v>
      </c>
      <c r="K31" s="113">
        <f t="shared" si="9"/>
        <v>-0.4384846148703353</v>
      </c>
      <c r="L31" s="389">
        <f t="shared" si="10"/>
        <v>-819907.19398739003</v>
      </c>
      <c r="M31" s="50"/>
      <c r="N31" s="79"/>
      <c r="O31" s="215"/>
      <c r="P31" s="104"/>
      <c r="Q31" s="55"/>
    </row>
    <row r="32" spans="2:18" s="70" customFormat="1" ht="13.5" customHeight="1" outlineLevel="1" x14ac:dyDescent="0.25">
      <c r="B32" s="295" t="s">
        <v>33</v>
      </c>
      <c r="C32" s="296">
        <f>INDEX(Realizado!65:65,MATCH('P&amp;L Mensal'!$F$1,Realizado!$2:$2,0))</f>
        <v>-610260.52</v>
      </c>
      <c r="D32" s="297">
        <f>INDEX('Orçado '!69:69,MATCH('P&amp;L Mensal'!$F$1,'Orçado '!$2:$2,0))</f>
        <v>-577819.12003649399</v>
      </c>
      <c r="E32" s="168">
        <f t="shared" si="7"/>
        <v>5.6144559497195434E-2</v>
      </c>
      <c r="F32" s="296">
        <f>INDEX(Realizado!109:109,MATCH('P&amp;L Mensal'!$F$1,Realizado!$2:$2,0))</f>
        <v>-439697.64999999991</v>
      </c>
      <c r="G32" s="297">
        <f>INDEX('Orçado '!113:113,MATCH('P&amp;L Mensal'!$F$1,'Orçado '!$2:$2,0))</f>
        <v>-1292046.243950896</v>
      </c>
      <c r="H32" s="168">
        <f t="shared" si="8"/>
        <v>-0.65968892208109653</v>
      </c>
      <c r="I32" s="296">
        <f t="shared" si="11"/>
        <v>-1049958.17</v>
      </c>
      <c r="J32" s="297">
        <f t="shared" si="11"/>
        <v>-1869865.36398739</v>
      </c>
      <c r="K32" s="298">
        <f t="shared" si="9"/>
        <v>-0.4384846148703353</v>
      </c>
      <c r="L32" s="299">
        <f t="shared" si="10"/>
        <v>-819907.19398739003</v>
      </c>
      <c r="M32" s="290"/>
      <c r="N32" s="79"/>
      <c r="O32" s="215"/>
      <c r="P32" s="104"/>
      <c r="Q32" s="55"/>
    </row>
    <row r="33" spans="1:18" s="70" customFormat="1" ht="13.5" customHeight="1" outlineLevel="1" x14ac:dyDescent="0.25">
      <c r="B33" s="261" t="s">
        <v>34</v>
      </c>
      <c r="C33" s="251">
        <f>INDEX(Realizado!66:66,MATCH('P&amp;L Mensal'!$F$1,Realizado!$2:$2,0))</f>
        <v>0</v>
      </c>
      <c r="D33" s="242">
        <v>0</v>
      </c>
      <c r="E33" s="58" t="str">
        <f t="shared" si="7"/>
        <v>-</v>
      </c>
      <c r="F33" s="251">
        <f>INDEX(Realizado!110:110,MATCH('P&amp;L Mensal'!$F$1,Realizado!$2:$2,0))</f>
        <v>0</v>
      </c>
      <c r="G33" s="242">
        <v>0</v>
      </c>
      <c r="H33" s="58" t="str">
        <f t="shared" si="8"/>
        <v>-</v>
      </c>
      <c r="I33" s="251">
        <f t="shared" si="11"/>
        <v>0</v>
      </c>
      <c r="J33" s="242">
        <f t="shared" si="11"/>
        <v>0</v>
      </c>
      <c r="K33" s="61" t="str">
        <f t="shared" si="9"/>
        <v>-</v>
      </c>
      <c r="L33" s="265">
        <f>I33-J33</f>
        <v>0</v>
      </c>
      <c r="M33" s="290"/>
      <c r="N33" s="79"/>
      <c r="O33" s="215"/>
      <c r="P33" s="104"/>
      <c r="Q33" s="55"/>
    </row>
    <row r="34" spans="1:18" ht="14.45" customHeight="1" x14ac:dyDescent="0.25">
      <c r="B34" s="338" t="s">
        <v>35</v>
      </c>
      <c r="C34" s="325">
        <f>C30+C31</f>
        <v>2242918.4024075819</v>
      </c>
      <c r="D34" s="326">
        <f>D30+D31</f>
        <v>2392050.8426418849</v>
      </c>
      <c r="E34" s="327">
        <f t="shared" si="7"/>
        <v>-6.234501272957671E-2</v>
      </c>
      <c r="F34" s="325">
        <f>F30+F31</f>
        <v>14600599.717592429</v>
      </c>
      <c r="G34" s="326">
        <f>G30+G31</f>
        <v>12271815.549408026</v>
      </c>
      <c r="H34" s="327">
        <f t="shared" si="8"/>
        <v>0.18976688158393484</v>
      </c>
      <c r="I34" s="325">
        <f>I30+I31</f>
        <v>16843518.120000012</v>
      </c>
      <c r="J34" s="326">
        <f>J30+J31</f>
        <v>14663866.392049905</v>
      </c>
      <c r="K34" s="327">
        <f t="shared" si="9"/>
        <v>0.14864099751562221</v>
      </c>
      <c r="L34" s="339">
        <f t="shared" ref="L34:L40" si="12">ABS(I34)-ABS(J34)</f>
        <v>2179651.7279501073</v>
      </c>
      <c r="M34" s="52"/>
      <c r="N34" s="79"/>
      <c r="O34" s="215"/>
      <c r="P34" s="104"/>
      <c r="Q34" s="55"/>
      <c r="R34" s="70"/>
    </row>
    <row r="35" spans="1:18" ht="13.5" customHeight="1" x14ac:dyDescent="0.25">
      <c r="B35" s="295" t="s">
        <v>36</v>
      </c>
      <c r="C35" s="296">
        <f>INDEX(Realizado!68:68,MATCH('P&amp;L Mensal'!$F$1,Realizado!$2:$2,0))</f>
        <v>-466515.01000000298</v>
      </c>
      <c r="D35" s="297">
        <f>INDEX('Orçado '!71:71,MATCH('P&amp;L Mensal'!$F$1,'Orçado '!$2:$2,0))</f>
        <v>-486890.13951879612</v>
      </c>
      <c r="E35" s="168">
        <f t="shared" si="7"/>
        <v>-4.1847488509277109E-2</v>
      </c>
      <c r="F35" s="296">
        <f>INDEX(Realizado!112:112,MATCH('P&amp;L Mensal'!$F$1,Realizado!$2:$2,0))</f>
        <v>-1829214.4199999911</v>
      </c>
      <c r="G35" s="297">
        <f>INDEX('Orçado '!115:115,MATCH('P&amp;L Mensal'!$F$1,'Orçado '!$2:$2,0))</f>
        <v>-2394625.696087528</v>
      </c>
      <c r="H35" s="168">
        <f t="shared" si="8"/>
        <v>-0.23611676639540669</v>
      </c>
      <c r="I35" s="296">
        <f>C35+F35</f>
        <v>-2295729.4299999941</v>
      </c>
      <c r="J35" s="297">
        <f>D35+G35</f>
        <v>-2881515.835606324</v>
      </c>
      <c r="K35" s="298">
        <f t="shared" si="9"/>
        <v>-0.20329105895164012</v>
      </c>
      <c r="L35" s="299">
        <f t="shared" si="12"/>
        <v>-585786.40560632991</v>
      </c>
      <c r="M35" s="51"/>
      <c r="N35" s="79"/>
      <c r="O35" s="278"/>
      <c r="P35" s="104"/>
      <c r="Q35" s="55"/>
    </row>
    <row r="36" spans="1:18" s="70" customFormat="1" ht="13.5" customHeight="1" outlineLevel="1" x14ac:dyDescent="0.25">
      <c r="B36" s="409" t="s">
        <v>37</v>
      </c>
      <c r="C36" s="287">
        <f>INDEX(Realizado!70:70,MATCH('P&amp;L Mensal'!$F$1,Realizado!$2:$2,0))</f>
        <v>-40765.594797838887</v>
      </c>
      <c r="D36" s="285">
        <f>INDEX('Orçado '!72:72,MATCH('P&amp;L Mensal'!$F$1,'Orçado '!$2:$2,0))</f>
        <v>0</v>
      </c>
      <c r="E36" s="114" t="str">
        <f t="shared" si="7"/>
        <v>-</v>
      </c>
      <c r="F36" s="287">
        <f>INDEX(Realizado!114:114,MATCH('P&amp;L Mensal'!$F$1,Realizado!$2:$2,0))</f>
        <v>-144532.2652021609</v>
      </c>
      <c r="G36" s="285">
        <f>INDEX('Orçado '!116:116,MATCH('P&amp;L Mensal'!$F$1,'Orçado '!$2:$2,0))</f>
        <v>-233766.23376623381</v>
      </c>
      <c r="H36" s="114">
        <f t="shared" si="8"/>
        <v>-0.38172308774631181</v>
      </c>
      <c r="I36" s="287">
        <f>C36+F36</f>
        <v>-185297.85999999978</v>
      </c>
      <c r="J36" s="285">
        <f>D36+G36</f>
        <v>-233766.23376623381</v>
      </c>
      <c r="K36" s="284">
        <f t="shared" si="9"/>
        <v>-0.20733693222222327</v>
      </c>
      <c r="L36" s="265">
        <f t="shared" si="12"/>
        <v>-48468.373766234028</v>
      </c>
      <c r="M36" s="69"/>
      <c r="N36" s="79"/>
      <c r="O36" s="278"/>
      <c r="P36" s="104"/>
      <c r="Q36" s="47"/>
    </row>
    <row r="37" spans="1:18" ht="14.45" customHeight="1" x14ac:dyDescent="0.25">
      <c r="B37" s="338" t="s">
        <v>38</v>
      </c>
      <c r="C37" s="325">
        <f>C34+C35+C36</f>
        <v>1735637.7976097399</v>
      </c>
      <c r="D37" s="326">
        <f>D34+D35+D36</f>
        <v>1905160.7031230889</v>
      </c>
      <c r="E37" s="327">
        <f t="shared" si="7"/>
        <v>-8.8980895540965999E-2</v>
      </c>
      <c r="F37" s="326">
        <f>F34+F35+F36</f>
        <v>12626853.032390278</v>
      </c>
      <c r="G37" s="326">
        <f>G34+G35+G36</f>
        <v>9643423.6195542645</v>
      </c>
      <c r="H37" s="327">
        <f t="shared" si="8"/>
        <v>0.30937450541801592</v>
      </c>
      <c r="I37" s="326">
        <f>I34+I35+I36</f>
        <v>14362490.830000019</v>
      </c>
      <c r="J37" s="326">
        <f>J34+J35+J36</f>
        <v>11548584.322677348</v>
      </c>
      <c r="K37" s="327">
        <f t="shared" si="9"/>
        <v>0.24365813407944303</v>
      </c>
      <c r="L37" s="339">
        <f t="shared" si="12"/>
        <v>2813906.5073226709</v>
      </c>
      <c r="M37" s="52"/>
      <c r="N37" s="79"/>
      <c r="O37" s="278"/>
      <c r="P37" s="104"/>
      <c r="Q37" s="47"/>
      <c r="R37" s="70"/>
    </row>
    <row r="38" spans="1:18" ht="13.5" customHeight="1" x14ac:dyDescent="0.25">
      <c r="B38" s="238" t="s">
        <v>39</v>
      </c>
      <c r="C38" s="251">
        <f>INDEX(Realizado!72:72,MATCH('P&amp;L Mensal'!$F$1,Realizado!$2:$2,0))</f>
        <v>-533709.79200000525</v>
      </c>
      <c r="D38" s="242">
        <f>INDEX('Orçado '!74:74,MATCH('P&amp;L Mensal'!$F$1,'Orçado '!$2:$2,0))</f>
        <v>-575798.95511480491</v>
      </c>
      <c r="E38" s="250">
        <f t="shared" si="7"/>
        <v>-7.309697723645181E-2</v>
      </c>
      <c r="F38" s="251">
        <f>INDEX(Realizado!116:116,MATCH('P&amp;L Mensal'!$F$1,Realizado!$2:$2,0))</f>
        <v>-1806616.038000019</v>
      </c>
      <c r="G38" s="242">
        <f>INDEX('Orçado '!118:118,MATCH('P&amp;L Mensal'!$F$1,'Orçado '!$2:$2,0))</f>
        <v>-2041469.022679762</v>
      </c>
      <c r="H38" s="250">
        <f t="shared" si="8"/>
        <v>-0.11504116989806679</v>
      </c>
      <c r="I38" s="251">
        <f>C38+F38</f>
        <v>-2340325.8300000243</v>
      </c>
      <c r="J38" s="242">
        <f>D38+G38</f>
        <v>-2617267.9777945671</v>
      </c>
      <c r="K38" s="115">
        <f t="shared" si="9"/>
        <v>-0.10581344751251165</v>
      </c>
      <c r="L38" s="265">
        <f t="shared" si="12"/>
        <v>-276942.14779454283</v>
      </c>
      <c r="M38" s="51"/>
      <c r="N38" s="79"/>
      <c r="O38" s="79"/>
      <c r="P38" s="104"/>
      <c r="Q38" s="55"/>
    </row>
    <row r="39" spans="1:18" ht="13.5" customHeight="1" x14ac:dyDescent="0.25">
      <c r="B39" s="261" t="s">
        <v>40</v>
      </c>
      <c r="C39" s="251">
        <f>+INDEX(Realizado!69:69,MATCH('P&amp;L Mensal'!$F$1,Realizado!$2:$2,0))</f>
        <v>-93401.923999999999</v>
      </c>
      <c r="D39" s="242">
        <f>INDEX('Orçado '!75:75,MATCH('P&amp;L Mensal'!$F$1,'Orçado '!$2:$2,0))</f>
        <v>-88082.1663806945</v>
      </c>
      <c r="E39" s="58">
        <f t="shared" si="7"/>
        <v>6.0395399408244677E-2</v>
      </c>
      <c r="F39" s="251">
        <f>+INDEX(Realizado!113:113,MATCH('P&amp;L Mensal'!$F$1,Realizado!$2:$2,0))</f>
        <v>-331152.27600000001</v>
      </c>
      <c r="G39" s="242">
        <f>INDEX('Orçado '!119:119,MATCH('P&amp;L Mensal'!$F$1,'Orçado '!$2:$2,0))</f>
        <v>-312291.31716791692</v>
      </c>
      <c r="H39" s="58">
        <f t="shared" si="8"/>
        <v>6.0395399408244455E-2</v>
      </c>
      <c r="I39" s="251">
        <f>C39+F39</f>
        <v>-424554.2</v>
      </c>
      <c r="J39" s="242">
        <f>D39+G39</f>
        <v>-400373.4835486114</v>
      </c>
      <c r="K39" s="61">
        <f t="shared" si="9"/>
        <v>6.0395399408244455E-2</v>
      </c>
      <c r="L39" s="265">
        <f t="shared" si="12"/>
        <v>24180.716451388609</v>
      </c>
      <c r="M39" s="51"/>
      <c r="N39" s="79"/>
      <c r="O39" s="278"/>
      <c r="P39" s="79"/>
      <c r="Q39" s="55"/>
    </row>
    <row r="40" spans="1:18" ht="14.45" customHeight="1" collapsed="1" x14ac:dyDescent="0.25">
      <c r="B40" s="338" t="s">
        <v>41</v>
      </c>
      <c r="C40" s="325">
        <f>C37+C38+C39</f>
        <v>1108526.0816097348</v>
      </c>
      <c r="D40" s="326">
        <f>D37+D38+D39</f>
        <v>1241279.5816275894</v>
      </c>
      <c r="E40" s="327">
        <f t="shared" si="7"/>
        <v>-0.10694891141590013</v>
      </c>
      <c r="F40" s="326">
        <f>F37+F38+F39</f>
        <v>10489084.718390258</v>
      </c>
      <c r="G40" s="326">
        <f>G37+G38+G39</f>
        <v>7289663.2797065852</v>
      </c>
      <c r="H40" s="327">
        <f t="shared" si="8"/>
        <v>0.43889838472929465</v>
      </c>
      <c r="I40" s="326">
        <f>I37+I38+I39</f>
        <v>11597610.799999995</v>
      </c>
      <c r="J40" s="326">
        <f>J37+J38+J39</f>
        <v>8530942.8613341693</v>
      </c>
      <c r="K40" s="327">
        <f t="shared" si="9"/>
        <v>0.359475850268</v>
      </c>
      <c r="L40" s="339">
        <f t="shared" si="12"/>
        <v>3066667.9386658259</v>
      </c>
      <c r="M40" s="52"/>
      <c r="N40" s="79"/>
      <c r="O40" s="278"/>
      <c r="P40" s="104"/>
      <c r="Q40" s="55"/>
      <c r="R40" s="70"/>
    </row>
    <row r="41" spans="1:18" s="70" customFormat="1" ht="13.5" customHeight="1" outlineLevel="1" x14ac:dyDescent="0.25">
      <c r="B41" s="261" t="s">
        <v>42</v>
      </c>
      <c r="C41" s="251">
        <f>INDEX(Realizado!74:74,MATCH('P&amp;L Mensal'!$F$1,Realizado!$2:$2,0))</f>
        <v>-375153.55806499202</v>
      </c>
      <c r="D41" s="242">
        <f>INDEX('Orçado '!77:77,MATCH('P&amp;L Mensal'!$F$1,'Orçado '!$2:$2,0))</f>
        <v>-487969.93166831072</v>
      </c>
      <c r="E41" s="58">
        <f t="shared" si="7"/>
        <v>-0.23119533865050468</v>
      </c>
      <c r="F41" s="251">
        <f>INDEX(Realizado!118:118,MATCH('P&amp;L Mensal'!$F$1,Realizado!$2:$2,0))</f>
        <v>-3549774.3519350002</v>
      </c>
      <c r="G41" s="242">
        <f>INDEX('Orçado '!121:121,MATCH('P&amp;L Mensal'!$F$1,'Orçado '!$2:$2,0))</f>
        <v>-1730075.2122785561</v>
      </c>
      <c r="H41" s="58">
        <f t="shared" si="8"/>
        <v>1.0518034861963317</v>
      </c>
      <c r="I41" s="251">
        <f>C41+F41</f>
        <v>-3924927.9099999922</v>
      </c>
      <c r="J41" s="242">
        <f>D41+G41</f>
        <v>-2218045.143946867</v>
      </c>
      <c r="K41" s="61">
        <f t="shared" si="9"/>
        <v>0.76954374473002773</v>
      </c>
      <c r="L41" s="265">
        <f>I41-J41</f>
        <v>-1706882.7660531253</v>
      </c>
      <c r="M41" s="69"/>
      <c r="N41" s="79"/>
      <c r="O41" s="278"/>
      <c r="P41" s="104"/>
      <c r="Q41" s="55"/>
    </row>
    <row r="42" spans="1:18" ht="14.45" customHeight="1" x14ac:dyDescent="0.25">
      <c r="B42" s="338" t="s">
        <v>43</v>
      </c>
      <c r="C42" s="325">
        <f>C40+C41</f>
        <v>733372.52354474273</v>
      </c>
      <c r="D42" s="326">
        <f>D40+D41</f>
        <v>753309.64995927876</v>
      </c>
      <c r="E42" s="327">
        <f t="shared" si="7"/>
        <v>-2.6466044097024022E-2</v>
      </c>
      <c r="F42" s="325">
        <f>F40+F41</f>
        <v>6939310.3664552579</v>
      </c>
      <c r="G42" s="326">
        <f>G40+G41</f>
        <v>5559588.0674280291</v>
      </c>
      <c r="H42" s="327">
        <f t="shared" si="8"/>
        <v>0.24816987918774247</v>
      </c>
      <c r="I42" s="325">
        <f>I40+I41</f>
        <v>7672682.8900000025</v>
      </c>
      <c r="J42" s="326">
        <f>J40+J41</f>
        <v>6312897.7173873018</v>
      </c>
      <c r="K42" s="327">
        <f t="shared" si="9"/>
        <v>0.21539794140296475</v>
      </c>
      <c r="L42" s="339">
        <f>ABS(I42)-ABS(J42)</f>
        <v>1359785.1726127006</v>
      </c>
      <c r="M42" s="52"/>
      <c r="N42" s="323" t="s">
        <v>44</v>
      </c>
      <c r="O42" s="323">
        <f>RESULTADO!CE26-'P&amp;L Mensal'!I42</f>
        <v>0</v>
      </c>
      <c r="P42" s="104"/>
      <c r="Q42" s="55"/>
      <c r="R42" s="70"/>
    </row>
    <row r="43" spans="1:18" ht="14.45" hidden="1" customHeight="1" x14ac:dyDescent="0.25">
      <c r="A43">
        <v>2</v>
      </c>
      <c r="B43" s="260" t="s">
        <v>45</v>
      </c>
      <c r="C43" s="237" t="e">
        <f>C40+#REF!+C39-#REF!</f>
        <v>#REF!</v>
      </c>
      <c r="D43" s="236" t="e">
        <f>D40+#REF!+D39-#REF!</f>
        <v>#REF!</v>
      </c>
      <c r="E43" s="87" t="str">
        <f t="shared" si="7"/>
        <v>-</v>
      </c>
      <c r="F43" s="237" t="e">
        <f>F40+#REF!+F39-#REF!</f>
        <v>#REF!</v>
      </c>
      <c r="G43" s="236" t="e">
        <f>G40+#REF!+G39-#REF!</f>
        <v>#REF!</v>
      </c>
      <c r="H43" s="87" t="str">
        <f t="shared" si="8"/>
        <v>-</v>
      </c>
      <c r="I43" s="237" t="e">
        <f>C43+F43</f>
        <v>#REF!</v>
      </c>
      <c r="J43" s="236" t="e">
        <f>D43+G43</f>
        <v>#REF!</v>
      </c>
      <c r="K43" s="87" t="str">
        <f t="shared" si="9"/>
        <v>-</v>
      </c>
      <c r="L43" s="241" t="e">
        <f>ABS(I43)-ABS(J43)</f>
        <v>#REF!</v>
      </c>
      <c r="M43" s="52"/>
      <c r="N43" s="55"/>
      <c r="O43" s="215"/>
      <c r="P43" s="104"/>
      <c r="Q43" s="55"/>
      <c r="R43" s="70"/>
    </row>
    <row r="44" spans="1:18" ht="13.5" customHeight="1" x14ac:dyDescent="0.25">
      <c r="B44" s="258" t="s">
        <v>46</v>
      </c>
      <c r="C44" s="68">
        <f>((C30/C49)*12)</f>
        <v>8.3519809358461927E-2</v>
      </c>
      <c r="D44" s="71">
        <f>((D30/D49)*12)</f>
        <v>8.642629706778146E-2</v>
      </c>
      <c r="E44" s="390">
        <f>IFERROR(C44-D44,"-")*100</f>
        <v>-0.29064877093195329</v>
      </c>
      <c r="F44" s="68">
        <f>((F30/F49)*12)</f>
        <v>0.11378117275063988</v>
      </c>
      <c r="G44" s="71">
        <f>((G30/G49)*12)</f>
        <v>0.10533597981220691</v>
      </c>
      <c r="H44" s="390">
        <f>IFERROR(F44-G44,"-")*100</f>
        <v>0.84451929384329749</v>
      </c>
      <c r="I44" s="68">
        <f>((I30/I49)*12)</f>
        <v>0.10756660748900262</v>
      </c>
      <c r="J44" s="71">
        <f>((J30/J49)*12)</f>
        <v>0.10135270537890267</v>
      </c>
      <c r="K44" s="390">
        <f>IFERROR(I44-J44,"-")*100</f>
        <v>0.62139021100999503</v>
      </c>
      <c r="L44" s="210"/>
      <c r="M44" s="60"/>
      <c r="N44" s="55"/>
      <c r="O44" s="278"/>
      <c r="P44" s="104"/>
      <c r="Q44" s="55"/>
    </row>
    <row r="45" spans="1:18" ht="13.5" customHeight="1" x14ac:dyDescent="0.25">
      <c r="B45" s="238" t="s">
        <v>47</v>
      </c>
      <c r="C45" s="67">
        <f>((C34/C49)*12)</f>
        <v>6.5655930619869851E-2</v>
      </c>
      <c r="D45" s="60">
        <f>((D34/D49)*12)</f>
        <v>6.9611161204162428E-2</v>
      </c>
      <c r="E45" s="390">
        <f>IFERROR(C45-D45,"-")*100</f>
        <v>-0.39552305842925767</v>
      </c>
      <c r="F45" s="67">
        <f>((F34/F49)*12)</f>
        <v>0.11045482134614576</v>
      </c>
      <c r="G45" s="60">
        <f>((G34/G49)*12)</f>
        <v>9.5302041163857848E-2</v>
      </c>
      <c r="H45" s="390">
        <f>IFERROR(F45-G45,"-")*100</f>
        <v>1.5152780182287913</v>
      </c>
      <c r="I45" s="67">
        <f>((I34/I49)*12)</f>
        <v>0.10125478543040248</v>
      </c>
      <c r="J45" s="60">
        <f>((J34/J49)*12)</f>
        <v>8.9890325552568123E-2</v>
      </c>
      <c r="K45" s="390">
        <f>IFERROR(I45-J45,"-")*100</f>
        <v>1.1364459877834354</v>
      </c>
      <c r="L45" s="211"/>
      <c r="M45" s="60"/>
      <c r="N45" s="55"/>
      <c r="O45" s="278"/>
      <c r="P45" s="79"/>
      <c r="Q45" s="55"/>
    </row>
    <row r="46" spans="1:18" ht="13.5" customHeight="1" x14ac:dyDescent="0.25">
      <c r="B46" s="238" t="s">
        <v>48</v>
      </c>
      <c r="C46" s="67">
        <f>(C35+C38)/(C30)</f>
        <v>-0.35056504663787236</v>
      </c>
      <c r="D46" s="60">
        <f>(D35+D38)/(D30)</f>
        <v>-0.35782344277296718</v>
      </c>
      <c r="E46" s="390">
        <f>IFERROR(C46-D46,"-")*100</f>
        <v>0.72583961350948245</v>
      </c>
      <c r="F46" s="60">
        <f>(F35+F38)/(F30)</f>
        <v>-0.2417392667936335</v>
      </c>
      <c r="G46" s="60">
        <f>(G35+G38)/(G30)</f>
        <v>-0.32705248596231429</v>
      </c>
      <c r="H46" s="390">
        <f>IFERROR(F46-G46,"-")*100</f>
        <v>8.5313219168680785</v>
      </c>
      <c r="I46" s="60">
        <f>(I35+I38)/(I30)</f>
        <v>-0.25909192740769632</v>
      </c>
      <c r="J46" s="60">
        <f>(J35+J38)/(J30)</f>
        <v>-0.33257971609422105</v>
      </c>
      <c r="K46" s="390">
        <f>IFERROR(I46-J46,"-")*100</f>
        <v>7.348778868652472</v>
      </c>
      <c r="L46" s="211"/>
      <c r="M46" s="60"/>
      <c r="N46" s="55"/>
      <c r="O46" s="278"/>
      <c r="P46" s="79"/>
      <c r="Q46" s="55"/>
    </row>
    <row r="47" spans="1:18" ht="13.5" customHeight="1" x14ac:dyDescent="0.25">
      <c r="A47" s="105"/>
      <c r="B47" s="238" t="s">
        <v>49</v>
      </c>
      <c r="C47" s="67">
        <f>(C35+C38+C39)/C30</f>
        <v>-0.38330113734233651</v>
      </c>
      <c r="D47" s="60">
        <f>(D35+D38+D39)/D30</f>
        <v>-0.38748203641093837</v>
      </c>
      <c r="E47" s="390">
        <f>IFERROR(C47-D47,"-")*100</f>
        <v>0.41808990686018621</v>
      </c>
      <c r="F47" s="67">
        <f>(F35+F38+F39)/F30</f>
        <v>-0.26375693492255886</v>
      </c>
      <c r="G47" s="60">
        <f>(G35+G38+G39)/G30</f>
        <v>-0.35007626207604764</v>
      </c>
      <c r="H47" s="390">
        <f>IFERROR(F47-G47,"-")*100</f>
        <v>8.6319327153488778</v>
      </c>
      <c r="I47" s="67">
        <f>(I35+I38+I39)/I30</f>
        <v>-0.28281868642976898</v>
      </c>
      <c r="J47" s="60">
        <f>(J35+J38+J39)/J30</f>
        <v>-0.35679527066207689</v>
      </c>
      <c r="K47" s="390">
        <f>IFERROR(I47-J47,"-")*100</f>
        <v>7.3976584232307907</v>
      </c>
      <c r="L47" s="211"/>
      <c r="M47" s="60"/>
      <c r="N47" s="55"/>
      <c r="O47" s="379"/>
      <c r="P47" s="104"/>
      <c r="Q47" s="55"/>
    </row>
    <row r="48" spans="1:18" ht="13.5" customHeight="1" x14ac:dyDescent="0.25">
      <c r="B48" s="259" t="s">
        <v>50</v>
      </c>
      <c r="C48" s="67">
        <f>((C42/C56)*12)</f>
        <v>0.2077182893953449</v>
      </c>
      <c r="D48" s="60">
        <f>((D42/D56)*12)</f>
        <v>0.19499662646935909</v>
      </c>
      <c r="E48" s="390">
        <f>IFERROR(C48-D48,"-")*100</f>
        <v>1.272166292598581</v>
      </c>
      <c r="F48" s="67">
        <f>((F42/F56)*12)</f>
        <v>0.50794876689251178</v>
      </c>
      <c r="G48" s="60">
        <f>((G42/G56)*12)</f>
        <v>0.38404409553545849</v>
      </c>
      <c r="H48" s="390">
        <f>IFERROR(F48-G48,"-")*100</f>
        <v>12.390467135705329</v>
      </c>
      <c r="I48" s="67">
        <f>((I42/I56)*12)</f>
        <v>0.44629252649916179</v>
      </c>
      <c r="J48" s="60">
        <f>((J42/J56)*12)</f>
        <v>0.34422174841364545</v>
      </c>
      <c r="K48" s="390">
        <f>IFERROR(I48-J48,"-")*100</f>
        <v>10.207077808551634</v>
      </c>
      <c r="L48" s="211"/>
      <c r="M48" s="60"/>
      <c r="N48" s="55"/>
      <c r="O48" s="379"/>
      <c r="P48" s="104"/>
      <c r="Q48" s="55"/>
    </row>
    <row r="49" spans="1:16" ht="13.5" customHeight="1" x14ac:dyDescent="0.25">
      <c r="B49" s="218" t="s">
        <v>51</v>
      </c>
      <c r="C49" s="164">
        <f>AVERAGE(INDEX(Realizado!$128:$128,MATCH($F$1,Realizado!$2:$2,0)),INDEX(Realizado!$128:$128,MATCH(EOMONTH($F$1,-1),Realizado!$2:$2,0)))</f>
        <v>409940436.06999803</v>
      </c>
      <c r="D49" s="66">
        <f>AVERAGE(INDEX('Orçado '!128:128,MATCH($F$1,'Orçado '!$2:$2,0)),INDEX('Orçado '!128:128,MATCH(EOMONTH($F$1,-1),'Orçado '!$2:$2,0)))</f>
        <v>412356432.72082371</v>
      </c>
      <c r="E49" s="84">
        <f>IFERROR(C49/D49-1,"-")</f>
        <v>-5.8590007554493173E-3</v>
      </c>
      <c r="F49" s="164">
        <f>AVERAGE(INDEX(Realizado!$129:$129,MATCH($F$1,Realizado!$2:$2,0)),INDEX(Realizado!$129:$129,MATCH(EOMONTH($F$1,-1),Realizado!$2:$2,0)))</f>
        <v>1586234031.9400001</v>
      </c>
      <c r="G49" s="66">
        <f>AVERAGE(INDEX('Orçado '!129:129,MATCH($F$1,'Orçado '!$2:$2,0)),INDEX('Orçado '!129:129,MATCH(EOMONTH($F$1,-1),'Orçado '!$2:$2,0)))</f>
        <v>1545211254.6015811</v>
      </c>
      <c r="H49" s="84">
        <f>IFERROR(F49/G49-1,"-")</f>
        <v>2.6548329373252244E-2</v>
      </c>
      <c r="I49" s="164">
        <f>C49+F49</f>
        <v>1996174468.0099981</v>
      </c>
      <c r="J49" s="66">
        <f>D49+G49</f>
        <v>1957567687.3224049</v>
      </c>
      <c r="K49" s="72">
        <f>IFERROR(I49/J49-1,"-")</f>
        <v>1.9721811377260812E-2</v>
      </c>
      <c r="L49" s="165">
        <f>J49-I49</f>
        <v>-38606780.687593222</v>
      </c>
      <c r="M49" s="51"/>
      <c r="N49" s="79"/>
      <c r="O49" s="4"/>
    </row>
    <row r="50" spans="1:16" ht="13.5" customHeight="1" x14ac:dyDescent="0.25">
      <c r="B50" s="218" t="s">
        <v>52</v>
      </c>
      <c r="C50" s="164">
        <f>AVERAGE(INDEX(Realizado!$132:$132,MATCH($F$1,Realizado!$2:$2,0)),INDEX(Realizado!$132:$132,MATCH(EOMONTH($F$1,-1),Realizado!$2:$2,0)))</f>
        <v>407327822.36499965</v>
      </c>
      <c r="D50" s="66">
        <f>AVERAGE(INDEX('Orçado '!134:134,MATCH($F$1,'Orçado '!$2:$2,0)),INDEX('Orçado '!134:134,MATCH(EOMONTH($F$1,-1),'Orçado '!$2:$2,0)))</f>
        <v>410674939.09533346</v>
      </c>
      <c r="E50" s="84">
        <f>IFERROR(C50/D50-1,"-")</f>
        <v>-8.150282405123388E-3</v>
      </c>
      <c r="F50" s="164">
        <f>AVERAGE(INDEX(Realizado!$133:$133,MATCH($F$1,Realizado!$2:$2,0)),INDEX(Realizado!$133:$133,MATCH(EOMONTH($F$1,-1),Realizado!$2:$2,0)))</f>
        <v>1560025554.2650003</v>
      </c>
      <c r="G50" s="66">
        <f>AVERAGE(INDEX('Orçado '!135:135,MATCH($F$1,'Orçado '!$2:$2,0)),INDEX('Orçado '!135:135,MATCH(EOMONTH($F$1,-1),'Orçado '!$2:$2,0)))</f>
        <v>1516487216.71225</v>
      </c>
      <c r="H50" s="84">
        <f>IFERROR(F50/G50-1,"-")</f>
        <v>2.8709993116289967E-2</v>
      </c>
      <c r="I50" s="164">
        <f>C50+F50</f>
        <v>1967353376.6300001</v>
      </c>
      <c r="J50" s="66">
        <f>D50+G50</f>
        <v>1927162155.8075833</v>
      </c>
      <c r="K50" s="72">
        <f>IFERROR(I50/J50-1,"-")</f>
        <v>2.08551318327308E-2</v>
      </c>
      <c r="L50" s="165">
        <f>J50-I50</f>
        <v>-40191220.822416782</v>
      </c>
      <c r="M50" s="51"/>
    </row>
    <row r="51" spans="1:16" ht="13.5" customHeight="1" x14ac:dyDescent="0.25">
      <c r="B51" s="286"/>
      <c r="C51" s="262"/>
      <c r="D51" s="42"/>
      <c r="E51" s="263"/>
      <c r="F51" s="262"/>
      <c r="G51" s="42"/>
      <c r="H51" s="263">
        <f>F50-G50</f>
        <v>43538337.552750349</v>
      </c>
      <c r="I51" s="262"/>
      <c r="J51" s="42"/>
      <c r="L51" s="263"/>
      <c r="M51" s="42"/>
    </row>
    <row r="52" spans="1:16" ht="13.5" customHeight="1" x14ac:dyDescent="0.25">
      <c r="B52" s="283" t="s">
        <v>53</v>
      </c>
      <c r="C52" s="187">
        <f>C6/C49</f>
        <v>1.9194187076135238E-2</v>
      </c>
      <c r="D52" s="188">
        <f>D6/D49</f>
        <v>1.878696553739909E-2</v>
      </c>
      <c r="E52" s="383"/>
      <c r="F52" s="187">
        <f>F6/F49</f>
        <v>1.8695955466123654E-2</v>
      </c>
      <c r="G52" s="188">
        <f>G6/G49</f>
        <v>1.7007775650030896E-2</v>
      </c>
      <c r="H52" s="383"/>
      <c r="I52" s="187">
        <f>I6/I49</f>
        <v>1.8798273818925564E-2</v>
      </c>
      <c r="J52" s="188">
        <f>J6/J49</f>
        <v>1.7382557273082522E-2</v>
      </c>
      <c r="K52" s="383"/>
      <c r="L52" s="252"/>
      <c r="M52" s="240"/>
    </row>
    <row r="53" spans="1:16" ht="13.5" customHeight="1" x14ac:dyDescent="0.25">
      <c r="B53" s="283" t="s">
        <v>54</v>
      </c>
      <c r="C53" s="187">
        <f>C6/C50</f>
        <v>1.931729920709711E-2</v>
      </c>
      <c r="D53" s="188">
        <f>D6/D50</f>
        <v>1.8863888085590197E-2</v>
      </c>
      <c r="E53" s="383"/>
      <c r="F53" s="187">
        <f>F6/F50</f>
        <v>1.9010048097559778E-2</v>
      </c>
      <c r="G53" s="188">
        <f>G6/G50</f>
        <v>1.7329922771879946E-2</v>
      </c>
      <c r="H53" s="383"/>
      <c r="I53" s="187">
        <f>I6/I50</f>
        <v>1.9073662457264412E-2</v>
      </c>
      <c r="J53" s="188">
        <f>J6/J50</f>
        <v>1.7656808140546976E-2</v>
      </c>
      <c r="K53" s="383"/>
      <c r="L53" s="252"/>
      <c r="M53" s="240"/>
    </row>
    <row r="54" spans="1:16" s="25" customFormat="1" ht="13.5" customHeight="1" x14ac:dyDescent="0.25">
      <c r="B54" s="257"/>
      <c r="C54" s="255"/>
      <c r="D54" s="73"/>
      <c r="E54" s="253"/>
      <c r="F54" s="262"/>
      <c r="G54" s="42"/>
      <c r="H54" s="253"/>
      <c r="I54" s="255"/>
      <c r="J54" s="73"/>
      <c r="K54" s="213"/>
      <c r="L54" s="263"/>
      <c r="M54" s="42"/>
    </row>
    <row r="55" spans="1:16" ht="13.5" customHeight="1" x14ac:dyDescent="0.25">
      <c r="A55" s="25"/>
      <c r="B55" s="258" t="s">
        <v>55</v>
      </c>
      <c r="C55" s="189">
        <f>C49/$I$49</f>
        <v>0.20536302945436971</v>
      </c>
      <c r="D55" s="190">
        <f>D49/$J$49</f>
        <v>0.21064734332882865</v>
      </c>
      <c r="E55" s="74">
        <f>IFERROR(C55/D55-1,"-")</f>
        <v>-2.5086069403732814E-2</v>
      </c>
      <c r="F55" s="189">
        <f>F49/$I$49</f>
        <v>0.79463697054563032</v>
      </c>
      <c r="G55" s="190">
        <f>G49/$J$49</f>
        <v>0.78935265667117127</v>
      </c>
      <c r="H55" s="74">
        <f>IFERROR(F55/G55-1,"-")</f>
        <v>6.6944905167531932E-3</v>
      </c>
      <c r="I55" s="189">
        <f>C55+F55</f>
        <v>1</v>
      </c>
      <c r="J55" s="190">
        <f>D55+G55</f>
        <v>0.99999999999999989</v>
      </c>
      <c r="K55" s="74">
        <f>IFERROR(I55/J55-1,"-")</f>
        <v>0</v>
      </c>
      <c r="L55" s="256"/>
      <c r="M55" s="73"/>
    </row>
    <row r="56" spans="1:16" ht="13.5" customHeight="1" x14ac:dyDescent="0.25">
      <c r="B56" s="259" t="s">
        <v>56</v>
      </c>
      <c r="C56" s="53">
        <f>$I$58*C55</f>
        <v>42367334.663473964</v>
      </c>
      <c r="D56" s="54">
        <f>$J$58*D55</f>
        <v>46358318.926772855</v>
      </c>
      <c r="E56" s="59">
        <f>IFERROR(C56/D56-1,"-")</f>
        <v>-8.608992637552304E-2</v>
      </c>
      <c r="F56" s="53">
        <f>$I$58*F55</f>
        <v>163937250.81152606</v>
      </c>
      <c r="G56" s="54">
        <f>$J$58*G55</f>
        <v>173717178.79458091</v>
      </c>
      <c r="H56" s="59">
        <f>IFERROR(F56/G56-1,"-")</f>
        <v>-5.6297989933508652E-2</v>
      </c>
      <c r="I56" s="53">
        <f>$I$58*I55</f>
        <v>206304585.47500002</v>
      </c>
      <c r="J56" s="54">
        <f>$J$58*J55</f>
        <v>220075497.72135374</v>
      </c>
      <c r="K56" s="59">
        <f>IFERROR(I56/J56-1,"-")</f>
        <v>-6.2573582197640198E-2</v>
      </c>
      <c r="L56" s="167"/>
      <c r="M56" s="51"/>
    </row>
    <row r="57" spans="1:16" ht="13.5" customHeight="1" x14ac:dyDescent="0.25">
      <c r="B57" s="257"/>
      <c r="C57" s="264"/>
      <c r="E57" s="254"/>
      <c r="F57" s="264"/>
      <c r="H57" s="254"/>
      <c r="I57" s="257"/>
      <c r="L57" s="266"/>
    </row>
    <row r="58" spans="1:16" ht="13.5" customHeight="1" x14ac:dyDescent="0.25">
      <c r="B58" s="218" t="s">
        <v>57</v>
      </c>
      <c r="C58" s="164"/>
      <c r="D58" s="56"/>
      <c r="E58" s="216"/>
      <c r="F58" s="164"/>
      <c r="G58" s="56"/>
      <c r="H58" s="216"/>
      <c r="I58" s="164">
        <f>AVERAGE(INDEX(Realizado!$137:$137,MATCH($F$1,Realizado!$2:$2,0)),INDEX(Realizado!$137:$137,MATCH(EOMONTH($F$1,-1),Realizado!$2:$2,0)))</f>
        <v>206304585.47500002</v>
      </c>
      <c r="J58" s="66">
        <f>AVERAGE(INDEX('Orçado '!$137:$137,MATCH($F$1,'Orçado '!$2:$2,0)),INDEX('Orçado '!$137:$137,MATCH(EOMONTH($F$1,-1),'Orçado '!$2:$2,0)))</f>
        <v>220075497.72135377</v>
      </c>
      <c r="K58" s="72">
        <f>IFERROR(I58/J58-1,"-")</f>
        <v>-6.2573582197640421E-2</v>
      </c>
      <c r="L58" s="219"/>
      <c r="M58" s="55"/>
    </row>
    <row r="59" spans="1:16" ht="13.5" customHeight="1" x14ac:dyDescent="0.25">
      <c r="B59" s="218" t="s">
        <v>58</v>
      </c>
      <c r="C59" s="164"/>
      <c r="D59" s="56"/>
      <c r="E59" s="216"/>
      <c r="F59" s="164"/>
      <c r="G59" s="56"/>
      <c r="H59" s="216"/>
      <c r="I59" s="164">
        <f>AVERAGE(INDEX(Realizado!$136:$136,MATCH($F$1,Realizado!$2:$2,0)),INDEX(Realizado!$136:$136,MATCH(EOMONTH($F$1,-1),Realizado!$2:$2,0)))</f>
        <v>214460098.13</v>
      </c>
      <c r="J59" s="66"/>
      <c r="K59" s="72"/>
      <c r="L59" s="219"/>
      <c r="M59" s="55"/>
    </row>
    <row r="60" spans="1:16" ht="13.5" customHeight="1" x14ac:dyDescent="0.25">
      <c r="D60" s="55"/>
    </row>
    <row r="61" spans="1:16" ht="13.5" customHeight="1" x14ac:dyDescent="0.25">
      <c r="B61" s="89" t="s">
        <v>59</v>
      </c>
      <c r="C61" s="319">
        <f>C35+C38</f>
        <v>-1000224.8020000083</v>
      </c>
      <c r="D61" s="56">
        <f>D35+D38</f>
        <v>-1062689.0946336011</v>
      </c>
      <c r="E61" s="384">
        <f>(C61/D61)-1</f>
        <v>-5.8779461414469103E-2</v>
      </c>
      <c r="F61" s="319">
        <f>F35+F38</f>
        <v>-3635830.4580000099</v>
      </c>
      <c r="G61" s="56">
        <f>G35+G38</f>
        <v>-4436094.71876729</v>
      </c>
      <c r="H61" s="84">
        <f>(F61/G61)-1</f>
        <v>-0.18039837097744815</v>
      </c>
      <c r="I61" s="319">
        <f>I35+I38</f>
        <v>-4636055.2600000184</v>
      </c>
      <c r="J61" s="56">
        <f>J35+J38</f>
        <v>-5498783.8134008907</v>
      </c>
      <c r="K61" s="72">
        <f>(I61/J61)-1</f>
        <v>-0.15689443023716387</v>
      </c>
      <c r="L61" s="381"/>
    </row>
    <row r="62" spans="1:16" ht="13.5" customHeight="1" x14ac:dyDescent="0.25">
      <c r="I62" s="110"/>
      <c r="J62" s="321"/>
      <c r="P62" s="110"/>
    </row>
    <row r="63" spans="1:16" ht="13.5" customHeight="1" x14ac:dyDescent="0.25">
      <c r="B63" s="89" t="s">
        <v>60</v>
      </c>
      <c r="C63" s="385">
        <f>C41/C40</f>
        <v>-0.33842555830550836</v>
      </c>
      <c r="D63" s="386">
        <f>D41/D40</f>
        <v>-0.39311847136684169</v>
      </c>
      <c r="E63" s="387"/>
      <c r="F63" s="385">
        <f>F41/F40</f>
        <v>-0.33842555830550847</v>
      </c>
      <c r="G63" s="386">
        <f>G41/G40</f>
        <v>-0.2373326648838289</v>
      </c>
      <c r="H63" s="387"/>
      <c r="I63" s="385">
        <f>I41/I40</f>
        <v>-0.33842555830550841</v>
      </c>
      <c r="J63" s="386">
        <f>J41/J40</f>
        <v>-0.25999999999999801</v>
      </c>
      <c r="K63" s="388"/>
      <c r="L63" s="382"/>
    </row>
    <row r="64" spans="1:16" ht="13.5" customHeight="1" x14ac:dyDescent="0.25">
      <c r="I64" s="110"/>
      <c r="J64" s="110"/>
      <c r="P64" s="110"/>
    </row>
    <row r="65" spans="3:16" ht="13.5" customHeight="1" x14ac:dyDescent="0.25">
      <c r="C65" s="79"/>
      <c r="D65" s="47"/>
      <c r="F65" s="79"/>
      <c r="G65" s="47"/>
      <c r="I65" s="410"/>
      <c r="J65" s="410"/>
      <c r="P65" s="221"/>
    </row>
    <row r="66" spans="3:16" ht="13.5" customHeight="1" x14ac:dyDescent="0.25">
      <c r="C66" s="79"/>
      <c r="D66" s="47"/>
      <c r="F66" s="79"/>
      <c r="G66" s="47"/>
      <c r="I66" s="4"/>
      <c r="J66" s="79"/>
      <c r="P66" s="79"/>
    </row>
    <row r="67" spans="3:16" ht="13.5" customHeight="1" x14ac:dyDescent="0.25">
      <c r="C67" s="104"/>
      <c r="I67" s="4"/>
    </row>
    <row r="68" spans="3:16" ht="13.5" customHeight="1" x14ac:dyDescent="0.25">
      <c r="C68" s="79"/>
      <c r="J68" s="42"/>
      <c r="K68" s="222"/>
    </row>
    <row r="69" spans="3:16" ht="13.5" customHeight="1" x14ac:dyDescent="0.25">
      <c r="J69" s="42"/>
      <c r="K69" s="222"/>
      <c r="L69" s="47"/>
      <c r="M69" s="47"/>
    </row>
    <row r="70" spans="3:16" ht="13.5" customHeight="1" x14ac:dyDescent="0.25">
      <c r="I70" s="73"/>
      <c r="K70" s="222"/>
      <c r="L70" s="55"/>
      <c r="M70" s="55"/>
      <c r="N70" s="55"/>
      <c r="O70" s="101"/>
    </row>
    <row r="71" spans="3:16" ht="13.5" customHeight="1" x14ac:dyDescent="0.25">
      <c r="K71" s="191"/>
      <c r="L71" s="55"/>
      <c r="M71" s="55"/>
    </row>
    <row r="72" spans="3:16" ht="13.5" customHeight="1" x14ac:dyDescent="0.25">
      <c r="I72" s="25"/>
      <c r="L72" s="223"/>
      <c r="M72" s="223"/>
    </row>
    <row r="73" spans="3:16" ht="13.5" customHeight="1" x14ac:dyDescent="0.25">
      <c r="I73" s="224"/>
      <c r="J73" s="224"/>
      <c r="K73" s="225"/>
      <c r="L73" s="192"/>
      <c r="M73" s="192"/>
      <c r="P73" s="224"/>
    </row>
    <row r="74" spans="3:16" ht="13.5" customHeight="1" x14ac:dyDescent="0.25">
      <c r="I74" s="224"/>
      <c r="J74" s="224"/>
      <c r="K74" s="225"/>
      <c r="L74" s="192"/>
      <c r="M74" s="192"/>
      <c r="P74" s="224"/>
    </row>
    <row r="75" spans="3:16" ht="13.5" customHeight="1" x14ac:dyDescent="0.25">
      <c r="I75" s="224"/>
      <c r="J75" s="224"/>
      <c r="K75" s="225"/>
      <c r="L75" s="192"/>
      <c r="M75" s="192"/>
      <c r="P75" s="224"/>
    </row>
    <row r="76" spans="3:16" ht="13.5" customHeight="1" x14ac:dyDescent="0.25">
      <c r="I76" s="224"/>
      <c r="J76" s="224"/>
      <c r="K76" s="225"/>
      <c r="L76" s="192"/>
      <c r="M76" s="192"/>
      <c r="P76" s="224"/>
    </row>
    <row r="77" spans="3:16" ht="13.5" customHeight="1" x14ac:dyDescent="0.25">
      <c r="I77" s="224"/>
      <c r="J77" s="224"/>
      <c r="K77" s="225"/>
      <c r="L77" s="192"/>
      <c r="M77" s="192"/>
      <c r="P77" s="224"/>
    </row>
    <row r="78" spans="3:16" ht="13.5" customHeight="1" x14ac:dyDescent="0.25">
      <c r="I78" s="35"/>
      <c r="J78" s="35"/>
      <c r="K78" s="226"/>
      <c r="L78" s="193"/>
      <c r="M78" s="193"/>
      <c r="P78" s="35"/>
    </row>
    <row r="79" spans="3:16" ht="13.5" customHeight="1" x14ac:dyDescent="0.25">
      <c r="L79" s="194"/>
      <c r="M79" s="194"/>
    </row>
    <row r="80" spans="3:16" ht="13.5" customHeight="1" x14ac:dyDescent="0.25">
      <c r="L80" s="42"/>
      <c r="M80" s="42"/>
    </row>
    <row r="81" spans="9:16" ht="13.5" customHeight="1" x14ac:dyDescent="0.25">
      <c r="L81" s="42"/>
      <c r="M81" s="42"/>
    </row>
    <row r="82" spans="9:16" ht="13.5" customHeight="1" x14ac:dyDescent="0.25">
      <c r="I82" s="227"/>
      <c r="J82" s="227"/>
      <c r="K82" s="228"/>
      <c r="L82" s="195"/>
      <c r="M82" s="195"/>
      <c r="P82" s="227"/>
    </row>
  </sheetData>
  <mergeCells count="4">
    <mergeCell ref="I3:K3"/>
    <mergeCell ref="F3:H3"/>
    <mergeCell ref="C3:E3"/>
    <mergeCell ref="N3:P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1">
    <tabColor theme="4" tint="0.59999389629810485"/>
  </sheetPr>
  <dimension ref="A1:AZ143"/>
  <sheetViews>
    <sheetView showGridLines="0" topLeftCell="A88" zoomScaleNormal="100" workbookViewId="0">
      <selection activeCell="AP119" sqref="AP119"/>
    </sheetView>
  </sheetViews>
  <sheetFormatPr defaultRowHeight="15" x14ac:dyDescent="0.25"/>
  <cols>
    <col min="1" max="1" width="38.28515625" customWidth="1"/>
    <col min="2" max="2" width="14.7109375" hidden="1" customWidth="1"/>
    <col min="3" max="3" width="15" hidden="1" customWidth="1"/>
    <col min="4" max="4" width="15.28515625" hidden="1" customWidth="1"/>
    <col min="5" max="7" width="14.85546875" hidden="1" customWidth="1"/>
    <col min="8" max="11" width="14.28515625" hidden="1" customWidth="1"/>
    <col min="12" max="16" width="15.140625" hidden="1" customWidth="1"/>
    <col min="17" max="24" width="16.28515625" hidden="1" customWidth="1"/>
    <col min="25" max="39" width="15.140625" hidden="1" customWidth="1"/>
    <col min="40" max="51" width="15.140625" customWidth="1"/>
  </cols>
  <sheetData>
    <row r="1" spans="1:51" ht="15.75" customHeight="1" x14ac:dyDescent="0.25">
      <c r="L1" s="93"/>
    </row>
    <row r="2" spans="1:51" s="355" customFormat="1" x14ac:dyDescent="0.25">
      <c r="A2" s="353" t="s">
        <v>205</v>
      </c>
      <c r="B2" s="354">
        <f>EOMONTH(C2,-1)</f>
        <v>44895</v>
      </c>
      <c r="C2" s="354">
        <f>EOMONTH(D2,-1)</f>
        <v>44926</v>
      </c>
      <c r="D2" s="354">
        <v>44957</v>
      </c>
      <c r="E2" s="354">
        <f t="shared" ref="E2:AH2" si="0">EOMONTH(D2,1)</f>
        <v>44985</v>
      </c>
      <c r="F2" s="354">
        <f t="shared" si="0"/>
        <v>45016</v>
      </c>
      <c r="G2" s="354">
        <f t="shared" si="0"/>
        <v>45046</v>
      </c>
      <c r="H2" s="354">
        <f t="shared" si="0"/>
        <v>45077</v>
      </c>
      <c r="I2" s="354">
        <f t="shared" si="0"/>
        <v>45107</v>
      </c>
      <c r="J2" s="354">
        <f t="shared" si="0"/>
        <v>45138</v>
      </c>
      <c r="K2" s="354">
        <f t="shared" si="0"/>
        <v>45169</v>
      </c>
      <c r="L2" s="354">
        <f t="shared" si="0"/>
        <v>45199</v>
      </c>
      <c r="M2" s="354">
        <f t="shared" si="0"/>
        <v>45230</v>
      </c>
      <c r="N2" s="354">
        <f t="shared" si="0"/>
        <v>45260</v>
      </c>
      <c r="O2" s="354">
        <f t="shared" si="0"/>
        <v>45291</v>
      </c>
      <c r="P2" s="354">
        <f t="shared" si="0"/>
        <v>45322</v>
      </c>
      <c r="Q2" s="354">
        <f t="shared" si="0"/>
        <v>45351</v>
      </c>
      <c r="R2" s="354">
        <f t="shared" si="0"/>
        <v>45382</v>
      </c>
      <c r="S2" s="354">
        <f t="shared" si="0"/>
        <v>45412</v>
      </c>
      <c r="T2" s="354">
        <f t="shared" si="0"/>
        <v>45443</v>
      </c>
      <c r="U2" s="354">
        <f t="shared" si="0"/>
        <v>45473</v>
      </c>
      <c r="V2" s="354">
        <f t="shared" si="0"/>
        <v>45504</v>
      </c>
      <c r="W2" s="354">
        <f t="shared" si="0"/>
        <v>45535</v>
      </c>
      <c r="X2" s="354">
        <f t="shared" si="0"/>
        <v>45565</v>
      </c>
      <c r="Y2" s="354">
        <f t="shared" si="0"/>
        <v>45596</v>
      </c>
      <c r="Z2" s="354">
        <f t="shared" si="0"/>
        <v>45626</v>
      </c>
      <c r="AA2" s="354">
        <f t="shared" si="0"/>
        <v>45657</v>
      </c>
      <c r="AB2" s="354">
        <f t="shared" si="0"/>
        <v>45688</v>
      </c>
      <c r="AC2" s="354">
        <f t="shared" si="0"/>
        <v>45716</v>
      </c>
      <c r="AD2" s="354">
        <f t="shared" si="0"/>
        <v>45747</v>
      </c>
      <c r="AE2" s="354">
        <f t="shared" si="0"/>
        <v>45777</v>
      </c>
      <c r="AF2" s="354">
        <f t="shared" si="0"/>
        <v>45808</v>
      </c>
      <c r="AG2" s="354">
        <f t="shared" si="0"/>
        <v>45838</v>
      </c>
      <c r="AH2" s="354">
        <f t="shared" si="0"/>
        <v>45869</v>
      </c>
      <c r="AI2" s="354">
        <v>45900</v>
      </c>
      <c r="AJ2" s="354">
        <v>45930</v>
      </c>
      <c r="AK2" s="354">
        <f t="shared" ref="AK2:AY2" si="1">EOMONTH(AJ2,1)</f>
        <v>45961</v>
      </c>
      <c r="AL2" s="354">
        <f t="shared" si="1"/>
        <v>45991</v>
      </c>
      <c r="AM2" s="354">
        <f t="shared" si="1"/>
        <v>46022</v>
      </c>
      <c r="AN2" s="354">
        <f t="shared" si="1"/>
        <v>46053</v>
      </c>
      <c r="AO2" s="354">
        <f t="shared" si="1"/>
        <v>46081</v>
      </c>
      <c r="AP2" s="354">
        <f t="shared" si="1"/>
        <v>46112</v>
      </c>
      <c r="AQ2" s="354">
        <f t="shared" si="1"/>
        <v>46142</v>
      </c>
      <c r="AR2" s="354">
        <f t="shared" si="1"/>
        <v>46173</v>
      </c>
      <c r="AS2" s="354">
        <f t="shared" si="1"/>
        <v>46203</v>
      </c>
      <c r="AT2" s="354">
        <f t="shared" si="1"/>
        <v>46234</v>
      </c>
      <c r="AU2" s="354">
        <f t="shared" si="1"/>
        <v>46265</v>
      </c>
      <c r="AV2" s="354">
        <f t="shared" si="1"/>
        <v>46295</v>
      </c>
      <c r="AW2" s="354">
        <f t="shared" si="1"/>
        <v>46326</v>
      </c>
      <c r="AX2" s="354">
        <f t="shared" si="1"/>
        <v>46356</v>
      </c>
      <c r="AY2" s="354">
        <f t="shared" si="1"/>
        <v>46387</v>
      </c>
    </row>
    <row r="3" spans="1:51" hidden="1" x14ac:dyDescent="0.25">
      <c r="A3" s="28" t="s">
        <v>9</v>
      </c>
      <c r="B3" s="28"/>
      <c r="C3" s="3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79"/>
    </row>
    <row r="4" spans="1:51" hidden="1" x14ac:dyDescent="0.25">
      <c r="A4" s="29" t="s">
        <v>10</v>
      </c>
      <c r="B4" s="29"/>
      <c r="C4" s="37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79"/>
    </row>
    <row r="5" spans="1:51" hidden="1" x14ac:dyDescent="0.25">
      <c r="A5" s="78" t="s">
        <v>11</v>
      </c>
      <c r="B5" s="29"/>
      <c r="C5" s="3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79"/>
    </row>
    <row r="6" spans="1:51" hidden="1" x14ac:dyDescent="0.25">
      <c r="A6" s="78" t="s">
        <v>12</v>
      </c>
      <c r="B6" s="29"/>
      <c r="C6" s="3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79"/>
    </row>
    <row r="7" spans="1:51" hidden="1" x14ac:dyDescent="0.25">
      <c r="A7" s="78" t="s">
        <v>13</v>
      </c>
      <c r="B7" s="29"/>
      <c r="C7" s="37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79"/>
    </row>
    <row r="8" spans="1:51" hidden="1" x14ac:dyDescent="0.25">
      <c r="A8" s="78" t="s">
        <v>14</v>
      </c>
      <c r="B8" s="29"/>
      <c r="C8" s="37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79"/>
    </row>
    <row r="9" spans="1:51" hidden="1" x14ac:dyDescent="0.25">
      <c r="A9" s="29" t="s">
        <v>15</v>
      </c>
      <c r="B9" s="29"/>
      <c r="C9" s="37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79"/>
    </row>
    <row r="10" spans="1:51" hidden="1" x14ac:dyDescent="0.25">
      <c r="A10" s="29" t="s">
        <v>16</v>
      </c>
      <c r="B10" s="29"/>
      <c r="C10" s="37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79"/>
    </row>
    <row r="11" spans="1:51" hidden="1" x14ac:dyDescent="0.25">
      <c r="A11" s="29" t="s">
        <v>17</v>
      </c>
      <c r="B11" s="29"/>
      <c r="C11" s="37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79"/>
    </row>
    <row r="12" spans="1:51" hidden="1" x14ac:dyDescent="0.25">
      <c r="A12" s="29" t="s">
        <v>18</v>
      </c>
      <c r="B12" s="29"/>
      <c r="C12" s="37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79"/>
    </row>
    <row r="13" spans="1:51" hidden="1" x14ac:dyDescent="0.25">
      <c r="A13" s="78" t="s">
        <v>206</v>
      </c>
      <c r="B13" s="29"/>
      <c r="C13" s="3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79"/>
    </row>
    <row r="14" spans="1:51" hidden="1" x14ac:dyDescent="0.25">
      <c r="A14" s="78" t="s">
        <v>207</v>
      </c>
      <c r="B14" s="29"/>
      <c r="C14" s="37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79"/>
    </row>
    <row r="15" spans="1:51" hidden="1" x14ac:dyDescent="0.25">
      <c r="A15" s="78" t="s">
        <v>208</v>
      </c>
      <c r="B15" s="29"/>
      <c r="C15" s="37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79"/>
    </row>
    <row r="16" spans="1:51" hidden="1" x14ac:dyDescent="0.25">
      <c r="A16" s="29" t="s">
        <v>19</v>
      </c>
      <c r="B16" s="29"/>
      <c r="C16" s="37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79"/>
    </row>
    <row r="17" spans="1:40" hidden="1" x14ac:dyDescent="0.25">
      <c r="A17" s="31" t="s">
        <v>20</v>
      </c>
      <c r="B17" s="31"/>
      <c r="C17" s="38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79"/>
    </row>
    <row r="18" spans="1:40" hidden="1" x14ac:dyDescent="0.25">
      <c r="A18" s="28" t="s">
        <v>23</v>
      </c>
      <c r="B18" s="28"/>
      <c r="C18" s="3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79"/>
    </row>
    <row r="19" spans="1:40" hidden="1" x14ac:dyDescent="0.25">
      <c r="A19" s="29" t="s">
        <v>209</v>
      </c>
      <c r="B19" s="29"/>
      <c r="C19" s="3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79"/>
    </row>
    <row r="20" spans="1:40" hidden="1" x14ac:dyDescent="0.25">
      <c r="A20" s="78" t="s">
        <v>25</v>
      </c>
      <c r="B20" s="29"/>
      <c r="C20" s="3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79"/>
    </row>
    <row r="21" spans="1:40" hidden="1" x14ac:dyDescent="0.25">
      <c r="A21" s="78" t="s">
        <v>28</v>
      </c>
      <c r="B21" s="29"/>
      <c r="C21" s="3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79"/>
    </row>
    <row r="22" spans="1:40" hidden="1" x14ac:dyDescent="0.25">
      <c r="A22" s="78" t="s">
        <v>210</v>
      </c>
      <c r="B22" s="29"/>
      <c r="C22" s="3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79"/>
    </row>
    <row r="23" spans="1:40" hidden="1" x14ac:dyDescent="0.25">
      <c r="A23" s="78" t="s">
        <v>30</v>
      </c>
      <c r="B23" s="29"/>
      <c r="C23" s="3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79"/>
    </row>
    <row r="24" spans="1:40" hidden="1" x14ac:dyDescent="0.25">
      <c r="A24" s="29" t="s">
        <v>31</v>
      </c>
      <c r="B24" s="29"/>
      <c r="C24" s="3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79"/>
    </row>
    <row r="25" spans="1:40" hidden="1" x14ac:dyDescent="0.25">
      <c r="A25" s="32" t="s">
        <v>32</v>
      </c>
      <c r="B25" s="32"/>
      <c r="C25" s="3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79"/>
    </row>
    <row r="26" spans="1:40" hidden="1" x14ac:dyDescent="0.25">
      <c r="A26" s="29" t="s">
        <v>33</v>
      </c>
      <c r="B26" s="29"/>
      <c r="C26" s="3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79"/>
    </row>
    <row r="27" spans="1:40" hidden="1" x14ac:dyDescent="0.25">
      <c r="A27" s="78" t="s">
        <v>33</v>
      </c>
      <c r="B27" s="29"/>
      <c r="C27" s="3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79"/>
    </row>
    <row r="28" spans="1:40" hidden="1" x14ac:dyDescent="0.25">
      <c r="A28" s="78" t="s">
        <v>211</v>
      </c>
      <c r="B28" s="29"/>
      <c r="C28" s="3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79"/>
    </row>
    <row r="29" spans="1:40" hidden="1" x14ac:dyDescent="0.25">
      <c r="A29" s="33" t="s">
        <v>35</v>
      </c>
      <c r="B29" s="33"/>
      <c r="C29" s="40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79"/>
    </row>
    <row r="30" spans="1:40" hidden="1" x14ac:dyDescent="0.25">
      <c r="A30" s="31" t="s">
        <v>36</v>
      </c>
      <c r="B30" s="31"/>
      <c r="C30" s="3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79"/>
    </row>
    <row r="31" spans="1:40" hidden="1" x14ac:dyDescent="0.25">
      <c r="A31" s="29" t="s">
        <v>212</v>
      </c>
      <c r="B31" s="29"/>
      <c r="C31" s="3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79"/>
    </row>
    <row r="32" spans="1:40" hidden="1" x14ac:dyDescent="0.25">
      <c r="A32" s="28" t="s">
        <v>38</v>
      </c>
      <c r="B32" s="28"/>
      <c r="C32" s="3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79"/>
    </row>
    <row r="33" spans="1:42" hidden="1" x14ac:dyDescent="0.25">
      <c r="A33" s="29" t="s">
        <v>39</v>
      </c>
      <c r="B33" s="29"/>
      <c r="C33" s="3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79"/>
    </row>
    <row r="34" spans="1:42" hidden="1" x14ac:dyDescent="0.25">
      <c r="A34" s="33" t="s">
        <v>41</v>
      </c>
      <c r="B34" s="33"/>
      <c r="C34" s="4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79"/>
    </row>
    <row r="35" spans="1:42" hidden="1" x14ac:dyDescent="0.25">
      <c r="A35" s="29" t="s">
        <v>42</v>
      </c>
      <c r="B35" s="29"/>
      <c r="C35" s="3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79"/>
    </row>
    <row r="36" spans="1:42" hidden="1" x14ac:dyDescent="0.25">
      <c r="A36" s="34" t="s">
        <v>213</v>
      </c>
      <c r="B36" s="34"/>
      <c r="C36" s="41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79"/>
    </row>
    <row r="37" spans="1:42" hidden="1" x14ac:dyDescent="0.25">
      <c r="A37" s="29" t="s">
        <v>214</v>
      </c>
      <c r="B37" s="29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79"/>
    </row>
    <row r="38" spans="1:42" hidden="1" x14ac:dyDescent="0.25">
      <c r="A38" s="34" t="s">
        <v>43</v>
      </c>
      <c r="B38" s="34"/>
      <c r="C38" s="4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79"/>
    </row>
    <row r="39" spans="1:42" s="3" customFormat="1" x14ac:dyDescent="0.25">
      <c r="A39" s="341" t="s">
        <v>9</v>
      </c>
      <c r="B39" s="341"/>
      <c r="C39" s="356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57">
        <v>7704640</v>
      </c>
      <c r="AM39" s="349"/>
      <c r="AN39" s="358"/>
    </row>
    <row r="40" spans="1:42" x14ac:dyDescent="0.25">
      <c r="A40" s="31" t="s">
        <v>10</v>
      </c>
      <c r="B40" s="31"/>
      <c r="C40" s="38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30"/>
      <c r="AE40" s="15"/>
      <c r="AF40" s="15"/>
      <c r="AG40" s="15"/>
      <c r="AH40" s="15"/>
      <c r="AI40" s="15"/>
      <c r="AJ40" s="15"/>
      <c r="AK40" s="15"/>
      <c r="AL40" s="246">
        <v>7667128</v>
      </c>
      <c r="AM40" s="15"/>
      <c r="AN40" s="79"/>
    </row>
    <row r="41" spans="1:42" x14ac:dyDescent="0.25">
      <c r="A41" s="184" t="s">
        <v>11</v>
      </c>
      <c r="B41" s="31"/>
      <c r="C41" s="3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85"/>
      <c r="AE41" s="15"/>
      <c r="AF41" s="15"/>
      <c r="AG41" s="15"/>
      <c r="AH41" s="15"/>
      <c r="AI41" s="15"/>
      <c r="AJ41" s="15"/>
      <c r="AK41" s="79">
        <v>5780803.1200000001</v>
      </c>
      <c r="AL41" s="246">
        <v>5984628.8799999999</v>
      </c>
      <c r="AM41" s="15">
        <v>6787327.1599999983</v>
      </c>
      <c r="AN41" s="79">
        <v>6026159.8999999994</v>
      </c>
      <c r="AO41" s="42">
        <v>5423105.9100000001</v>
      </c>
      <c r="AP41" s="42">
        <v>6041460.75</v>
      </c>
    </row>
    <row r="42" spans="1:42" x14ac:dyDescent="0.25">
      <c r="A42" s="184" t="s">
        <v>215</v>
      </c>
      <c r="B42" s="31"/>
      <c r="C42" s="38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85"/>
      <c r="AE42" s="15"/>
      <c r="AF42" s="15"/>
      <c r="AG42" s="15"/>
      <c r="AH42" s="15"/>
      <c r="AI42" s="15"/>
      <c r="AJ42" s="15"/>
      <c r="AK42" s="79"/>
      <c r="AL42" s="246"/>
      <c r="AM42" s="15"/>
      <c r="AN42" s="79">
        <v>-40115.11</v>
      </c>
      <c r="AO42" s="42"/>
      <c r="AP42" s="42"/>
    </row>
    <row r="43" spans="1:42" x14ac:dyDescent="0.25">
      <c r="A43" s="184" t="s">
        <v>12</v>
      </c>
      <c r="B43" s="31"/>
      <c r="C43" s="3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85"/>
      <c r="AE43" s="15"/>
      <c r="AF43" s="15"/>
      <c r="AG43" s="15"/>
      <c r="AH43" s="15"/>
      <c r="AI43" s="15"/>
      <c r="AJ43" s="15"/>
      <c r="AK43" s="15"/>
      <c r="AL43" s="15">
        <v>0</v>
      </c>
      <c r="AM43" s="15"/>
      <c r="AN43" s="79"/>
      <c r="AO43" s="88"/>
      <c r="AP43" s="88"/>
    </row>
    <row r="44" spans="1:42" x14ac:dyDescent="0.25">
      <c r="A44" s="184" t="s">
        <v>13</v>
      </c>
      <c r="B44" s="31"/>
      <c r="C44" s="38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85"/>
      <c r="AE44" s="15"/>
      <c r="AF44" s="15"/>
      <c r="AG44" s="15"/>
      <c r="AH44" s="15"/>
      <c r="AI44" s="15"/>
      <c r="AJ44" s="15"/>
      <c r="AK44" s="15"/>
      <c r="AL44" s="15">
        <v>0</v>
      </c>
      <c r="AM44" s="15"/>
      <c r="AN44" s="79"/>
      <c r="AO44" s="73"/>
      <c r="AP44" s="73"/>
    </row>
    <row r="45" spans="1:42" x14ac:dyDescent="0.25">
      <c r="A45" s="184" t="s">
        <v>14</v>
      </c>
      <c r="B45" s="31"/>
      <c r="C45" s="3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30"/>
      <c r="AE45" s="15"/>
      <c r="AF45" s="15"/>
      <c r="AG45" s="15"/>
      <c r="AH45" s="15"/>
      <c r="AI45" s="15"/>
      <c r="AJ45" s="15"/>
      <c r="AK45" s="15">
        <v>1785340.03</v>
      </c>
      <c r="AL45" s="246">
        <v>1689706.23</v>
      </c>
      <c r="AM45" s="15">
        <v>1830512.39748</v>
      </c>
      <c r="AN45" s="79">
        <v>1806981.4213</v>
      </c>
      <c r="AO45" s="79">
        <v>1667454.7840799999</v>
      </c>
      <c r="AP45" s="79">
        <v>1827012.67</v>
      </c>
    </row>
    <row r="46" spans="1:42" x14ac:dyDescent="0.25">
      <c r="A46" s="29" t="s">
        <v>15</v>
      </c>
      <c r="B46" s="29"/>
      <c r="C46" s="37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44"/>
      <c r="AE46" s="15"/>
      <c r="AF46" s="15"/>
      <c r="AG46" s="15"/>
      <c r="AH46" s="15"/>
      <c r="AI46" s="15"/>
      <c r="AJ46" s="15"/>
      <c r="AK46" s="15"/>
      <c r="AL46" s="15">
        <v>0</v>
      </c>
      <c r="AM46" s="15"/>
      <c r="AN46" s="79"/>
      <c r="AO46" s="88"/>
      <c r="AP46" s="88"/>
    </row>
    <row r="47" spans="1:42" x14ac:dyDescent="0.25">
      <c r="A47" s="29" t="s">
        <v>16</v>
      </c>
      <c r="B47" s="29"/>
      <c r="C47" s="3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44"/>
      <c r="AE47" s="15"/>
      <c r="AF47" s="15"/>
      <c r="AG47" s="15"/>
      <c r="AH47" s="15"/>
      <c r="AI47" s="15"/>
      <c r="AJ47" s="15"/>
      <c r="AK47" s="15"/>
      <c r="AL47" s="15">
        <v>11986.79652</v>
      </c>
      <c r="AM47" s="15">
        <v>12480.27492</v>
      </c>
      <c r="AN47" s="79">
        <v>9001.6569</v>
      </c>
      <c r="AO47" s="79">
        <v>8163.3698400000003</v>
      </c>
      <c r="AP47" s="79">
        <v>8879.4971400000013</v>
      </c>
    </row>
    <row r="48" spans="1:42" x14ac:dyDescent="0.25">
      <c r="A48" s="29" t="s">
        <v>17</v>
      </c>
      <c r="B48" s="29"/>
      <c r="C48" s="37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>
        <v>0</v>
      </c>
      <c r="AM48" s="15"/>
      <c r="AN48" s="79"/>
    </row>
    <row r="49" spans="1:42" x14ac:dyDescent="0.25">
      <c r="A49" s="29" t="s">
        <v>18</v>
      </c>
      <c r="B49" s="29"/>
      <c r="C49" s="3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>
        <v>0</v>
      </c>
      <c r="AM49" s="15"/>
      <c r="AN49" s="79"/>
    </row>
    <row r="50" spans="1:42" x14ac:dyDescent="0.25">
      <c r="A50" s="78" t="s">
        <v>206</v>
      </c>
      <c r="B50" s="29"/>
      <c r="C50" s="3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45"/>
      <c r="AE50" s="15"/>
      <c r="AF50" s="15"/>
      <c r="AG50" s="15"/>
      <c r="AH50" s="15"/>
      <c r="AI50" s="15"/>
      <c r="AJ50" s="15"/>
      <c r="AK50" s="15"/>
      <c r="AL50" s="15" t="s">
        <v>216</v>
      </c>
      <c r="AM50" s="15"/>
      <c r="AN50" s="79"/>
    </row>
    <row r="51" spans="1:42" x14ac:dyDescent="0.25">
      <c r="A51" s="78" t="s">
        <v>207</v>
      </c>
      <c r="B51" s="29"/>
      <c r="C51" s="3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45"/>
      <c r="AE51" s="15"/>
      <c r="AF51" s="15"/>
      <c r="AG51" s="15"/>
      <c r="AH51" s="15"/>
      <c r="AI51" s="15"/>
      <c r="AJ51" s="15"/>
      <c r="AK51" s="15"/>
      <c r="AL51" s="15" t="s">
        <v>216</v>
      </c>
      <c r="AM51" s="15"/>
      <c r="AN51" s="79"/>
    </row>
    <row r="52" spans="1:42" x14ac:dyDescent="0.25">
      <c r="A52" s="78" t="s">
        <v>208</v>
      </c>
      <c r="B52" s="29"/>
      <c r="C52" s="37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45"/>
      <c r="AE52" s="15"/>
      <c r="AF52" s="15"/>
      <c r="AG52" s="15"/>
      <c r="AH52" s="15"/>
      <c r="AI52" s="15"/>
      <c r="AJ52" s="15"/>
      <c r="AK52" s="15"/>
      <c r="AL52" s="15" t="s">
        <v>216</v>
      </c>
      <c r="AM52" s="15"/>
      <c r="AN52" s="79"/>
    </row>
    <row r="53" spans="1:42" x14ac:dyDescent="0.25">
      <c r="A53" s="29" t="s">
        <v>19</v>
      </c>
      <c r="B53" s="29"/>
      <c r="C53" s="3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>
        <v>0</v>
      </c>
      <c r="AM53" s="15"/>
      <c r="AN53" s="79"/>
    </row>
    <row r="54" spans="1:42" x14ac:dyDescent="0.25">
      <c r="A54" s="31" t="s">
        <v>20</v>
      </c>
      <c r="B54" s="31"/>
      <c r="C54" s="38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>
        <v>0</v>
      </c>
      <c r="AM54" s="15"/>
      <c r="AN54" s="79"/>
    </row>
    <row r="55" spans="1:42" x14ac:dyDescent="0.25">
      <c r="A55" s="31" t="s">
        <v>21</v>
      </c>
      <c r="B55" s="31"/>
      <c r="C55" s="38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>
        <v>0</v>
      </c>
      <c r="AL55" s="15">
        <v>0</v>
      </c>
      <c r="AM55" s="15">
        <v>0</v>
      </c>
      <c r="AN55" s="79"/>
    </row>
    <row r="56" spans="1:42" s="3" customFormat="1" ht="15.75" customHeight="1" x14ac:dyDescent="0.25">
      <c r="A56" s="341" t="s">
        <v>23</v>
      </c>
      <c r="B56" s="341"/>
      <c r="C56" s="356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60">
        <v>-2876490</v>
      </c>
      <c r="AM56" s="359"/>
      <c r="AN56" s="358"/>
    </row>
    <row r="57" spans="1:42" x14ac:dyDescent="0.25">
      <c r="A57" s="29" t="s">
        <v>209</v>
      </c>
      <c r="B57" s="29"/>
      <c r="C57" s="3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5"/>
      <c r="AE57" s="17"/>
      <c r="AF57" s="17"/>
      <c r="AG57" s="17"/>
      <c r="AH57" s="17"/>
      <c r="AI57" s="17"/>
      <c r="AJ57" s="17"/>
      <c r="AK57" s="17"/>
      <c r="AL57" s="247">
        <v>-2876490</v>
      </c>
      <c r="AM57" s="17"/>
      <c r="AN57" s="79"/>
    </row>
    <row r="58" spans="1:42" x14ac:dyDescent="0.25">
      <c r="A58" s="78" t="s">
        <v>25</v>
      </c>
      <c r="B58" s="29"/>
      <c r="C58" s="3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5"/>
      <c r="AE58" s="17"/>
      <c r="AF58" s="17"/>
      <c r="AG58" s="17"/>
      <c r="AH58" s="17"/>
      <c r="AI58" s="17"/>
      <c r="AJ58" s="17"/>
      <c r="AK58" s="17">
        <v>0</v>
      </c>
      <c r="AL58" s="17">
        <v>0</v>
      </c>
      <c r="AM58" s="17"/>
      <c r="AN58" s="79"/>
    </row>
    <row r="59" spans="1:42" x14ac:dyDescent="0.25">
      <c r="A59" s="184" t="s">
        <v>28</v>
      </c>
      <c r="B59" s="31"/>
      <c r="C59" s="3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5"/>
      <c r="AE59" s="17"/>
      <c r="AF59" s="17"/>
      <c r="AG59" s="17"/>
      <c r="AH59" s="17"/>
      <c r="AI59" s="17"/>
      <c r="AJ59" s="17"/>
      <c r="AK59" s="17">
        <f>-5871866.4330656-400000</f>
        <v>-6271866.4330655998</v>
      </c>
      <c r="AL59" s="17">
        <v>-4850067.463731694</v>
      </c>
      <c r="AM59" s="17">
        <f>-5329177.64590947-200000</f>
        <v>-5529177.6459094696</v>
      </c>
      <c r="AN59" s="404">
        <f>-5284061.23845437+300000</f>
        <v>-4984061.2384543698</v>
      </c>
      <c r="AO59" s="79">
        <v>-4152791.1749999998</v>
      </c>
      <c r="AP59" s="79">
        <v>-5760280.4879999999</v>
      </c>
    </row>
    <row r="60" spans="1:42" x14ac:dyDescent="0.25">
      <c r="A60" s="184" t="s">
        <v>210</v>
      </c>
      <c r="B60" s="31"/>
      <c r="C60" s="3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5"/>
      <c r="AE60" s="17"/>
      <c r="AF60" s="17"/>
      <c r="AG60" s="17"/>
      <c r="AH60" s="17"/>
      <c r="AI60" s="17"/>
      <c r="AJ60" s="17"/>
      <c r="AK60" s="17">
        <f>AK124*0.22</f>
        <v>525337.88780000049</v>
      </c>
      <c r="AL60" s="17">
        <f>AL124*0.22</f>
        <v>361726.37160000001</v>
      </c>
      <c r="AM60" s="17">
        <f>AM124*0.22</f>
        <v>569799.2146000003</v>
      </c>
      <c r="AN60" s="404">
        <f>AN124*0.22</f>
        <v>533676.17599999998</v>
      </c>
      <c r="AO60" s="79">
        <v>421756.82000000012</v>
      </c>
      <c r="AP60" s="79">
        <v>683833.17600092292</v>
      </c>
    </row>
    <row r="61" spans="1:42" x14ac:dyDescent="0.25">
      <c r="A61" s="184" t="s">
        <v>30</v>
      </c>
      <c r="B61" s="31"/>
      <c r="C61" s="38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7"/>
      <c r="AK61" s="15">
        <v>721180.7</v>
      </c>
      <c r="AL61" s="246">
        <v>815785</v>
      </c>
      <c r="AM61" s="15">
        <v>230403.36</v>
      </c>
      <c r="AN61" s="79">
        <v>334805.76000000001</v>
      </c>
      <c r="AO61" s="79">
        <v>272496.21999999997</v>
      </c>
      <c r="AP61" s="79">
        <v>272803.21000000002</v>
      </c>
    </row>
    <row r="62" spans="1:42" x14ac:dyDescent="0.25">
      <c r="A62" s="31" t="s">
        <v>31</v>
      </c>
      <c r="B62" s="31"/>
      <c r="C62" s="3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5"/>
      <c r="AE62" s="17"/>
      <c r="AF62" s="17"/>
      <c r="AG62" s="17"/>
      <c r="AH62" s="17"/>
      <c r="AI62" s="17"/>
      <c r="AJ62" s="17"/>
      <c r="AK62" s="17">
        <v>-158251.40760000001</v>
      </c>
      <c r="AL62" s="17">
        <v>-141845.0434</v>
      </c>
      <c r="AM62" s="17">
        <v>45425.775100000028</v>
      </c>
      <c r="AN62" s="79">
        <f>-82166.9288-100000</f>
        <v>-182166.92879999999</v>
      </c>
      <c r="AO62" s="79">
        <f>-156985.344-(83106.16*0.22)</f>
        <v>-175268.6992</v>
      </c>
      <c r="AP62" s="79">
        <v>-220529.89273334079</v>
      </c>
    </row>
    <row r="63" spans="1:42" s="3" customFormat="1" ht="15.75" customHeight="1" x14ac:dyDescent="0.25">
      <c r="A63" s="341" t="s">
        <v>32</v>
      </c>
      <c r="B63" s="341"/>
      <c r="C63" s="356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60">
        <v>4626194</v>
      </c>
      <c r="AM63" s="359"/>
      <c r="AN63" s="358"/>
    </row>
    <row r="64" spans="1:42" x14ac:dyDescent="0.25">
      <c r="A64" s="29" t="s">
        <v>33</v>
      </c>
      <c r="B64" s="29"/>
      <c r="C64" s="3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5"/>
      <c r="AE64" s="17"/>
      <c r="AF64" s="17"/>
      <c r="AG64" s="17"/>
      <c r="AH64" s="17"/>
      <c r="AI64" s="17"/>
      <c r="AJ64" s="17"/>
      <c r="AK64" s="17"/>
      <c r="AL64" s="17">
        <v>-625.62699999999995</v>
      </c>
      <c r="AM64" s="17"/>
      <c r="AN64" s="79"/>
    </row>
    <row r="65" spans="1:52" x14ac:dyDescent="0.25">
      <c r="A65" s="78" t="s">
        <v>33</v>
      </c>
      <c r="B65" s="29"/>
      <c r="C65" s="3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5"/>
      <c r="AE65" s="17"/>
      <c r="AF65" s="17"/>
      <c r="AG65" s="17"/>
      <c r="AH65" s="17"/>
      <c r="AI65" s="17"/>
      <c r="AJ65" s="17"/>
      <c r="AK65" s="17">
        <f>(-22914.15+590582.46)*-1</f>
        <v>-567668.30999999994</v>
      </c>
      <c r="AL65" s="17">
        <f>-625627.07</f>
        <v>-625627.06999999995</v>
      </c>
      <c r="AM65" s="17">
        <f>-407566.37+29100.91</f>
        <v>-378465.46</v>
      </c>
      <c r="AN65" s="79">
        <v>-725978.64</v>
      </c>
      <c r="AO65" s="79">
        <v>-403888.5083000001</v>
      </c>
      <c r="AP65" s="79">
        <v>-610260.52</v>
      </c>
    </row>
    <row r="66" spans="1:52" x14ac:dyDescent="0.25">
      <c r="A66" s="78" t="s">
        <v>211</v>
      </c>
      <c r="B66" s="29"/>
      <c r="C66" s="3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5"/>
      <c r="AE66" s="17"/>
      <c r="AF66" s="17"/>
      <c r="AG66" s="17"/>
      <c r="AH66" s="17"/>
      <c r="AI66" s="17"/>
      <c r="AJ66" s="17"/>
      <c r="AK66" s="17"/>
      <c r="AL66" s="17">
        <v>0</v>
      </c>
      <c r="AM66" s="17"/>
      <c r="AN66" s="79"/>
    </row>
    <row r="67" spans="1:52" s="3" customFormat="1" ht="15.75" customHeight="1" x14ac:dyDescent="0.25">
      <c r="A67" s="341" t="s">
        <v>35</v>
      </c>
      <c r="B67" s="341"/>
      <c r="C67" s="356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  <c r="R67" s="359"/>
      <c r="S67" s="359"/>
      <c r="T67" s="359"/>
      <c r="U67" s="359"/>
      <c r="V67" s="359"/>
      <c r="W67" s="359"/>
      <c r="X67" s="359"/>
      <c r="Y67" s="359"/>
      <c r="Z67" s="359"/>
      <c r="AA67" s="359"/>
      <c r="AB67" s="359"/>
      <c r="AC67" s="359"/>
      <c r="AD67" s="359"/>
      <c r="AE67" s="359"/>
      <c r="AF67" s="359"/>
      <c r="AG67" s="359"/>
      <c r="AH67" s="359"/>
      <c r="AI67" s="359"/>
      <c r="AJ67" s="359"/>
      <c r="AK67" s="359"/>
      <c r="AL67" s="360">
        <v>4000567</v>
      </c>
      <c r="AM67" s="359"/>
      <c r="AN67" s="358"/>
    </row>
    <row r="68" spans="1:52" x14ac:dyDescent="0.25">
      <c r="A68" s="31" t="s">
        <v>36</v>
      </c>
      <c r="B68" s="31"/>
      <c r="C68" s="3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5"/>
      <c r="AC68" s="15"/>
      <c r="AD68" s="15"/>
      <c r="AE68" s="17"/>
      <c r="AF68" s="17"/>
      <c r="AG68" s="17"/>
      <c r="AH68" s="17"/>
      <c r="AI68" s="17"/>
      <c r="AJ68" s="17"/>
      <c r="AK68" s="17">
        <f>-372628.14</f>
        <v>-372628.14</v>
      </c>
      <c r="AL68" s="17">
        <f>-380711.67</f>
        <v>-380711.67</v>
      </c>
      <c r="AM68" s="15">
        <f>-382900.13</f>
        <v>-382900.13</v>
      </c>
      <c r="AN68" s="79">
        <f>-412401.31</f>
        <v>-412401.31</v>
      </c>
      <c r="AO68" s="79">
        <v>-472978.65624000062</v>
      </c>
      <c r="AP68" s="79">
        <v>-466515.01000000298</v>
      </c>
      <c r="AR68" s="4"/>
    </row>
    <row r="69" spans="1:52" x14ac:dyDescent="0.25">
      <c r="A69" s="31" t="s">
        <v>217</v>
      </c>
      <c r="B69" s="31"/>
      <c r="C69" s="3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46"/>
      <c r="AE69" s="17"/>
      <c r="AF69" s="17"/>
      <c r="AG69" s="17"/>
      <c r="AH69" s="17"/>
      <c r="AI69" s="17"/>
      <c r="AJ69" s="17"/>
      <c r="AK69" s="17"/>
      <c r="AL69" s="17" t="s">
        <v>218</v>
      </c>
      <c r="AM69" s="17"/>
      <c r="AN69" s="79">
        <v>-98141.795400000003</v>
      </c>
      <c r="AO69" s="79">
        <v>-95397.185399999988</v>
      </c>
      <c r="AP69" s="79">
        <v>-93401.923999999999</v>
      </c>
    </row>
    <row r="70" spans="1:52" x14ac:dyDescent="0.25">
      <c r="A70" s="31" t="s">
        <v>212</v>
      </c>
      <c r="B70" s="31"/>
      <c r="C70" s="3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5"/>
      <c r="AE70" s="17"/>
      <c r="AF70" s="17"/>
      <c r="AG70" s="17"/>
      <c r="AH70" s="17"/>
      <c r="AI70" s="17"/>
      <c r="AJ70" s="17"/>
      <c r="AK70" s="17">
        <f>-38968.1248</f>
        <v>-38968.124799999998</v>
      </c>
      <c r="AL70" s="17">
        <v>0</v>
      </c>
      <c r="AM70" s="17"/>
      <c r="AN70" s="79">
        <v>-37516.142400000019</v>
      </c>
      <c r="AO70" s="79">
        <v>-223720.53219999999</v>
      </c>
      <c r="AP70" s="79">
        <v>-40765.594797838887</v>
      </c>
    </row>
    <row r="71" spans="1:52" s="3" customFormat="1" ht="15.75" customHeight="1" x14ac:dyDescent="0.25">
      <c r="A71" s="341" t="s">
        <v>38</v>
      </c>
      <c r="B71" s="341"/>
      <c r="C71" s="356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60">
        <v>2988682</v>
      </c>
      <c r="AM71" s="359"/>
      <c r="AN71" s="358"/>
    </row>
    <row r="72" spans="1:52" x14ac:dyDescent="0.25">
      <c r="A72" s="31" t="s">
        <v>39</v>
      </c>
      <c r="B72" s="31"/>
      <c r="C72" s="38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>
        <v>-640653.60259999905</v>
      </c>
      <c r="AL72" s="17">
        <v>-788752.4717599944</v>
      </c>
      <c r="AM72" s="15">
        <v>-639065.16959998908</v>
      </c>
      <c r="AN72" s="79">
        <v>-676373.10780796572</v>
      </c>
      <c r="AO72" s="79">
        <v>-633048.1786000015</v>
      </c>
      <c r="AP72" s="79">
        <v>-533709.79200000525</v>
      </c>
      <c r="AR72" s="4"/>
    </row>
    <row r="73" spans="1:52" s="3" customFormat="1" ht="15.75" customHeight="1" x14ac:dyDescent="0.25">
      <c r="A73" s="341" t="s">
        <v>41</v>
      </c>
      <c r="B73" s="341"/>
      <c r="C73" s="356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60">
        <v>2168549</v>
      </c>
      <c r="AM73" s="359"/>
      <c r="AN73" s="358"/>
    </row>
    <row r="74" spans="1:52" x14ac:dyDescent="0.25">
      <c r="A74" s="29" t="s">
        <v>42</v>
      </c>
      <c r="B74" s="29"/>
      <c r="C74" s="37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>
        <v>93602.119599999962</v>
      </c>
      <c r="AL74" s="15">
        <v>-232806.66200000001</v>
      </c>
      <c r="AM74" s="15">
        <v>-241015.18539999999</v>
      </c>
      <c r="AN74" s="79">
        <v>-115374.98940000001</v>
      </c>
      <c r="AO74" s="79">
        <v>-544207.12983407639</v>
      </c>
      <c r="AP74" s="79">
        <f>-375153.558064992</f>
        <v>-375153.55806499202</v>
      </c>
    </row>
    <row r="75" spans="1:52" s="3" customFormat="1" ht="15.75" customHeight="1" x14ac:dyDescent="0.25">
      <c r="A75" s="341" t="s">
        <v>213</v>
      </c>
      <c r="B75" s="341"/>
      <c r="C75" s="356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59"/>
      <c r="AI75" s="359"/>
      <c r="AJ75" s="359"/>
      <c r="AK75" s="359"/>
      <c r="AL75" s="360">
        <v>1725628</v>
      </c>
      <c r="AM75" s="359"/>
      <c r="AN75" s="358"/>
    </row>
    <row r="76" spans="1:52" x14ac:dyDescent="0.25">
      <c r="A76" s="29" t="s">
        <v>214</v>
      </c>
      <c r="B76" s="29"/>
      <c r="C76" s="37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216</v>
      </c>
      <c r="AM76" s="15"/>
      <c r="AN76" s="79"/>
    </row>
    <row r="77" spans="1:52" x14ac:dyDescent="0.25">
      <c r="A77" s="29" t="s">
        <v>219</v>
      </c>
      <c r="B77" s="29"/>
      <c r="C77" s="37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>
        <v>83.998999999999995</v>
      </c>
      <c r="AM77" s="15"/>
      <c r="AN77" s="79"/>
    </row>
    <row r="78" spans="1:52" s="352" customFormat="1" ht="15.75" customHeight="1" x14ac:dyDescent="0.25">
      <c r="A78" s="361" t="s">
        <v>43</v>
      </c>
      <c r="B78" s="361"/>
      <c r="C78" s="362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4">
        <v>1809628</v>
      </c>
      <c r="AM78" s="363"/>
      <c r="AN78" s="365"/>
    </row>
    <row r="79" spans="1:52" x14ac:dyDescent="0.25">
      <c r="AN79" s="79"/>
    </row>
    <row r="80" spans="1:52" s="355" customFormat="1" x14ac:dyDescent="0.25">
      <c r="A80" s="353" t="s">
        <v>220</v>
      </c>
      <c r="B80" s="353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4"/>
      <c r="AI80" s="354"/>
      <c r="AJ80" s="354"/>
      <c r="AK80" s="354">
        <f t="shared" ref="AK80:AY80" si="2">AK2</f>
        <v>45961</v>
      </c>
      <c r="AL80" s="354">
        <f t="shared" si="2"/>
        <v>45991</v>
      </c>
      <c r="AM80" s="354">
        <f t="shared" si="2"/>
        <v>46022</v>
      </c>
      <c r="AN80" s="366">
        <f t="shared" si="2"/>
        <v>46053</v>
      </c>
      <c r="AO80" s="366">
        <f t="shared" si="2"/>
        <v>46081</v>
      </c>
      <c r="AP80" s="366">
        <f t="shared" si="2"/>
        <v>46112</v>
      </c>
      <c r="AQ80" s="366">
        <f t="shared" si="2"/>
        <v>46142</v>
      </c>
      <c r="AR80" s="366">
        <f t="shared" si="2"/>
        <v>46173</v>
      </c>
      <c r="AS80" s="366">
        <f t="shared" si="2"/>
        <v>46203</v>
      </c>
      <c r="AT80" s="366">
        <f t="shared" si="2"/>
        <v>46234</v>
      </c>
      <c r="AU80" s="366">
        <f t="shared" si="2"/>
        <v>46265</v>
      </c>
      <c r="AV80" s="366">
        <f t="shared" si="2"/>
        <v>46295</v>
      </c>
      <c r="AW80" s="366">
        <f t="shared" si="2"/>
        <v>46326</v>
      </c>
      <c r="AX80" s="366">
        <f t="shared" si="2"/>
        <v>46356</v>
      </c>
      <c r="AY80" s="366">
        <f t="shared" si="2"/>
        <v>46387</v>
      </c>
      <c r="AZ80" s="366"/>
    </row>
    <row r="81" spans="1:43" s="3" customFormat="1" x14ac:dyDescent="0.25">
      <c r="A81" s="341" t="s">
        <v>9</v>
      </c>
      <c r="B81" s="341"/>
      <c r="C81" s="356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57">
        <v>23069690</v>
      </c>
      <c r="AM81" s="349"/>
      <c r="AN81" s="358"/>
    </row>
    <row r="82" spans="1:43" x14ac:dyDescent="0.25">
      <c r="A82" s="29" t="s">
        <v>10</v>
      </c>
      <c r="B82" s="29"/>
      <c r="C82" s="37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246">
        <v>20069895</v>
      </c>
      <c r="AM82" s="15"/>
      <c r="AN82" s="79"/>
    </row>
    <row r="83" spans="1:43" x14ac:dyDescent="0.25">
      <c r="A83" s="184" t="s">
        <v>11</v>
      </c>
      <c r="B83" s="31"/>
      <c r="C83" s="38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>
        <v>15129456.789999999</v>
      </c>
      <c r="AL83" s="246">
        <v>16276045.449999999</v>
      </c>
      <c r="AM83" s="15">
        <v>18282392.789999999</v>
      </c>
      <c r="AN83" s="42">
        <v>18215602.09</v>
      </c>
      <c r="AO83" s="42">
        <v>17032218.530000001</v>
      </c>
      <c r="AP83" s="42">
        <v>21983325.100000009</v>
      </c>
    </row>
    <row r="84" spans="1:43" x14ac:dyDescent="0.25">
      <c r="A84" s="184" t="s">
        <v>215</v>
      </c>
      <c r="B84" s="31"/>
      <c r="C84" s="38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246"/>
      <c r="AM84" s="15"/>
      <c r="AN84" s="42">
        <v>-435215.04</v>
      </c>
      <c r="AO84" s="42"/>
      <c r="AP84" s="42"/>
    </row>
    <row r="85" spans="1:43" x14ac:dyDescent="0.25">
      <c r="A85" s="184" t="s">
        <v>12</v>
      </c>
      <c r="B85" s="31"/>
      <c r="C85" s="38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>
        <v>2615363.79</v>
      </c>
      <c r="AL85" s="246">
        <v>3308278.84</v>
      </c>
      <c r="AM85" s="15">
        <v>1504020.78</v>
      </c>
      <c r="AN85" s="42">
        <v>2865754.81</v>
      </c>
      <c r="AO85" s="42">
        <v>3752222.66</v>
      </c>
      <c r="AP85" s="42">
        <v>7200722.3600000003</v>
      </c>
    </row>
    <row r="86" spans="1:43" x14ac:dyDescent="0.25">
      <c r="A86" s="184" t="s">
        <v>13</v>
      </c>
      <c r="B86" s="31"/>
      <c r="C86" s="38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>
        <v>331602.45</v>
      </c>
      <c r="AL86" s="15">
        <v>341631.8</v>
      </c>
      <c r="AM86" s="15">
        <v>294014.70000000013</v>
      </c>
      <c r="AN86" s="42">
        <v>348775.09</v>
      </c>
      <c r="AO86" s="42">
        <v>312401.05</v>
      </c>
      <c r="AP86" s="42">
        <v>394865.93000000011</v>
      </c>
    </row>
    <row r="87" spans="1:43" x14ac:dyDescent="0.25">
      <c r="A87" s="184" t="s">
        <v>14</v>
      </c>
      <c r="B87" s="31"/>
      <c r="C87" s="38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>
        <v>73896.459999999992</v>
      </c>
      <c r="AM87" s="15">
        <v>40493.392520000001</v>
      </c>
      <c r="AN87" s="42">
        <v>41388.298699999999</v>
      </c>
      <c r="AO87" s="42">
        <v>41006.605920000002</v>
      </c>
      <c r="AP87" s="42">
        <v>77247.429999999993</v>
      </c>
    </row>
    <row r="88" spans="1:43" x14ac:dyDescent="0.25">
      <c r="A88" s="31" t="s">
        <v>15</v>
      </c>
      <c r="B88" s="31"/>
      <c r="C88" s="3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>
        <v>1989120.89</v>
      </c>
      <c r="AL88" s="246">
        <v>1885440.870000002</v>
      </c>
      <c r="AM88" s="15">
        <v>2035535.839999994</v>
      </c>
      <c r="AN88" s="42">
        <v>1148925.04</v>
      </c>
      <c r="AO88" s="42">
        <f>1590823-41870.32-127748.64</f>
        <v>1421204.04</v>
      </c>
      <c r="AP88" s="42">
        <v>2558364.5600000061</v>
      </c>
    </row>
    <row r="89" spans="1:43" x14ac:dyDescent="0.25">
      <c r="A89" s="31" t="s">
        <v>16</v>
      </c>
      <c r="B89" s="31"/>
      <c r="C89" s="3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>
        <v>27526.77</v>
      </c>
      <c r="AL89" s="15">
        <v>16151.223480000001</v>
      </c>
      <c r="AM89" s="15">
        <v>16816.145079999998</v>
      </c>
      <c r="AN89" s="42">
        <v>12128.9931</v>
      </c>
      <c r="AO89" s="42">
        <v>10999.470160000001</v>
      </c>
      <c r="AP89" s="42">
        <v>11964.39286</v>
      </c>
      <c r="AQ89" s="88"/>
    </row>
    <row r="90" spans="1:43" x14ac:dyDescent="0.25">
      <c r="A90" s="31" t="s">
        <v>17</v>
      </c>
      <c r="B90" s="31"/>
      <c r="C90" s="3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26068.07</v>
      </c>
      <c r="AL90" s="15">
        <v>0</v>
      </c>
      <c r="AM90" s="15">
        <v>0</v>
      </c>
      <c r="AN90" s="79"/>
    </row>
    <row r="91" spans="1:43" x14ac:dyDescent="0.25">
      <c r="A91" s="31" t="s">
        <v>18</v>
      </c>
      <c r="B91" s="31"/>
      <c r="C91" s="38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220437.96</v>
      </c>
      <c r="AL91" s="15">
        <v>251558</v>
      </c>
      <c r="AM91" s="15">
        <v>294718</v>
      </c>
      <c r="AN91" s="79">
        <v>364301.13</v>
      </c>
      <c r="AO91" s="79">
        <f>195519.48-26958.13</f>
        <v>168561.35</v>
      </c>
      <c r="AP91" s="79">
        <v>155899.01</v>
      </c>
    </row>
    <row r="92" spans="1:43" x14ac:dyDescent="0.25">
      <c r="A92" s="184" t="s">
        <v>206</v>
      </c>
      <c r="B92" s="31"/>
      <c r="C92" s="38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>
        <v>28.16</v>
      </c>
      <c r="AM92" s="15"/>
      <c r="AN92" s="79"/>
    </row>
    <row r="93" spans="1:43" x14ac:dyDescent="0.25">
      <c r="A93" s="184" t="s">
        <v>207</v>
      </c>
      <c r="B93" s="31"/>
      <c r="C93" s="3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v>199.59399999999999</v>
      </c>
      <c r="AM93" s="15"/>
      <c r="AN93" s="79"/>
    </row>
    <row r="94" spans="1:43" x14ac:dyDescent="0.25">
      <c r="A94" s="184" t="s">
        <v>208</v>
      </c>
      <c r="B94" s="31"/>
      <c r="C94" s="38"/>
      <c r="D94" s="15"/>
      <c r="E94" s="3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>
        <v>23.805</v>
      </c>
      <c r="AM94" s="15"/>
      <c r="AN94" s="79"/>
    </row>
    <row r="95" spans="1:43" x14ac:dyDescent="0.25">
      <c r="A95" s="31" t="s">
        <v>19</v>
      </c>
      <c r="B95" s="31"/>
      <c r="C95" s="38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>
        <v>1080237.8400000001</v>
      </c>
      <c r="AL95" s="15">
        <v>791082.68</v>
      </c>
      <c r="AM95" s="15">
        <v>885803.25</v>
      </c>
      <c r="AN95" s="79">
        <v>976784.38</v>
      </c>
      <c r="AO95" s="79">
        <v>743112.13</v>
      </c>
      <c r="AP95" s="79">
        <v>1006702.7</v>
      </c>
    </row>
    <row r="96" spans="1:43" x14ac:dyDescent="0.25">
      <c r="A96" s="31" t="s">
        <v>20</v>
      </c>
      <c r="B96" s="31"/>
      <c r="C96" s="38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>
        <v>115983.1099999999</v>
      </c>
      <c r="AL96" s="15">
        <v>-143757.60000000009</v>
      </c>
      <c r="AM96" s="15">
        <v>-38583.429999999928</v>
      </c>
      <c r="AN96" s="42">
        <v>65704.179999999949</v>
      </c>
      <c r="AO96" s="42">
        <v>49730.269999999793</v>
      </c>
      <c r="AP96" s="42">
        <v>126708.71999999959</v>
      </c>
    </row>
    <row r="97" spans="1:44" x14ac:dyDescent="0.25">
      <c r="A97" s="31" t="s">
        <v>21</v>
      </c>
      <c r="B97" s="31"/>
      <c r="C97" s="3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>
        <v>0</v>
      </c>
      <c r="AL97" s="15">
        <v>0</v>
      </c>
      <c r="AM97" s="15">
        <v>544951.51</v>
      </c>
      <c r="AN97" s="42">
        <v>168678.17</v>
      </c>
      <c r="AO97" s="42">
        <v>-629.71999999999116</v>
      </c>
      <c r="AP97" s="42">
        <v>-262478.75</v>
      </c>
    </row>
    <row r="98" spans="1:44" s="3" customFormat="1" x14ac:dyDescent="0.25">
      <c r="A98" s="341" t="s">
        <v>23</v>
      </c>
      <c r="B98" s="341"/>
      <c r="C98" s="356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  <c r="AK98" s="349"/>
      <c r="AL98" s="357">
        <v>-11257301</v>
      </c>
      <c r="AM98" s="349"/>
      <c r="AN98" s="358"/>
    </row>
    <row r="99" spans="1:44" x14ac:dyDescent="0.25">
      <c r="A99" s="31" t="s">
        <v>209</v>
      </c>
      <c r="B99" s="31"/>
      <c r="C99" s="3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247">
        <v>-11257301</v>
      </c>
      <c r="AM99" s="17"/>
      <c r="AN99" s="79"/>
    </row>
    <row r="100" spans="1:44" x14ac:dyDescent="0.25">
      <c r="A100" s="184" t="s">
        <v>25</v>
      </c>
      <c r="B100" s="31"/>
      <c r="C100" s="3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>
        <v>-4912891.9700000007</v>
      </c>
      <c r="AL100" s="17">
        <v>-2980190.27</v>
      </c>
      <c r="AM100" s="17">
        <v>-3828963.9</v>
      </c>
      <c r="AN100" s="404">
        <v>-4338842.08</v>
      </c>
      <c r="AO100" s="404">
        <v>-2862311.84</v>
      </c>
      <c r="AP100" s="79">
        <v>-6665373.2300000004</v>
      </c>
    </row>
    <row r="101" spans="1:44" x14ac:dyDescent="0.25">
      <c r="A101" s="184" t="s">
        <v>26</v>
      </c>
      <c r="B101" s="31"/>
      <c r="C101" s="3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>
        <v>-2942201.36</v>
      </c>
      <c r="AL101" s="17">
        <v>-2345832.23</v>
      </c>
      <c r="AM101" s="17">
        <v>-2769083.95</v>
      </c>
      <c r="AN101" s="79">
        <v>-2698465.03</v>
      </c>
      <c r="AO101" s="79"/>
      <c r="AP101" s="79"/>
    </row>
    <row r="102" spans="1:44" x14ac:dyDescent="0.25">
      <c r="A102" s="184" t="s">
        <v>27</v>
      </c>
      <c r="B102" s="31"/>
      <c r="C102" s="3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>
        <v>-1970690.61</v>
      </c>
      <c r="AL102" s="17">
        <v>-634358.04</v>
      </c>
      <c r="AM102" s="17">
        <v>-1059879.95</v>
      </c>
      <c r="AN102" s="79">
        <v>-1640377.05</v>
      </c>
      <c r="AO102" s="79"/>
      <c r="AP102" s="79"/>
    </row>
    <row r="103" spans="1:44" x14ac:dyDescent="0.25">
      <c r="A103" s="184" t="s">
        <v>28</v>
      </c>
      <c r="B103" s="31"/>
      <c r="C103" s="3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>
        <f>-10458885.1069344+400000</f>
        <v>-10058885.1069344</v>
      </c>
      <c r="AL103" s="17">
        <v>-9714852.666268304</v>
      </c>
      <c r="AM103" s="17">
        <f>-10986708.1140905+200000</f>
        <v>-10786708.1140905</v>
      </c>
      <c r="AN103" s="404">
        <f>-11489043.8815456-300000</f>
        <v>-11789043.8815456</v>
      </c>
      <c r="AO103" s="79">
        <v>-10407999.925000001</v>
      </c>
      <c r="AP103" s="79">
        <v>-13440654.471999999</v>
      </c>
      <c r="AQ103" s="26"/>
      <c r="AR103" s="26"/>
    </row>
    <row r="104" spans="1:44" x14ac:dyDescent="0.25">
      <c r="A104" s="184" t="s">
        <v>210</v>
      </c>
      <c r="B104" s="31"/>
      <c r="C104" s="3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>
        <f>AK124*0.78</f>
        <v>1862561.6022000017</v>
      </c>
      <c r="AL104" s="247">
        <v>1266042.3006</v>
      </c>
      <c r="AM104" s="17">
        <v>2172631.1987999999</v>
      </c>
      <c r="AN104" s="79">
        <v>1892124.6240000001</v>
      </c>
      <c r="AO104" s="79">
        <v>1687027.28</v>
      </c>
      <c r="AP104" s="79">
        <v>2424498.8439990771</v>
      </c>
      <c r="AQ104" s="26"/>
    </row>
    <row r="105" spans="1:44" x14ac:dyDescent="0.25">
      <c r="A105" s="184" t="s">
        <v>30</v>
      </c>
      <c r="B105" s="29"/>
      <c r="C105" s="3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>
        <v>83290.399999999994</v>
      </c>
      <c r="AL105" s="17">
        <v>622699</v>
      </c>
      <c r="AM105" s="17">
        <v>321881.48</v>
      </c>
      <c r="AN105" s="79">
        <v>342468.2</v>
      </c>
      <c r="AO105" s="79">
        <v>389061.42</v>
      </c>
      <c r="AP105" s="79">
        <v>-181125.23</v>
      </c>
    </row>
    <row r="106" spans="1:44" x14ac:dyDescent="0.25">
      <c r="A106" s="31" t="s">
        <v>31</v>
      </c>
      <c r="B106" s="31"/>
      <c r="C106" s="3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>
        <v>-561073.17240000004</v>
      </c>
      <c r="AL106" s="17">
        <v>-644204.09660000005</v>
      </c>
      <c r="AM106" s="17">
        <v>-65273.675099999928</v>
      </c>
      <c r="AN106" s="79">
        <f>-495690.1212+100000</f>
        <v>-395690.12119999999</v>
      </c>
      <c r="AO106" s="79">
        <f>-627941.376-(83106.16*0.78)</f>
        <v>-692764.18080000009</v>
      </c>
      <c r="AP106" s="79">
        <v>-871661.10726665927</v>
      </c>
    </row>
    <row r="107" spans="1:44" s="3" customFormat="1" x14ac:dyDescent="0.25">
      <c r="A107" s="341" t="s">
        <v>32</v>
      </c>
      <c r="B107" s="341"/>
      <c r="C107" s="356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  <c r="AK107" s="349"/>
      <c r="AL107" s="357">
        <v>11206913</v>
      </c>
      <c r="AM107" s="349"/>
      <c r="AN107" s="358"/>
    </row>
    <row r="108" spans="1:44" x14ac:dyDescent="0.25">
      <c r="A108" s="29" t="s">
        <v>33</v>
      </c>
      <c r="B108" s="29"/>
      <c r="C108" s="3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247">
        <v>-1055180</v>
      </c>
      <c r="AM108" s="17"/>
      <c r="AN108" s="79"/>
    </row>
    <row r="109" spans="1:44" x14ac:dyDescent="0.25">
      <c r="A109" s="78" t="s">
        <v>33</v>
      </c>
      <c r="B109" s="29"/>
      <c r="C109" s="3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>
        <f>(-17988.32+970911.48)*-1</f>
        <v>-952923.16</v>
      </c>
      <c r="AL109" s="17">
        <f>-1055179.74</f>
        <v>-1055179.74</v>
      </c>
      <c r="AM109" s="17">
        <f>-11054.68-1044087.94</f>
        <v>-1055142.6199999999</v>
      </c>
      <c r="AN109" s="79">
        <v>-1516697.22</v>
      </c>
      <c r="AO109" s="79">
        <v>-1775414.1117</v>
      </c>
      <c r="AP109" s="79">
        <v>-439697.64999999991</v>
      </c>
    </row>
    <row r="110" spans="1:44" x14ac:dyDescent="0.25">
      <c r="A110" s="78" t="s">
        <v>211</v>
      </c>
      <c r="B110" s="29"/>
      <c r="C110" s="3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>
        <v>-143241.9</v>
      </c>
      <c r="AL110" s="17">
        <v>0</v>
      </c>
      <c r="AM110" s="17"/>
      <c r="AN110" s="79"/>
    </row>
    <row r="111" spans="1:44" s="3" customFormat="1" x14ac:dyDescent="0.25">
      <c r="A111" s="341" t="s">
        <v>35</v>
      </c>
      <c r="B111" s="341"/>
      <c r="C111" s="356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57">
        <v>10151733</v>
      </c>
      <c r="AM111" s="349"/>
      <c r="AN111" s="358"/>
    </row>
    <row r="112" spans="1:44" x14ac:dyDescent="0.25">
      <c r="A112" s="31" t="s">
        <v>36</v>
      </c>
      <c r="B112" s="31"/>
      <c r="C112" s="3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>
        <v>-1574188.01</v>
      </c>
      <c r="AL112" s="247">
        <v>-1564266.41</v>
      </c>
      <c r="AM112" s="17">
        <v>-1577285.04</v>
      </c>
      <c r="AN112" s="17">
        <f>-1446214.79</f>
        <v>-1446214.79</v>
      </c>
      <c r="AO112" s="26">
        <v>-2407184.814960002</v>
      </c>
      <c r="AP112" s="26">
        <v>-1829214.4199999911</v>
      </c>
      <c r="AQ112" s="26"/>
      <c r="AR112" s="26"/>
    </row>
    <row r="113" spans="1:44" x14ac:dyDescent="0.25">
      <c r="A113" s="31" t="s">
        <v>217</v>
      </c>
      <c r="B113" s="31"/>
      <c r="C113" s="3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221</v>
      </c>
      <c r="AM113" s="17"/>
      <c r="AN113" s="17">
        <v>-349715.66460000002</v>
      </c>
      <c r="AO113" s="26">
        <v>-338226.38459999999</v>
      </c>
      <c r="AP113" s="26">
        <v>-331152.27600000001</v>
      </c>
    </row>
    <row r="114" spans="1:44" x14ac:dyDescent="0.25">
      <c r="A114" s="29" t="s">
        <v>212</v>
      </c>
      <c r="B114" s="29"/>
      <c r="C114" s="3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>
        <f>-138159.7152</f>
        <v>-138159.71520000001</v>
      </c>
      <c r="AL114" s="17">
        <v>-82840.510000002658</v>
      </c>
      <c r="AM114" s="17"/>
      <c r="AN114" s="79">
        <v>-133011.77760000009</v>
      </c>
      <c r="AO114" s="4">
        <v>-793190.97779999999</v>
      </c>
      <c r="AP114" s="4">
        <v>-144532.2652021609</v>
      </c>
      <c r="AQ114" s="4"/>
    </row>
    <row r="115" spans="1:44" s="3" customFormat="1" x14ac:dyDescent="0.25">
      <c r="A115" s="341" t="s">
        <v>38</v>
      </c>
      <c r="B115" s="341"/>
      <c r="C115" s="356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  <c r="AH115" s="349"/>
      <c r="AI115" s="349"/>
      <c r="AJ115" s="349"/>
      <c r="AK115" s="349"/>
      <c r="AL115" s="357">
        <v>7794736</v>
      </c>
      <c r="AM115" s="349"/>
      <c r="AN115" s="358"/>
    </row>
    <row r="116" spans="1:44" x14ac:dyDescent="0.25">
      <c r="A116" s="31" t="s">
        <v>39</v>
      </c>
      <c r="B116" s="31"/>
      <c r="C116" s="38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>
        <v>-2444556.9246799801</v>
      </c>
      <c r="AL116" s="15">
        <v>-2324408.8368799868</v>
      </c>
      <c r="AM116" s="15">
        <v>-2564705.0124799702</v>
      </c>
      <c r="AN116" s="79">
        <v>-2282965.8121920498</v>
      </c>
      <c r="AO116" s="79">
        <v>-1700871.390200007</v>
      </c>
      <c r="AP116" s="79">
        <v>-1806616.038000019</v>
      </c>
      <c r="AR116" s="4"/>
    </row>
    <row r="117" spans="1:44" s="3" customFormat="1" x14ac:dyDescent="0.25">
      <c r="A117" s="341" t="s">
        <v>41</v>
      </c>
      <c r="B117" s="341"/>
      <c r="C117" s="356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  <c r="AH117" s="349"/>
      <c r="AI117" s="349"/>
      <c r="AJ117" s="349"/>
      <c r="AK117" s="349"/>
      <c r="AL117" s="357">
        <v>5821268</v>
      </c>
      <c r="AM117" s="349"/>
      <c r="AN117" s="358"/>
    </row>
    <row r="118" spans="1:44" x14ac:dyDescent="0.25">
      <c r="A118" s="29" t="s">
        <v>42</v>
      </c>
      <c r="B118" s="29"/>
      <c r="C118" s="37"/>
      <c r="D118" s="15"/>
      <c r="E118" s="15"/>
      <c r="F118" s="90"/>
      <c r="G118" s="15"/>
      <c r="H118" s="15"/>
      <c r="I118" s="15"/>
      <c r="J118" s="15"/>
      <c r="K118" s="15"/>
      <c r="L118" s="90"/>
      <c r="M118" s="90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>
        <v>-534246.2699999999</v>
      </c>
      <c r="AL118" s="15">
        <v>-1321704.1299999999</v>
      </c>
      <c r="AM118" s="15">
        <v>-952145.9600000002</v>
      </c>
      <c r="AN118" s="79">
        <v>-1463640.8006</v>
      </c>
      <c r="AO118" s="79">
        <v>-1604213.640165922</v>
      </c>
      <c r="AP118" s="79">
        <f>-3549774.351935</f>
        <v>-3549774.3519350002</v>
      </c>
    </row>
    <row r="119" spans="1:44" s="3" customFormat="1" x14ac:dyDescent="0.25">
      <c r="A119" s="341" t="s">
        <v>213</v>
      </c>
      <c r="B119" s="341"/>
      <c r="C119" s="356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  <c r="AH119" s="349"/>
      <c r="AI119" s="349"/>
      <c r="AJ119" s="349"/>
      <c r="AK119" s="349"/>
      <c r="AL119" s="357">
        <v>4632288</v>
      </c>
      <c r="AM119" s="349"/>
      <c r="AN119" s="358"/>
    </row>
    <row r="120" spans="1:44" x14ac:dyDescent="0.25">
      <c r="A120" s="29" t="s">
        <v>214</v>
      </c>
      <c r="B120" s="29"/>
      <c r="C120" s="37"/>
      <c r="D120" s="15"/>
      <c r="E120" s="15"/>
      <c r="F120" s="90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>
        <v>178204.25</v>
      </c>
      <c r="AL120" s="15">
        <v>188001.86</v>
      </c>
      <c r="AM120" s="15">
        <v>387325.03</v>
      </c>
      <c r="AN120" s="79">
        <v>87060.329999999987</v>
      </c>
      <c r="AO120" s="79">
        <v>243037.75</v>
      </c>
      <c r="AP120" s="79">
        <v>521291.11</v>
      </c>
    </row>
    <row r="121" spans="1:44" x14ac:dyDescent="0.25">
      <c r="A121" s="29" t="s">
        <v>219</v>
      </c>
      <c r="B121" s="29"/>
      <c r="C121" s="37"/>
      <c r="D121" s="15"/>
      <c r="E121" s="15"/>
      <c r="F121" s="90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>
        <v>113.399</v>
      </c>
      <c r="AM121" s="15"/>
      <c r="AN121" s="79"/>
    </row>
    <row r="122" spans="1:44" s="352" customFormat="1" ht="15.75" customHeight="1" x14ac:dyDescent="0.25">
      <c r="A122" s="361" t="s">
        <v>43</v>
      </c>
      <c r="B122" s="361"/>
      <c r="C122" s="362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4">
        <v>4745687</v>
      </c>
      <c r="AM122" s="363"/>
      <c r="AN122" s="365"/>
    </row>
    <row r="124" spans="1:44" s="352" customFormat="1" ht="15.75" customHeight="1" x14ac:dyDescent="0.25">
      <c r="A124" s="361" t="s">
        <v>222</v>
      </c>
      <c r="B124" s="361"/>
      <c r="C124" s="362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>
        <v>2387899.4900000021</v>
      </c>
      <c r="AL124" s="364">
        <v>1644210.78</v>
      </c>
      <c r="AM124" s="363">
        <v>2589996.4300000011</v>
      </c>
      <c r="AN124" s="365">
        <v>2425800.7999999998</v>
      </c>
    </row>
    <row r="125" spans="1:44" x14ac:dyDescent="0.25">
      <c r="AI125" s="88"/>
      <c r="AJ125" s="88"/>
      <c r="AK125" s="88"/>
      <c r="AL125" s="88"/>
    </row>
    <row r="126" spans="1:44" s="44" customFormat="1" x14ac:dyDescent="0.25">
      <c r="A126" s="44" t="s">
        <v>223</v>
      </c>
      <c r="L126" s="43"/>
    </row>
    <row r="127" spans="1:44" x14ac:dyDescent="0.25">
      <c r="A127" t="s">
        <v>184</v>
      </c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15"/>
      <c r="M127" s="15"/>
      <c r="N127" s="15"/>
      <c r="O127" s="122"/>
      <c r="P127" s="12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>
        <f>AJ127</f>
        <v>0</v>
      </c>
      <c r="AL127" s="42">
        <f>AK127</f>
        <v>0</v>
      </c>
      <c r="AM127" s="42">
        <f>AL127</f>
        <v>0</v>
      </c>
    </row>
    <row r="128" spans="1:44" x14ac:dyDescent="0.25">
      <c r="A128" t="s">
        <v>224</v>
      </c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15"/>
      <c r="M128" s="15"/>
      <c r="N128" s="15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 t="e">
        <f>#REF!+(#REF!*#REF!)</f>
        <v>#REF!</v>
      </c>
      <c r="AL128" s="42">
        <v>409332912.98999977</v>
      </c>
      <c r="AM128" s="42" t="e">
        <f>#REF!+(#REF!*#REF!)</f>
        <v>#REF!</v>
      </c>
      <c r="AN128" s="88">
        <v>410685026.97000289</v>
      </c>
      <c r="AO128" s="88">
        <v>410093228.48999739</v>
      </c>
      <c r="AP128" s="88">
        <v>409787643.64999861</v>
      </c>
      <c r="AQ128" t="s">
        <v>225</v>
      </c>
    </row>
    <row r="129" spans="1:43" x14ac:dyDescent="0.25">
      <c r="A129" t="s">
        <v>226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15"/>
      <c r="M129" s="15"/>
      <c r="N129" s="15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 t="e">
        <f>#REF!+(#REF!*#REF!)</f>
        <v>#REF!</v>
      </c>
      <c r="AL129" s="42">
        <v>1444600137.1900001</v>
      </c>
      <c r="AM129" s="42" t="e">
        <f>#REF!+(#REF!*#REF!)</f>
        <v>#REF!</v>
      </c>
      <c r="AN129" s="88">
        <v>1513150711.490001</v>
      </c>
      <c r="AO129" s="88">
        <v>1555155836.950001</v>
      </c>
      <c r="AP129" s="88">
        <v>1617312226.9299991</v>
      </c>
      <c r="AQ129" t="s">
        <v>225</v>
      </c>
    </row>
    <row r="130" spans="1:43" x14ac:dyDescent="0.25">
      <c r="G130" s="42"/>
      <c r="H130" s="42"/>
      <c r="I130" s="42"/>
      <c r="J130" s="42"/>
      <c r="K130" s="42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</row>
    <row r="131" spans="1:43" s="44" customFormat="1" x14ac:dyDescent="0.25">
      <c r="A131" s="44" t="s">
        <v>227</v>
      </c>
      <c r="L131" s="43"/>
    </row>
    <row r="132" spans="1:43" x14ac:dyDescent="0.25">
      <c r="A132" t="s">
        <v>224</v>
      </c>
      <c r="G132" s="42"/>
      <c r="H132" s="42"/>
      <c r="I132" s="42"/>
      <c r="J132" s="42"/>
      <c r="K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 t="e">
        <f>#REF!+(#REF!*#REF!)</f>
        <v>#REF!</v>
      </c>
      <c r="AL132" s="42">
        <v>408628751.27207989</v>
      </c>
      <c r="AM132" s="42" t="e">
        <f>#REF!+(#REF!*#REF!)</f>
        <v>#REF!</v>
      </c>
      <c r="AN132" s="88">
        <v>408374364.62000102</v>
      </c>
      <c r="AO132" s="88">
        <v>407560398.9399966</v>
      </c>
      <c r="AP132" s="88">
        <v>407095245.7900027</v>
      </c>
      <c r="AQ132" t="s">
        <v>225</v>
      </c>
    </row>
    <row r="133" spans="1:43" x14ac:dyDescent="0.25">
      <c r="A133" t="s">
        <v>226</v>
      </c>
      <c r="G133" s="42"/>
      <c r="H133" s="42"/>
      <c r="I133" s="42"/>
      <c r="J133" s="42"/>
      <c r="K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 t="e">
        <f>#REF!+(#REF!*#REF!)</f>
        <v>#REF!</v>
      </c>
      <c r="AL133" s="42">
        <v>1424553713.8779199</v>
      </c>
      <c r="AM133" s="42" t="e">
        <f>#REF!+(#REF!*#REF!)</f>
        <v>#REF!</v>
      </c>
      <c r="AN133" s="88">
        <v>1499618097.160001</v>
      </c>
      <c r="AO133" s="88">
        <v>1538079638.3100009</v>
      </c>
      <c r="AP133" s="88">
        <v>1581971470.22</v>
      </c>
      <c r="AQ133" t="s">
        <v>225</v>
      </c>
    </row>
    <row r="134" spans="1:43" x14ac:dyDescent="0.25">
      <c r="G134" s="42"/>
      <c r="H134" s="42"/>
      <c r="I134" s="42"/>
      <c r="J134" s="42"/>
      <c r="K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88"/>
      <c r="AO134" s="88"/>
    </row>
    <row r="135" spans="1:43" s="44" customFormat="1" x14ac:dyDescent="0.25">
      <c r="A135" s="44" t="s">
        <v>228</v>
      </c>
      <c r="L135" s="43"/>
    </row>
    <row r="136" spans="1:43" x14ac:dyDescent="0.25">
      <c r="A136" t="s">
        <v>229</v>
      </c>
      <c r="G136" s="42"/>
      <c r="H136" s="42"/>
      <c r="I136" s="42"/>
      <c r="J136" s="42"/>
      <c r="K136" s="42"/>
      <c r="L136" s="1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>
        <v>219920424.87</v>
      </c>
      <c r="AL136" s="42">
        <f>AL137+27087348.74</f>
        <v>214912601.74850002</v>
      </c>
      <c r="AM136" s="42">
        <v>222687063.88999999</v>
      </c>
      <c r="AN136" s="42">
        <v>208393700.69</v>
      </c>
      <c r="AO136" s="42">
        <v>211187286.13999999</v>
      </c>
      <c r="AP136" s="42">
        <v>217732910.12</v>
      </c>
      <c r="AQ136" t="s">
        <v>230</v>
      </c>
    </row>
    <row r="137" spans="1:43" s="31" customFormat="1" x14ac:dyDescent="0.25">
      <c r="A137" s="31" t="s">
        <v>231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>
        <v>189391849.68000001</v>
      </c>
      <c r="AL137" s="15">
        <v>187825253.00850001</v>
      </c>
      <c r="AM137" s="15">
        <v>194679860.80000001</v>
      </c>
      <c r="AN137" s="15">
        <v>202841494.69999999</v>
      </c>
      <c r="AO137" s="15">
        <v>204332414.96000001</v>
      </c>
      <c r="AP137" s="15">
        <v>208276755.99000001</v>
      </c>
      <c r="AQ137" t="s">
        <v>232</v>
      </c>
    </row>
    <row r="138" spans="1:43" x14ac:dyDescent="0.25"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200"/>
      <c r="AC138" s="200"/>
      <c r="AD138" s="200"/>
      <c r="AE138" s="200"/>
      <c r="AF138" s="200"/>
      <c r="AG138" s="200"/>
      <c r="AH138" s="200"/>
      <c r="AI138" s="200"/>
      <c r="AJ138" s="73"/>
      <c r="AK138" s="73"/>
      <c r="AL138" s="249"/>
      <c r="AM138" s="73"/>
    </row>
    <row r="139" spans="1:43" x14ac:dyDescent="0.25"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</row>
    <row r="140" spans="1:43" s="43" customFormat="1" x14ac:dyDescent="0.25">
      <c r="A140" s="44" t="s">
        <v>233</v>
      </c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</row>
    <row r="141" spans="1:43" x14ac:dyDescent="0.25">
      <c r="A141" s="25" t="s">
        <v>234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pans="1:43" x14ac:dyDescent="0.25">
      <c r="A142" s="14" t="s">
        <v>28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42">
        <f>402899395+45650290+5489764+55152335+6073323+659184177+198630850+37600304+7300433</f>
        <v>1417980871</v>
      </c>
      <c r="AO142" s="42">
        <f>1124225810+150089349+249887291</f>
        <v>1524202450</v>
      </c>
      <c r="AP142" t="s">
        <v>235</v>
      </c>
    </row>
    <row r="143" spans="1:43" x14ac:dyDescent="0.25">
      <c r="A143" s="14" t="s">
        <v>25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42">
        <f>21988903+546567791</f>
        <v>568556694</v>
      </c>
      <c r="AO143" s="42">
        <f>560373224</f>
        <v>560373224</v>
      </c>
      <c r="AP143" t="s">
        <v>235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P76"/>
  <sheetViews>
    <sheetView showGridLines="0" topLeftCell="A15" zoomScale="90" zoomScaleNormal="90" workbookViewId="0">
      <selection activeCell="G63" sqref="G63"/>
    </sheetView>
  </sheetViews>
  <sheetFormatPr defaultRowHeight="15" outlineLevelRow="1" x14ac:dyDescent="0.25"/>
  <cols>
    <col min="1" max="1" width="1.140625" customWidth="1"/>
    <col min="2" max="2" width="31.7109375" customWidth="1"/>
    <col min="3" max="4" width="13.140625" hidden="1" customWidth="1"/>
    <col min="5" max="5" width="0.85546875" style="213" hidden="1" customWidth="1"/>
    <col min="6" max="6" width="14.5703125" bestFit="1" customWidth="1"/>
    <col min="7" max="7" width="15.140625" bestFit="1" customWidth="1"/>
    <col min="8" max="8" width="11.5703125" style="213" customWidth="1"/>
    <col min="9" max="10" width="16.140625" bestFit="1" customWidth="1"/>
    <col min="11" max="11" width="13" style="213" customWidth="1"/>
    <col min="12" max="13" width="15.5703125" bestFit="1" customWidth="1"/>
    <col min="14" max="14" width="13.42578125" style="213" customWidth="1"/>
    <col min="15" max="15" width="15.5703125" bestFit="1" customWidth="1"/>
  </cols>
  <sheetData>
    <row r="1" spans="2:15" x14ac:dyDescent="0.25">
      <c r="B1" s="212" t="s">
        <v>0</v>
      </c>
      <c r="F1" s="229" t="s">
        <v>236</v>
      </c>
      <c r="G1" s="214">
        <v>46053</v>
      </c>
      <c r="H1" s="230" t="s">
        <v>237</v>
      </c>
      <c r="I1" s="214">
        <v>46112</v>
      </c>
      <c r="K1" s="231" t="s">
        <v>238</v>
      </c>
      <c r="N1" s="324">
        <f>12/(MONTH(I1)-MONTH(G1)+1)</f>
        <v>4</v>
      </c>
    </row>
    <row r="2" spans="2:15" x14ac:dyDescent="0.25">
      <c r="B2" s="23"/>
      <c r="C2" s="42"/>
      <c r="F2" s="42"/>
      <c r="G2" s="55"/>
      <c r="I2" s="42"/>
      <c r="L2" s="42"/>
    </row>
    <row r="3" spans="2:15" ht="14.25" customHeight="1" x14ac:dyDescent="0.25">
      <c r="B3" s="137"/>
      <c r="C3" s="494" t="s">
        <v>239</v>
      </c>
      <c r="D3" s="492"/>
      <c r="E3" s="493"/>
      <c r="F3" s="494" t="s">
        <v>1</v>
      </c>
      <c r="G3" s="492"/>
      <c r="H3" s="493"/>
      <c r="I3" s="491" t="s">
        <v>2</v>
      </c>
      <c r="J3" s="492"/>
      <c r="K3" s="493"/>
      <c r="L3" s="494" t="s">
        <v>3</v>
      </c>
      <c r="M3" s="492"/>
      <c r="N3" s="493"/>
      <c r="O3" s="232"/>
    </row>
    <row r="4" spans="2:15" x14ac:dyDescent="0.25">
      <c r="B4" s="137"/>
      <c r="C4" s="48" t="s">
        <v>5</v>
      </c>
      <c r="D4" s="48" t="s">
        <v>6</v>
      </c>
      <c r="E4" s="80" t="s">
        <v>7</v>
      </c>
      <c r="F4" s="48" t="s">
        <v>5</v>
      </c>
      <c r="G4" s="48" t="s">
        <v>6</v>
      </c>
      <c r="H4" s="80" t="s">
        <v>7</v>
      </c>
      <c r="I4" s="76" t="s">
        <v>5</v>
      </c>
      <c r="J4" s="48" t="s">
        <v>6</v>
      </c>
      <c r="K4" s="80" t="s">
        <v>7</v>
      </c>
      <c r="L4" s="123" t="s">
        <v>5</v>
      </c>
      <c r="M4" s="123" t="s">
        <v>6</v>
      </c>
      <c r="N4" s="136" t="s">
        <v>7</v>
      </c>
      <c r="O4" s="162" t="s">
        <v>8</v>
      </c>
    </row>
    <row r="5" spans="2:15" x14ac:dyDescent="0.25">
      <c r="B5" s="328" t="s">
        <v>9</v>
      </c>
      <c r="C5" s="329">
        <f>C6+C12+C14+C15+C20+C21+C13</f>
        <v>0</v>
      </c>
      <c r="D5" s="329">
        <f>D6+D12+D14+D15+D20+D21+D13</f>
        <v>0</v>
      </c>
      <c r="E5" s="327" t="str">
        <f>IFERROR(C5/D5-1,"-")</f>
        <v>-</v>
      </c>
      <c r="F5" s="330">
        <f>F6+F12+F14+F15+F20+F21+F13+F22+F23</f>
        <v>22778104.849259999</v>
      </c>
      <c r="G5" s="329">
        <f>G6+G12+G14+G15+G20+G21+G13+G22+G23</f>
        <v>22452623.196208909</v>
      </c>
      <c r="H5" s="327">
        <f>IFERROR(F5/G5-1,"-")</f>
        <v>1.449637533248449E-2</v>
      </c>
      <c r="I5" s="330">
        <f>I6+I12+I14+I15+I20+I21+I13+I22+I23</f>
        <v>81408364.170740008</v>
      </c>
      <c r="J5" s="329">
        <f>J6+J12+J14+J15+J20+J21+J13+J22+J23</f>
        <v>77414895.848646656</v>
      </c>
      <c r="K5" s="327">
        <f>IFERROR(I5/J5-1,"-")</f>
        <v>5.158527022888415E-2</v>
      </c>
      <c r="L5" s="330">
        <f>L6+L12+L14+L15+L20+L21+L13+L22+L23</f>
        <v>104186469.02</v>
      </c>
      <c r="M5" s="329">
        <f>M6+M12+M14+M15+M20+M21+M13+M22+M23</f>
        <v>99867519.044855565</v>
      </c>
      <c r="N5" s="327">
        <f>IFERROR(L5/M5-1,"-")</f>
        <v>4.3246793516564352E-2</v>
      </c>
      <c r="O5" s="331">
        <f>L5-M5</f>
        <v>4318949.975144431</v>
      </c>
    </row>
    <row r="6" spans="2:15" x14ac:dyDescent="0.25">
      <c r="B6" s="233" t="s">
        <v>10</v>
      </c>
      <c r="C6" s="112">
        <f>IFERROR(SUMIFS(Realizado!4:4,Realizado!$2:$2,"&gt;="&amp;'P&amp;L Acumulado'!$G$1,Realizado!$2:$2,"&lt;="&amp;'P&amp;L Acumulado'!$I$1),0)</f>
        <v>0</v>
      </c>
      <c r="D6" s="112">
        <f>IFERROR(SUMIFS('Orçado '!4:4,'Orçado '!$2:$2,"&gt;="&amp;'P&amp;L Acumulado'!$G$1,Realizado!$2:$2,"&lt;="&amp;'P&amp;L Acumulado'!$I$1),0)</f>
        <v>0</v>
      </c>
      <c r="E6" s="74" t="str">
        <f>IFERROR(C6/D6-1,"-")</f>
        <v>-</v>
      </c>
      <c r="F6" s="112">
        <f>SUM(F7:F11)</f>
        <v>22752060.325379997</v>
      </c>
      <c r="G6" s="112">
        <f>SUM(G7:G11)</f>
        <v>22415223.511102527</v>
      </c>
      <c r="H6" s="74">
        <f>IFERROR(F6/G6-1,"-")</f>
        <v>1.5027145016449639E-2</v>
      </c>
      <c r="I6" s="111">
        <f>SUM(I7:I11)</f>
        <v>71830314.914620012</v>
      </c>
      <c r="J6" s="112">
        <f>SUM(J7:J11)</f>
        <v>67855801.673753038</v>
      </c>
      <c r="K6" s="74">
        <f>IFERROR(I6/J6-1,"-")</f>
        <v>5.8572931758675839E-2</v>
      </c>
      <c r="L6" s="112">
        <f t="shared" ref="L6:M9" si="0">C6+F6+I6</f>
        <v>94582375.24000001</v>
      </c>
      <c r="M6" s="112">
        <f t="shared" si="0"/>
        <v>90271025.184855565</v>
      </c>
      <c r="N6" s="74">
        <f>IFERROR(L6/M6-1,"-")</f>
        <v>4.7760065273610541E-2</v>
      </c>
      <c r="O6" s="166">
        <f>L6-M6</f>
        <v>4311350.0551444441</v>
      </c>
    </row>
    <row r="7" spans="2:15" s="70" customFormat="1" outlineLevel="1" x14ac:dyDescent="0.25">
      <c r="B7" s="288" t="s">
        <v>11</v>
      </c>
      <c r="C7" s="69">
        <f>IFERROR(SUMIFS(Realizado!5:5,Realizado!$2:$2,"&gt;="&amp;'P&amp;L Acumulado'!$G$1,Realizado!$2:$2,"&lt;="&amp;'P&amp;L Acumulado'!$I$1),0)</f>
        <v>0</v>
      </c>
      <c r="D7" s="69">
        <f>IFERROR(SUMIFS('Orçado '!5:5,'Orçado '!$2:$2,"&gt;="&amp;'P&amp;L Acumulado'!$G$1,Realizado!$2:$2,"&lt;="&amp;'P&amp;L Acumulado'!$I$1),0)</f>
        <v>0</v>
      </c>
      <c r="E7" s="289" t="str">
        <f>IFERROR(C7/D7-1,"-")</f>
        <v>-</v>
      </c>
      <c r="F7" s="69">
        <f>IFERROR(SUMIFS(Realizado!41:41,Realizado!$2:$2,"&gt;="&amp;'P&amp;L Acumulado'!$G$1,Realizado!$2:$2,"&lt;="&amp;'P&amp;L Acumulado'!$I$1),0)+IFERROR(SUMIFS(Realizado!42:42,Realizado!$2:$2,"&gt;="&amp;'P&amp;L Acumulado'!$G$1,Realizado!$2:$2,"&lt;="&amp;'P&amp;L Acumulado'!$I$1),0)</f>
        <v>17450611.449999999</v>
      </c>
      <c r="G7" s="69">
        <f>IFERROR(SUMIFS('Orçado '!43:43,'Orçado '!$2:$2,"&gt;="&amp;'P&amp;L Acumulado'!$G$1,Realizado!$2:$2,"&lt;="&amp;'P&amp;L Acumulado'!$I$1),0)</f>
        <v>17438112.643306367</v>
      </c>
      <c r="H7" s="289">
        <f>IFERROR(F7/G7-1,"-")</f>
        <v>7.1675226266121328E-4</v>
      </c>
      <c r="I7" s="290">
        <f>IFERROR(SUMIFS(Realizado!83:83,Realizado!$2:$2,"&gt;="&amp;'P&amp;L Acumulado'!$G$1,Realizado!$2:$2,"&lt;="&amp;'P&amp;L Acumulado'!$I$1),0)++IFERROR(SUMIFS(Realizado!84:84,Realizado!$2:$2,"&gt;="&amp;'P&amp;L Acumulado'!$G$1,Realizado!$2:$2,"&lt;="&amp;'P&amp;L Acumulado'!$I$1),0)</f>
        <v>56795930.680000015</v>
      </c>
      <c r="J7" s="69">
        <f>IFERROR(SUMIFS('Orçado '!84:84,'Orçado '!$2:$2,"&gt;="&amp;'P&amp;L Acumulado'!$G$1,Realizado!$2:$2,"&lt;="&amp;'P&amp;L Acumulado'!$I$1),0)</f>
        <v>54892046.306059584</v>
      </c>
      <c r="K7" s="289">
        <f>IFERROR(I7/J7-1,"-")</f>
        <v>3.4684157397321558E-2</v>
      </c>
      <c r="L7" s="69">
        <f t="shared" si="0"/>
        <v>74246542.13000001</v>
      </c>
      <c r="M7" s="69">
        <f t="shared" si="0"/>
        <v>72330158.949365944</v>
      </c>
      <c r="N7" s="289">
        <f>IFERROR(L7/M7-1,"-")</f>
        <v>2.6494939434263065E-2</v>
      </c>
      <c r="O7" s="291">
        <f>L7-M7</f>
        <v>1916383.1806340665</v>
      </c>
    </row>
    <row r="8" spans="2:15" s="70" customFormat="1" outlineLevel="1" x14ac:dyDescent="0.25">
      <c r="B8" s="288" t="s">
        <v>12</v>
      </c>
      <c r="C8" s="69">
        <f>IFERROR(SUMIFS(Realizado!6:6,Realizado!$2:$2,"&gt;="&amp;'P&amp;L Acumulado'!$G$1,Realizado!$2:$2,"&lt;="&amp;'P&amp;L Acumulado'!$I$1),0)</f>
        <v>0</v>
      </c>
      <c r="D8" s="69">
        <f>IFERROR(SUMIFS('Orçado '!6:6,'Orçado '!$2:$2,"&gt;="&amp;'P&amp;L Acumulado'!$G$1,Realizado!$2:$2,"&lt;="&amp;'P&amp;L Acumulado'!$I$1),0)</f>
        <v>0</v>
      </c>
      <c r="E8" s="289" t="str">
        <f>IFERROR(C8/D8-1,"-")</f>
        <v>-</v>
      </c>
      <c r="F8" s="69">
        <f>IFERROR(SUMIFS(Realizado!43:43,Realizado!$2:$2,"&gt;="&amp;'P&amp;L Acumulado'!$G$1,Realizado!$2:$2,"&lt;="&amp;'P&amp;L Acumulado'!$I$1),0)</f>
        <v>0</v>
      </c>
      <c r="G8" s="69">
        <f>IFERROR(SUMIFS('Orçado '!46:46,'Orçado '!$2:$2,"&gt;="&amp;'P&amp;L Acumulado'!$G$1,Realizado!$2:$2,"&lt;="&amp;'P&amp;L Acumulado'!$I$1),0)</f>
        <v>0</v>
      </c>
      <c r="H8" s="289" t="str">
        <f>IFERROR(F8/G8-1,"-")</f>
        <v>-</v>
      </c>
      <c r="I8" s="290">
        <f>IFERROR(SUMIFS(Realizado!85:85,Realizado!$2:$2,"&gt;="&amp;'P&amp;L Acumulado'!$G$1,Realizado!$2:$2,"&lt;="&amp;'P&amp;L Acumulado'!$I$1),0)</f>
        <v>13818699.830000002</v>
      </c>
      <c r="J8" s="69">
        <f>IFERROR(SUMIFS('Orçado '!87:87,'Orçado '!$2:$2,"&gt;="&amp;'P&amp;L Acumulado'!$G$1,Realizado!$2:$2,"&lt;="&amp;'P&amp;L Acumulado'!$I$1),0)</f>
        <v>11742056.175543636</v>
      </c>
      <c r="K8" s="289">
        <f>IFERROR(I8/J8-1,"-")</f>
        <v>0.17685519668877081</v>
      </c>
      <c r="L8" s="69">
        <f t="shared" si="0"/>
        <v>13818699.830000002</v>
      </c>
      <c r="M8" s="69">
        <f t="shared" si="0"/>
        <v>11742056.175543636</v>
      </c>
      <c r="N8" s="289">
        <f>IFERROR(L8/M8-1,"-")</f>
        <v>0.17685519668877081</v>
      </c>
      <c r="O8" s="291">
        <f>L8-M8</f>
        <v>2076643.6544563659</v>
      </c>
    </row>
    <row r="9" spans="2:15" s="70" customFormat="1" outlineLevel="1" x14ac:dyDescent="0.25">
      <c r="B9" s="288" t="s">
        <v>13</v>
      </c>
      <c r="C9" s="69">
        <f>IFERROR(SUMIFS(Realizado!7:7,Realizado!$2:$2,"&gt;="&amp;'P&amp;L Acumulado'!$G$1,Realizado!$2:$2,"&lt;="&amp;'P&amp;L Acumulado'!$I$1),0)</f>
        <v>0</v>
      </c>
      <c r="D9" s="69">
        <f>IFERROR(SUMIFS('Orçado '!7:7,'Orçado '!$2:$2,"&gt;="&amp;'P&amp;L Acumulado'!$G$1,Realizado!$2:$2,"&lt;="&amp;'P&amp;L Acumulado'!$I$1),0)</f>
        <v>0</v>
      </c>
      <c r="E9" s="289" t="str">
        <f>IFERROR(C9/D9-1,"-")</f>
        <v>-</v>
      </c>
      <c r="F9" s="69">
        <f>IFERROR(SUMIFS(Realizado!44:44,Realizado!$2:$2,"&gt;="&amp;'P&amp;L Acumulado'!$G$1,Realizado!$2:$2,"&lt;="&amp;'P&amp;L Acumulado'!$I$1),0)</f>
        <v>0</v>
      </c>
      <c r="G9" s="69">
        <f>IFERROR(SUMIFS('Orçado '!47:47,'Orçado '!$2:$2,"&gt;="&amp;'P&amp;L Acumulado'!$G$1,Realizado!$2:$2,"&lt;="&amp;'P&amp;L Acumulado'!$I$1),0)</f>
        <v>0</v>
      </c>
      <c r="H9" s="289" t="str">
        <f>IFERROR(F9/G9-1,"-")</f>
        <v>-</v>
      </c>
      <c r="I9" s="290">
        <f>IFERROR(SUMIFS(Realizado!86:86,Realizado!$2:$2,"&gt;="&amp;'P&amp;L Acumulado'!$G$1,Realizado!$2:$2,"&lt;="&amp;'P&amp;L Acumulado'!$I$1),0)</f>
        <v>1056042.07</v>
      </c>
      <c r="J9" s="69">
        <f>IFERROR(SUMIFS('Orçado '!88:88,'Orçado '!$2:$2,"&gt;="&amp;'P&amp;L Acumulado'!$G$1,Realizado!$2:$2,"&lt;="&amp;'P&amp;L Acumulado'!$I$1),0)</f>
        <v>1097341.7878945051</v>
      </c>
      <c r="K9" s="289">
        <f>IFERROR(I9/J9-1,"-")</f>
        <v>-3.7636147962384348E-2</v>
      </c>
      <c r="L9" s="69">
        <f t="shared" si="0"/>
        <v>1056042.07</v>
      </c>
      <c r="M9" s="69">
        <f t="shared" si="0"/>
        <v>1097341.7878945051</v>
      </c>
      <c r="N9" s="289">
        <f>IFERROR(L9/M9-1,"-")</f>
        <v>-3.7636147962384348E-2</v>
      </c>
      <c r="O9" s="291">
        <f>L9-M9</f>
        <v>-41299.717894505011</v>
      </c>
    </row>
    <row r="10" spans="2:15" s="70" customFormat="1" hidden="1" outlineLevel="1" x14ac:dyDescent="0.25">
      <c r="B10" s="288"/>
      <c r="C10" s="69"/>
      <c r="D10" s="69"/>
      <c r="E10" s="289"/>
      <c r="F10" s="69"/>
      <c r="G10" s="69"/>
      <c r="H10" s="289"/>
      <c r="I10" s="290"/>
      <c r="J10" s="69"/>
      <c r="K10" s="289"/>
      <c r="L10" s="69"/>
      <c r="M10" s="69"/>
      <c r="N10" s="289"/>
      <c r="O10" s="291"/>
    </row>
    <row r="11" spans="2:15" s="70" customFormat="1" outlineLevel="1" x14ac:dyDescent="0.25">
      <c r="B11" s="288" t="s">
        <v>14</v>
      </c>
      <c r="C11" s="51">
        <f>IFERROR(SUMIFS(Realizado!8:8,Realizado!$2:$2,"&gt;="&amp;'P&amp;L Acumulado'!$G$1,Realizado!$2:$2,"&lt;="&amp;'P&amp;L Acumulado'!$I$1),0)</f>
        <v>0</v>
      </c>
      <c r="D11" s="51">
        <f>IFERROR(SUMIFS('Orçado '!8:8,'Orçado '!$2:$2,"&gt;="&amp;'P&amp;L Acumulado'!$G$1,Realizado!$2:$2,"&lt;="&amp;'P&amp;L Acumulado'!$I$1),0)</f>
        <v>0</v>
      </c>
      <c r="E11" s="57" t="str">
        <f t="shared" ref="E11:E18" si="1">IFERROR(C11/D11-1,"-")</f>
        <v>-</v>
      </c>
      <c r="F11" s="51">
        <f>IFERROR(SUMIFS(Realizado!45:45,Realizado!$2:$2,"&gt;="&amp;'P&amp;L Acumulado'!$G$1,Realizado!$2:$2,"&lt;="&amp;'P&amp;L Acumulado'!$I$1),0)</f>
        <v>5301448.8753800001</v>
      </c>
      <c r="G11" s="51">
        <f>IFERROR(SUMIFS('Orçado '!48:48,'Orçado '!$2:$2,"&gt;="&amp;'P&amp;L Acumulado'!$G$1,Realizado!$2:$2,"&lt;="&amp;'P&amp;L Acumulado'!$I$1),0)</f>
        <v>4977110.8677961593</v>
      </c>
      <c r="H11" s="57">
        <f t="shared" ref="H11:H43" si="2">IFERROR(F11/G11-1,"-")</f>
        <v>6.5165919787407933E-2</v>
      </c>
      <c r="I11" s="50">
        <f>IFERROR(SUMIFS(Realizado!87:87,Realizado!$2:$2,"&gt;="&amp;'P&amp;L Acumulado'!$G$1,Realizado!$2:$2,"&lt;="&amp;'P&amp;L Acumulado'!$I$1),0)</f>
        <v>159642.33461999998</v>
      </c>
      <c r="J11" s="51">
        <f>IFERROR(SUMIFS('Orçado '!89:89,'Orçado '!$2:$2,"&gt;="&amp;'P&amp;L Acumulado'!$G$1,Realizado!$2:$2,"&lt;="&amp;'P&amp;L Acumulado'!$I$1),0)</f>
        <v>124357.40425531917</v>
      </c>
      <c r="K11" s="57">
        <f t="shared" ref="K11:K43" si="3">IFERROR(I11/J11-1,"-")</f>
        <v>0.28373807394883421</v>
      </c>
      <c r="L11" s="51">
        <f t="shared" ref="L11:M18" si="4">C11+F11+I11</f>
        <v>5461091.21</v>
      </c>
      <c r="M11" s="51">
        <f t="shared" si="4"/>
        <v>5101468.2720514787</v>
      </c>
      <c r="N11" s="57">
        <f t="shared" ref="N11:N43" si="5">IFERROR(L11/M11-1,"-")</f>
        <v>7.0494006582129343E-2</v>
      </c>
      <c r="O11" s="163">
        <f t="shared" ref="O11:O22" si="6">L11-M11</f>
        <v>359622.93794852123</v>
      </c>
    </row>
    <row r="12" spans="2:15" ht="15.75" customHeight="1" x14ac:dyDescent="0.25">
      <c r="B12" s="234" t="s">
        <v>15</v>
      </c>
      <c r="C12" s="51">
        <f>IFERROR(SUMIFS(Realizado!9:9,Realizado!$2:$2,"&gt;="&amp;'P&amp;L Acumulado'!$G$1,Realizado!$2:$2,"&lt;="&amp;'P&amp;L Acumulado'!$I$1),0)</f>
        <v>0</v>
      </c>
      <c r="D12" s="51">
        <f>IFERROR(SUMIFS('Orçado '!9:9,'Orçado '!$2:$2,"&gt;="&amp;'P&amp;L Acumulado'!$G$1,Realizado!$2:$2,"&lt;="&amp;'P&amp;L Acumulado'!$I$1),0)</f>
        <v>0</v>
      </c>
      <c r="E12" s="57" t="str">
        <f t="shared" si="1"/>
        <v>-</v>
      </c>
      <c r="F12" s="51">
        <f>IFERROR(SUMIFS(Realizado!46:46,Realizado!$2:$2,"&gt;="&amp;'P&amp;L Acumulado'!$G$1,Realizado!$2:$2,"&lt;="&amp;'P&amp;L Acumulado'!$I$1),0)</f>
        <v>0</v>
      </c>
      <c r="G12" s="51">
        <f>IFERROR(SUMIFS('Orçado '!49:49,'Orçado '!$2:$2,"&gt;="&amp;'P&amp;L Acumulado'!$G$1,Realizado!$2:$2,"&lt;="&amp;'P&amp;L Acumulado'!$I$1),0)</f>
        <v>0</v>
      </c>
      <c r="H12" s="57" t="str">
        <f t="shared" si="2"/>
        <v>-</v>
      </c>
      <c r="I12" s="50">
        <f>IFERROR(SUMIFS(Realizado!88:88,Realizado!$2:$2,"&gt;="&amp;'P&amp;L Acumulado'!$G$1,Realizado!$2:$2,"&lt;="&amp;'P&amp;L Acumulado'!$I$1),0)</f>
        <v>5128493.6400000062</v>
      </c>
      <c r="J12" s="51">
        <f>IFERROR(SUMIFS('Orçado '!90:90,'Orçado '!$2:$2,"&gt;="&amp;'P&amp;L Acumulado'!$G$1,Realizado!$2:$2,"&lt;="&amp;'P&amp;L Acumulado'!$I$1),0)</f>
        <v>4988000</v>
      </c>
      <c r="K12" s="57">
        <f t="shared" si="3"/>
        <v>2.8166327185245921E-2</v>
      </c>
      <c r="L12" s="51">
        <f t="shared" si="4"/>
        <v>5128493.6400000062</v>
      </c>
      <c r="M12" s="51">
        <f t="shared" si="4"/>
        <v>4988000</v>
      </c>
      <c r="N12" s="57">
        <f t="shared" si="5"/>
        <v>2.8166327185245921E-2</v>
      </c>
      <c r="O12" s="163">
        <f t="shared" si="6"/>
        <v>140493.64000000618</v>
      </c>
    </row>
    <row r="13" spans="2:15" x14ac:dyDescent="0.25">
      <c r="B13" s="234" t="s">
        <v>16</v>
      </c>
      <c r="C13" s="51">
        <f>IFERROR(SUMIFS(Realizado!10:10,Realizado!$2:$2,"&gt;="&amp;'P&amp;L Acumulado'!$G$1,Realizado!$2:$2,"&lt;="&amp;'P&amp;L Acumulado'!$I$1),0)</f>
        <v>0</v>
      </c>
      <c r="D13" s="51">
        <f>IFERROR(SUMIFS('Orçado '!12:12,'Orçado '!$2:$2,"&gt;="&amp;'P&amp;L Acumulado'!$G$1,Realizado!$2:$2,"&lt;="&amp;'P&amp;L Acumulado'!$I$1),0)</f>
        <v>0</v>
      </c>
      <c r="E13" s="57" t="str">
        <f t="shared" si="1"/>
        <v>-</v>
      </c>
      <c r="F13" s="51">
        <f>IFERROR(SUMIFS(Realizado!47:47,Realizado!$2:$2,"&gt;="&amp;'P&amp;L Acumulado'!$G$1,Realizado!$2:$2,"&lt;="&amp;'P&amp;L Acumulado'!$I$1),0)</f>
        <v>26044.523880000001</v>
      </c>
      <c r="G13" s="51">
        <f>IFERROR(SUMIFS('Orçado '!52:52,'Orçado '!$2:$2,"&gt;="&amp;'P&amp;L Acumulado'!$G$1,Realizado!$2:$2,"&lt;="&amp;'P&amp;L Acumulado'!$I$1),0)</f>
        <v>37399.685106382982</v>
      </c>
      <c r="H13" s="57">
        <f t="shared" si="2"/>
        <v>-0.30361649286841197</v>
      </c>
      <c r="I13" s="50">
        <f>IFERROR(SUMIFS(Realizado!89:89,Realizado!$2:$2,"&gt;="&amp;'P&amp;L Acumulado'!$G$1,Realizado!$2:$2,"&lt;="&amp;'P&amp;L Acumulado'!$I$1),0)</f>
        <v>35092.856119999997</v>
      </c>
      <c r="J13" s="51">
        <f>IFERROR(SUMIFS('Orçado '!93:93,'Orçado '!$2:$2,"&gt;="&amp;'P&amp;L Acumulado'!$G$1,Realizado!$2:$2,"&lt;="&amp;'P&amp;L Acumulado'!$I$1),0)</f>
        <v>50489.574893617013</v>
      </c>
      <c r="K13" s="57">
        <f t="shared" si="3"/>
        <v>-0.30494847314635443</v>
      </c>
      <c r="L13" s="51">
        <f t="shared" si="4"/>
        <v>61137.38</v>
      </c>
      <c r="M13" s="51">
        <f t="shared" si="4"/>
        <v>87889.26</v>
      </c>
      <c r="N13" s="57">
        <f t="shared" si="5"/>
        <v>-0.30438167302808106</v>
      </c>
      <c r="O13" s="163">
        <f t="shared" si="6"/>
        <v>-26751.879999999997</v>
      </c>
    </row>
    <row r="14" spans="2:15" x14ac:dyDescent="0.25">
      <c r="B14" s="234" t="s">
        <v>17</v>
      </c>
      <c r="C14" s="51">
        <f>IFERROR(SUMIFS(Realizado!11:11,Realizado!$2:$2,"&gt;="&amp;'P&amp;L Acumulado'!$G$1,Realizado!$2:$2,"&lt;="&amp;'P&amp;L Acumulado'!$I$1),0)</f>
        <v>0</v>
      </c>
      <c r="D14" s="51">
        <f>IFERROR(SUMIFS('Orçado '!13:13,'Orçado '!$2:$2,"&gt;="&amp;'P&amp;L Acumulado'!$G$1,Realizado!$2:$2,"&lt;="&amp;'P&amp;L Acumulado'!$I$1),0)</f>
        <v>0</v>
      </c>
      <c r="E14" s="57" t="str">
        <f t="shared" si="1"/>
        <v>-</v>
      </c>
      <c r="F14" s="51">
        <f>IFERROR(SUMIFS(Realizado!48:48,Realizado!$2:$2,"&gt;="&amp;'P&amp;L Acumulado'!$G$1,Realizado!$2:$2,"&lt;="&amp;'P&amp;L Acumulado'!$I$1),0)</f>
        <v>0</v>
      </c>
      <c r="G14" s="51">
        <f>IFERROR(SUMIFS('Orçado '!53:53,'Orçado '!$2:$2,"&gt;="&amp;'P&amp;L Acumulado'!$G$1,Realizado!$2:$2,"&lt;="&amp;'P&amp;L Acumulado'!$I$1),0)</f>
        <v>0</v>
      </c>
      <c r="H14" s="57" t="str">
        <f t="shared" si="2"/>
        <v>-</v>
      </c>
      <c r="I14" s="50">
        <f>IFERROR(SUMIFS(Realizado!90:90,Realizado!$2:$2,"&gt;="&amp;'P&amp;L Acumulado'!$G$1,Realizado!$2:$2,"&lt;="&amp;'P&amp;L Acumulado'!$I$1),0)</f>
        <v>0</v>
      </c>
      <c r="J14" s="51">
        <f>IFERROR(SUMIFS('Orçado '!94:94,'Orçado '!$2:$2,"&gt;="&amp;'P&amp;L Acumulado'!$G$1,Realizado!$2:$2,"&lt;="&amp;'P&amp;L Acumulado'!$I$1),0)</f>
        <v>0</v>
      </c>
      <c r="K14" s="57" t="str">
        <f t="shared" si="3"/>
        <v>-</v>
      </c>
      <c r="L14" s="51">
        <f t="shared" si="4"/>
        <v>0</v>
      </c>
      <c r="M14" s="51">
        <f t="shared" si="4"/>
        <v>0</v>
      </c>
      <c r="N14" s="57" t="str">
        <f t="shared" si="5"/>
        <v>-</v>
      </c>
      <c r="O14" s="163">
        <f t="shared" si="6"/>
        <v>0</v>
      </c>
    </row>
    <row r="15" spans="2:15" ht="17.25" customHeight="1" x14ac:dyDescent="0.25">
      <c r="B15" s="234" t="s">
        <v>18</v>
      </c>
      <c r="C15" s="51">
        <f>IFERROR(SUMIFS(Realizado!12:12,Realizado!$2:$2,"&gt;="&amp;'P&amp;L Acumulado'!$G$1,Realizado!$2:$2,"&lt;="&amp;'P&amp;L Acumulado'!$I$1),0)</f>
        <v>0</v>
      </c>
      <c r="D15" s="51">
        <f>IFERROR(SUMIFS('Orçado '!14:14,'Orçado '!$2:$2,"&gt;="&amp;'P&amp;L Acumulado'!$G$1,Realizado!$2:$2,"&lt;="&amp;'P&amp;L Acumulado'!$I$1),0)</f>
        <v>0</v>
      </c>
      <c r="E15" s="57" t="str">
        <f t="shared" si="1"/>
        <v>-</v>
      </c>
      <c r="F15" s="51">
        <f>IFERROR(SUMIFS(Realizado!49:49,Realizado!$2:$2,"&gt;="&amp;'P&amp;L Acumulado'!$G$1,Realizado!$2:$2,"&lt;="&amp;'P&amp;L Acumulado'!$I$1),0)</f>
        <v>0</v>
      </c>
      <c r="G15" s="51">
        <f>IFERROR(SUMIFS('Orçado '!54:54,'Orçado '!$2:$2,"&gt;="&amp;'P&amp;L Acumulado'!$G$1,Realizado!$2:$2,"&lt;="&amp;'P&amp;L Acumulado'!$I$1),0)</f>
        <v>0</v>
      </c>
      <c r="H15" s="57" t="str">
        <f t="shared" si="2"/>
        <v>-</v>
      </c>
      <c r="I15" s="50">
        <f>IFERROR(SUMIFS(Realizado!91:91,Realizado!$2:$2,"&gt;="&amp;'P&amp;L Acumulado'!$G$1,Realizado!$2:$2,"&lt;="&amp;'P&amp;L Acumulado'!$I$1),0)</f>
        <v>688761.49</v>
      </c>
      <c r="J15" s="51">
        <f>IFERROR(SUMIFS('Orçado '!95:95,'Orçado '!$2:$2,"&gt;="&amp;'P&amp;L Acumulado'!$G$1,Realizado!$2:$2,"&lt;="&amp;'P&amp;L Acumulado'!$I$1),0)</f>
        <v>929808.67500000005</v>
      </c>
      <c r="K15" s="57">
        <f t="shared" si="3"/>
        <v>-0.25924385465644317</v>
      </c>
      <c r="L15" s="51">
        <f t="shared" si="4"/>
        <v>688761.49</v>
      </c>
      <c r="M15" s="51">
        <f t="shared" si="4"/>
        <v>929808.67500000005</v>
      </c>
      <c r="N15" s="57">
        <f t="shared" si="5"/>
        <v>-0.25924385465644317</v>
      </c>
      <c r="O15" s="163">
        <f t="shared" si="6"/>
        <v>-241047.18500000006</v>
      </c>
    </row>
    <row r="16" spans="2:15" hidden="1" outlineLevel="1" x14ac:dyDescent="0.25">
      <c r="B16" s="292" t="s">
        <v>206</v>
      </c>
      <c r="C16" s="69">
        <f>IFERROR(SUMIFS(Realizado!13:13,Realizado!$2:$2,"&gt;="&amp;'P&amp;L Acumulado'!$G$1,Realizado!$2:$2,"&lt;="&amp;'P&amp;L Acumulado'!$I$1),0)</f>
        <v>0</v>
      </c>
      <c r="D16" s="69">
        <f>IFERROR(SUMIFS('Orçado '!15:15,'Orçado '!$2:$2,"&gt;="&amp;'P&amp;L Acumulado'!$G$1,Realizado!$2:$2,"&lt;="&amp;'P&amp;L Acumulado'!$I$1),0)</f>
        <v>0</v>
      </c>
      <c r="E16" s="289" t="str">
        <f t="shared" si="1"/>
        <v>-</v>
      </c>
      <c r="F16" s="69">
        <f>IFERROR(SUMIFS(Realizado!50:50,Realizado!$2:$2,"&gt;="&amp;'P&amp;L Acumulado'!$G$1,Realizado!$2:$2,"&lt;="&amp;'P&amp;L Acumulado'!$I$1),0)</f>
        <v>0</v>
      </c>
      <c r="G16" s="69">
        <f>IFERROR(SUMIFS('Orçado '!55:55,'Orçado '!$2:$2,"&gt;="&amp;'P&amp;L Acumulado'!$G$1,Realizado!$2:$2,"&lt;="&amp;'P&amp;L Acumulado'!$I$1),0)</f>
        <v>0</v>
      </c>
      <c r="H16" s="57" t="str">
        <f t="shared" si="2"/>
        <v>-</v>
      </c>
      <c r="I16" s="290">
        <f>IFERROR(SUMIFS(Realizado!92:92,Realizado!$2:$2,"&gt;="&amp;'P&amp;L Acumulado'!$G$1,Realizado!$2:$2,"&lt;="&amp;'P&amp;L Acumulado'!$I$1),0)</f>
        <v>0</v>
      </c>
      <c r="J16" s="69">
        <f>IFERROR(SUMIFS('Orçado '!96:96,'Orçado '!$2:$2,"&gt;="&amp;'P&amp;L Acumulado'!$G$1,Realizado!$2:$2,"&lt;="&amp;'P&amp;L Acumulado'!$I$1),0)</f>
        <v>0</v>
      </c>
      <c r="K16" s="289" t="str">
        <f t="shared" si="3"/>
        <v>-</v>
      </c>
      <c r="L16" s="69">
        <f t="shared" si="4"/>
        <v>0</v>
      </c>
      <c r="M16" s="69">
        <f t="shared" si="4"/>
        <v>0</v>
      </c>
      <c r="N16" s="289" t="str">
        <f t="shared" si="5"/>
        <v>-</v>
      </c>
      <c r="O16" s="163">
        <f t="shared" si="6"/>
        <v>0</v>
      </c>
    </row>
    <row r="17" spans="2:16" hidden="1" outlineLevel="1" x14ac:dyDescent="0.25">
      <c r="B17" s="292" t="s">
        <v>207</v>
      </c>
      <c r="C17" s="69">
        <f>IFERROR(SUMIFS(Realizado!14:14,Realizado!$2:$2,"&gt;="&amp;'P&amp;L Acumulado'!$G$1,Realizado!$2:$2,"&lt;="&amp;'P&amp;L Acumulado'!$I$1),0)</f>
        <v>0</v>
      </c>
      <c r="D17" s="69">
        <f>IFERROR(SUMIFS('Orçado '!16:16,'Orçado '!$2:$2,"&gt;="&amp;'P&amp;L Acumulado'!$G$1,Realizado!$2:$2,"&lt;="&amp;'P&amp;L Acumulado'!$I$1),0)</f>
        <v>0</v>
      </c>
      <c r="E17" s="289" t="str">
        <f t="shared" si="1"/>
        <v>-</v>
      </c>
      <c r="F17" s="69">
        <f>IFERROR(SUMIFS(Realizado!51:51,Realizado!$2:$2,"&gt;="&amp;'P&amp;L Acumulado'!$G$1,Realizado!$2:$2,"&lt;="&amp;'P&amp;L Acumulado'!$I$1),0)</f>
        <v>0</v>
      </c>
      <c r="G17" s="69">
        <f>IFERROR(SUMIFS('Orçado '!56:56,'Orçado '!$2:$2,"&gt;="&amp;'P&amp;L Acumulado'!$G$1,Realizado!$2:$2,"&lt;="&amp;'P&amp;L Acumulado'!$I$1),0)</f>
        <v>0</v>
      </c>
      <c r="H17" s="57" t="str">
        <f t="shared" si="2"/>
        <v>-</v>
      </c>
      <c r="I17" s="290">
        <f>IFERROR(SUMIFS(Realizado!93:93,Realizado!$2:$2,"&gt;="&amp;'P&amp;L Acumulado'!$G$1,Realizado!$2:$2,"&lt;="&amp;'P&amp;L Acumulado'!$I$1),0)</f>
        <v>0</v>
      </c>
      <c r="J17" s="69">
        <f>IFERROR(SUMIFS('Orçado '!97:97,'Orçado '!$2:$2,"&gt;="&amp;'P&amp;L Acumulado'!$G$1,Realizado!$2:$2,"&lt;="&amp;'P&amp;L Acumulado'!$I$1),0)</f>
        <v>0</v>
      </c>
      <c r="K17" s="289" t="str">
        <f t="shared" si="3"/>
        <v>-</v>
      </c>
      <c r="L17" s="69">
        <f t="shared" si="4"/>
        <v>0</v>
      </c>
      <c r="M17" s="69">
        <f t="shared" si="4"/>
        <v>0</v>
      </c>
      <c r="N17" s="289" t="str">
        <f t="shared" si="5"/>
        <v>-</v>
      </c>
      <c r="O17" s="163">
        <f t="shared" si="6"/>
        <v>0</v>
      </c>
    </row>
    <row r="18" spans="2:16" hidden="1" outlineLevel="1" x14ac:dyDescent="0.25">
      <c r="B18" s="292" t="s">
        <v>208</v>
      </c>
      <c r="C18" s="69">
        <f>IFERROR(SUMIFS(Realizado!15:15,Realizado!$2:$2,"&gt;="&amp;'P&amp;L Acumulado'!$G$1,Realizado!$2:$2,"&lt;="&amp;'P&amp;L Acumulado'!$I$1),0)</f>
        <v>0</v>
      </c>
      <c r="D18" s="69">
        <f>IFERROR(SUMIFS('Orçado '!17:17,'Orçado '!$2:$2,"&gt;="&amp;'P&amp;L Acumulado'!$G$1,Realizado!$2:$2,"&lt;="&amp;'P&amp;L Acumulado'!$I$1),0)</f>
        <v>0</v>
      </c>
      <c r="E18" s="289" t="str">
        <f t="shared" si="1"/>
        <v>-</v>
      </c>
      <c r="F18" s="69">
        <f>IFERROR(SUMIFS(Realizado!52:52,Realizado!$2:$2,"&gt;="&amp;'P&amp;L Acumulado'!$G$1,Realizado!$2:$2,"&lt;="&amp;'P&amp;L Acumulado'!$I$1),0)</f>
        <v>0</v>
      </c>
      <c r="G18" s="69">
        <f>IFERROR(SUMIFS('Orçado '!57:57,'Orçado '!$2:$2,"&gt;="&amp;'P&amp;L Acumulado'!$G$1,Realizado!$2:$2,"&lt;="&amp;'P&amp;L Acumulado'!$I$1),0)</f>
        <v>0</v>
      </c>
      <c r="H18" s="57" t="str">
        <f t="shared" si="2"/>
        <v>-</v>
      </c>
      <c r="I18" s="290">
        <f>IFERROR(SUMIFS(Realizado!94:94,Realizado!$2:$2,"&gt;="&amp;'P&amp;L Acumulado'!$G$1,Realizado!$2:$2,"&lt;="&amp;'P&amp;L Acumulado'!$I$1),0)</f>
        <v>0</v>
      </c>
      <c r="J18" s="69">
        <f>IFERROR(SUMIFS('Orçado '!98:98,'Orçado '!$2:$2,"&gt;="&amp;'P&amp;L Acumulado'!$G$1,Realizado!$2:$2,"&lt;="&amp;'P&amp;L Acumulado'!$I$1),0)</f>
        <v>0</v>
      </c>
      <c r="K18" s="289" t="str">
        <f t="shared" si="3"/>
        <v>-</v>
      </c>
      <c r="L18" s="69">
        <f t="shared" si="4"/>
        <v>0</v>
      </c>
      <c r="M18" s="69">
        <f t="shared" si="4"/>
        <v>0</v>
      </c>
      <c r="N18" s="289" t="str">
        <f t="shared" si="5"/>
        <v>-</v>
      </c>
      <c r="O18" s="163">
        <f t="shared" si="6"/>
        <v>0</v>
      </c>
    </row>
    <row r="19" spans="2:16" collapsed="1" x14ac:dyDescent="0.25">
      <c r="B19" s="234" t="s">
        <v>240</v>
      </c>
      <c r="C19" s="69"/>
      <c r="D19" s="69"/>
      <c r="E19" s="289"/>
      <c r="F19" s="51">
        <f>SUM(F20:F23)</f>
        <v>0</v>
      </c>
      <c r="G19" s="51">
        <f>SUM(G20:G23)</f>
        <v>0</v>
      </c>
      <c r="H19" s="57" t="str">
        <f t="shared" si="2"/>
        <v>-</v>
      </c>
      <c r="I19" s="51">
        <f>SUM(I20:I23)</f>
        <v>3725701.2699999996</v>
      </c>
      <c r="J19" s="51">
        <f>SUM(J20:J23)</f>
        <v>3590795.9249999998</v>
      </c>
      <c r="K19" s="57">
        <f t="shared" si="3"/>
        <v>3.7569761082983266E-2</v>
      </c>
      <c r="L19" s="51">
        <f>SUM(L20:L23)</f>
        <v>3725701.2699999996</v>
      </c>
      <c r="M19" s="51">
        <f>SUM(M20:M23)</f>
        <v>3590795.9249999998</v>
      </c>
      <c r="N19" s="57">
        <f t="shared" si="5"/>
        <v>3.7569761082983266E-2</v>
      </c>
      <c r="O19" s="163">
        <f t="shared" si="6"/>
        <v>134905.34499999974</v>
      </c>
    </row>
    <row r="20" spans="2:16" hidden="1" outlineLevel="1" x14ac:dyDescent="0.25">
      <c r="B20" s="234" t="s">
        <v>19</v>
      </c>
      <c r="C20" s="51">
        <f>IFERROR(SUMIFS(Realizado!16:16,Realizado!$2:$2,"&gt;="&amp;'P&amp;L Acumulado'!$G$1,Realizado!$2:$2,"&lt;="&amp;'P&amp;L Acumulado'!$I$1),0)</f>
        <v>0</v>
      </c>
      <c r="D20" s="51">
        <f>IFERROR(SUMIFS('Orçado '!18:18,'Orçado '!$2:$2,"&gt;="&amp;'P&amp;L Acumulado'!$G$1,Realizado!$2:$2,"&lt;="&amp;'P&amp;L Acumulado'!$I$1),0)</f>
        <v>0</v>
      </c>
      <c r="E20" s="57" t="str">
        <f>IFERROR(C20/D20-1,"-")</f>
        <v>-</v>
      </c>
      <c r="F20" s="51">
        <f>IFERROR(SUMIFS(Realizado!53:53,Realizado!$2:$2,"&gt;="&amp;'P&amp;L Acumulado'!$G$1,Realizado!$2:$2,"&lt;="&amp;'P&amp;L Acumulado'!$I$1),0)</f>
        <v>0</v>
      </c>
      <c r="G20" s="51">
        <f>IFERROR(SUMIFS('Orçado '!58:58,'Orçado '!$2:$2,"&gt;="&amp;'P&amp;L Acumulado'!$G$1,Realizado!$2:$2,"&lt;="&amp;'P&amp;L Acumulado'!$I$1),0)</f>
        <v>0</v>
      </c>
      <c r="H20" s="57" t="str">
        <f t="shared" si="2"/>
        <v>-</v>
      </c>
      <c r="I20" s="50">
        <f>IFERROR(SUMIFS(Realizado!95:95,Realizado!$2:$2,"&gt;="&amp;'P&amp;L Acumulado'!$G$1,Realizado!$2:$2,"&lt;="&amp;'P&amp;L Acumulado'!$I$1),0)</f>
        <v>2726599.21</v>
      </c>
      <c r="J20" s="51">
        <f>IFERROR(SUMIFS('Orçado '!99:99,'Orçado '!$2:$2,"&gt;="&amp;'P&amp;L Acumulado'!$G$1,Realizado!$2:$2,"&lt;="&amp;'P&amp;L Acumulado'!$I$1),0)</f>
        <v>2776784.38</v>
      </c>
      <c r="K20" s="57">
        <f t="shared" si="3"/>
        <v>-1.8073124568642185E-2</v>
      </c>
      <c r="L20" s="51">
        <f t="shared" ref="L20:M23" si="7">C20+F20+I20</f>
        <v>2726599.21</v>
      </c>
      <c r="M20" s="51">
        <f t="shared" si="7"/>
        <v>2776784.38</v>
      </c>
      <c r="N20" s="57">
        <f t="shared" si="5"/>
        <v>-1.8073124568642185E-2</v>
      </c>
      <c r="O20" s="163">
        <f t="shared" si="6"/>
        <v>-50185.169999999925</v>
      </c>
    </row>
    <row r="21" spans="2:16" hidden="1" outlineLevel="1" collapsed="1" x14ac:dyDescent="0.25">
      <c r="B21" s="234" t="s">
        <v>20</v>
      </c>
      <c r="C21" s="51">
        <f>IFERROR(SUMIFS(Realizado!17:17,Realizado!$2:$2,"&gt;="&amp;'P&amp;L Acumulado'!$G$1,Realizado!$2:$2,"&lt;="&amp;'P&amp;L Acumulado'!$I$1),0)</f>
        <v>0</v>
      </c>
      <c r="D21" s="51">
        <f>IFERROR(SUMIFS('Orçado '!19:19,'Orçado '!$2:$2,"&gt;="&amp;'P&amp;L Acumulado'!$G$1,Realizado!$2:$2,"&lt;="&amp;'P&amp;L Acumulado'!$I$1),0)</f>
        <v>0</v>
      </c>
      <c r="E21" s="57" t="str">
        <f>IFERROR(C21/D21-1,"-")</f>
        <v>-</v>
      </c>
      <c r="F21" s="51">
        <f>IFERROR(SUMIFS(Realizado!54:54,Realizado!$2:$2,"&gt;="&amp;'P&amp;L Acumulado'!$G$1,Realizado!$2:$2,"&lt;="&amp;'P&amp;L Acumulado'!$I$1),0)</f>
        <v>0</v>
      </c>
      <c r="G21" s="51">
        <f>IFERROR(SUMIFS('Orçado '!59:59,'Orçado '!$2:$2,"&gt;="&amp;'P&amp;L Acumulado'!$G$1,Realizado!$2:$2,"&lt;="&amp;'P&amp;L Acumulado'!$I$1),0)</f>
        <v>0</v>
      </c>
      <c r="H21" s="57" t="str">
        <f t="shared" si="2"/>
        <v>-</v>
      </c>
      <c r="I21" s="50">
        <f>IFERROR(SUMIFS(Realizado!96:96,Realizado!$2:$2,"&gt;="&amp;'P&amp;L Acumulado'!$G$1,Realizado!$2:$2,"&lt;="&amp;'P&amp;L Acumulado'!$I$1),0)</f>
        <v>242143.16999999934</v>
      </c>
      <c r="J21" s="51">
        <f>IFERROR(SUMIFS('Orçado '!100:100,'Orçado '!$2:$2,"&gt;="&amp;'P&amp;L Acumulado'!$G$1,Realizado!$2:$2,"&lt;="&amp;'P&amp;L Acumulado'!$I$1),0)</f>
        <v>65377.309999999845</v>
      </c>
      <c r="K21" s="57">
        <f t="shared" si="3"/>
        <v>2.7037799505669464</v>
      </c>
      <c r="L21" s="51">
        <f t="shared" si="7"/>
        <v>242143.16999999934</v>
      </c>
      <c r="M21" s="51">
        <f t="shared" si="7"/>
        <v>65377.309999999845</v>
      </c>
      <c r="N21" s="57">
        <f t="shared" si="5"/>
        <v>2.7037799505669464</v>
      </c>
      <c r="O21" s="163">
        <f t="shared" si="6"/>
        <v>176765.85999999949</v>
      </c>
    </row>
    <row r="22" spans="2:16" hidden="1" outlineLevel="1" collapsed="1" x14ac:dyDescent="0.25">
      <c r="B22" s="234" t="s">
        <v>21</v>
      </c>
      <c r="C22" s="51"/>
      <c r="D22" s="51"/>
      <c r="E22" s="57"/>
      <c r="F22" s="51">
        <f>IFERROR(SUMIFS(Realizado!55:55,Realizado!$2:$2,"&gt;="&amp;'P&amp;L Acumulado'!$G$1,Realizado!$2:$2,"&lt;="&amp;'P&amp;L Acumulado'!$I$1),0)</f>
        <v>0</v>
      </c>
      <c r="G22" s="51">
        <f>IFERROR(SUMIFS('Orçado '!60:60,'Orçado '!$2:$2,"&gt;="&amp;'P&amp;L Acumulado'!$G$1,Realizado!$2:$2,"&lt;="&amp;'P&amp;L Acumulado'!$I$1),0)</f>
        <v>0</v>
      </c>
      <c r="H22" s="57" t="str">
        <f t="shared" si="2"/>
        <v>-</v>
      </c>
      <c r="I22" s="50">
        <f>IFERROR(SUMIFS(Realizado!97:97,Realizado!$2:$2,"&gt;="&amp;'P&amp;L Acumulado'!$G$1,Realizado!$2:$2,"&lt;="&amp;'P&amp;L Acumulado'!$I$1),0)</f>
        <v>-94430.299999999988</v>
      </c>
      <c r="J22" s="51">
        <f>IFERROR(SUMIFS('Orçado '!101:101,'Orçado '!$2:$2,"&gt;="&amp;'P&amp;L Acumulado'!$G$1,Realizado!$2:$2,"&lt;="&amp;'P&amp;L Acumulado'!$I$1),0)</f>
        <v>241278.17</v>
      </c>
      <c r="K22" s="57">
        <f t="shared" si="3"/>
        <v>-1.3913752329935194</v>
      </c>
      <c r="L22" s="51">
        <f t="shared" si="7"/>
        <v>-94430.299999999988</v>
      </c>
      <c r="M22" s="51">
        <f t="shared" si="7"/>
        <v>241278.17</v>
      </c>
      <c r="N22" s="57">
        <f t="shared" si="5"/>
        <v>-1.3913752329935194</v>
      </c>
      <c r="O22" s="163">
        <f t="shared" si="6"/>
        <v>-335708.47</v>
      </c>
    </row>
    <row r="23" spans="2:16" hidden="1" outlineLevel="1" collapsed="1" x14ac:dyDescent="0.25">
      <c r="B23" s="234" t="s">
        <v>22</v>
      </c>
      <c r="C23" s="51">
        <f>IFERROR(SUMIFS(Realizado!37:37,Realizado!$2:$2,"&gt;="&amp;'P&amp;L Acumulado'!$G$1,Realizado!$2:$2,"&lt;="&amp;'P&amp;L Acumulado'!$I$1),0)</f>
        <v>0</v>
      </c>
      <c r="D23" s="51">
        <f>IFERROR(SUMIFS('Orçado '!37:37,'Orçado '!$2:$2,"&gt;="&amp;'P&amp;L Acumulado'!$G$1,Realizado!$2:$2,"&lt;="&amp;'P&amp;L Acumulado'!$I$1),0)</f>
        <v>0</v>
      </c>
      <c r="E23" s="57" t="str">
        <f t="shared" ref="E23:E32" si="8">IFERROR(C23/D23-1,"-")</f>
        <v>-</v>
      </c>
      <c r="F23" s="51">
        <f>IFERROR(SUMIFS(Realizado!76:76,Realizado!$2:$2,"&gt;="&amp;'P&amp;L Acumulado'!$G$1,Realizado!$2:$2,"&lt;="&amp;'P&amp;L Acumulado'!$I$1),0)</f>
        <v>0</v>
      </c>
      <c r="G23" s="51">
        <f>IFERROR(SUMIFS('Orçado '!#REF!,'Orçado '!$2:$2,"&gt;="&amp;'P&amp;L Acumulado'!$G$1,Realizado!$2:$2,"&lt;="&amp;'P&amp;L Acumulado'!$I$1),0)</f>
        <v>0</v>
      </c>
      <c r="H23" s="57" t="str">
        <f t="shared" si="2"/>
        <v>-</v>
      </c>
      <c r="I23" s="50">
        <f>IFERROR(SUMIFS(Realizado!120:120,Realizado!$2:$2,"&gt;="&amp;'P&amp;L Acumulado'!$G$1,Realizado!$2:$2,"&lt;="&amp;'P&amp;L Acumulado'!$I$1),0)</f>
        <v>851389.19</v>
      </c>
      <c r="J23" s="51">
        <f>IFERROR(SUMIFS('Orçado '!102:102,'Orçado '!$2:$2,"&gt;="&amp;'P&amp;L Acumulado'!$G$1,Realizado!$2:$2,"&lt;="&amp;'P&amp;L Acumulado'!$I$1),0)</f>
        <v>507356.065</v>
      </c>
      <c r="K23" s="57">
        <f t="shared" si="3"/>
        <v>0.6780901002927795</v>
      </c>
      <c r="L23" s="51">
        <f t="shared" si="7"/>
        <v>851389.19</v>
      </c>
      <c r="M23" s="51">
        <f t="shared" si="7"/>
        <v>507356.065</v>
      </c>
      <c r="N23" s="57">
        <f t="shared" si="5"/>
        <v>0.6780901002927795</v>
      </c>
      <c r="O23" s="163">
        <f t="shared" ref="O23:O41" si="9">ABS(L23)-ABS(M23)</f>
        <v>344033.12499999994</v>
      </c>
      <c r="P23" s="47"/>
    </row>
    <row r="24" spans="2:16" collapsed="1" x14ac:dyDescent="0.25">
      <c r="B24" s="332" t="s">
        <v>23</v>
      </c>
      <c r="C24" s="326">
        <f>C25</f>
        <v>0</v>
      </c>
      <c r="D24" s="326">
        <f>D25</f>
        <v>0</v>
      </c>
      <c r="E24" s="327" t="str">
        <f t="shared" si="8"/>
        <v>-</v>
      </c>
      <c r="F24" s="326">
        <f>F25</f>
        <v>-12377761.539453447</v>
      </c>
      <c r="G24" s="326">
        <f>G25</f>
        <v>-11952517.772858504</v>
      </c>
      <c r="H24" s="327">
        <f t="shared" si="2"/>
        <v>3.5577756475759115E-2</v>
      </c>
      <c r="I24" s="325">
        <f>I25</f>
        <v>-42950170.290546522</v>
      </c>
      <c r="J24" s="326">
        <f>J25</f>
        <v>-41901835.419307753</v>
      </c>
      <c r="K24" s="327">
        <f t="shared" si="3"/>
        <v>2.5018829384158892E-2</v>
      </c>
      <c r="L24" s="326">
        <f>L25</f>
        <v>-55327931.829999968</v>
      </c>
      <c r="M24" s="326">
        <f>M25</f>
        <v>-53854353.192166261</v>
      </c>
      <c r="N24" s="327">
        <f t="shared" si="5"/>
        <v>2.7362293862774667E-2</v>
      </c>
      <c r="O24" s="333">
        <f t="shared" si="9"/>
        <v>1473578.637833707</v>
      </c>
    </row>
    <row r="25" spans="2:16" x14ac:dyDescent="0.25">
      <c r="B25" s="233" t="s">
        <v>24</v>
      </c>
      <c r="C25" s="112">
        <f>IFERROR(SUMIFS(Realizado!19:19,Realizado!$2:$2,"&gt;="&amp;'P&amp;L Acumulado'!$G$1,Realizado!$2:$2,"&lt;="&amp;'P&amp;L Acumulado'!$I$1),0)</f>
        <v>0</v>
      </c>
      <c r="D25" s="112">
        <f>IFERROR(SUMIFS('Orçado '!21:21,'Orçado '!$2:$2,"&gt;="&amp;'P&amp;L Acumulado'!$G$1,Realizado!$2:$2,"&lt;="&amp;'P&amp;L Acumulado'!$I$1),0)</f>
        <v>0</v>
      </c>
      <c r="E25" s="168" t="str">
        <f t="shared" si="8"/>
        <v>-</v>
      </c>
      <c r="F25" s="112">
        <f>SUM(F26:F29)</f>
        <v>-12377761.539453447</v>
      </c>
      <c r="G25" s="112">
        <f>IFERROR(SUMIFS('Orçado '!62:62,'Orçado '!$2:$2,"&gt;="&amp;'P&amp;L Acumulado'!$G$1,Realizado!$2:$2,"&lt;="&amp;'P&amp;L Acumulado'!$I$1),0)</f>
        <v>-11952517.772858504</v>
      </c>
      <c r="H25" s="168">
        <f t="shared" si="2"/>
        <v>3.5577756475759115E-2</v>
      </c>
      <c r="I25" s="111">
        <f>SUM(I26:I29)</f>
        <v>-42950170.290546522</v>
      </c>
      <c r="J25" s="112">
        <f>IFERROR(SUMIFS('Orçado '!104:104,'Orçado '!$2:$2,"&gt;="&amp;'P&amp;L Acumulado'!$G$1,Realizado!$2:$2,"&lt;="&amp;'P&amp;L Acumulado'!$I$1),0)</f>
        <v>-41901835.419307753</v>
      </c>
      <c r="K25" s="168">
        <f t="shared" si="3"/>
        <v>2.5018829384158892E-2</v>
      </c>
      <c r="L25" s="111">
        <f>SUM(L26:L29)</f>
        <v>-55327931.829999968</v>
      </c>
      <c r="M25" s="112">
        <f>SUM(M26:M29)</f>
        <v>-53854353.192166261</v>
      </c>
      <c r="N25" s="168">
        <f t="shared" si="5"/>
        <v>2.7362293862774667E-2</v>
      </c>
      <c r="O25" s="243">
        <f t="shared" si="9"/>
        <v>1473578.637833707</v>
      </c>
    </row>
    <row r="26" spans="2:16" s="70" customFormat="1" outlineLevel="1" x14ac:dyDescent="0.25">
      <c r="B26" s="288" t="s">
        <v>25</v>
      </c>
      <c r="C26" s="69">
        <f>IFERROR(SUMIFS(Realizado!20:20,Realizado!$2:$2,"&gt;="&amp;'P&amp;L Acumulado'!$G$1,Realizado!$2:$2,"&lt;="&amp;'P&amp;L Acumulado'!$I$1),0)</f>
        <v>0</v>
      </c>
      <c r="D26" s="69">
        <f>IFERROR(SUMIFS('Orçado '!22:22,'Orçado '!$2:$2,"&gt;="&amp;'P&amp;L Acumulado'!$G$1,Realizado!$2:$2,"&lt;="&amp;'P&amp;L Acumulado'!$I$1),0)</f>
        <v>0</v>
      </c>
      <c r="E26" s="280" t="str">
        <f t="shared" si="8"/>
        <v>-</v>
      </c>
      <c r="F26" s="69">
        <f>IFERROR(SUMIFS(Realizado!58:58,Realizado!$2:$2,"&gt;="&amp;'P&amp;L Acumulado'!$G$1,Realizado!$2:$2,"&lt;="&amp;'P&amp;L Acumulado'!$I$1),0)</f>
        <v>0</v>
      </c>
      <c r="G26" s="69">
        <f>IFERROR(SUMIFS('Orçado '!63:63,'Orçado '!$2:$2,"&gt;="&amp;'P&amp;L Acumulado'!$G$1,Realizado!$2:$2,"&lt;="&amp;'P&amp;L Acumulado'!$I$1),0)</f>
        <v>0</v>
      </c>
      <c r="H26" s="280" t="str">
        <f t="shared" si="2"/>
        <v>-</v>
      </c>
      <c r="I26" s="290">
        <f>IFERROR(SUMIFS(Realizado!100:100,Realizado!$2:$2,"&gt;="&amp;'P&amp;L Acumulado'!$G$1,Realizado!$2:$2,"&lt;="&amp;'P&amp;L Acumulado'!$I$1),0)</f>
        <v>-13866527.15</v>
      </c>
      <c r="J26" s="69">
        <f>IFERROR(SUMIFS('Orçado '!105:105,'Orçado '!$2:$2,"&gt;="&amp;'P&amp;L Acumulado'!$G$1,Realizado!$2:$2,"&lt;="&amp;'P&amp;L Acumulado'!$I$1),0)</f>
        <v>-14127529.032177728</v>
      </c>
      <c r="K26" s="280">
        <f t="shared" si="3"/>
        <v>-1.8474701526590587E-2</v>
      </c>
      <c r="L26" s="69">
        <f t="shared" ref="L26:M30" si="10">C26+F26+I26</f>
        <v>-13866527.15</v>
      </c>
      <c r="M26" s="69">
        <f t="shared" si="10"/>
        <v>-14127529.032177728</v>
      </c>
      <c r="N26" s="280">
        <f t="shared" si="5"/>
        <v>-1.8474701526590587E-2</v>
      </c>
      <c r="O26" s="244">
        <f t="shared" si="9"/>
        <v>-261001.8821777273</v>
      </c>
    </row>
    <row r="27" spans="2:16" s="70" customFormat="1" outlineLevel="1" x14ac:dyDescent="0.25">
      <c r="B27" s="288" t="s">
        <v>28</v>
      </c>
      <c r="C27" s="69">
        <f>IFERROR(SUMIFS(Realizado!21:21,Realizado!$2:$2,"&gt;="&amp;'P&amp;L Acumulado'!$G$1,Realizado!$2:$2,"&lt;="&amp;'P&amp;L Acumulado'!$I$1),0)</f>
        <v>0</v>
      </c>
      <c r="D27" s="69">
        <f>IFERROR(SUMIFS('Orçado '!23:23,'Orçado '!$2:$2,"&gt;="&amp;'P&amp;L Acumulado'!$G$1,Realizado!$2:$2,"&lt;="&amp;'P&amp;L Acumulado'!$I$1),0)</f>
        <v>0</v>
      </c>
      <c r="E27" s="280" t="str">
        <f t="shared" si="8"/>
        <v>-</v>
      </c>
      <c r="F27" s="69">
        <f>IFERROR(SUMIFS(Realizado!59:59,Realizado!$2:$2,"&gt;="&amp;'P&amp;L Acumulado'!$G$1,Realizado!$2:$2,"&lt;="&amp;'P&amp;L Acumulado'!$I$1),0)</f>
        <v>-14897132.901454369</v>
      </c>
      <c r="G27" s="69">
        <f>IFERROR(SUMIFS('Orçado '!64:64,'Orçado '!$2:$2,"&gt;="&amp;'P&amp;L Acumulado'!$G$1,Realizado!$2:$2,"&lt;="&amp;'P&amp;L Acumulado'!$I$1),0)</f>
        <v>-14593479.731775232</v>
      </c>
      <c r="H27" s="280">
        <f t="shared" si="2"/>
        <v>2.0807454785302104E-2</v>
      </c>
      <c r="I27" s="290">
        <f>IFERROR(SUMIFS(Realizado!103:103,Realizado!$2:$2,"&gt;="&amp;'P&amp;L Acumulado'!$G$1,Realizado!$2:$2,"&lt;="&amp;'P&amp;L Acumulado'!$I$1),0)</f>
        <v>-35637698.278545603</v>
      </c>
      <c r="J27" s="69">
        <f>IFERROR(SUMIFS('Orçado '!108:108,'Orçado '!$2:$2,"&gt;="&amp;'P&amp;L Acumulado'!$G$1,Realizado!$2:$2,"&lt;="&amp;'P&amp;L Acumulado'!$I$1),0)</f>
        <v>-34558299.594106011</v>
      </c>
      <c r="K27" s="280">
        <f t="shared" si="3"/>
        <v>3.1234137591181987E-2</v>
      </c>
      <c r="L27" s="69">
        <f t="shared" si="10"/>
        <v>-50534831.17999997</v>
      </c>
      <c r="M27" s="69">
        <f t="shared" si="10"/>
        <v>-49151779.325881243</v>
      </c>
      <c r="N27" s="280">
        <f t="shared" si="5"/>
        <v>2.8138388336848452E-2</v>
      </c>
      <c r="O27" s="244">
        <f t="shared" si="9"/>
        <v>1383051.8541187271</v>
      </c>
    </row>
    <row r="28" spans="2:16" s="70" customFormat="1" outlineLevel="1" x14ac:dyDescent="0.25">
      <c r="B28" s="288" t="s">
        <v>29</v>
      </c>
      <c r="C28" s="69">
        <f>+IFERROR(SUMIFS(Realizado!22:22,Realizado!$2:$2,"&gt;="&amp;'P&amp;L Acumulado'!$G$1,Realizado!$2:$2,"&lt;="&amp;'P&amp;L Acumulado'!$I$1),0)</f>
        <v>0</v>
      </c>
      <c r="D28" s="69">
        <f>+IFERROR(SUMIFS('Orçado '!24:24,'Orçado '!$2:$2,"&gt;="&amp;'P&amp;L Acumulado'!$G$1,Realizado!$2:$2,"&lt;="&amp;'P&amp;L Acumulado'!$I$1),0)</f>
        <v>0</v>
      </c>
      <c r="E28" s="280" t="str">
        <f t="shared" si="8"/>
        <v>-</v>
      </c>
      <c r="F28" s="69">
        <f>+IFERROR(SUMIFS(Realizado!60:60,Realizado!$2:$2,"&gt;="&amp;'P&amp;L Acumulado'!$G$1,Realizado!$2:$2,"&lt;="&amp;'P&amp;L Acumulado'!$I$1),0)</f>
        <v>1639266.172000923</v>
      </c>
      <c r="G28" s="69">
        <f>+IFERROR(SUMIFS('Orçado '!65:65,'Orçado '!$2:$2,"&gt;="&amp;'P&amp;L Acumulado'!$G$1,Realizado!$2:$2,"&lt;="&amp;'P&amp;L Acumulado'!$I$1),0)</f>
        <v>1621140.0861965842</v>
      </c>
      <c r="H28" s="280">
        <f t="shared" si="2"/>
        <v>1.118107309706029E-2</v>
      </c>
      <c r="I28" s="290">
        <f>+IFERROR(SUMIFS(Realizado!104:104,Realizado!$2:$2,"&gt;="&amp;'P&amp;L Acumulado'!$G$1,Realizado!$2:$2,"&lt;="&amp;'P&amp;L Acumulado'!$I$1),0)</f>
        <v>6003650.7479990777</v>
      </c>
      <c r="J28" s="69">
        <f>+IFERROR(SUMIFS('Orçado '!109:109,'Orçado '!$2:$2,"&gt;="&amp;'P&amp;L Acumulado'!$G$1,Realizado!$2:$2,"&lt;="&amp;'P&amp;L Acumulado'!$I$1),0)</f>
        <v>5938223.1539768651</v>
      </c>
      <c r="K28" s="280">
        <f t="shared" si="3"/>
        <v>1.1018042321025767E-2</v>
      </c>
      <c r="L28" s="69">
        <f t="shared" si="10"/>
        <v>7642916.9200000009</v>
      </c>
      <c r="M28" s="69">
        <f t="shared" si="10"/>
        <v>7559363.2401734497</v>
      </c>
      <c r="N28" s="280">
        <f t="shared" si="5"/>
        <v>1.105300501800377E-2</v>
      </c>
      <c r="O28" s="244">
        <f t="shared" si="9"/>
        <v>83553.679826551117</v>
      </c>
    </row>
    <row r="29" spans="2:16" s="70" customFormat="1" outlineLevel="1" x14ac:dyDescent="0.25">
      <c r="B29" s="288" t="s">
        <v>30</v>
      </c>
      <c r="C29" s="69">
        <f>+IFERROR(SUMIFS(Realizado!23:23,Realizado!$2:$2,"&gt;="&amp;'P&amp;L Acumulado'!$G$1,Realizado!$2:$2,"&lt;="&amp;'P&amp;L Acumulado'!$I$1),0)</f>
        <v>0</v>
      </c>
      <c r="D29" s="69">
        <f>+IFERROR(SUMIFS('Orçado '!25:25,'Orçado '!$2:$2,"&gt;="&amp;'P&amp;L Acumulado'!$G$1,Realizado!$2:$2,"&lt;="&amp;'P&amp;L Acumulado'!$I$1),0)</f>
        <v>0</v>
      </c>
      <c r="E29" s="280" t="str">
        <f t="shared" si="8"/>
        <v>-</v>
      </c>
      <c r="F29" s="69">
        <f>+IFERROR(SUMIFS(Realizado!61:61,Realizado!$2:$2,"&gt;="&amp;'P&amp;L Acumulado'!$G$1,Realizado!$2:$2,"&lt;="&amp;'P&amp;L Acumulado'!$I$1),0)</f>
        <v>880105.19</v>
      </c>
      <c r="G29" s="69">
        <f>+IFERROR(SUMIFS('Orçado '!66:66,'Orçado '!$2:$2,"&gt;="&amp;'P&amp;L Acumulado'!$G$1,Realizado!$2:$2,"&lt;="&amp;'P&amp;L Acumulado'!$I$1),0)</f>
        <v>1019821.872720141</v>
      </c>
      <c r="H29" s="280">
        <f t="shared" si="2"/>
        <v>-0.13700106504627008</v>
      </c>
      <c r="I29" s="290">
        <f>+IFERROR(SUMIFS(Realizado!105:105,Realizado!$2:$2,"&gt;="&amp;'P&amp;L Acumulado'!$G$1,Realizado!$2:$2,"&lt;="&amp;'P&amp;L Acumulado'!$I$1),0)</f>
        <v>550404.39</v>
      </c>
      <c r="J29" s="69">
        <f>+IFERROR(SUMIFS('Orçado '!110:110,'Orçado '!$2:$2,"&gt;="&amp;'P&amp;L Acumulado'!$G$1,Realizado!$2:$2,"&lt;="&amp;'P&amp;L Acumulado'!$I$1),0)</f>
        <v>845770.05299912021</v>
      </c>
      <c r="K29" s="280">
        <f t="shared" si="3"/>
        <v>-0.34922691096917735</v>
      </c>
      <c r="L29" s="69">
        <f t="shared" si="10"/>
        <v>1430509.58</v>
      </c>
      <c r="M29" s="69">
        <f t="shared" si="10"/>
        <v>1865591.9257192612</v>
      </c>
      <c r="N29" s="280">
        <f t="shared" si="5"/>
        <v>-0.23321410203440884</v>
      </c>
      <c r="O29" s="244">
        <f t="shared" si="9"/>
        <v>-435082.34571926109</v>
      </c>
    </row>
    <row r="30" spans="2:16" ht="15.75" customHeight="1" x14ac:dyDescent="0.25">
      <c r="B30" s="235" t="s">
        <v>31</v>
      </c>
      <c r="C30" s="54">
        <f>IFERROR(SUMIFS(Realizado!24:24,Realizado!$2:$2,"&gt;="&amp;'P&amp;L Acumulado'!$G$1,Realizado!$2:$2,"&lt;="&amp;'P&amp;L Acumulado'!$I$1),0)</f>
        <v>0</v>
      </c>
      <c r="D30" s="54">
        <f>IFERROR(SUMIFS('Orçado '!26:26,'Orçado '!$2:$2,"&gt;="&amp;'P&amp;L Acumulado'!$G$1,Realizado!$2:$2,"&lt;="&amp;'P&amp;L Acumulado'!$I$1),0)</f>
        <v>0</v>
      </c>
      <c r="E30" s="114" t="str">
        <f t="shared" si="8"/>
        <v>-</v>
      </c>
      <c r="F30" s="54">
        <f>IFERROR(SUMIFS(Realizado!62:62,Realizado!$2:$2,"&gt;="&amp;'P&amp;L Acumulado'!$G$1,Realizado!$2:$2,"&lt;="&amp;'P&amp;L Acumulado'!$I$1),0)</f>
        <v>-577965.52073334088</v>
      </c>
      <c r="G30" s="54">
        <f>IFERROR(SUMIFS('Orçado '!67:67,'Orçado '!$2:$2,"&gt;="&amp;'P&amp;L Acumulado'!$G$1,Realizado!$2:$2,"&lt;="&amp;'P&amp;L Acumulado'!$I$1),0)</f>
        <v>-442314.1714086025</v>
      </c>
      <c r="H30" s="114">
        <f t="shared" si="2"/>
        <v>0.30668551471624883</v>
      </c>
      <c r="I30" s="53">
        <f>IFERROR(SUMIFS(Realizado!106:106,Realizado!$2:$2,"&gt;="&amp;'P&amp;L Acumulado'!$G$1,Realizado!$2:$2,"&lt;="&amp;'P&amp;L Acumulado'!$I$1),0)</f>
        <v>-1960115.4092666595</v>
      </c>
      <c r="J30" s="54">
        <f>IFERROR(SUMIFS('Orçado '!111:111,'Orçado '!$2:$2,"&gt;="&amp;'P&amp;L Acumulado'!$G$1,Realizado!$2:$2,"&lt;="&amp;'P&amp;L Acumulado'!$I$1),0)</f>
        <v>-1568205.8804486818</v>
      </c>
      <c r="K30" s="114">
        <f t="shared" si="3"/>
        <v>0.24990948809976921</v>
      </c>
      <c r="L30" s="54">
        <f t="shared" si="10"/>
        <v>-2538080.9300000006</v>
      </c>
      <c r="M30" s="54">
        <f t="shared" si="10"/>
        <v>-2010520.0518572843</v>
      </c>
      <c r="N30" s="114">
        <f t="shared" si="5"/>
        <v>0.26240020717792123</v>
      </c>
      <c r="O30" s="245">
        <f t="shared" si="9"/>
        <v>527560.87814271636</v>
      </c>
    </row>
    <row r="31" spans="2:16" x14ac:dyDescent="0.25">
      <c r="B31" s="332" t="s">
        <v>32</v>
      </c>
      <c r="C31" s="334">
        <f>C5+C24+C30</f>
        <v>0</v>
      </c>
      <c r="D31" s="334">
        <f>D5+D24+D30</f>
        <v>0</v>
      </c>
      <c r="E31" s="327" t="str">
        <f t="shared" si="8"/>
        <v>-</v>
      </c>
      <c r="F31" s="334">
        <f>F5+F24+F30</f>
        <v>9822377.7890732102</v>
      </c>
      <c r="G31" s="334">
        <f>G5+G24+G30</f>
        <v>10057791.251941802</v>
      </c>
      <c r="H31" s="327">
        <f t="shared" si="2"/>
        <v>-2.3406079622416254E-2</v>
      </c>
      <c r="I31" s="334">
        <f>I5+I24+I30</f>
        <v>36498078.470926829</v>
      </c>
      <c r="J31" s="334">
        <f>J5+J24+J30</f>
        <v>33944854.548890218</v>
      </c>
      <c r="K31" s="327">
        <f t="shared" si="3"/>
        <v>7.5216817275185033E-2</v>
      </c>
      <c r="L31" s="334">
        <f>L5+L24+L30</f>
        <v>46320456.260000028</v>
      </c>
      <c r="M31" s="334">
        <f>M5+M24+M30</f>
        <v>44002645.800832018</v>
      </c>
      <c r="N31" s="327">
        <f t="shared" si="5"/>
        <v>5.2674343030622461E-2</v>
      </c>
      <c r="O31" s="333">
        <f t="shared" si="9"/>
        <v>2317810.4591680095</v>
      </c>
    </row>
    <row r="32" spans="2:16" x14ac:dyDescent="0.25">
      <c r="B32" s="118" t="s">
        <v>33</v>
      </c>
      <c r="C32" s="66">
        <f>IFERROR(SUMIFS(Realizado!26:26,Realizado!$2:$2,"&gt;="&amp;'P&amp;L Acumulado'!$G$1,Realizado!$2:$2,"&lt;="&amp;'P&amp;L Acumulado'!$I$1),0)</f>
        <v>0</v>
      </c>
      <c r="D32" s="66">
        <f>IFERROR(SUMIFS('Orçado '!28:28,'Orçado '!$2:$2,"&gt;="&amp;'P&amp;L Acumulado'!$G$1,Realizado!$2:$2,"&lt;="&amp;'P&amp;L Acumulado'!$I$1),0)</f>
        <v>0</v>
      </c>
      <c r="E32" s="113" t="str">
        <f t="shared" si="8"/>
        <v>-</v>
      </c>
      <c r="F32" s="66">
        <f>SUM(F33:F34)</f>
        <v>-1740127.6683</v>
      </c>
      <c r="G32" s="66">
        <f>IFERROR(SUMIFS('Orçado '!69:69,'Orçado '!$2:$2,"&gt;="&amp;'P&amp;L Acumulado'!$G$1,Realizado!$2:$2,"&lt;="&amp;'P&amp;L Acumulado'!$I$1),0)</f>
        <v>-1857717.6370141841</v>
      </c>
      <c r="H32" s="113">
        <f t="shared" si="2"/>
        <v>-6.3298084903355201E-2</v>
      </c>
      <c r="I32" s="164">
        <f>SUM(I33:I34)</f>
        <v>-3731808.9816999999</v>
      </c>
      <c r="J32" s="66">
        <f>IFERROR(SUMIFS('Orçado '!113:113,'Orçado '!$2:$2,"&gt;="&amp;'P&amp;L Acumulado'!$G$1,Realizado!$2:$2,"&lt;="&amp;'P&amp;L Acumulado'!$I$1),0)</f>
        <v>-3737182.1026132698</v>
      </c>
      <c r="K32" s="113">
        <f t="shared" si="3"/>
        <v>-1.4377466138224548E-3</v>
      </c>
      <c r="L32" s="66">
        <f>SUM(L33:L34)</f>
        <v>-5471936.6500000004</v>
      </c>
      <c r="M32" s="66">
        <f>D32+G32+J32</f>
        <v>-5594899.7396274544</v>
      </c>
      <c r="N32" s="113">
        <f t="shared" si="5"/>
        <v>-2.1977711013574264E-2</v>
      </c>
      <c r="O32" s="245">
        <f t="shared" si="9"/>
        <v>-122963.08962745406</v>
      </c>
    </row>
    <row r="33" spans="2:15" x14ac:dyDescent="0.25">
      <c r="B33" s="322" t="s">
        <v>33</v>
      </c>
      <c r="C33" s="282"/>
      <c r="D33" s="282"/>
      <c r="E33" s="275"/>
      <c r="F33" s="279">
        <f>IFERROR(SUMIFS(Realizado!65:65,Realizado!$2:$2,"&gt;="&amp;'P&amp;L Acumulado'!$G$1,Realizado!$2:$2,"&lt;="&amp;'P&amp;L Acumulado'!$I$1),0)</f>
        <v>-1740127.6683</v>
      </c>
      <c r="G33" s="277">
        <f>IFERROR(SUMIFS('Orçado '!69:69,'Orçado '!$2:$2,"&gt;="&amp;'P&amp;L Acumulado'!$G$1,Realizado!$2:$2,"&lt;="&amp;'P&amp;L Acumulado'!$I$1),0)</f>
        <v>-1857717.6370141841</v>
      </c>
      <c r="H33" s="276">
        <f t="shared" si="2"/>
        <v>-6.3298084903355201E-2</v>
      </c>
      <c r="I33" s="279">
        <f>IFERROR(SUMIFS(Realizado!109:109,Realizado!$2:$2,"&gt;="&amp;'P&amp;L Acumulado'!$G$1,Realizado!$2:$2,"&lt;="&amp;'P&amp;L Acumulado'!$I$1),0)</f>
        <v>-3731808.9816999999</v>
      </c>
      <c r="J33" s="277">
        <f>IFERROR(SUMIFS('Orçado '!113:113,'Orçado '!$2:$2,"&gt;="&amp;'P&amp;L Acumulado'!$G$1,Realizado!$2:$2,"&lt;="&amp;'P&amp;L Acumulado'!$I$1),0)</f>
        <v>-3737182.1026132698</v>
      </c>
      <c r="K33" s="276">
        <f t="shared" si="3"/>
        <v>-1.4377466138224548E-3</v>
      </c>
      <c r="L33" s="111">
        <f>I33+F33</f>
        <v>-5471936.6500000004</v>
      </c>
      <c r="M33" s="112">
        <f>J33+G33</f>
        <v>-5594899.7396274544</v>
      </c>
      <c r="N33" s="276">
        <f t="shared" si="5"/>
        <v>-2.1977711013574264E-2</v>
      </c>
      <c r="O33" s="243">
        <f t="shared" si="9"/>
        <v>-122963.08962745406</v>
      </c>
    </row>
    <row r="34" spans="2:15" ht="14.45" customHeight="1" x14ac:dyDescent="0.25">
      <c r="B34" s="293" t="s">
        <v>34</v>
      </c>
      <c r="C34" s="282">
        <f>IFERROR(SUMIFS(Realizado!28:28,Realizado!$2:$2,"&gt;="&amp;'P&amp;L Acumulado'!$G$1,Realizado!$2:$2,"&lt;="&amp;'P&amp;L Acumulado'!$I$1),0)</f>
        <v>0</v>
      </c>
      <c r="D34" s="282">
        <v>0</v>
      </c>
      <c r="E34" s="275" t="str">
        <f t="shared" ref="E34:E39" si="11">IFERROR(C34/D34-1,"-")</f>
        <v>-</v>
      </c>
      <c r="F34" s="274">
        <f>IFERROR(SUMIFS(Realizado!66:66,Realizado!$2:$2,"&gt;="&amp;'P&amp;L Acumulado'!$G$1,Realizado!$2:$2,"&lt;="&amp;'P&amp;L Acumulado'!$I$1),0)</f>
        <v>0</v>
      </c>
      <c r="G34" s="274">
        <v>0</v>
      </c>
      <c r="H34" s="280" t="str">
        <f t="shared" si="2"/>
        <v>-</v>
      </c>
      <c r="I34" s="273">
        <f>IFERROR(SUMIFS(Realizado!110:110,Realizado!$2:$2,"&gt;="&amp;'P&amp;L Acumulado'!$G$1,Realizado!$2:$2,"&lt;="&amp;'P&amp;L Acumulado'!$I$1),0)</f>
        <v>0</v>
      </c>
      <c r="J34" s="274">
        <v>0</v>
      </c>
      <c r="K34" s="281" t="str">
        <f t="shared" si="3"/>
        <v>-</v>
      </c>
      <c r="L34" s="54">
        <f>C34+F34+I34</f>
        <v>0</v>
      </c>
      <c r="M34" s="54">
        <f>D34+G34+J34</f>
        <v>0</v>
      </c>
      <c r="N34" s="114" t="str">
        <f t="shared" si="5"/>
        <v>-</v>
      </c>
      <c r="O34" s="245">
        <f t="shared" si="9"/>
        <v>0</v>
      </c>
    </row>
    <row r="35" spans="2:15" ht="14.45" customHeight="1" x14ac:dyDescent="0.25">
      <c r="B35" s="328" t="s">
        <v>35</v>
      </c>
      <c r="C35" s="329">
        <f>C31+C32</f>
        <v>0</v>
      </c>
      <c r="D35" s="329">
        <f>D31+D32</f>
        <v>0</v>
      </c>
      <c r="E35" s="327" t="str">
        <f t="shared" si="11"/>
        <v>-</v>
      </c>
      <c r="F35" s="329">
        <f>F31+F32</f>
        <v>8082250.1207732102</v>
      </c>
      <c r="G35" s="329">
        <f>G31+G32</f>
        <v>8200073.6149276178</v>
      </c>
      <c r="H35" s="327">
        <f t="shared" si="2"/>
        <v>-1.4368589806305954E-2</v>
      </c>
      <c r="I35" s="329">
        <f>I31+I32</f>
        <v>32766269.489226829</v>
      </c>
      <c r="J35" s="329">
        <f>J31+J32</f>
        <v>30207672.446276948</v>
      </c>
      <c r="K35" s="327">
        <f t="shared" si="3"/>
        <v>8.4700237911419229E-2</v>
      </c>
      <c r="L35" s="329">
        <f>L31+L32</f>
        <v>40848519.610000029</v>
      </c>
      <c r="M35" s="329">
        <f>M31+M32</f>
        <v>38407746.061204568</v>
      </c>
      <c r="N35" s="327">
        <f t="shared" si="5"/>
        <v>6.3548992042021135E-2</v>
      </c>
      <c r="O35" s="333">
        <f t="shared" si="9"/>
        <v>2440773.5487954617</v>
      </c>
    </row>
    <row r="36" spans="2:15" x14ac:dyDescent="0.25">
      <c r="B36" s="234" t="s">
        <v>36</v>
      </c>
      <c r="C36" s="51">
        <f>IFERROR(SUMIFS(Realizado!30:30,Realizado!$2:$2,"&gt;="&amp;'P&amp;L Acumulado'!$G$1,Realizado!$2:$2,"&lt;="&amp;'P&amp;L Acumulado'!$I$1),0)</f>
        <v>0</v>
      </c>
      <c r="D36" s="51">
        <f>IFERROR(SUMIFS('Orçado '!30:30,'Orçado '!$2:$2,"&gt;="&amp;'P&amp;L Acumulado'!$G$1,Realizado!$2:$2,"&lt;="&amp;'P&amp;L Acumulado'!$I$1),0)</f>
        <v>0</v>
      </c>
      <c r="E36" s="58" t="str">
        <f t="shared" si="11"/>
        <v>-</v>
      </c>
      <c r="F36" s="51">
        <f>IFERROR(SUMIFS(Realizado!68:68,Realizado!$2:$2,"&gt;="&amp;'P&amp;L Acumulado'!$G$1,Realizado!$2:$2,"&lt;="&amp;'P&amp;L Acumulado'!$I$1),0)</f>
        <v>-1351894.9762400037</v>
      </c>
      <c r="G36" s="51">
        <f>IFERROR(SUMIFS('Orçado '!71:71,'Orçado '!$2:$2,"&gt;="&amp;'P&amp;L Acumulado'!$G$1,Realizado!$2:$2,"&lt;="&amp;'P&amp;L Acumulado'!$I$1),0)</f>
        <v>-1385981.8822518778</v>
      </c>
      <c r="H36" s="58">
        <f t="shared" si="2"/>
        <v>-2.4594048773921462E-2</v>
      </c>
      <c r="I36" s="50">
        <f>IFERROR(SUMIFS(Realizado!112:112,Realizado!$2:$2,"&gt;="&amp;'P&amp;L Acumulado'!$G$1,Realizado!$2:$2,"&lt;="&amp;'P&amp;L Acumulado'!$I$1),0)</f>
        <v>-5682614.0249599926</v>
      </c>
      <c r="J36" s="51">
        <f>IFERROR(SUMIFS('Orçado '!115:115,'Orçado '!$2:$2,"&gt;="&amp;'P&amp;L Acumulado'!$G$1,Realizado!$2:$2,"&lt;="&amp;'P&amp;L Acumulado'!$I$1),0)</f>
        <v>-6306934.028308996</v>
      </c>
      <c r="K36" s="58">
        <f t="shared" si="3"/>
        <v>-9.8989461527060674E-2</v>
      </c>
      <c r="L36" s="51">
        <f>C36+F36+I36</f>
        <v>-7034509.0011999961</v>
      </c>
      <c r="M36" s="51">
        <f>D36+G36+J36</f>
        <v>-7692915.9105608743</v>
      </c>
      <c r="N36" s="58">
        <f t="shared" si="5"/>
        <v>-8.5586131060787163E-2</v>
      </c>
      <c r="O36" s="244">
        <f t="shared" si="9"/>
        <v>-658406.90936087817</v>
      </c>
    </row>
    <row r="37" spans="2:15" x14ac:dyDescent="0.25">
      <c r="B37" s="234" t="s">
        <v>37</v>
      </c>
      <c r="C37" s="54">
        <f>IFERROR(SUMIFS(Realizado!31:31,Realizado!$2:$2,"&gt;="&amp;'P&amp;L Acumulado'!$G$1,Realizado!$2:$2,"&lt;="&amp;'P&amp;L Acumulado'!$I$1),0)</f>
        <v>0</v>
      </c>
      <c r="D37" s="54">
        <f>IFERROR(SUMIFS('Orçado '!31:31,'Orçado '!$2:$2,"&gt;="&amp;'P&amp;L Acumulado'!$G$1,Realizado!$2:$2,"&lt;="&amp;'P&amp;L Acumulado'!$I$1),0)</f>
        <v>0</v>
      </c>
      <c r="E37" s="114" t="str">
        <f t="shared" si="11"/>
        <v>-</v>
      </c>
      <c r="F37" s="54">
        <f>IFERROR(SUMIFS(Realizado!70:70,Realizado!$2:$2,"&gt;="&amp;'P&amp;L Acumulado'!$G$1,Realizado!$2:$2,"&lt;="&amp;'P&amp;L Acumulado'!$I$1),0)</f>
        <v>-302002.26939783886</v>
      </c>
      <c r="G37" s="54">
        <f>IFERROR(SUMIFS('Orçado '!72:72,'Orçado '!$2:$2,"&gt;="&amp;'P&amp;L Acumulado'!$G$1,Realizado!$2:$2,"&lt;="&amp;'P&amp;L Acumulado'!$I$1),0)</f>
        <v>0</v>
      </c>
      <c r="H37" s="114" t="str">
        <f t="shared" si="2"/>
        <v>-</v>
      </c>
      <c r="I37" s="53">
        <f>IFERROR(SUMIFS(Realizado!114:114,Realizado!$2:$2,"&gt;="&amp;'P&amp;L Acumulado'!$G$1,Realizado!$2:$2,"&lt;="&amp;'P&amp;L Acumulado'!$I$1),0)</f>
        <v>-1070735.0206021611</v>
      </c>
      <c r="J37" s="54">
        <f>IFERROR(SUMIFS('Orçado '!116:116,'Orçado '!$2:$2,"&gt;="&amp;'P&amp;L Acumulado'!$G$1,Realizado!$2:$2,"&lt;="&amp;'P&amp;L Acumulado'!$I$1),0)</f>
        <v>-606623.37662337662</v>
      </c>
      <c r="K37" s="114">
        <f t="shared" si="3"/>
        <v>0.7650737869057247</v>
      </c>
      <c r="L37" s="54">
        <f>C37+F37+I37</f>
        <v>-1372737.29</v>
      </c>
      <c r="M37" s="54">
        <f>D37+G37+J37</f>
        <v>-606623.37662337662</v>
      </c>
      <c r="N37" s="114">
        <f t="shared" si="5"/>
        <v>1.2629152500535219</v>
      </c>
      <c r="O37" s="245">
        <f t="shared" si="9"/>
        <v>766113.91337662342</v>
      </c>
    </row>
    <row r="38" spans="2:15" x14ac:dyDescent="0.25">
      <c r="B38" s="328" t="s">
        <v>38</v>
      </c>
      <c r="C38" s="329">
        <f>C35+C36+C37</f>
        <v>0</v>
      </c>
      <c r="D38" s="329">
        <f>D35+D36+D37</f>
        <v>0</v>
      </c>
      <c r="E38" s="327" t="str">
        <f t="shared" si="11"/>
        <v>-</v>
      </c>
      <c r="F38" s="329">
        <f>F35+F36+F37</f>
        <v>6428352.8751353677</v>
      </c>
      <c r="G38" s="329">
        <f>G35+G36+G37</f>
        <v>6814091.7326757405</v>
      </c>
      <c r="H38" s="327">
        <f t="shared" si="2"/>
        <v>-5.6608990995913988E-2</v>
      </c>
      <c r="I38" s="329">
        <f>I35+I36+I37</f>
        <v>26012920.443664677</v>
      </c>
      <c r="J38" s="329">
        <f>J35+J36+J37</f>
        <v>23294115.041344576</v>
      </c>
      <c r="K38" s="327">
        <f t="shared" si="3"/>
        <v>0.11671640659001259</v>
      </c>
      <c r="L38" s="329">
        <f>L35+L36+L37</f>
        <v>32441273.318800032</v>
      </c>
      <c r="M38" s="329">
        <f>M35+M36+M37</f>
        <v>30108206.774020314</v>
      </c>
      <c r="N38" s="327">
        <f t="shared" si="5"/>
        <v>7.7489388932749925E-2</v>
      </c>
      <c r="O38" s="333">
        <f t="shared" si="9"/>
        <v>2333066.5447797179</v>
      </c>
    </row>
    <row r="39" spans="2:15" ht="15.75" customHeight="1" x14ac:dyDescent="0.25">
      <c r="B39" s="233" t="s">
        <v>39</v>
      </c>
      <c r="C39" s="66">
        <f>IFERROR(SUMIFS(Realizado!33:33,Realizado!$2:$2,"&gt;="&amp;'P&amp;L Acumulado'!$G$1,Realizado!$2:$2,"&lt;="&amp;'P&amp;L Acumulado'!$I$1),0)</f>
        <v>0</v>
      </c>
      <c r="D39" s="66">
        <f>IFERROR(SUMIFS('Orçado '!33:33,'Orçado '!$2:$2,"&gt;="&amp;'P&amp;L Acumulado'!$G$1,Realizado!$2:$2,"&lt;="&amp;'P&amp;L Acumulado'!$I$1),0)</f>
        <v>0</v>
      </c>
      <c r="E39" s="84" t="str">
        <f t="shared" si="11"/>
        <v>-</v>
      </c>
      <c r="F39" s="111">
        <f>IFERROR(SUMIFS(Realizado!72:72,Realizado!$2:$2,"&gt;="&amp;'P&amp;L Acumulado'!$G$1,Realizado!$2:$2,"&lt;="&amp;'P&amp;L Acumulado'!$I$1),0)</f>
        <v>-1843131.0784079724</v>
      </c>
      <c r="G39" s="112">
        <f>IFERROR(SUMIFS('Orçado '!74:74,'Orçado '!$2:$2,"&gt;="&amp;'P&amp;L Acumulado'!$G$1,Realizado!$2:$2,"&lt;="&amp;'P&amp;L Acumulado'!$I$1),0)</f>
        <v>-1780512.1135311949</v>
      </c>
      <c r="H39" s="74">
        <f t="shared" si="2"/>
        <v>3.5169075459188237E-2</v>
      </c>
      <c r="I39" s="111">
        <f>IFERROR(SUMIFS(Realizado!116:116,Realizado!$2:$2,"&gt;="&amp;'P&amp;L Acumulado'!$G$1,Realizado!$2:$2,"&lt;="&amp;'P&amp;L Acumulado'!$I$1),0)</f>
        <v>-5790453.2403920759</v>
      </c>
      <c r="J39" s="112">
        <f>IFERROR(SUMIFS('Orçado '!118:118,'Orçado '!$2:$2,"&gt;="&amp;'P&amp;L Acumulado'!$G$1,Realizado!$2:$2,"&lt;="&amp;'P&amp;L Acumulado'!$I$1),0)</f>
        <v>-6168799.2393088304</v>
      </c>
      <c r="K39" s="74">
        <f t="shared" si="3"/>
        <v>-6.1332195171121429E-2</v>
      </c>
      <c r="L39" s="111">
        <f>F39+I39</f>
        <v>-7633584.318800048</v>
      </c>
      <c r="M39" s="112">
        <f>G39+J39</f>
        <v>-7949311.352840025</v>
      </c>
      <c r="N39" s="74">
        <f t="shared" si="5"/>
        <v>-3.9717532755485618E-2</v>
      </c>
      <c r="O39" s="243">
        <f t="shared" si="9"/>
        <v>-315727.03403997701</v>
      </c>
    </row>
    <row r="40" spans="2:15" ht="15.75" customHeight="1" x14ac:dyDescent="0.25">
      <c r="B40" s="235" t="s">
        <v>40</v>
      </c>
      <c r="C40" s="66"/>
      <c r="D40" s="66"/>
      <c r="E40" s="84"/>
      <c r="F40" s="54">
        <f>IFERROR(SUMIFS(Realizado!$69:$69,Realizado!$2:$2,"&gt;="&amp;'P&amp;L Acumulado'!$G$1,Realizado!$2:$2,"&lt;="&amp;'P&amp;L Acumulado'!$I$1),0)</f>
        <v>-286940.90480000002</v>
      </c>
      <c r="G40" s="54">
        <f>IFERROR(SUMIFS('Orçado '!75:75,'Orçado '!$2:$2,"&gt;="&amp;'P&amp;L Acumulado'!$G$1,Realizado!$2:$2,"&lt;="&amp;'P&amp;L Acumulado'!$I$1),0)</f>
        <v>-292777.96360541682</v>
      </c>
      <c r="H40" s="57">
        <f t="shared" si="2"/>
        <v>-1.9936810590306386E-2</v>
      </c>
      <c r="I40" s="53">
        <f>IFERROR(SUMIFS(Realizado!$113:$113,Realizado!$2:$2,"&gt;="&amp;'P&amp;L Acumulado'!$G$1,Realizado!$2:$2,"&lt;="&amp;'P&amp;L Acumulado'!$I$1),0)</f>
        <v>-1019094.3252000001</v>
      </c>
      <c r="J40" s="54">
        <f>IFERROR(SUMIFS('Orçado '!119:119,'Orçado '!$2:$2,"&gt;="&amp;'P&amp;L Acumulado'!$G$1,Realizado!$2:$2,"&lt;="&amp;'P&amp;L Acumulado'!$I$1),0)</f>
        <v>-1038030.9618737507</v>
      </c>
      <c r="K40" s="57">
        <f t="shared" si="3"/>
        <v>-1.8242843777576789E-2</v>
      </c>
      <c r="L40" s="53">
        <f>F40+I40</f>
        <v>-1306035.23</v>
      </c>
      <c r="M40" s="54">
        <f>G40+J40</f>
        <v>-1330808.9254791676</v>
      </c>
      <c r="N40" s="59">
        <f t="shared" si="5"/>
        <v>-1.8615516476377492E-2</v>
      </c>
      <c r="O40" s="245">
        <f t="shared" si="9"/>
        <v>-24773.695479167625</v>
      </c>
    </row>
    <row r="41" spans="2:15" x14ac:dyDescent="0.25">
      <c r="B41" s="328" t="s">
        <v>41</v>
      </c>
      <c r="C41" s="329">
        <f>C38+C39</f>
        <v>0</v>
      </c>
      <c r="D41" s="329">
        <f>D38+D39</f>
        <v>0</v>
      </c>
      <c r="E41" s="327" t="str">
        <f t="shared" ref="E41:E49" si="12">IFERROR(C41/D41-1,"-")</f>
        <v>-</v>
      </c>
      <c r="F41" s="326">
        <f>F38+F39+F40</f>
        <v>4298280.8919273959</v>
      </c>
      <c r="G41" s="329">
        <f>G38+G39+G40</f>
        <v>4740801.6555391289</v>
      </c>
      <c r="H41" s="327">
        <f t="shared" si="2"/>
        <v>-9.3343024189736723E-2</v>
      </c>
      <c r="I41" s="329">
        <f>I38+I39+I40</f>
        <v>19203372.878072605</v>
      </c>
      <c r="J41" s="329">
        <f>J38+J39+J40</f>
        <v>16087284.840161994</v>
      </c>
      <c r="K41" s="327">
        <f t="shared" si="3"/>
        <v>0.19369881672830713</v>
      </c>
      <c r="L41" s="329">
        <f>L38+L39+L40</f>
        <v>23501653.769999985</v>
      </c>
      <c r="M41" s="329">
        <f>M38+M39+M40</f>
        <v>20828086.495701123</v>
      </c>
      <c r="N41" s="327">
        <f t="shared" si="5"/>
        <v>0.12836355729801108</v>
      </c>
      <c r="O41" s="333">
        <f t="shared" si="9"/>
        <v>2673567.2742988616</v>
      </c>
    </row>
    <row r="42" spans="2:15" x14ac:dyDescent="0.25">
      <c r="B42" s="118" t="s">
        <v>42</v>
      </c>
      <c r="C42" s="66">
        <f>IFERROR(SUMIFS(Realizado!35:35,Realizado!$2:$2,"&gt;="&amp;'P&amp;L Acumulado'!$G$1,Realizado!$2:$2,"&lt;="&amp;'P&amp;L Acumulado'!$I$1),0)</f>
        <v>0</v>
      </c>
      <c r="D42" s="66">
        <f>IFERROR(SUMIFS('Orçado '!35:35,'Orçado '!$2:$2,"&gt;="&amp;'P&amp;L Acumulado'!$G$1,Realizado!$2:$2,"&lt;="&amp;'P&amp;L Acumulado'!$I$1),0)</f>
        <v>0</v>
      </c>
      <c r="E42" s="84" t="str">
        <f t="shared" si="12"/>
        <v>-</v>
      </c>
      <c r="F42" s="66">
        <f>IFERROR(SUMIFS(Realizado!74:74,Realizado!$2:$2,"&gt;="&amp;'P&amp;L Acumulado'!$G$1,Realizado!$2:$2,"&lt;="&amp;'P&amp;L Acumulado'!$I$1),0)</f>
        <v>-1034735.6772990683</v>
      </c>
      <c r="G42" s="66">
        <f>IFERROR(SUMIFS('Orçado '!77:77,'Orçado '!$2:$2,"&gt;="&amp;'P&amp;L Acumulado'!$G$1,Realizado!$2:$2,"&lt;="&amp;'P&amp;L Acumulado'!$I$1),0)</f>
        <v>-1191100.8342697611</v>
      </c>
      <c r="H42" s="84">
        <f t="shared" si="2"/>
        <v>-0.13127785026408534</v>
      </c>
      <c r="I42" s="164">
        <f>IFERROR(SUMIFS(Realizado!118:118,Realizado!$2:$2,"&gt;="&amp;'P&amp;L Acumulado'!$G$1,Realizado!$2:$2,"&lt;="&amp;'P&amp;L Acumulado'!$I$1),0)</f>
        <v>-6617628.7927009221</v>
      </c>
      <c r="J42" s="66">
        <f>IFERROR(SUMIFS('Orçado '!121:121,'Orçado '!$2:$2,"&gt;="&amp;'P&amp;L Acumulado'!$G$1,Realizado!$2:$2,"&lt;="&amp;'P&amp;L Acumulado'!$I$1),0)</f>
        <v>-4227633.6534101516</v>
      </c>
      <c r="K42" s="84">
        <f t="shared" si="3"/>
        <v>0.56532692641495075</v>
      </c>
      <c r="L42" s="66">
        <f>C42+F42+I42</f>
        <v>-7652364.4699999904</v>
      </c>
      <c r="M42" s="66">
        <f>D42+G42+J42</f>
        <v>-5418734.4876799127</v>
      </c>
      <c r="N42" s="84">
        <f t="shared" si="5"/>
        <v>0.41220509833033536</v>
      </c>
      <c r="O42" s="165">
        <f>L42-M42</f>
        <v>-2233629.9823200777</v>
      </c>
    </row>
    <row r="43" spans="2:15" x14ac:dyDescent="0.25">
      <c r="B43" s="328" t="s">
        <v>43</v>
      </c>
      <c r="C43" s="335" t="e">
        <f>#REF!+C23+#REF!+#REF!</f>
        <v>#REF!</v>
      </c>
      <c r="D43" s="335" t="e">
        <f>#REF!+D23+#REF!+#REF!</f>
        <v>#REF!</v>
      </c>
      <c r="E43" s="327" t="str">
        <f t="shared" si="12"/>
        <v>-</v>
      </c>
      <c r="F43" s="336">
        <f>F41+F42</f>
        <v>3263545.2146283276</v>
      </c>
      <c r="G43" s="336">
        <f>G41+G42</f>
        <v>3549700.8212693678</v>
      </c>
      <c r="H43" s="327">
        <f t="shared" si="2"/>
        <v>-8.0614006940086691E-2</v>
      </c>
      <c r="I43" s="337">
        <f>I41+I42</f>
        <v>12585744.085371682</v>
      </c>
      <c r="J43" s="336">
        <f>J41+J42</f>
        <v>11859651.186751842</v>
      </c>
      <c r="K43" s="327">
        <f t="shared" si="3"/>
        <v>6.1223798844180388E-2</v>
      </c>
      <c r="L43" s="336">
        <f>L41+L42</f>
        <v>15849289.299999993</v>
      </c>
      <c r="M43" s="336">
        <f>M41+M42</f>
        <v>15409352.008021209</v>
      </c>
      <c r="N43" s="327">
        <f t="shared" si="5"/>
        <v>2.8550018959251355E-2</v>
      </c>
      <c r="O43" s="333">
        <f>ABS(L43)-ABS(M43)</f>
        <v>439937.29197878391</v>
      </c>
    </row>
    <row r="44" spans="2:15" hidden="1" x14ac:dyDescent="0.25">
      <c r="B44" s="233" t="s">
        <v>46</v>
      </c>
      <c r="C44" s="71">
        <f>IFERROR(((C31/C49)*N1),0)</f>
        <v>0</v>
      </c>
      <c r="D44" s="71">
        <f>IFERROR(((D31/D49)*#REF!),0)</f>
        <v>0</v>
      </c>
      <c r="E44" s="71" t="str">
        <f t="shared" si="12"/>
        <v>-</v>
      </c>
      <c r="F44" s="68">
        <f>((F31/F49)*N1)</f>
        <v>9.5772869866837071E-2</v>
      </c>
      <c r="G44" s="71">
        <f>((G31/G49)*N1)</f>
        <v>9.7618504312951451E-2</v>
      </c>
      <c r="H44" s="207">
        <f>IFERROR(F44-G44,"-")</f>
        <v>-1.8456344461143803E-3</v>
      </c>
      <c r="I44" s="68">
        <f>((I31/I49)*N1)</f>
        <v>9.3272028294570528E-2</v>
      </c>
      <c r="J44" s="71">
        <f>((J31/J49)*N1)</f>
        <v>8.8770703112873883E-2</v>
      </c>
      <c r="K44" s="207">
        <f>IFERROR(I44-J44,"-")</f>
        <v>4.5013251816966443E-3</v>
      </c>
      <c r="L44" s="71">
        <f>((L31/L49)*N1)</f>
        <v>9.379136658975816E-2</v>
      </c>
      <c r="M44" s="71" t="e">
        <f>((M31/M49)*N1)</f>
        <v>#DIV/0!</v>
      </c>
      <c r="N44" s="207" t="str">
        <f>IFERROR(L44-M44,"-")</f>
        <v>-</v>
      </c>
      <c r="O44" s="74"/>
    </row>
    <row r="45" spans="2:15" hidden="1" x14ac:dyDescent="0.25">
      <c r="B45" s="234" t="s">
        <v>47</v>
      </c>
      <c r="C45" s="60">
        <f>IFERROR(((C35/C49)*N1),0)</f>
        <v>0</v>
      </c>
      <c r="D45" s="60">
        <f>IFERROR(((D35/D49)*#REF!),0)</f>
        <v>0</v>
      </c>
      <c r="E45" s="60" t="str">
        <f t="shared" si="12"/>
        <v>-</v>
      </c>
      <c r="F45" s="67">
        <f>((F35/F49)*N1)</f>
        <v>7.880579485642826E-2</v>
      </c>
      <c r="G45" s="60">
        <f>((G35/G49)*N1)</f>
        <v>7.9587943465299793E-2</v>
      </c>
      <c r="H45" s="208">
        <f>IFERROR(F45-G45,"-")</f>
        <v>-7.8214860887153292E-4</v>
      </c>
      <c r="I45" s="67">
        <f>((I35/I49)*N1)</f>
        <v>8.3735268894803261E-2</v>
      </c>
      <c r="J45" s="60">
        <f>((J35/J49)*N1)</f>
        <v>7.8997431513432775E-2</v>
      </c>
      <c r="K45" s="208">
        <f>IFERROR(I45-J45,"-")</f>
        <v>4.7378373813704855E-3</v>
      </c>
      <c r="L45" s="60">
        <f>((L35/L49)*N1)</f>
        <v>8.2711587638200759E-2</v>
      </c>
      <c r="M45" s="60" t="e">
        <f>((M35/M49)*N1)</f>
        <v>#DIV/0!</v>
      </c>
      <c r="N45" s="208" t="str">
        <f>IFERROR(L45-M45,"-")</f>
        <v>-</v>
      </c>
      <c r="O45" s="57"/>
    </row>
    <row r="46" spans="2:15" hidden="1" x14ac:dyDescent="0.25">
      <c r="B46" s="234" t="s">
        <v>48</v>
      </c>
      <c r="C46" s="60">
        <f>IFERROR((C36+C39)/C31,0)</f>
        <v>0</v>
      </c>
      <c r="D46" s="60">
        <f>IFERROR((D36+D39)/D31,0)</f>
        <v>0</v>
      </c>
      <c r="E46" s="60" t="str">
        <f t="shared" si="12"/>
        <v>-</v>
      </c>
      <c r="F46" s="67">
        <f>(F36+F39)/F31</f>
        <v>-0.32528030618026582</v>
      </c>
      <c r="G46" s="60">
        <f>(G36+G39)/G31</f>
        <v>-0.31482995783708828</v>
      </c>
      <c r="H46" s="208">
        <f>IFERROR(F46-G46,"-")</f>
        <v>-1.045034834317754E-2</v>
      </c>
      <c r="I46" s="67">
        <f>(I36+I39)/I31</f>
        <v>-0.31434715870018026</v>
      </c>
      <c r="J46" s="60">
        <f>(J36+J39)/J31</f>
        <v>-0.36752943659396836</v>
      </c>
      <c r="K46" s="208">
        <f>IFERROR(I46-J46,"-")</f>
        <v>5.3182277893788099E-2</v>
      </c>
      <c r="L46" s="60">
        <f>(L36+L39)/L31</f>
        <v>-0.31666556213667219</v>
      </c>
      <c r="M46" s="60">
        <f>(M36+M39)/M31</f>
        <v>-0.35548378918399337</v>
      </c>
      <c r="N46" s="208">
        <f>IFERROR(L46-M46,"-")</f>
        <v>3.8818227047321185E-2</v>
      </c>
      <c r="O46" s="57"/>
    </row>
    <row r="47" spans="2:15" hidden="1" x14ac:dyDescent="0.25">
      <c r="B47" s="234" t="s">
        <v>49</v>
      </c>
      <c r="C47" s="60">
        <f>IFERROR((C36+C39+#REF!)/C31,0)</f>
        <v>0</v>
      </c>
      <c r="D47" s="60">
        <f>IFERROR((D36+D39+#REF!)/D31,0)</f>
        <v>0</v>
      </c>
      <c r="E47" s="60" t="str">
        <f t="shared" si="12"/>
        <v>-</v>
      </c>
      <c r="F47" s="67">
        <f>(F36+F39+F40)/F31</f>
        <v>-0.35449328403163743</v>
      </c>
      <c r="G47" s="60" t="e">
        <f>(G36+G39+#REF!)/G31</f>
        <v>#REF!</v>
      </c>
      <c r="H47" s="208" t="str">
        <f>IFERROR(F47-G47,"-")</f>
        <v>-</v>
      </c>
      <c r="I47" s="67" t="e">
        <f>(I36+I39+#REF!)/I31</f>
        <v>#REF!</v>
      </c>
      <c r="J47" s="60" t="e">
        <f>(J36+J39+#REF!)/J31</f>
        <v>#REF!</v>
      </c>
      <c r="K47" s="208" t="str">
        <f>IFERROR(I47-J47,"-")</f>
        <v>-</v>
      </c>
      <c r="L47" s="60" t="e">
        <f>(L36+L39+#REF!)/L31</f>
        <v>#REF!</v>
      </c>
      <c r="M47" s="60" t="e">
        <f>(M36+M39+#REF!)/M31</f>
        <v>#REF!</v>
      </c>
      <c r="N47" s="208" t="str">
        <f>IFERROR(L47-M47,"-")</f>
        <v>-</v>
      </c>
      <c r="O47" s="57"/>
    </row>
    <row r="48" spans="2:15" hidden="1" x14ac:dyDescent="0.25">
      <c r="B48" s="234" t="s">
        <v>50</v>
      </c>
      <c r="C48" s="60">
        <f>IFERROR(((C43/#REF!)*N1),0)</f>
        <v>0</v>
      </c>
      <c r="D48" s="60">
        <f>IFERROR(((D43/#REF!)*#REF!),0)</f>
        <v>0</v>
      </c>
      <c r="E48" s="60" t="str">
        <f t="shared" si="12"/>
        <v>-</v>
      </c>
      <c r="F48" s="320" t="e">
        <f>((F43/F57)*N1)</f>
        <v>#DIV/0!</v>
      </c>
      <c r="G48" s="60" t="e">
        <f>((G43/#REF!)*N1)</f>
        <v>#REF!</v>
      </c>
      <c r="H48" s="209" t="str">
        <f>IFERROR(F48-G48,"-")</f>
        <v>-</v>
      </c>
      <c r="I48" s="67" t="e">
        <f>((I43/#REF!)*N1)</f>
        <v>#REF!</v>
      </c>
      <c r="J48" s="60" t="e">
        <f>((J43/#REF!)*N1)</f>
        <v>#REF!</v>
      </c>
      <c r="K48" s="209" t="str">
        <f>IFERROR(I48-J48,"-")</f>
        <v>-</v>
      </c>
      <c r="L48" s="75" t="e">
        <f>((L43/#REF!)*N1)</f>
        <v>#REF!</v>
      </c>
      <c r="M48" s="75" t="e">
        <f>((M43/#REF!)*N1)</f>
        <v>#REF!</v>
      </c>
      <c r="N48" s="209" t="str">
        <f>IFERROR(L48-M48,"-")</f>
        <v>-</v>
      </c>
      <c r="O48" s="57"/>
    </row>
    <row r="49" spans="1:15" hidden="1" x14ac:dyDescent="0.25">
      <c r="B49" s="118" t="s">
        <v>51</v>
      </c>
      <c r="C49" s="66" t="e">
        <f>AVERAGE(INDEX(Realizado!$127:$127,MATCH($G$1,Realizado!$2:$2,0)),INDEX(Realizado!$127:$127,MATCH($I$1,Realizado!$2:$2,0)))</f>
        <v>#DIV/0!</v>
      </c>
      <c r="D49" s="66" t="e">
        <f>AVERAGE(INDEX('Orçado '!127:127,MATCH($G$1,'Orçado '!$2:$2,0)),INDEX('Orçado '!127:127,MATCH($I$1,'Orçado '!$2:$2,0)))</f>
        <v>#DIV/0!</v>
      </c>
      <c r="E49" s="72" t="str">
        <f t="shared" si="12"/>
        <v>-</v>
      </c>
      <c r="F49" s="164">
        <f>AVERAGE(INDEX(Realizado!$128:$128,MATCH($G$1,Realizado!$2:$2,0)),INDEX(Realizado!$128:$128,MATCH($I$1,Realizado!$2:$2,0)))</f>
        <v>410236335.31000078</v>
      </c>
      <c r="G49" s="66">
        <f>AVERAGE(INDEX('Orçado '!128:128,MATCH($I$1,'Orçado '!$2:$2,0)),INDEX('Orçado '!128:128,MATCH($G$1,'Orçado '!$2:$2,0)))</f>
        <v>412126423.06822944</v>
      </c>
      <c r="H49" s="169">
        <f>IFERROR(F49/G49-1,"-")</f>
        <v>-4.5861843658486778E-3</v>
      </c>
      <c r="I49" s="164">
        <f>AVERAGE(INDEX(Realizado!$129:$129,MATCH($G$1,Realizado!$2:$2,0)),INDEX(Realizado!$129:$129,MATCH($I$1,Realizado!$2:$2,0)))</f>
        <v>1565231469.21</v>
      </c>
      <c r="J49" s="66">
        <f>AVERAGE(INDEX('Orçado '!129:129,MATCH($I$1,'Orçado '!$2:$2,0)),INDEX('Orçado '!129:129,MATCH($G$1,'Orçado '!$2:$2,0)))</f>
        <v>1529552131.8887649</v>
      </c>
      <c r="K49" s="169">
        <f>IFERROR(I49/J49-1,"-")</f>
        <v>2.332665659272215E-2</v>
      </c>
      <c r="L49" s="66">
        <f>IFERROR(C49,0)+F49+I49</f>
        <v>1975467804.5200009</v>
      </c>
      <c r="M49" s="66" t="e">
        <f>D49+G49+J49</f>
        <v>#DIV/0!</v>
      </c>
      <c r="N49" s="169" t="str">
        <f>IFERROR(L49/M49-1,"-")</f>
        <v>-</v>
      </c>
      <c r="O49" s="165" t="e">
        <f>M49-L49</f>
        <v>#DIV/0!</v>
      </c>
    </row>
    <row r="50" spans="1:15" hidden="1" x14ac:dyDescent="0.25">
      <c r="B50" s="118" t="s">
        <v>52</v>
      </c>
      <c r="C50" s="66"/>
      <c r="D50" s="66"/>
      <c r="E50" s="217"/>
      <c r="F50" s="164">
        <f>AVERAGE(INDEX(Realizado!$132:$132,MATCH($G$1,Realizado!$2:$2,0)),INDEX(Realizado!$128:$128,MATCH($I$1,Realizado!$2:$2,0)))</f>
        <v>409081004.13499981</v>
      </c>
      <c r="G50" s="66">
        <f>AVERAGE(INDEX('Orçado '!134:134,MATCH($I$1,'Orçado '!$2:$2,0)),INDEX('Orçado '!134:134,MATCH($G$1,'Orçado '!$2:$2,0)))</f>
        <v>410522792.85929441</v>
      </c>
      <c r="H50" s="169">
        <f>IFERROR(F50/G50-1,"-")</f>
        <v>-3.5120795955141393E-3</v>
      </c>
      <c r="I50" s="164">
        <f>AVERAGE(INDEX(Realizado!$133:$133,MATCH($G$1,Realizado!$2:$2,0)),INDEX(Realizado!$133:$133,MATCH($I$1,Realizado!$2:$2,0)))</f>
        <v>1540794783.6900005</v>
      </c>
      <c r="J50" s="66">
        <f>AVERAGE(INDEX('Orçado '!135:135,MATCH($I$1,'Orçado '!$2:$2,0)),INDEX('Orçado '!135:135,MATCH($G$1,'Orçado '!$2:$2,0)))</f>
        <v>1502022721.5101881</v>
      </c>
      <c r="K50" s="169">
        <f>IFERROR(I50/J50-1,"-")</f>
        <v>2.5813232799054786E-2</v>
      </c>
      <c r="L50" s="66">
        <f>IFERROR(C50,0)+F50+I50</f>
        <v>1949875787.8250003</v>
      </c>
      <c r="M50" s="66">
        <f>D50+G50+J50</f>
        <v>1912545514.3694825</v>
      </c>
      <c r="N50" s="169">
        <f>IFERROR(L50/M50-1,"-")</f>
        <v>1.9518632720133988E-2</v>
      </c>
      <c r="O50" s="165">
        <f>M50-L50</f>
        <v>-37330273.455517769</v>
      </c>
    </row>
    <row r="51" spans="1:15" ht="13.5" hidden="1" customHeight="1" x14ac:dyDescent="0.25">
      <c r="B51" s="316"/>
      <c r="C51" s="317"/>
      <c r="D51" s="317"/>
      <c r="E51" s="317"/>
      <c r="F51" s="300"/>
      <c r="G51" s="317"/>
      <c r="H51" s="318"/>
      <c r="I51" s="300"/>
      <c r="J51" s="317"/>
      <c r="K51" s="216"/>
      <c r="L51" s="300"/>
      <c r="M51" s="317"/>
      <c r="N51" s="232"/>
      <c r="O51" s="232"/>
    </row>
    <row r="52" spans="1:15" ht="13.5" hidden="1" customHeight="1" x14ac:dyDescent="0.25">
      <c r="B52" s="312" t="s">
        <v>53</v>
      </c>
      <c r="C52" s="313">
        <v>1.9026331842685359E-2</v>
      </c>
      <c r="D52" s="314">
        <v>1.8722930033500899E-2</v>
      </c>
      <c r="E52" s="315">
        <v>1.6204825240578421E-2</v>
      </c>
      <c r="F52" s="313"/>
      <c r="G52" s="314"/>
      <c r="H52" s="315"/>
      <c r="I52" s="187"/>
      <c r="J52" s="188"/>
      <c r="K52" s="186"/>
      <c r="L52" s="187"/>
      <c r="M52" s="188"/>
      <c r="N52" s="232"/>
      <c r="O52" s="89"/>
    </row>
    <row r="53" spans="1:15" ht="13.5" hidden="1" customHeight="1" x14ac:dyDescent="0.25">
      <c r="B53" s="301" t="s">
        <v>54</v>
      </c>
      <c r="C53" s="302">
        <v>1.913468625214057E-2</v>
      </c>
      <c r="D53" s="303">
        <v>1.8785389948185072E-2</v>
      </c>
      <c r="E53" s="304">
        <v>1.8594040630455441E-2</v>
      </c>
      <c r="F53" s="302"/>
      <c r="G53" s="303"/>
      <c r="H53" s="304"/>
      <c r="I53" s="305"/>
      <c r="J53" s="240"/>
      <c r="K53" s="306"/>
      <c r="L53" s="305"/>
      <c r="M53" s="240"/>
      <c r="N53" s="266"/>
      <c r="O53" s="310"/>
    </row>
    <row r="54" spans="1:15" ht="13.5" hidden="1" customHeight="1" x14ac:dyDescent="0.25">
      <c r="B54" s="283"/>
      <c r="C54" s="187"/>
      <c r="D54" s="188"/>
      <c r="E54" s="186"/>
      <c r="F54" s="187"/>
      <c r="G54" s="188"/>
      <c r="H54" s="186"/>
      <c r="I54" s="187"/>
      <c r="J54" s="188"/>
      <c r="K54" s="186"/>
      <c r="L54" s="187"/>
      <c r="M54" s="188"/>
      <c r="N54" s="232"/>
      <c r="O54" s="89"/>
    </row>
    <row r="55" spans="1:15" ht="13.5" hidden="1" customHeight="1" x14ac:dyDescent="0.25">
      <c r="A55" s="25"/>
      <c r="B55" s="238" t="s">
        <v>55</v>
      </c>
      <c r="C55" s="255">
        <v>0.21616784330954689</v>
      </c>
      <c r="D55" s="73">
        <v>0.21770121365760359</v>
      </c>
      <c r="E55" s="57">
        <v>-7.0434625618043256E-3</v>
      </c>
      <c r="F55" s="255"/>
      <c r="G55" s="73"/>
      <c r="H55" s="57"/>
      <c r="I55" s="189"/>
      <c r="J55" s="190"/>
      <c r="K55" s="74"/>
      <c r="L55" s="189"/>
      <c r="M55" s="190"/>
      <c r="N55" s="307"/>
      <c r="O55" s="309"/>
    </row>
    <row r="56" spans="1:15" ht="13.5" hidden="1" customHeight="1" x14ac:dyDescent="0.25">
      <c r="B56" s="259" t="s">
        <v>56</v>
      </c>
      <c r="C56" s="53">
        <v>42965667.043961354</v>
      </c>
      <c r="D56" s="54">
        <v>43078624.990452737</v>
      </c>
      <c r="E56" s="59">
        <v>-2.622134446408686E-3</v>
      </c>
      <c r="F56" s="53"/>
      <c r="G56" s="54"/>
      <c r="H56" s="59"/>
      <c r="I56" s="53"/>
      <c r="J56" s="54"/>
      <c r="K56" s="59"/>
      <c r="L56" s="53"/>
      <c r="M56" s="54"/>
      <c r="N56" s="308"/>
      <c r="O56" s="311"/>
    </row>
    <row r="57" spans="1:15" ht="13.5" hidden="1" customHeight="1" x14ac:dyDescent="0.25">
      <c r="B57" s="220"/>
      <c r="C57" s="319"/>
      <c r="D57" s="21"/>
      <c r="E57" s="216"/>
      <c r="F57" s="319"/>
      <c r="G57" s="21"/>
      <c r="H57" s="216"/>
      <c r="I57" s="220"/>
      <c r="J57" s="21"/>
      <c r="K57" s="216"/>
      <c r="L57" s="220"/>
      <c r="M57" s="21"/>
      <c r="N57" s="232"/>
      <c r="O57" s="89"/>
    </row>
    <row r="58" spans="1:15" ht="13.5" hidden="1" customHeight="1" x14ac:dyDescent="0.25">
      <c r="B58" s="218" t="s">
        <v>57</v>
      </c>
      <c r="C58" s="164"/>
      <c r="D58" s="56"/>
      <c r="E58" s="216"/>
      <c r="F58" s="164"/>
      <c r="G58" s="56"/>
      <c r="H58" s="216"/>
      <c r="I58" s="164"/>
      <c r="J58" s="66"/>
      <c r="K58" s="84"/>
      <c r="L58" s="319"/>
      <c r="M58" s="56"/>
      <c r="N58" s="232"/>
      <c r="O58" s="89"/>
    </row>
    <row r="59" spans="1:15" ht="13.5" hidden="1" customHeight="1" x14ac:dyDescent="0.25">
      <c r="B59" s="218" t="s">
        <v>58</v>
      </c>
      <c r="C59" s="164"/>
      <c r="D59" s="56"/>
      <c r="E59" s="216"/>
      <c r="F59" s="164"/>
      <c r="G59" s="56"/>
      <c r="H59" s="216"/>
      <c r="I59" s="164"/>
      <c r="J59" s="66"/>
      <c r="K59" s="84"/>
      <c r="L59" s="319"/>
      <c r="M59" s="56"/>
      <c r="N59" s="232"/>
      <c r="O59" s="89"/>
    </row>
    <row r="60" spans="1:15" x14ac:dyDescent="0.25">
      <c r="B60" s="233" t="s">
        <v>46</v>
      </c>
      <c r="C60" s="71">
        <f>((C47/C65)*$N$1)</f>
        <v>0</v>
      </c>
      <c r="D60" s="71" t="e">
        <f>((D47/D65)*$N$1)</f>
        <v>#DIV/0!</v>
      </c>
      <c r="E60" s="411" t="e">
        <f>IFERROR(C60-D60,"-")*100</f>
        <v>#VALUE!</v>
      </c>
      <c r="F60" s="420">
        <f>(F31/F65)*$N$1</f>
        <v>9.5784007629438117E-2</v>
      </c>
      <c r="G60" s="420">
        <f>(G31/G65)*$N$1</f>
        <v>9.7645561593590002E-2</v>
      </c>
      <c r="H60" s="414">
        <f>IFERROR(F60-G60,"-")*100</f>
        <v>-0.18615539641518852</v>
      </c>
      <c r="I60" s="420">
        <f>(I31/I65)*$N$1</f>
        <v>9.3472594047418422E-2</v>
      </c>
      <c r="J60" s="420">
        <f>(J31/J65)*$N$1</f>
        <v>8.8911349685385402E-2</v>
      </c>
      <c r="K60" s="414">
        <f>IFERROR(I60-J60,"-")*100</f>
        <v>0.45612443620330206</v>
      </c>
      <c r="L60" s="420">
        <f>(L31/L65)*$N$1</f>
        <v>9.3953367871981802E-2</v>
      </c>
      <c r="M60" s="420">
        <f>(M31/M65)*$N$1</f>
        <v>9.0767117279416207E-2</v>
      </c>
      <c r="N60" s="414">
        <f>IFERROR(L60-M60,"-")*100</f>
        <v>0.31862505925655954</v>
      </c>
      <c r="O60" s="309"/>
    </row>
    <row r="61" spans="1:15" x14ac:dyDescent="0.25">
      <c r="B61" s="234" t="s">
        <v>47</v>
      </c>
      <c r="C61" s="60">
        <f>((C51/C65)*$N$1)</f>
        <v>0</v>
      </c>
      <c r="D61" s="60" t="e">
        <f>((D51/D65)*$N$1)</f>
        <v>#DIV/0!</v>
      </c>
      <c r="E61" s="412" t="e">
        <f>IFERROR(C61-D61,"-")*100</f>
        <v>#VALUE!</v>
      </c>
      <c r="F61" s="60">
        <f>(F35/F65)*$N$1</f>
        <v>7.8814959458427966E-2</v>
      </c>
      <c r="G61" s="60">
        <f>(G35/G65)*$N$1</f>
        <v>7.9610003148931935E-2</v>
      </c>
      <c r="H61" s="390">
        <f>IFERROR(F61-G61,"-")*100</f>
        <v>-7.9504369050396873E-2</v>
      </c>
      <c r="I61" s="60">
        <f>(I35/I65)*$N$1</f>
        <v>8.3915327456334343E-2</v>
      </c>
      <c r="J61" s="60">
        <f>(J35/J65)*$N$1</f>
        <v>7.9122593504832681E-2</v>
      </c>
      <c r="K61" s="390">
        <f>IFERROR(I61-J61,"-")*100</f>
        <v>0.47927339515016626</v>
      </c>
      <c r="L61" s="60">
        <f>(L35/L65)*$N$1</f>
        <v>8.2854451355186043E-2</v>
      </c>
      <c r="M61" s="60">
        <f>(M35/M65)*$N$1</f>
        <v>7.9226153967075164E-2</v>
      </c>
      <c r="N61" s="390">
        <f>IFERROR(L61-M61,"-")*100</f>
        <v>0.36282973881108793</v>
      </c>
      <c r="O61" s="310"/>
    </row>
    <row r="62" spans="1:15" x14ac:dyDescent="0.25">
      <c r="B62" s="234" t="s">
        <v>48</v>
      </c>
      <c r="C62" s="60" t="e">
        <f>(C52+C55)/(C47)</f>
        <v>#DIV/0!</v>
      </c>
      <c r="D62" s="60" t="e">
        <f>(D52+D55)/(D47)</f>
        <v>#DIV/0!</v>
      </c>
      <c r="E62" s="412" t="e">
        <f>IFERROR(C62-D62,"-")*100</f>
        <v>#VALUE!</v>
      </c>
      <c r="F62" s="60">
        <f>(F36+F39)/F31</f>
        <v>-0.32528030618026582</v>
      </c>
      <c r="G62" s="60">
        <f>(G36+G39)/G31</f>
        <v>-0.31482995783708828</v>
      </c>
      <c r="H62" s="390">
        <f>IFERROR(F62-G62,"-")*100</f>
        <v>-1.045034834317754</v>
      </c>
      <c r="I62" s="60">
        <f>(I36+I39)/I31</f>
        <v>-0.31434715870018026</v>
      </c>
      <c r="J62" s="60">
        <f>(J36+J39)/J31</f>
        <v>-0.36752943659396836</v>
      </c>
      <c r="K62" s="390">
        <f>IFERROR(I62-J62,"-")*100</f>
        <v>5.3182277893788097</v>
      </c>
      <c r="L62" s="60">
        <f>(L36+L39)/L31</f>
        <v>-0.31666556213667219</v>
      </c>
      <c r="M62" s="60">
        <f>(M36+M39)/M31</f>
        <v>-0.35548378918399337</v>
      </c>
      <c r="N62" s="390">
        <f>IFERROR(L62-M62,"-")*100</f>
        <v>3.8818227047321185</v>
      </c>
      <c r="O62" s="310"/>
    </row>
    <row r="63" spans="1:15" x14ac:dyDescent="0.25">
      <c r="B63" s="234" t="s">
        <v>49</v>
      </c>
      <c r="C63" s="60" t="e">
        <f>(C52+C55+C56)/C47</f>
        <v>#DIV/0!</v>
      </c>
      <c r="D63" s="60" t="e">
        <f>(D52+D55+D56)/D47</f>
        <v>#DIV/0!</v>
      </c>
      <c r="E63" s="412" t="e">
        <f>IFERROR(C63-D63,"-")*100</f>
        <v>#VALUE!</v>
      </c>
      <c r="F63" s="60">
        <f>(F36+F39+F40)/(F31)</f>
        <v>-0.35449328403163743</v>
      </c>
      <c r="G63" s="60">
        <f>(G36+G39+G40)/(G31)</f>
        <v>-0.34393952635680597</v>
      </c>
      <c r="H63" s="390">
        <f>IFERROR(F63-G63,"-")*100</f>
        <v>-1.0553757674831465</v>
      </c>
      <c r="I63" s="60">
        <f>(I36+I39+I40)/(I31)</f>
        <v>-0.34226902110758833</v>
      </c>
      <c r="J63" s="60">
        <f>(J36+J39+J40)/(J31)</f>
        <v>-0.39810935734097558</v>
      </c>
      <c r="K63" s="390">
        <f>IFERROR(I63-J63,"-")*100</f>
        <v>5.5840336233387244</v>
      </c>
      <c r="L63" s="60">
        <f>(L36+L39+L40)/(L31)</f>
        <v>-0.34486120905925716</v>
      </c>
      <c r="M63" s="60">
        <f>(M36+M39+M40)/(M31)</f>
        <v>-0.38572762796366067</v>
      </c>
      <c r="N63" s="390">
        <f>IFERROR(L63-M63,"-")*100</f>
        <v>4.086641890440351</v>
      </c>
      <c r="O63" s="310"/>
    </row>
    <row r="64" spans="1:15" x14ac:dyDescent="0.25">
      <c r="B64" s="235" t="s">
        <v>50</v>
      </c>
      <c r="C64" s="75" t="e">
        <f>((C59/C78)*$N$1)</f>
        <v>#DIV/0!</v>
      </c>
      <c r="D64" s="75" t="e">
        <f>((D59/D78)*$N$1)</f>
        <v>#DIV/0!</v>
      </c>
      <c r="E64" s="413" t="e">
        <f>IFERROR(C64-D64,"-")*100</f>
        <v>#VALUE!</v>
      </c>
      <c r="F64" s="75">
        <f>(F43/F68)*$N$1</f>
        <v>0.29542982525567119</v>
      </c>
      <c r="G64" s="75">
        <f>(G43/G68)*$N$1</f>
        <v>0.30787450210448591</v>
      </c>
      <c r="H64" s="415">
        <f>IFERROR(F64-G64,"-")*100</f>
        <v>-1.2444676848814729</v>
      </c>
      <c r="I64" s="75">
        <f>(I43/I68)*$N$1</f>
        <v>0.29921373475452484</v>
      </c>
      <c r="J64" s="75">
        <f>(J43/J68)*$N$1</f>
        <v>0.2814947849340767</v>
      </c>
      <c r="K64" s="415">
        <f>IFERROR(I64-J64,"-")*100</f>
        <v>1.7718949820448138</v>
      </c>
      <c r="L64" s="75">
        <f>(L43/L68)*$N$1</f>
        <v>0.2984266819069869</v>
      </c>
      <c r="M64" s="75">
        <f>(M43/M68)*$N$1</f>
        <v>0.28716281292278056</v>
      </c>
      <c r="N64" s="415">
        <f>IFERROR(L64-M64,"-")*100</f>
        <v>1.1263868984206338</v>
      </c>
      <c r="O64" s="311"/>
    </row>
    <row r="65" spans="2:15" x14ac:dyDescent="0.25">
      <c r="B65" s="118" t="s">
        <v>51</v>
      </c>
      <c r="C65" s="66">
        <f>AVERAGEIFS(Realizado!$128:$128,Realizado!$2:$2,"&gt;="&amp;$G$1,Realizado!$2:$2,"&lt;="&amp;$I$1)</f>
        <v>410188633.03666633</v>
      </c>
      <c r="D65" s="66" t="e">
        <f>AVERAGEIFS('Orçado '!$144:$144,'Orçado '!$2:$2,"&gt;="&amp;$G$1,'Orçado '!$2:$2,"&lt;="&amp;$I$1)</f>
        <v>#DIV/0!</v>
      </c>
      <c r="E65" s="84" t="str">
        <f>IFERROR(C65/D65-1,"-")</f>
        <v>-</v>
      </c>
      <c r="F65" s="164">
        <f>AVERAGEIFS(Realizado!$128:$128,Realizado!$2:$2,"&gt;="&amp;$G$1,Realizado!$2:$2,"&lt;="&amp;$I$1)</f>
        <v>410188633.03666633</v>
      </c>
      <c r="G65" s="66">
        <f>AVERAGEIFS('Orçado '!$128:$128,'Orçado '!$2:$2,"&gt;="&amp;$G$1,'Orçado '!$2:$2,"&lt;="&amp;$I$1)</f>
        <v>412012224.12149256</v>
      </c>
      <c r="H65" s="84">
        <f>IFERROR(F65/G65-1,"-")</f>
        <v>-4.4260606313673012E-3</v>
      </c>
      <c r="I65" s="66">
        <f>AVERAGEIFS(Realizado!$129:$129,Realizado!$2:$2,"&gt;="&amp;$G$1,Realizado!$2:$2,"&lt;="&amp;$I$1)</f>
        <v>1561872925.1233337</v>
      </c>
      <c r="J65" s="66">
        <f>AVERAGEIFS('Orçado '!$129:$129,'Orçado '!$2:$2,"&gt;="&amp;$G$1,'Orçado '!$2:$2,"&lt;="&amp;$I$1)</f>
        <v>1527132572.793227</v>
      </c>
      <c r="K65" s="84">
        <f>IFERROR(I65/J65-1,"-")</f>
        <v>2.2748746866530611E-2</v>
      </c>
      <c r="L65" s="164">
        <f>F65+I65</f>
        <v>1972061558.1600001</v>
      </c>
      <c r="M65" s="56">
        <f>G65+J65</f>
        <v>1939144796.9147196</v>
      </c>
      <c r="N65" s="84">
        <f>IFERROR(L65/M65-1,"-")</f>
        <v>1.697488568035399E-2</v>
      </c>
      <c r="O65" s="417"/>
    </row>
    <row r="66" spans="2:15" x14ac:dyDescent="0.25">
      <c r="B66" s="118" t="s">
        <v>52</v>
      </c>
      <c r="C66" s="66">
        <f>AVERAGEIFS(Realizado!$132:$132,Realizado!$2:$2,"&gt;="&amp;$G$1,Realizado!$2:$2,"&lt;="&amp;$I$1)</f>
        <v>407676669.78333348</v>
      </c>
      <c r="D66" s="66" t="e">
        <f>AVERAGEIFS('Orçado '!$150:$150,'Orçado '!$2:$2,"&gt;="&amp;$G$1,'Orçado '!$2:$2,"&lt;="&amp;$I$1)</f>
        <v>#DIV/0!</v>
      </c>
      <c r="E66" s="84" t="str">
        <f>IFERROR(C66/D66-1,"-")</f>
        <v>-</v>
      </c>
      <c r="F66" s="164">
        <f>AVERAGEIFS(Realizado!$132:$132,Realizado!$2:$2,"&gt;="&amp;$G$1,Realizado!$2:$2,"&lt;="&amp;$I$1)</f>
        <v>407676669.78333348</v>
      </c>
      <c r="G66" s="66">
        <f>AVERAGEIFS('Orçado '!$134:$134,'Orçado '!$2:$2,"&gt;="&amp;$G$1,'Orçado '!$2:$2,"&lt;="&amp;$I$1)</f>
        <v>410408516.69011259</v>
      </c>
      <c r="H66" s="84">
        <f>IFERROR(F66/G66-1,"-")</f>
        <v>-6.6564089088868572E-3</v>
      </c>
      <c r="I66" s="66">
        <f>AVERAGEIFS(Realizado!$133:$133,Realizado!$2:$2,"&gt;="&amp;$G$1,Realizado!$2:$2,"&lt;="&amp;$I$1)</f>
        <v>1539889735.2300007</v>
      </c>
      <c r="J66" s="66">
        <f>AVERAGEIFS('Orçado '!$135:$135,'Orçado '!$2:$2,"&gt;="&amp;$G$1,'Orçado '!$2:$2,"&lt;="&amp;$I$1)</f>
        <v>1499684485.000946</v>
      </c>
      <c r="K66" s="84">
        <f>IFERROR(I66/J66-1,"-")</f>
        <v>2.680913927640538E-2</v>
      </c>
      <c r="L66" s="164">
        <f>F66+I66</f>
        <v>1947566405.0133343</v>
      </c>
      <c r="M66" s="56">
        <f>G66+J66</f>
        <v>1910093001.6910586</v>
      </c>
      <c r="N66" s="84">
        <f>IFERROR(L66/M66-1,"-")</f>
        <v>1.9618627621324825E-2</v>
      </c>
      <c r="O66" s="418"/>
    </row>
    <row r="67" spans="2:15" x14ac:dyDescent="0.25">
      <c r="B67" s="118" t="s">
        <v>241</v>
      </c>
      <c r="C67" s="66"/>
      <c r="D67" s="66"/>
      <c r="E67" s="84"/>
      <c r="F67" s="421">
        <f>F65/$L$65</f>
        <v>0.20799991325797465</v>
      </c>
      <c r="G67" s="422">
        <f>G66/$M$66</f>
        <v>0.21486310683656057</v>
      </c>
      <c r="H67" s="84"/>
      <c r="I67" s="421">
        <f>I65/$L$65</f>
        <v>0.79200008674202538</v>
      </c>
      <c r="J67" s="422">
        <f>J66/$M$66</f>
        <v>0.78513689316343949</v>
      </c>
      <c r="K67" s="72"/>
      <c r="L67" s="164"/>
      <c r="M67" s="56"/>
      <c r="N67" s="84"/>
      <c r="O67" s="416"/>
    </row>
    <row r="68" spans="2:15" x14ac:dyDescent="0.25">
      <c r="B68" s="118" t="s">
        <v>56</v>
      </c>
      <c r="C68" s="66"/>
      <c r="D68" s="66"/>
      <c r="E68" s="84"/>
      <c r="F68" s="300">
        <f>F67*L69</f>
        <v>44187078.427900597</v>
      </c>
      <c r="G68" s="317">
        <f>G67*M69</f>
        <v>46118802.265277252</v>
      </c>
      <c r="H68" s="84"/>
      <c r="I68" s="300">
        <f>I67*L69</f>
        <v>168250887.22209942</v>
      </c>
      <c r="J68" s="317">
        <f>J67*M69</f>
        <v>168523920.46309853</v>
      </c>
      <c r="K68" s="72"/>
      <c r="L68" s="164">
        <f>F68+I68</f>
        <v>212437965.65000004</v>
      </c>
      <c r="M68" s="56">
        <f>G68+J68</f>
        <v>214642722.72837579</v>
      </c>
      <c r="N68" s="84"/>
      <c r="O68" s="416"/>
    </row>
    <row r="69" spans="2:15" x14ac:dyDescent="0.25">
      <c r="B69" s="218" t="s">
        <v>242</v>
      </c>
      <c r="C69" s="66"/>
      <c r="D69" s="66"/>
      <c r="E69" s="72"/>
      <c r="F69" s="422"/>
      <c r="G69" s="422"/>
      <c r="H69" s="72"/>
      <c r="I69" s="422"/>
      <c r="J69" s="422"/>
      <c r="K69" s="72"/>
      <c r="L69" s="164">
        <f>AVERAGEIFS(Realizado!$136:$136,Realizado!$2:$2,"&gt;="&amp;$G$1,Realizado!$2:$2,"&lt;="&amp;$I$1)</f>
        <v>212437965.65000001</v>
      </c>
      <c r="M69" s="56">
        <f>AVERAGEIFS('Orçado '!$137:$137,'Orçado '!$2:$2,"&gt;="&amp;$G$1,'Orçado '!$2:$2,"&lt;="&amp;$I$1)</f>
        <v>214642722.72837576</v>
      </c>
      <c r="N69" s="84"/>
      <c r="O69" s="419"/>
    </row>
    <row r="70" spans="2:15" x14ac:dyDescent="0.25">
      <c r="B70" s="14"/>
      <c r="C70" s="51"/>
      <c r="D70" s="51"/>
      <c r="E70" s="60"/>
      <c r="F70" s="51"/>
      <c r="G70" s="51"/>
      <c r="H70" s="60"/>
      <c r="I70" s="51"/>
      <c r="J70" s="51"/>
      <c r="K70" s="60"/>
      <c r="L70" s="51"/>
      <c r="M70" s="55"/>
      <c r="N70" s="60"/>
      <c r="O70" s="73"/>
    </row>
    <row r="71" spans="2:15" x14ac:dyDescent="0.25">
      <c r="B71" s="14"/>
      <c r="F71" s="55"/>
      <c r="G71" s="55"/>
      <c r="I71" s="55"/>
      <c r="J71" s="79"/>
      <c r="L71" s="55"/>
      <c r="M71" s="55"/>
      <c r="N71" s="73"/>
      <c r="O71" s="73"/>
    </row>
    <row r="72" spans="2:15" x14ac:dyDescent="0.25">
      <c r="B72" s="14"/>
      <c r="F72" s="55"/>
      <c r="G72" s="55"/>
      <c r="I72" s="55"/>
      <c r="J72" s="79"/>
      <c r="L72" s="392" t="s">
        <v>5</v>
      </c>
      <c r="M72" s="392" t="s">
        <v>6</v>
      </c>
      <c r="N72" s="393" t="s">
        <v>243</v>
      </c>
      <c r="O72" s="73"/>
    </row>
    <row r="73" spans="2:15" x14ac:dyDescent="0.25">
      <c r="B73" s="14"/>
      <c r="F73" s="55"/>
      <c r="G73" s="55"/>
      <c r="J73" s="502" t="s">
        <v>244</v>
      </c>
      <c r="K73" s="493"/>
      <c r="L73" s="380">
        <f>L36+L39</f>
        <v>-14668093.320000045</v>
      </c>
      <c r="M73" s="380">
        <f>M36+M39</f>
        <v>-15642227.263400899</v>
      </c>
      <c r="N73" s="391">
        <f>(L73/M73)-1</f>
        <v>-6.227591039289504E-2</v>
      </c>
      <c r="O73" s="99"/>
    </row>
    <row r="74" spans="2:15" x14ac:dyDescent="0.25">
      <c r="B74" s="14"/>
      <c r="F74" s="55"/>
      <c r="G74" s="55"/>
      <c r="M74" s="55"/>
      <c r="N74" s="100"/>
    </row>
    <row r="75" spans="2:15" x14ac:dyDescent="0.25">
      <c r="B75" s="14"/>
      <c r="F75" s="47"/>
      <c r="G75" s="55"/>
      <c r="I75" s="47"/>
      <c r="J75" s="4"/>
      <c r="L75" s="47"/>
      <c r="M75" s="55"/>
    </row>
    <row r="76" spans="2:15" x14ac:dyDescent="0.25">
      <c r="F76" s="47"/>
      <c r="I76" s="47"/>
      <c r="J76" s="100"/>
      <c r="K76" s="100"/>
      <c r="L76" s="47"/>
    </row>
  </sheetData>
  <mergeCells count="5">
    <mergeCell ref="J73:K73"/>
    <mergeCell ref="C3:E3"/>
    <mergeCell ref="I3:K3"/>
    <mergeCell ref="F3:H3"/>
    <mergeCell ref="L3:N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2">
    <tabColor theme="4" tint="0.59999389629810485"/>
  </sheetPr>
  <dimension ref="A1:BB195"/>
  <sheetViews>
    <sheetView showGridLines="0" topLeftCell="A117" zoomScaleNormal="100" workbookViewId="0">
      <selection activeCell="AN137" sqref="AN137:AP137"/>
    </sheetView>
  </sheetViews>
  <sheetFormatPr defaultColWidth="9.28515625" defaultRowHeight="15" outlineLevelRow="1" x14ac:dyDescent="0.25"/>
  <cols>
    <col min="1" max="1" width="38" customWidth="1"/>
    <col min="2" max="2" width="20" hidden="1" customWidth="1"/>
    <col min="3" max="8" width="16.28515625" hidden="1" customWidth="1"/>
    <col min="9" max="14" width="16.85546875" hidden="1" customWidth="1"/>
    <col min="15" max="15" width="19.140625" hidden="1" customWidth="1"/>
    <col min="16" max="39" width="16.28515625" hidden="1" customWidth="1"/>
    <col min="40" max="51" width="16" customWidth="1"/>
    <col min="52" max="52" width="10.42578125" bestFit="1" customWidth="1"/>
    <col min="54" max="54" width="11" bestFit="1" customWidth="1"/>
  </cols>
  <sheetData>
    <row r="1" spans="1:51" ht="14.25" customHeight="1" x14ac:dyDescent="0.25">
      <c r="C1" t="s">
        <v>245</v>
      </c>
      <c r="D1" t="s">
        <v>246</v>
      </c>
      <c r="H1" t="s">
        <v>247</v>
      </c>
      <c r="L1" s="116">
        <v>0.45</v>
      </c>
      <c r="M1" s="116">
        <v>0.45</v>
      </c>
      <c r="N1" s="116">
        <v>0.45</v>
      </c>
      <c r="O1" s="116">
        <v>0.45</v>
      </c>
      <c r="P1" t="s">
        <v>248</v>
      </c>
      <c r="V1" t="s">
        <v>249</v>
      </c>
      <c r="AB1" t="s">
        <v>250</v>
      </c>
      <c r="AN1" t="s">
        <v>251</v>
      </c>
    </row>
    <row r="2" spans="1:51" hidden="1" x14ac:dyDescent="0.25">
      <c r="A2" s="27" t="s">
        <v>252</v>
      </c>
      <c r="B2" s="22">
        <v>44895</v>
      </c>
      <c r="C2" s="22">
        <v>44926</v>
      </c>
      <c r="D2" s="22">
        <v>44957</v>
      </c>
      <c r="E2" s="22">
        <v>44985</v>
      </c>
      <c r="F2" s="22">
        <v>45016</v>
      </c>
      <c r="G2" s="22">
        <v>45046</v>
      </c>
      <c r="H2" s="22">
        <v>45077</v>
      </c>
      <c r="I2" s="22">
        <v>45107</v>
      </c>
      <c r="J2" s="22">
        <v>45138</v>
      </c>
      <c r="K2" s="22">
        <v>45169</v>
      </c>
      <c r="L2" s="22">
        <v>45199</v>
      </c>
      <c r="M2" s="22">
        <v>45230</v>
      </c>
      <c r="N2" s="22">
        <v>45260</v>
      </c>
      <c r="O2" s="22">
        <v>45291</v>
      </c>
      <c r="P2" s="22">
        <v>45322</v>
      </c>
      <c r="Q2" s="22">
        <v>45351</v>
      </c>
      <c r="R2" s="22">
        <v>45382</v>
      </c>
      <c r="S2" s="22">
        <v>45412</v>
      </c>
      <c r="T2" s="22">
        <v>45443</v>
      </c>
      <c r="U2" s="22">
        <v>45473</v>
      </c>
      <c r="V2" s="22">
        <v>45504</v>
      </c>
      <c r="W2" s="22">
        <v>45535</v>
      </c>
      <c r="X2" s="22">
        <v>45565</v>
      </c>
      <c r="Y2" s="22">
        <v>45596</v>
      </c>
      <c r="Z2" s="22">
        <v>45626</v>
      </c>
      <c r="AA2" s="22">
        <v>45657</v>
      </c>
      <c r="AB2" s="22">
        <v>45688</v>
      </c>
      <c r="AC2" s="22">
        <v>45716</v>
      </c>
      <c r="AD2" s="22">
        <v>45747</v>
      </c>
      <c r="AE2" s="22">
        <v>45777</v>
      </c>
      <c r="AF2" s="22">
        <v>45808</v>
      </c>
      <c r="AG2" s="22">
        <v>45838</v>
      </c>
      <c r="AH2" s="22">
        <v>45869</v>
      </c>
      <c r="AI2" s="22">
        <v>45900</v>
      </c>
      <c r="AJ2" s="22">
        <v>45930</v>
      </c>
      <c r="AK2" s="22">
        <v>45961</v>
      </c>
      <c r="AL2" s="22">
        <v>45991</v>
      </c>
      <c r="AM2" s="22">
        <v>46022</v>
      </c>
      <c r="AN2" s="22">
        <v>46053</v>
      </c>
      <c r="AO2" s="22">
        <v>46081</v>
      </c>
      <c r="AP2" s="22">
        <v>46112</v>
      </c>
      <c r="AQ2" s="22">
        <v>46142</v>
      </c>
      <c r="AR2" s="22">
        <v>46173</v>
      </c>
      <c r="AS2" s="22">
        <v>46203</v>
      </c>
      <c r="AT2" s="22">
        <v>46234</v>
      </c>
      <c r="AU2" s="22">
        <v>46265</v>
      </c>
      <c r="AV2" s="22">
        <v>46295</v>
      </c>
      <c r="AW2" s="22">
        <v>46326</v>
      </c>
      <c r="AX2" s="22">
        <v>46356</v>
      </c>
      <c r="AY2" s="22">
        <v>46387</v>
      </c>
    </row>
    <row r="3" spans="1:51" hidden="1" x14ac:dyDescent="0.25">
      <c r="A3" s="28" t="s">
        <v>9</v>
      </c>
      <c r="B3" s="28"/>
      <c r="C3" s="19">
        <v>1010456.507810869</v>
      </c>
      <c r="D3" s="19">
        <v>1007654.291495587</v>
      </c>
      <c r="E3" s="19">
        <v>986848.20753568166</v>
      </c>
      <c r="F3" s="19">
        <v>987136.30817758793</v>
      </c>
      <c r="G3" s="19">
        <v>810641.77029974794</v>
      </c>
      <c r="H3" s="19">
        <v>434765.62384892668</v>
      </c>
      <c r="I3" s="19">
        <v>378126.72674999858</v>
      </c>
      <c r="J3" s="19">
        <v>345117.13786329218</v>
      </c>
      <c r="K3" s="19">
        <v>318971.49780683871</v>
      </c>
      <c r="L3" s="19">
        <v>299833.98371275759</v>
      </c>
      <c r="M3" s="19">
        <v>280534.74814096221</v>
      </c>
      <c r="N3" s="19">
        <v>261365.7866062258</v>
      </c>
      <c r="O3" s="19">
        <v>242103.5047279736</v>
      </c>
      <c r="P3" s="19">
        <v>191159.2719760809</v>
      </c>
      <c r="Q3" s="19">
        <v>183904.13000209231</v>
      </c>
      <c r="R3" s="19">
        <v>177827.47856761949</v>
      </c>
      <c r="S3" s="19">
        <v>173415.38303330611</v>
      </c>
      <c r="T3" s="19">
        <v>168452.27673162511</v>
      </c>
      <c r="U3" s="19">
        <v>167099.901967791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1:51" hidden="1" x14ac:dyDescent="0.25">
      <c r="A4" s="29" t="s">
        <v>10</v>
      </c>
      <c r="B4" s="29"/>
      <c r="C4" s="30">
        <v>738266.48112118419</v>
      </c>
      <c r="D4" s="30">
        <v>737161.33943528275</v>
      </c>
      <c r="E4" s="30">
        <v>718069.73827366426</v>
      </c>
      <c r="F4" s="30">
        <v>718728.64572103159</v>
      </c>
      <c r="G4" s="30">
        <v>635364.05712558446</v>
      </c>
      <c r="H4" s="30">
        <v>333080.30191359279</v>
      </c>
      <c r="I4" s="30">
        <v>293659.12732699153</v>
      </c>
      <c r="J4" s="30">
        <v>260661.3664790637</v>
      </c>
      <c r="K4" s="30">
        <v>234209.8579909254</v>
      </c>
      <c r="L4" s="30">
        <v>214704.5539909254</v>
      </c>
      <c r="M4" s="30">
        <v>195199.2499909254</v>
      </c>
      <c r="N4" s="30">
        <v>175693.94599092539</v>
      </c>
      <c r="O4" s="30">
        <v>156188.64199092539</v>
      </c>
      <c r="P4" s="30">
        <v>93834.041046862592</v>
      </c>
      <c r="Q4" s="30">
        <v>85689.392313290693</v>
      </c>
      <c r="R4" s="30">
        <v>78658.063848885649</v>
      </c>
      <c r="S4" s="30">
        <v>73271.627081991217</v>
      </c>
      <c r="T4" s="30">
        <v>67291.762311161365</v>
      </c>
      <c r="U4" s="30">
        <v>64837.793685558303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spans="1:51" hidden="1" x14ac:dyDescent="0.25">
      <c r="A5" s="78" t="s">
        <v>11</v>
      </c>
      <c r="B5" s="78"/>
      <c r="C5" s="30"/>
      <c r="D5" s="30"/>
      <c r="E5" s="30"/>
      <c r="F5" s="30"/>
      <c r="G5" s="30"/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</row>
    <row r="6" spans="1:51" hidden="1" x14ac:dyDescent="0.25">
      <c r="A6" s="78" t="s">
        <v>12</v>
      </c>
      <c r="B6" s="78"/>
      <c r="C6" s="30"/>
      <c r="D6" s="30"/>
      <c r="E6" s="30"/>
      <c r="F6" s="30"/>
      <c r="G6" s="30"/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</row>
    <row r="7" spans="1:51" ht="17.25" hidden="1" customHeight="1" x14ac:dyDescent="0.25">
      <c r="A7" s="78" t="s">
        <v>13</v>
      </c>
      <c r="B7" s="78"/>
      <c r="C7" s="30"/>
      <c r="D7" s="30"/>
      <c r="E7" s="30"/>
      <c r="F7" s="30"/>
      <c r="G7" s="30"/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</row>
    <row r="8" spans="1:51" ht="17.25" hidden="1" customHeight="1" x14ac:dyDescent="0.25">
      <c r="A8" s="78" t="s">
        <v>14</v>
      </c>
      <c r="B8" s="7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</row>
    <row r="9" spans="1:51" hidden="1" x14ac:dyDescent="0.25">
      <c r="A9" s="29" t="s">
        <v>15</v>
      </c>
      <c r="B9" s="29"/>
      <c r="C9" s="30">
        <v>272190.02668968518</v>
      </c>
      <c r="D9" s="30">
        <v>270492.95206030383</v>
      </c>
      <c r="E9" s="30">
        <v>268778.4692620174</v>
      </c>
      <c r="F9" s="30">
        <v>268407.66245655628</v>
      </c>
      <c r="G9" s="30">
        <v>175277.71317416351</v>
      </c>
      <c r="H9" s="30">
        <v>101685.32193533389</v>
      </c>
      <c r="I9" s="30">
        <v>84467.599423007181</v>
      </c>
      <c r="J9" s="30">
        <v>84455.771384228574</v>
      </c>
      <c r="K9" s="30">
        <v>84761.639815913266</v>
      </c>
      <c r="L9" s="30">
        <v>85129.42972183213</v>
      </c>
      <c r="M9" s="30">
        <v>85335.498150036816</v>
      </c>
      <c r="N9" s="30">
        <v>85671.840615300389</v>
      </c>
      <c r="O9" s="30">
        <v>85914.862737048155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51" hidden="1" x14ac:dyDescent="0.25">
      <c r="A10" s="77" t="s">
        <v>15</v>
      </c>
      <c r="B10" s="29"/>
      <c r="C10" s="30">
        <v>272190.02668968518</v>
      </c>
      <c r="D10" s="30">
        <v>270492.95206030383</v>
      </c>
      <c r="E10" s="30">
        <v>268778.4692620174</v>
      </c>
      <c r="F10" s="30">
        <v>268407.66245655628</v>
      </c>
      <c r="G10" s="30">
        <v>175277.71317416351</v>
      </c>
      <c r="H10" s="30">
        <v>101685.32193533389</v>
      </c>
      <c r="I10" s="30">
        <v>84467.599423007181</v>
      </c>
      <c r="J10" s="30">
        <v>84455.771384228574</v>
      </c>
      <c r="K10" s="30">
        <v>84761.639815913266</v>
      </c>
      <c r="L10" s="30">
        <v>85129.42972183213</v>
      </c>
      <c r="M10" s="30">
        <v>85335.498150036816</v>
      </c>
      <c r="N10" s="30">
        <v>85671.840615300389</v>
      </c>
      <c r="O10" s="30">
        <v>85914.862737048155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spans="1:51" hidden="1" x14ac:dyDescent="0.25">
      <c r="A11" s="77" t="s">
        <v>253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spans="1:51" hidden="1" x14ac:dyDescent="0.25">
      <c r="A12" s="29" t="s">
        <v>16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>
        <v>97325.23092921832</v>
      </c>
      <c r="Q12" s="30">
        <v>98214.737688801615</v>
      </c>
      <c r="R12" s="30">
        <v>99169.414718733839</v>
      </c>
      <c r="S12" s="30">
        <v>100143.7559513149</v>
      </c>
      <c r="T12" s="30">
        <v>101160.51442046381</v>
      </c>
      <c r="U12" s="30">
        <v>102262.1082822327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spans="1:51" ht="14.25" hidden="1" customHeight="1" x14ac:dyDescent="0.25">
      <c r="A13" s="29" t="s">
        <v>17</v>
      </c>
      <c r="B13" s="29"/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30"/>
      <c r="Q13" s="30"/>
      <c r="R13" s="30"/>
      <c r="S13" s="30"/>
      <c r="T13" s="30"/>
      <c r="U13" s="30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51" ht="14.25" hidden="1" customHeight="1" x14ac:dyDescent="0.25">
      <c r="A14" s="29" t="s">
        <v>18</v>
      </c>
      <c r="B14" s="29"/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51" ht="14.25" hidden="1" customHeight="1" x14ac:dyDescent="0.25">
      <c r="A15" s="82" t="s">
        <v>206</v>
      </c>
      <c r="B15" s="2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51" ht="14.25" hidden="1" customHeight="1" x14ac:dyDescent="0.25">
      <c r="A16" s="82" t="s">
        <v>207</v>
      </c>
      <c r="B16" s="29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ht="14.25" hidden="1" customHeight="1" x14ac:dyDescent="0.25">
      <c r="A17" s="82" t="s">
        <v>208</v>
      </c>
      <c r="B17" s="2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ht="14.25" hidden="1" customHeight="1" x14ac:dyDescent="0.25">
      <c r="A18" s="29" t="s">
        <v>19</v>
      </c>
      <c r="B18" s="29"/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ht="14.25" hidden="1" customHeight="1" x14ac:dyDescent="0.25">
      <c r="A19" s="31" t="s">
        <v>20</v>
      </c>
      <c r="B19" s="31"/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hidden="1" x14ac:dyDescent="0.25">
      <c r="A20" s="28" t="s">
        <v>23</v>
      </c>
      <c r="B20" s="28"/>
      <c r="C20" s="19">
        <v>135676.78705987631</v>
      </c>
      <c r="D20" s="19">
        <v>135891.08098804209</v>
      </c>
      <c r="E20" s="19">
        <v>111260.3336074507</v>
      </c>
      <c r="F20" s="19">
        <v>142447.35562209081</v>
      </c>
      <c r="G20" s="19">
        <v>106849.0799567136</v>
      </c>
      <c r="H20" s="19">
        <v>61989.288605905444</v>
      </c>
      <c r="I20" s="19">
        <v>28977.938741568079</v>
      </c>
      <c r="J20" s="19">
        <v>41283.297385606224</v>
      </c>
      <c r="K20" s="19">
        <v>78193.713439871877</v>
      </c>
      <c r="L20" s="19">
        <v>44488.391680800552</v>
      </c>
      <c r="M20" s="19">
        <v>71511.920905309191</v>
      </c>
      <c r="N20" s="19">
        <v>56967.042635151352</v>
      </c>
      <c r="O20" s="19">
        <v>64016.820233847458</v>
      </c>
      <c r="P20" s="19">
        <v>121582.3298017958</v>
      </c>
      <c r="Q20" s="19">
        <v>91905.012008122008</v>
      </c>
      <c r="R20" s="19">
        <v>115374.6599031544</v>
      </c>
      <c r="S20" s="19">
        <v>131458.2947984635</v>
      </c>
      <c r="T20" s="19">
        <v>126861.2525612741</v>
      </c>
      <c r="U20" s="19">
        <v>119375.079191953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idden="1" x14ac:dyDescent="0.25">
      <c r="A21" s="31" t="s">
        <v>209</v>
      </c>
      <c r="B21" s="31"/>
      <c r="C21" s="30">
        <v>135676.78705987631</v>
      </c>
      <c r="D21" s="30">
        <v>135891.08098804209</v>
      </c>
      <c r="E21" s="30">
        <v>111260.3336074507</v>
      </c>
      <c r="F21" s="30">
        <v>142447.35562209081</v>
      </c>
      <c r="G21" s="30">
        <v>106849.0799567136</v>
      </c>
      <c r="H21" s="30">
        <v>61989.288605905444</v>
      </c>
      <c r="I21" s="30">
        <v>28977.938741568079</v>
      </c>
      <c r="J21" s="30">
        <v>41283.297385606224</v>
      </c>
      <c r="K21" s="30">
        <v>78193.713439871877</v>
      </c>
      <c r="L21" s="30">
        <v>44488.391680800552</v>
      </c>
      <c r="M21" s="30">
        <v>71511.920905309191</v>
      </c>
      <c r="N21" s="30">
        <v>56967.042635151352</v>
      </c>
      <c r="O21" s="30">
        <v>64016.820233847458</v>
      </c>
      <c r="P21" s="30">
        <v>121582.3298017958</v>
      </c>
      <c r="Q21" s="30">
        <v>91905.012008122008</v>
      </c>
      <c r="R21" s="30">
        <v>115374.6599031544</v>
      </c>
      <c r="S21" s="30">
        <v>131458.2947984635</v>
      </c>
      <c r="T21" s="30">
        <v>126861.2525612741</v>
      </c>
      <c r="U21" s="30">
        <v>119375.079191953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</row>
    <row r="22" spans="1:39" hidden="1" x14ac:dyDescent="0.25">
      <c r="A22" s="77" t="s">
        <v>25</v>
      </c>
      <c r="B22" s="77"/>
      <c r="C22" s="30"/>
      <c r="D22" s="30"/>
      <c r="E22" s="30"/>
      <c r="F22" s="30"/>
      <c r="G22" s="30"/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1:39" hidden="1" x14ac:dyDescent="0.25">
      <c r="A23" s="77" t="s">
        <v>28</v>
      </c>
      <c r="B23" s="77"/>
      <c r="C23" s="30">
        <v>135676.78705987631</v>
      </c>
      <c r="D23" s="30">
        <v>135891.08098804209</v>
      </c>
      <c r="E23" s="30">
        <v>111260.3336074507</v>
      </c>
      <c r="F23" s="30">
        <v>142447.35562209081</v>
      </c>
      <c r="G23" s="30">
        <v>106849.0799567136</v>
      </c>
      <c r="H23" s="30">
        <v>61989.288605905444</v>
      </c>
      <c r="I23" s="30">
        <v>28977.938741568079</v>
      </c>
      <c r="J23" s="30">
        <v>41283.297385606224</v>
      </c>
      <c r="K23" s="30">
        <v>78193.713439871877</v>
      </c>
      <c r="L23" s="30">
        <v>44488.391680800552</v>
      </c>
      <c r="M23" s="30">
        <v>71511.920905309191</v>
      </c>
      <c r="N23" s="30">
        <v>56967.042635151352</v>
      </c>
      <c r="O23" s="30">
        <v>64016.820233847458</v>
      </c>
      <c r="P23" s="30">
        <v>121582.3298017958</v>
      </c>
      <c r="Q23" s="30">
        <v>91905.012008122008</v>
      </c>
      <c r="R23" s="30">
        <v>115374.6599031544</v>
      </c>
      <c r="S23" s="30">
        <v>131458.2947984635</v>
      </c>
      <c r="T23" s="30">
        <v>126861.2525612741</v>
      </c>
      <c r="U23" s="30">
        <v>119375.079191953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1:39" hidden="1" x14ac:dyDescent="0.25">
      <c r="A24" s="77" t="s">
        <v>210</v>
      </c>
      <c r="B24" s="77"/>
      <c r="C24" s="30"/>
      <c r="D24" s="30"/>
      <c r="E24" s="30"/>
      <c r="F24" s="30"/>
      <c r="G24" s="30"/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1:39" hidden="1" x14ac:dyDescent="0.25">
      <c r="A25" s="77" t="s">
        <v>30</v>
      </c>
      <c r="B25" s="77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</row>
    <row r="26" spans="1:39" hidden="1" x14ac:dyDescent="0.25">
      <c r="A26" s="29" t="s">
        <v>31</v>
      </c>
      <c r="B26" s="29"/>
      <c r="C26" s="30">
        <v>-31813.382508070172</v>
      </c>
      <c r="D26" s="30">
        <v>-31745.519428619311</v>
      </c>
      <c r="E26" s="30">
        <v>-31307.67284051231</v>
      </c>
      <c r="F26" s="30">
        <v>-30733.81773993553</v>
      </c>
      <c r="G26" s="30">
        <v>-27883.410998647749</v>
      </c>
      <c r="H26" s="30">
        <v>-10382.26831049768</v>
      </c>
      <c r="I26" s="30">
        <v>-8700.8067638055345</v>
      </c>
      <c r="J26" s="30">
        <v>-7753.5408708148971</v>
      </c>
      <c r="K26" s="30">
        <v>-7683.4262339708039</v>
      </c>
      <c r="L26" s="30">
        <v>-6222.0649373829083</v>
      </c>
      <c r="M26" s="30">
        <v>-6403.654615980392</v>
      </c>
      <c r="N26" s="30">
        <v>-5226.1300145712275</v>
      </c>
      <c r="O26" s="30">
        <v>-4765.5102459583804</v>
      </c>
      <c r="P26" s="30">
        <v>-822.32685694438646</v>
      </c>
      <c r="Q26" s="30">
        <v>-586.44273667340531</v>
      </c>
      <c r="R26" s="30">
        <v>-981.66532940207719</v>
      </c>
      <c r="S26" s="30">
        <v>-868.82068557163632</v>
      </c>
      <c r="T26" s="30">
        <v>-985.30550222512102</v>
      </c>
      <c r="U26" s="30">
        <v>-989.14210010912188</v>
      </c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1:39" hidden="1" x14ac:dyDescent="0.25">
      <c r="A27" s="32" t="s">
        <v>32</v>
      </c>
      <c r="B27" s="32"/>
      <c r="C27" s="19">
        <v>1114319.9123626761</v>
      </c>
      <c r="D27" s="19">
        <v>1111799.8530550089</v>
      </c>
      <c r="E27" s="19">
        <v>1066800.86830262</v>
      </c>
      <c r="F27" s="19">
        <v>1098849.8460597431</v>
      </c>
      <c r="G27" s="19">
        <v>889607.43925781373</v>
      </c>
      <c r="H27" s="19">
        <v>486372.64414433448</v>
      </c>
      <c r="I27" s="19">
        <v>398403.8587277612</v>
      </c>
      <c r="J27" s="19">
        <v>378646.89437808358</v>
      </c>
      <c r="K27" s="19">
        <v>389481.78501273971</v>
      </c>
      <c r="L27" s="19">
        <v>338100.31045617518</v>
      </c>
      <c r="M27" s="19">
        <v>345643.01443029102</v>
      </c>
      <c r="N27" s="19">
        <v>313106.69922680588</v>
      </c>
      <c r="O27" s="19">
        <v>301354.81471586262</v>
      </c>
      <c r="P27" s="19">
        <v>311919.27492093231</v>
      </c>
      <c r="Q27" s="19">
        <v>275222.69927354087</v>
      </c>
      <c r="R27" s="19">
        <v>292220.47314137191</v>
      </c>
      <c r="S27" s="19">
        <v>304004.85714619787</v>
      </c>
      <c r="T27" s="19">
        <v>294328.22379067412</v>
      </c>
      <c r="U27" s="19">
        <v>285485.83905963477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hidden="1" x14ac:dyDescent="0.25">
      <c r="A28" s="29" t="s">
        <v>33</v>
      </c>
      <c r="B28" s="29"/>
      <c r="C28" s="30">
        <v>-738266.48112118419</v>
      </c>
      <c r="D28" s="30">
        <v>-737161.33943528275</v>
      </c>
      <c r="E28" s="30">
        <v>-718069.73827366426</v>
      </c>
      <c r="F28" s="30">
        <v>-718728.64572103159</v>
      </c>
      <c r="G28" s="30">
        <v>-635364.05712558446</v>
      </c>
      <c r="H28" s="30">
        <v>-847247.93487806711</v>
      </c>
      <c r="I28" s="30">
        <v>-702857.61390148883</v>
      </c>
      <c r="J28" s="30">
        <v>-491417.23792494182</v>
      </c>
      <c r="K28" s="30">
        <v>-276009.30874834792</v>
      </c>
      <c r="L28" s="30">
        <v>-47683.362971772091</v>
      </c>
      <c r="M28" s="30">
        <v>-43712.229995196903</v>
      </c>
      <c r="N28" s="30">
        <v>-39741.097018621687</v>
      </c>
      <c r="O28" s="30">
        <v>-35769.9640420465</v>
      </c>
      <c r="P28" s="30">
        <v>-107207.9394077809</v>
      </c>
      <c r="Q28" s="30">
        <v>-55604.424407780403</v>
      </c>
      <c r="R28" s="30">
        <v>-31946.553407781172</v>
      </c>
      <c r="S28" s="30">
        <v>-3548.7094077819402</v>
      </c>
      <c r="T28" s="30">
        <v>-3548.7094077819402</v>
      </c>
      <c r="U28" s="30">
        <v>-3548.7094077819402</v>
      </c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 spans="1:39" hidden="1" x14ac:dyDescent="0.25">
      <c r="A29" s="33" t="s">
        <v>35</v>
      </c>
      <c r="B29" s="33"/>
      <c r="C29" s="19">
        <v>376053.43124149152</v>
      </c>
      <c r="D29" s="19">
        <v>374638.51361972641</v>
      </c>
      <c r="E29" s="19">
        <v>348731.13002895581</v>
      </c>
      <c r="F29" s="19">
        <v>380121.2003387115</v>
      </c>
      <c r="G29" s="19">
        <v>254243.38213222931</v>
      </c>
      <c r="H29" s="19">
        <v>-360875.29073373257</v>
      </c>
      <c r="I29" s="19">
        <v>-304453.75517372758</v>
      </c>
      <c r="J29" s="19">
        <v>-112770.3435468582</v>
      </c>
      <c r="K29" s="19">
        <v>113472.47626439179</v>
      </c>
      <c r="L29" s="19">
        <v>290416.94748440309</v>
      </c>
      <c r="M29" s="19">
        <v>301930.7844350941</v>
      </c>
      <c r="N29" s="19">
        <v>273365.60220818431</v>
      </c>
      <c r="O29" s="19">
        <v>265584.85067381611</v>
      </c>
      <c r="P29" s="19">
        <v>204711.3355131514</v>
      </c>
      <c r="Q29" s="19">
        <v>219618.2748657605</v>
      </c>
      <c r="R29" s="19">
        <v>260273.91973359071</v>
      </c>
      <c r="S29" s="19">
        <v>300456.14773841598</v>
      </c>
      <c r="T29" s="19">
        <v>290779.51438289217</v>
      </c>
      <c r="U29" s="19">
        <v>281937.12965185288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hidden="1" x14ac:dyDescent="0.25">
      <c r="A30" s="31" t="s">
        <v>36</v>
      </c>
      <c r="B30" s="31"/>
      <c r="C30" s="30">
        <v>-1835680.9482736699</v>
      </c>
      <c r="D30" s="30">
        <v>-1872903.8833040129</v>
      </c>
      <c r="E30" s="30">
        <v>-1973448.0819712181</v>
      </c>
      <c r="F30" s="30">
        <v>-1675131.582191587</v>
      </c>
      <c r="G30" s="30">
        <v>-1515173.2373215889</v>
      </c>
      <c r="H30" s="30">
        <v>-1656297.189788593</v>
      </c>
      <c r="I30" s="30">
        <v>-1636925.398497744</v>
      </c>
      <c r="J30" s="30">
        <v>-1643365.5116522231</v>
      </c>
      <c r="K30" s="30">
        <v>-1647355.5719358721</v>
      </c>
      <c r="L30" s="30">
        <v>-1608891.6087931839</v>
      </c>
      <c r="M30" s="30">
        <v>-1612692.6086982139</v>
      </c>
      <c r="N30" s="30">
        <v>-1599845.1936475439</v>
      </c>
      <c r="O30" s="30">
        <v>-1562792.505912212</v>
      </c>
      <c r="P30" s="30">
        <v>-1397067.6446565089</v>
      </c>
      <c r="Q30" s="30">
        <v>-1386066.12734783</v>
      </c>
      <c r="R30" s="30">
        <v>-1383860.984396985</v>
      </c>
      <c r="S30" s="30">
        <v>-1384592.3093069871</v>
      </c>
      <c r="T30" s="30">
        <v>-1380231.656767901</v>
      </c>
      <c r="U30" s="30">
        <v>-1391303.2469004849</v>
      </c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1:39" hidden="1" x14ac:dyDescent="0.25">
      <c r="A31" s="29" t="s">
        <v>212</v>
      </c>
      <c r="B31" s="29"/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hidden="1" x14ac:dyDescent="0.25">
      <c r="A32" s="28" t="s">
        <v>38</v>
      </c>
      <c r="B32" s="28"/>
      <c r="C32" s="19">
        <v>-1459627.5170321791</v>
      </c>
      <c r="D32" s="19">
        <v>-1498265.3696842859</v>
      </c>
      <c r="E32" s="19">
        <v>-1624716.9519422629</v>
      </c>
      <c r="F32" s="19">
        <v>-1295010.381852875</v>
      </c>
      <c r="G32" s="19">
        <v>-1260929.85518936</v>
      </c>
      <c r="H32" s="19">
        <v>-2017172.480522326</v>
      </c>
      <c r="I32" s="19">
        <v>-1941379.1536714721</v>
      </c>
      <c r="J32" s="19">
        <v>-1756135.8551990809</v>
      </c>
      <c r="K32" s="19">
        <v>-1533883.0956714801</v>
      </c>
      <c r="L32" s="19">
        <v>-1318474.661308781</v>
      </c>
      <c r="M32" s="19">
        <v>-1310761.8242631201</v>
      </c>
      <c r="N32" s="19">
        <v>-1326479.5914393601</v>
      </c>
      <c r="O32" s="19">
        <v>-1297207.655238396</v>
      </c>
      <c r="P32" s="19">
        <v>-1192356.3091433579</v>
      </c>
      <c r="Q32" s="19">
        <v>-1166447.85248207</v>
      </c>
      <c r="R32" s="19">
        <v>-1123587.0646633939</v>
      </c>
      <c r="S32" s="19">
        <v>-1084136.1615685711</v>
      </c>
      <c r="T32" s="19">
        <v>-1089452.142385009</v>
      </c>
      <c r="U32" s="19">
        <v>-1109366.117248632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51" hidden="1" x14ac:dyDescent="0.25">
      <c r="A33" s="29" t="s">
        <v>39</v>
      </c>
      <c r="B33" s="29"/>
      <c r="C33" s="30">
        <v>-429597.20186157658</v>
      </c>
      <c r="D33" s="30">
        <v>-437997.2018615767</v>
      </c>
      <c r="E33" s="30">
        <v>-439327.61177274381</v>
      </c>
      <c r="F33" s="30">
        <v>-421436.56568333402</v>
      </c>
      <c r="G33" s="30">
        <v>-417625.25125400448</v>
      </c>
      <c r="H33" s="30">
        <v>-429779.03291124571</v>
      </c>
      <c r="I33" s="30">
        <v>-438613.8774332453</v>
      </c>
      <c r="J33" s="30">
        <v>-438613.8774332453</v>
      </c>
      <c r="K33" s="30">
        <v>-438613.8774332453</v>
      </c>
      <c r="L33" s="30">
        <v>-431988.87743324542</v>
      </c>
      <c r="M33" s="30">
        <v>-431988.87743324542</v>
      </c>
      <c r="N33" s="30">
        <v>-431988.87743324542</v>
      </c>
      <c r="O33" s="30">
        <v>-431988.87743324542</v>
      </c>
      <c r="P33" s="30">
        <v>-465132.67438795208</v>
      </c>
      <c r="Q33" s="30">
        <v>-467824.98208025983</v>
      </c>
      <c r="R33" s="30">
        <v>-469806.79747253627</v>
      </c>
      <c r="S33" s="30">
        <v>-469806.79747253627</v>
      </c>
      <c r="T33" s="30">
        <v>-469806.79747253627</v>
      </c>
      <c r="U33" s="30">
        <v>-482605.70814802177</v>
      </c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</row>
    <row r="34" spans="1:51" hidden="1" x14ac:dyDescent="0.25">
      <c r="A34" s="33" t="s">
        <v>41</v>
      </c>
      <c r="B34" s="33"/>
      <c r="C34" s="19">
        <v>-1889224.718893755</v>
      </c>
      <c r="D34" s="19">
        <v>-1936262.5715458631</v>
      </c>
      <c r="E34" s="19">
        <v>-2064044.563715006</v>
      </c>
      <c r="F34" s="19">
        <v>-1716446.9475362101</v>
      </c>
      <c r="G34" s="19">
        <v>-1678555.1064433639</v>
      </c>
      <c r="H34" s="19">
        <v>-2446951.513433571</v>
      </c>
      <c r="I34" s="19">
        <v>-2379993.0311047169</v>
      </c>
      <c r="J34" s="19">
        <v>-2194749.732632326</v>
      </c>
      <c r="K34" s="19">
        <v>-1972496.9731047249</v>
      </c>
      <c r="L34" s="19">
        <v>-1750463.5387420261</v>
      </c>
      <c r="M34" s="19">
        <v>-1742750.7016963649</v>
      </c>
      <c r="N34" s="19">
        <v>-1758468.4688726049</v>
      </c>
      <c r="O34" s="19">
        <v>-1729196.532671642</v>
      </c>
      <c r="P34" s="19">
        <v>-1657488.98353131</v>
      </c>
      <c r="Q34" s="19">
        <v>-1634272.83456233</v>
      </c>
      <c r="R34" s="19">
        <v>-1593393.86213593</v>
      </c>
      <c r="S34" s="19">
        <v>-1553942.959041107</v>
      </c>
      <c r="T34" s="19">
        <v>-1559258.9398575451</v>
      </c>
      <c r="U34" s="19">
        <v>-1591971.825396654</v>
      </c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51" hidden="1" x14ac:dyDescent="0.25">
      <c r="A35" s="29" t="s">
        <v>42</v>
      </c>
      <c r="B35" s="29"/>
      <c r="C35" s="30">
        <v>850151.12350218988</v>
      </c>
      <c r="D35" s="30">
        <v>871318.1571956384</v>
      </c>
      <c r="E35" s="30">
        <v>928820.05367175292</v>
      </c>
      <c r="F35" s="30">
        <v>772401.1263912943</v>
      </c>
      <c r="G35" s="30">
        <v>755349.79789951385</v>
      </c>
      <c r="H35" s="30">
        <v>978780.60537342867</v>
      </c>
      <c r="I35" s="30">
        <v>951997.21244188701</v>
      </c>
      <c r="J35" s="30">
        <v>877899.89305293048</v>
      </c>
      <c r="K35" s="30">
        <v>788998.78924189007</v>
      </c>
      <c r="L35" s="117">
        <v>787708.59243391163</v>
      </c>
      <c r="M35" s="30">
        <v>784237.81576336431</v>
      </c>
      <c r="N35" s="30">
        <v>791310.81099267222</v>
      </c>
      <c r="O35" s="30">
        <v>778138.43970223877</v>
      </c>
      <c r="P35" s="30">
        <v>662995.59341252409</v>
      </c>
      <c r="Q35" s="30">
        <v>653709.13382493192</v>
      </c>
      <c r="R35" s="30">
        <v>637357.54485437227</v>
      </c>
      <c r="S35" s="30">
        <v>621577.18361644284</v>
      </c>
      <c r="T35" s="30">
        <v>623703.57594301808</v>
      </c>
      <c r="U35" s="30">
        <v>636788.73015866172</v>
      </c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51" ht="13.5" hidden="1" customHeight="1" x14ac:dyDescent="0.25">
      <c r="A36" s="34" t="s">
        <v>213</v>
      </c>
      <c r="B36" s="34"/>
      <c r="C36" s="34">
        <v>-1039073.595391565</v>
      </c>
      <c r="D36" s="34">
        <v>-1064944.4143502249</v>
      </c>
      <c r="E36" s="34">
        <v>-1135224.5100432539</v>
      </c>
      <c r="F36" s="34">
        <v>-944045.8211449153</v>
      </c>
      <c r="G36" s="34">
        <v>-923205.30854385032</v>
      </c>
      <c r="H36" s="34">
        <v>-1468170.908060143</v>
      </c>
      <c r="I36" s="34">
        <v>-1427995.8186628299</v>
      </c>
      <c r="J36" s="34">
        <v>-1316849.839579395</v>
      </c>
      <c r="K36" s="34">
        <v>-1183498.1838628349</v>
      </c>
      <c r="L36" s="34">
        <v>-962754.94630811422</v>
      </c>
      <c r="M36" s="34">
        <v>-958512.88593300083</v>
      </c>
      <c r="N36" s="34">
        <v>-967157.65787993267</v>
      </c>
      <c r="O36" s="34">
        <v>-951058.09296940279</v>
      </c>
      <c r="P36" s="34">
        <v>-994493.3901187859</v>
      </c>
      <c r="Q36" s="34">
        <v>-980563.70073739765</v>
      </c>
      <c r="R36" s="34">
        <v>-956036.31728155818</v>
      </c>
      <c r="S36" s="34">
        <v>-932365.77542466414</v>
      </c>
      <c r="T36" s="34">
        <v>-935555.363914527</v>
      </c>
      <c r="U36" s="34">
        <v>-955183.09523799247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</row>
    <row r="37" spans="1:51" hidden="1" x14ac:dyDescent="0.25">
      <c r="A37" s="29" t="s">
        <v>214</v>
      </c>
      <c r="B37" s="29"/>
      <c r="C37" s="15">
        <v>0</v>
      </c>
      <c r="D37" s="15">
        <v>0</v>
      </c>
      <c r="E37" s="15">
        <v>0</v>
      </c>
      <c r="F37" s="15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51" hidden="1" x14ac:dyDescent="0.25">
      <c r="A38" s="34" t="s">
        <v>43</v>
      </c>
      <c r="B38" s="34"/>
      <c r="C38" s="34">
        <v>-1039073.595391565</v>
      </c>
      <c r="D38" s="34">
        <v>-1064944.4143502249</v>
      </c>
      <c r="E38" s="34">
        <v>-1135224.5100432539</v>
      </c>
      <c r="F38" s="34">
        <v>-944045.8211449153</v>
      </c>
      <c r="G38" s="34">
        <v>-923205.30854385032</v>
      </c>
      <c r="H38" s="34">
        <v>-1468170.908060143</v>
      </c>
      <c r="I38" s="34">
        <v>-1427995.8186628299</v>
      </c>
      <c r="J38" s="34">
        <v>-1316849.839579395</v>
      </c>
      <c r="K38" s="34">
        <v>-1183498.1838628349</v>
      </c>
      <c r="L38" s="34">
        <v>-962754.94630811422</v>
      </c>
      <c r="M38" s="34">
        <v>-958512.88593300083</v>
      </c>
      <c r="N38" s="34">
        <v>-967157.65787993267</v>
      </c>
      <c r="O38" s="34">
        <v>-951058.09296940279</v>
      </c>
      <c r="P38" s="34">
        <v>-994493.3901187859</v>
      </c>
      <c r="Q38" s="34">
        <v>-980563.70073739765</v>
      </c>
      <c r="R38" s="34">
        <v>-956036.31728155818</v>
      </c>
      <c r="S38" s="34">
        <v>-932365.77542466414</v>
      </c>
      <c r="T38" s="34">
        <v>-935555.363914527</v>
      </c>
      <c r="U38" s="34">
        <v>-955183.09523799247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</row>
    <row r="39" spans="1:51" ht="17.25" hidden="1" customHeight="1" x14ac:dyDescent="0.25"/>
    <row r="40" spans="1:51" x14ac:dyDescent="0.25">
      <c r="A40" s="27" t="s">
        <v>205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>
        <v>45961</v>
      </c>
      <c r="AL40" s="22">
        <v>45991</v>
      </c>
      <c r="AM40" s="22">
        <v>46022</v>
      </c>
      <c r="AN40" s="22">
        <v>46053</v>
      </c>
      <c r="AO40" s="22">
        <v>46081</v>
      </c>
      <c r="AP40" s="22">
        <v>46112</v>
      </c>
      <c r="AQ40" s="22">
        <v>46142</v>
      </c>
      <c r="AR40" s="22">
        <v>46173</v>
      </c>
      <c r="AS40" s="22">
        <v>46203</v>
      </c>
      <c r="AT40" s="22">
        <v>46234</v>
      </c>
      <c r="AU40" s="22">
        <v>46265</v>
      </c>
      <c r="AV40" s="22">
        <v>46295</v>
      </c>
      <c r="AW40" s="22">
        <v>46326</v>
      </c>
      <c r="AX40" s="22">
        <v>46356</v>
      </c>
      <c r="AY40" s="22">
        <v>46387</v>
      </c>
    </row>
    <row r="41" spans="1:51" s="344" customFormat="1" x14ac:dyDescent="0.25">
      <c r="A41" s="341" t="s">
        <v>9</v>
      </c>
      <c r="B41" s="341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3">
        <v>7566322.7801623112</v>
      </c>
      <c r="AL41" s="343">
        <v>7624696.8756085997</v>
      </c>
      <c r="AM41" s="343">
        <v>8567872.1321728714</v>
      </c>
      <c r="AN41" s="343">
        <v>7701714.3278747303</v>
      </c>
      <c r="AO41" s="343">
        <v>6991516.2159811109</v>
      </c>
      <c r="AP41" s="343">
        <v>7759392.6523530688</v>
      </c>
      <c r="AQ41" s="343">
        <v>7551511.9999251757</v>
      </c>
      <c r="AR41" s="343">
        <v>7837760.5070570959</v>
      </c>
      <c r="AS41" s="343">
        <v>7626952.7998885429</v>
      </c>
      <c r="AT41" s="343">
        <v>7915101.693382415</v>
      </c>
      <c r="AU41" s="343">
        <v>7957281.7235967433</v>
      </c>
      <c r="AV41" s="343">
        <v>7742730.8212623876</v>
      </c>
      <c r="AW41" s="343">
        <v>8034591.5490920534</v>
      </c>
      <c r="AX41" s="343">
        <v>7819668.8829747951</v>
      </c>
      <c r="AY41" s="343">
        <v>8113540.6986555317</v>
      </c>
    </row>
    <row r="42" spans="1:51" x14ac:dyDescent="0.25">
      <c r="A42" s="33" t="s">
        <v>10</v>
      </c>
      <c r="B42" s="33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39">
        <v>7553856.2184601836</v>
      </c>
      <c r="AL42" s="139">
        <v>7612230.3139064722</v>
      </c>
      <c r="AM42" s="139">
        <v>8555405.5704707429</v>
      </c>
      <c r="AN42" s="139">
        <v>7701714.3278747303</v>
      </c>
      <c r="AO42" s="139">
        <v>6991516.2159811109</v>
      </c>
      <c r="AP42" s="139">
        <v>7759392.6523530688</v>
      </c>
      <c r="AQ42" s="139">
        <v>7551511.9999251757</v>
      </c>
      <c r="AR42" s="139">
        <v>7837760.5070570959</v>
      </c>
      <c r="AS42" s="139">
        <v>7626952.7998885429</v>
      </c>
      <c r="AT42" s="139">
        <v>7915101.693382415</v>
      </c>
      <c r="AU42" s="139">
        <v>7957281.7235967433</v>
      </c>
      <c r="AV42" s="139">
        <v>7742730.8212623876</v>
      </c>
      <c r="AW42" s="139">
        <v>8034591.5490920534</v>
      </c>
      <c r="AX42" s="139">
        <v>7819668.8829747951</v>
      </c>
      <c r="AY42" s="139">
        <v>8113540.6986555317</v>
      </c>
    </row>
    <row r="43" spans="1:51" x14ac:dyDescent="0.25">
      <c r="A43" s="405" t="s">
        <v>11</v>
      </c>
      <c r="B43" s="40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406">
        <v>5801472.071924828</v>
      </c>
      <c r="AL43" s="406">
        <v>5921701.6052248888</v>
      </c>
      <c r="AM43" s="406">
        <v>6819812.3072704878</v>
      </c>
      <c r="AN43" s="406">
        <v>5963466.9907451728</v>
      </c>
      <c r="AO43" s="406">
        <v>5428491.0037286356</v>
      </c>
      <c r="AP43" s="406">
        <v>6046154.6488325596</v>
      </c>
      <c r="AQ43" s="406">
        <v>5903016.4486825932</v>
      </c>
      <c r="AR43" s="406">
        <v>6147095.4900184721</v>
      </c>
      <c r="AS43" s="406">
        <v>6000520.7734480584</v>
      </c>
      <c r="AT43" s="406">
        <v>6247546.9930911092</v>
      </c>
      <c r="AU43" s="406">
        <v>6300778.3862424744</v>
      </c>
      <c r="AV43" s="406">
        <v>6149762.4658941692</v>
      </c>
      <c r="AW43" s="406">
        <v>6401948.16805619</v>
      </c>
      <c r="AX43" s="406">
        <v>6249989.7312229583</v>
      </c>
      <c r="AY43" s="406">
        <v>6505270.9585378421</v>
      </c>
    </row>
    <row r="44" spans="1:51" x14ac:dyDescent="0.25">
      <c r="A44" s="78" t="s">
        <v>254</v>
      </c>
      <c r="B44" s="78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42">
        <v>5816589.071924828</v>
      </c>
      <c r="AL44" s="42">
        <v>6051310.5452248892</v>
      </c>
      <c r="AM44" s="42">
        <v>6375548.8872704878</v>
      </c>
      <c r="AN44" s="42">
        <v>6005125.0754195033</v>
      </c>
      <c r="AO44" s="42">
        <v>5480059.0694620116</v>
      </c>
      <c r="AP44" s="42">
        <v>6098549.6855990337</v>
      </c>
      <c r="AQ44" s="42">
        <v>5955334.9157754974</v>
      </c>
      <c r="AR44" s="42">
        <v>6200782.6507593542</v>
      </c>
      <c r="AS44" s="42">
        <v>6054725.0136952633</v>
      </c>
      <c r="AT44" s="42">
        <v>6303928.0800816081</v>
      </c>
      <c r="AU44" s="42">
        <v>6358917.00706835</v>
      </c>
      <c r="AV44" s="42">
        <v>6208780.211324431</v>
      </c>
      <c r="AW44" s="42">
        <v>6463987.0555464122</v>
      </c>
      <c r="AX44" s="42">
        <v>6313056.2233560802</v>
      </c>
      <c r="AY44" s="42">
        <v>6571734.4595576227</v>
      </c>
    </row>
    <row r="45" spans="1:51" x14ac:dyDescent="0.25">
      <c r="A45" s="78" t="s">
        <v>255</v>
      </c>
      <c r="B45" s="78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270">
        <v>-15117</v>
      </c>
      <c r="AL45" s="270">
        <v>-129608.94</v>
      </c>
      <c r="AM45" s="270">
        <v>444263.42</v>
      </c>
      <c r="AN45" s="270">
        <v>-41658.084674330341</v>
      </c>
      <c r="AO45" s="270">
        <v>-51568.065733377218</v>
      </c>
      <c r="AP45" s="270">
        <v>-52395.03676647383</v>
      </c>
      <c r="AQ45" s="270">
        <v>-52318.46709290368</v>
      </c>
      <c r="AR45" s="270">
        <v>-53687.160740882457</v>
      </c>
      <c r="AS45" s="270">
        <v>-54204.240247204638</v>
      </c>
      <c r="AT45" s="270">
        <v>-56381.086990498523</v>
      </c>
      <c r="AU45" s="270">
        <v>-58138.620825876002</v>
      </c>
      <c r="AV45" s="270">
        <v>-59017.745430261697</v>
      </c>
      <c r="AW45" s="270">
        <v>-62038.887490222492</v>
      </c>
      <c r="AX45" s="270">
        <v>-63066.492133122338</v>
      </c>
      <c r="AY45" s="270">
        <v>-66463.501019780088</v>
      </c>
    </row>
    <row r="46" spans="1:51" x14ac:dyDescent="0.25">
      <c r="A46" s="78" t="s">
        <v>12</v>
      </c>
      <c r="B46" s="78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270">
        <v>0</v>
      </c>
      <c r="AL46" s="270">
        <v>0</v>
      </c>
      <c r="AM46" s="270">
        <v>0</v>
      </c>
      <c r="AN46" s="270">
        <v>0</v>
      </c>
      <c r="AO46" s="270">
        <v>0</v>
      </c>
      <c r="AP46" s="270">
        <v>0</v>
      </c>
      <c r="AQ46" s="270">
        <v>0</v>
      </c>
      <c r="AR46" s="270">
        <v>0</v>
      </c>
      <c r="AS46" s="270">
        <v>0</v>
      </c>
      <c r="AT46" s="270">
        <v>0</v>
      </c>
      <c r="AU46" s="270">
        <v>0</v>
      </c>
      <c r="AV46" s="270">
        <v>0</v>
      </c>
      <c r="AW46" s="270">
        <v>0</v>
      </c>
      <c r="AX46" s="270">
        <v>0</v>
      </c>
      <c r="AY46" s="270">
        <v>0</v>
      </c>
    </row>
    <row r="47" spans="1:51" x14ac:dyDescent="0.25">
      <c r="A47" s="78" t="s">
        <v>13</v>
      </c>
      <c r="B47" s="7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270">
        <v>0</v>
      </c>
      <c r="AL47" s="270">
        <v>0</v>
      </c>
      <c r="AM47" s="270">
        <v>0</v>
      </c>
      <c r="AN47" s="270">
        <v>0</v>
      </c>
      <c r="AO47" s="270">
        <v>0</v>
      </c>
      <c r="AP47" s="270">
        <v>0</v>
      </c>
      <c r="AQ47" s="270">
        <v>0</v>
      </c>
      <c r="AR47" s="270">
        <v>0</v>
      </c>
      <c r="AS47" s="270">
        <v>0</v>
      </c>
      <c r="AT47" s="270">
        <v>0</v>
      </c>
      <c r="AU47" s="270">
        <v>0</v>
      </c>
      <c r="AV47" s="270">
        <v>0</v>
      </c>
      <c r="AW47" s="270">
        <v>0</v>
      </c>
      <c r="AX47" s="270">
        <v>0</v>
      </c>
      <c r="AY47" s="270">
        <v>0</v>
      </c>
    </row>
    <row r="48" spans="1:51" x14ac:dyDescent="0.25">
      <c r="A48" s="78" t="s">
        <v>14</v>
      </c>
      <c r="B48" s="78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270">
        <v>1752384.1465353561</v>
      </c>
      <c r="AL48" s="270">
        <v>1690528.7086815829</v>
      </c>
      <c r="AM48" s="270">
        <v>1735593.2632002551</v>
      </c>
      <c r="AN48" s="270">
        <v>1725780.7754274299</v>
      </c>
      <c r="AO48" s="270">
        <v>1550558.650550348</v>
      </c>
      <c r="AP48" s="270">
        <v>1700771.4418183819</v>
      </c>
      <c r="AQ48" s="270">
        <v>1636028.9895404549</v>
      </c>
      <c r="AR48" s="270">
        <v>1678198.455336496</v>
      </c>
      <c r="AS48" s="270">
        <v>1613965.4647383571</v>
      </c>
      <c r="AT48" s="270">
        <v>1655088.138589178</v>
      </c>
      <c r="AU48" s="270">
        <v>1644036.7756521411</v>
      </c>
      <c r="AV48" s="270">
        <v>1580501.793666092</v>
      </c>
      <c r="AW48" s="270">
        <v>1620176.8193337361</v>
      </c>
      <c r="AX48" s="270">
        <v>1557212.590049709</v>
      </c>
      <c r="AY48" s="270">
        <v>1595803.178415562</v>
      </c>
    </row>
    <row r="49" spans="1:51" x14ac:dyDescent="0.25">
      <c r="A49" s="29" t="s">
        <v>15</v>
      </c>
      <c r="B49" s="29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270">
        <v>0</v>
      </c>
      <c r="AL49" s="270">
        <v>0</v>
      </c>
      <c r="AM49" s="270">
        <v>0</v>
      </c>
      <c r="AN49" s="270">
        <v>0</v>
      </c>
      <c r="AO49" s="270">
        <v>0</v>
      </c>
      <c r="AP49" s="270">
        <v>0</v>
      </c>
      <c r="AQ49" s="270">
        <v>0</v>
      </c>
      <c r="AR49" s="270">
        <v>0</v>
      </c>
      <c r="AS49" s="270">
        <v>0</v>
      </c>
      <c r="AT49" s="270">
        <v>0</v>
      </c>
      <c r="AU49" s="270">
        <v>0</v>
      </c>
      <c r="AV49" s="270">
        <v>0</v>
      </c>
      <c r="AW49" s="270">
        <v>0</v>
      </c>
      <c r="AX49" s="270">
        <v>0</v>
      </c>
      <c r="AY49" s="270">
        <v>0</v>
      </c>
    </row>
    <row r="50" spans="1:51" hidden="1" outlineLevel="1" x14ac:dyDescent="0.25">
      <c r="A50" s="77" t="s">
        <v>15</v>
      </c>
      <c r="B50" s="2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51" hidden="1" outlineLevel="1" x14ac:dyDescent="0.25">
      <c r="A51" s="77" t="s">
        <v>253</v>
      </c>
      <c r="B51" s="29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spans="1:51" collapsed="1" x14ac:dyDescent="0.25">
      <c r="A52" s="29" t="s">
        <v>16</v>
      </c>
      <c r="B52" s="2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42">
        <v>12466.561702127659</v>
      </c>
      <c r="AL52" s="42">
        <v>12466.561702127659</v>
      </c>
      <c r="AM52" s="42">
        <v>12466.561702127659</v>
      </c>
      <c r="AN52" s="42">
        <v>12466.561702127659</v>
      </c>
      <c r="AO52" s="42">
        <v>12466.561702127659</v>
      </c>
      <c r="AP52" s="42">
        <v>12466.561702127659</v>
      </c>
      <c r="AQ52" s="42">
        <v>12466.561702127659</v>
      </c>
      <c r="AR52" s="42">
        <v>12466.561702127659</v>
      </c>
      <c r="AS52" s="42">
        <v>12466.561702127659</v>
      </c>
      <c r="AT52" s="42">
        <v>12466.561702127659</v>
      </c>
      <c r="AU52" s="42">
        <v>12466.561702127659</v>
      </c>
      <c r="AV52" s="42">
        <v>12466.561702127659</v>
      </c>
      <c r="AW52" s="42">
        <v>12466.561702127659</v>
      </c>
      <c r="AX52" s="42">
        <v>12466.561702127659</v>
      </c>
      <c r="AY52" s="42">
        <v>12466.561702127659</v>
      </c>
    </row>
    <row r="53" spans="1:51" x14ac:dyDescent="0.25">
      <c r="A53" s="29" t="s">
        <v>17</v>
      </c>
      <c r="B53" s="2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25">
      <c r="A54" s="29" t="s">
        <v>18</v>
      </c>
      <c r="B54" s="2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hidden="1" outlineLevel="1" x14ac:dyDescent="0.25">
      <c r="A55" s="82" t="s">
        <v>206</v>
      </c>
      <c r="B55" s="2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51" hidden="1" outlineLevel="1" x14ac:dyDescent="0.25">
      <c r="A56" s="82" t="s">
        <v>207</v>
      </c>
      <c r="B56" s="2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51" hidden="1" outlineLevel="1" x14ac:dyDescent="0.25">
      <c r="A57" s="82" t="s">
        <v>208</v>
      </c>
      <c r="B57" s="2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51" collapsed="1" x14ac:dyDescent="0.25">
      <c r="A58" s="29" t="s">
        <v>19</v>
      </c>
      <c r="B58" s="2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25">
      <c r="A59" s="31" t="s">
        <v>20</v>
      </c>
      <c r="B59" s="31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25">
      <c r="A60" s="31" t="s">
        <v>21</v>
      </c>
      <c r="B60" s="31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s="344" customFormat="1" x14ac:dyDescent="0.25">
      <c r="A61" s="341" t="s">
        <v>23</v>
      </c>
      <c r="B61" s="341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5">
        <v>-5004748.2495104196</v>
      </c>
      <c r="AL61" s="345">
        <v>-3848863.7478012228</v>
      </c>
      <c r="AM61" s="345">
        <v>-4693765.5309448922</v>
      </c>
      <c r="AN61" s="345">
        <v>-4007371.9567411519</v>
      </c>
      <c r="AO61" s="345">
        <v>-3324628.9282636922</v>
      </c>
      <c r="AP61" s="345">
        <v>-4620516.8878536606</v>
      </c>
      <c r="AQ61" s="345">
        <v>-4409897.2928085681</v>
      </c>
      <c r="AR61" s="345">
        <v>-4475938.9815478604</v>
      </c>
      <c r="AS61" s="345">
        <v>-4848789.1478439961</v>
      </c>
      <c r="AT61" s="345">
        <v>-5185752.6418118542</v>
      </c>
      <c r="AU61" s="345">
        <v>-4722997.5511370879</v>
      </c>
      <c r="AV61" s="345">
        <v>-4748321.0638788845</v>
      </c>
      <c r="AW61" s="345">
        <v>-4771630.0003017345</v>
      </c>
      <c r="AX61" s="345">
        <v>-4296891.0928221894</v>
      </c>
      <c r="AY61" s="345">
        <v>-4597062.6494736839</v>
      </c>
    </row>
    <row r="62" spans="1:51" x14ac:dyDescent="0.25">
      <c r="A62" s="33" t="s">
        <v>209</v>
      </c>
      <c r="B62" s="33"/>
      <c r="C62" s="407"/>
      <c r="D62" s="407"/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19"/>
      <c r="AC62" s="19"/>
      <c r="AD62" s="19"/>
      <c r="AE62" s="19"/>
      <c r="AF62" s="19"/>
      <c r="AG62" s="19"/>
      <c r="AH62" s="19"/>
      <c r="AI62" s="19"/>
      <c r="AJ62" s="19"/>
      <c r="AK62" s="408">
        <v>-5004748.2495104196</v>
      </c>
      <c r="AL62" s="408">
        <v>-3848863.7478012228</v>
      </c>
      <c r="AM62" s="408">
        <v>-4693765.5309448922</v>
      </c>
      <c r="AN62" s="408">
        <v>-4007371.9567411519</v>
      </c>
      <c r="AO62" s="408">
        <v>-3324628.9282636922</v>
      </c>
      <c r="AP62" s="408">
        <v>-4620516.8878536606</v>
      </c>
      <c r="AQ62" s="408">
        <v>-4409897.2928085681</v>
      </c>
      <c r="AR62" s="408">
        <v>-4475938.9815478604</v>
      </c>
      <c r="AS62" s="408">
        <v>-4848789.1478439961</v>
      </c>
      <c r="AT62" s="408">
        <v>-5185752.6418118542</v>
      </c>
      <c r="AU62" s="408">
        <v>-4722997.5511370879</v>
      </c>
      <c r="AV62" s="408">
        <v>-4748321.0638788845</v>
      </c>
      <c r="AW62" s="408">
        <v>-4771630.0003017345</v>
      </c>
      <c r="AX62" s="408">
        <v>-4296891.0928221894</v>
      </c>
      <c r="AY62" s="408">
        <v>-4597062.6494736839</v>
      </c>
    </row>
    <row r="63" spans="1:51" x14ac:dyDescent="0.25">
      <c r="A63" s="77" t="s">
        <v>25</v>
      </c>
      <c r="B63" s="77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15"/>
      <c r="AC63" s="15"/>
      <c r="AD63" s="15"/>
      <c r="AE63" s="15"/>
      <c r="AF63" s="15"/>
      <c r="AG63" s="15"/>
      <c r="AH63" s="15"/>
      <c r="AI63" s="15"/>
      <c r="AJ63" s="15"/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25">
      <c r="A64" s="78" t="s">
        <v>28</v>
      </c>
      <c r="B64" s="78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270">
        <v>-6291263.2737299297</v>
      </c>
      <c r="AL64" s="270">
        <v>-4686038.0722755259</v>
      </c>
      <c r="AM64" s="270">
        <v>-5712593.1527910959</v>
      </c>
      <c r="AN64" s="270">
        <v>-4887881.7958077108</v>
      </c>
      <c r="AO64" s="270">
        <v>-4008310.8490808271</v>
      </c>
      <c r="AP64" s="270">
        <v>-5697287.0868866928</v>
      </c>
      <c r="AQ64" s="270">
        <v>-5117668.8473653272</v>
      </c>
      <c r="AR64" s="270">
        <v>-5078309.7303367183</v>
      </c>
      <c r="AS64" s="270">
        <v>-5501427.3458047379</v>
      </c>
      <c r="AT64" s="270">
        <v>-5895987.5973137552</v>
      </c>
      <c r="AU64" s="270">
        <v>-5299733.384203339</v>
      </c>
      <c r="AV64" s="270">
        <v>-5291278.202313154</v>
      </c>
      <c r="AW64" s="270">
        <v>-5285602.4855760457</v>
      </c>
      <c r="AX64" s="270">
        <v>-4704113.6063445872</v>
      </c>
      <c r="AY64" s="270">
        <v>-5079850.4285231419</v>
      </c>
    </row>
    <row r="65" spans="1:54" x14ac:dyDescent="0.25">
      <c r="A65" s="77" t="s">
        <v>210</v>
      </c>
      <c r="B65" s="77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15"/>
      <c r="AC65" s="15"/>
      <c r="AD65" s="15"/>
      <c r="AE65" s="15"/>
      <c r="AF65" s="15"/>
      <c r="AG65" s="15"/>
      <c r="AH65" s="15"/>
      <c r="AI65" s="15"/>
      <c r="AJ65" s="15"/>
      <c r="AK65" s="270">
        <v>564208.53929258103</v>
      </c>
      <c r="AL65" s="270">
        <v>381029.16449304792</v>
      </c>
      <c r="AM65" s="270">
        <v>571832.55175157846</v>
      </c>
      <c r="AN65" s="270">
        <v>531727.92986439401</v>
      </c>
      <c r="AO65" s="270">
        <v>403487.21220038063</v>
      </c>
      <c r="AP65" s="270">
        <v>685924.94413180952</v>
      </c>
      <c r="AQ65" s="270">
        <v>463465.42602966109</v>
      </c>
      <c r="AR65" s="270">
        <v>442543.49777184858</v>
      </c>
      <c r="AS65" s="270">
        <v>459367.83211944893</v>
      </c>
      <c r="AT65" s="270">
        <v>500253.85459718801</v>
      </c>
      <c r="AU65" s="270">
        <v>449216.6309305816</v>
      </c>
      <c r="AV65" s="270">
        <v>446681.13378639851</v>
      </c>
      <c r="AW65" s="270">
        <v>445031.52025858202</v>
      </c>
      <c r="AX65" s="270">
        <v>395412.57669710612</v>
      </c>
      <c r="AY65" s="270">
        <v>464056.31963014841</v>
      </c>
    </row>
    <row r="66" spans="1:54" x14ac:dyDescent="0.25">
      <c r="A66" s="77" t="s">
        <v>30</v>
      </c>
      <c r="B66" s="77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15"/>
      <c r="AC66" s="15"/>
      <c r="AD66" s="15"/>
      <c r="AE66" s="15"/>
      <c r="AF66" s="15"/>
      <c r="AG66" s="15"/>
      <c r="AH66" s="15"/>
      <c r="AI66" s="15"/>
      <c r="AJ66" s="15"/>
      <c r="AK66" s="270">
        <v>722306.48492692807</v>
      </c>
      <c r="AL66" s="270">
        <v>456145.15998125478</v>
      </c>
      <c r="AM66" s="270">
        <v>446995.07009462541</v>
      </c>
      <c r="AN66" s="270">
        <v>348781.9092021641</v>
      </c>
      <c r="AO66" s="270">
        <v>280194.70861675427</v>
      </c>
      <c r="AP66" s="270">
        <v>390845.25490122271</v>
      </c>
      <c r="AQ66" s="270">
        <v>244306.12852709819</v>
      </c>
      <c r="AR66" s="270">
        <v>159827.25101700859</v>
      </c>
      <c r="AS66" s="270">
        <v>193270.36584129269</v>
      </c>
      <c r="AT66" s="270">
        <v>209981.1009047133</v>
      </c>
      <c r="AU66" s="270">
        <v>127519.2021356691</v>
      </c>
      <c r="AV66" s="270">
        <v>96276.004647871829</v>
      </c>
      <c r="AW66" s="270">
        <v>68940.965015727721</v>
      </c>
      <c r="AX66" s="270">
        <v>11809.93682529105</v>
      </c>
      <c r="AY66" s="270">
        <v>18731.45941930986</v>
      </c>
    </row>
    <row r="67" spans="1:54" x14ac:dyDescent="0.25">
      <c r="A67" s="29" t="s">
        <v>31</v>
      </c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15"/>
      <c r="AC67" s="15"/>
      <c r="AD67" s="15"/>
      <c r="AE67" s="15"/>
      <c r="AF67" s="15"/>
      <c r="AG67" s="15"/>
      <c r="AH67" s="15"/>
      <c r="AI67" s="15"/>
      <c r="AJ67" s="15"/>
      <c r="AK67" s="270">
        <v>-120040.2847343243</v>
      </c>
      <c r="AL67" s="270">
        <v>-162159.62788690519</v>
      </c>
      <c r="AM67" s="270">
        <v>-148120.86375395479</v>
      </c>
      <c r="AN67" s="270">
        <v>-135078</v>
      </c>
      <c r="AO67" s="270">
        <v>-138230.36958757311</v>
      </c>
      <c r="AP67" s="270">
        <v>-169005.8018210294</v>
      </c>
      <c r="AQ67" s="270">
        <v>-168402.61924065309</v>
      </c>
      <c r="AR67" s="270">
        <v>-156646.84378827919</v>
      </c>
      <c r="AS67" s="270">
        <v>-170010.17439540269</v>
      </c>
      <c r="AT67" s="270">
        <v>-154750.91611936179</v>
      </c>
      <c r="AU67" s="270">
        <v>-174347.3823241978</v>
      </c>
      <c r="AV67" s="270">
        <v>-175986.98260983729</v>
      </c>
      <c r="AW67" s="270">
        <v>-182452.01544595009</v>
      </c>
      <c r="AX67" s="270">
        <v>-200340.97153348519</v>
      </c>
      <c r="AY67" s="270">
        <v>-183383.00236543801</v>
      </c>
    </row>
    <row r="68" spans="1:54" s="3" customFormat="1" x14ac:dyDescent="0.25">
      <c r="A68" s="346" t="s">
        <v>32</v>
      </c>
      <c r="B68" s="346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  <c r="AH68" s="347"/>
      <c r="AI68" s="347"/>
      <c r="AJ68" s="347"/>
      <c r="AK68" s="343">
        <v>2441534.2459175661</v>
      </c>
      <c r="AL68" s="343">
        <v>3613673.4999204711</v>
      </c>
      <c r="AM68" s="343">
        <v>3725985.7374740238</v>
      </c>
      <c r="AN68" s="343">
        <v>3559264.371133578</v>
      </c>
      <c r="AO68" s="343">
        <v>3528656.918129846</v>
      </c>
      <c r="AP68" s="343">
        <v>2969869.9626783789</v>
      </c>
      <c r="AQ68" s="343">
        <v>2973212.0878759539</v>
      </c>
      <c r="AR68" s="343">
        <v>3205174.6817209562</v>
      </c>
      <c r="AS68" s="343">
        <v>2608153.4776491439</v>
      </c>
      <c r="AT68" s="343">
        <v>2574598.135451199</v>
      </c>
      <c r="AU68" s="343">
        <v>3059936.7901354581</v>
      </c>
      <c r="AV68" s="343">
        <v>2818422.7747736671</v>
      </c>
      <c r="AW68" s="343">
        <v>3080509.533344368</v>
      </c>
      <c r="AX68" s="343">
        <v>3322436.8186191199</v>
      </c>
      <c r="AY68" s="343">
        <v>3333095.04681641</v>
      </c>
    </row>
    <row r="69" spans="1:54" x14ac:dyDescent="0.25">
      <c r="A69" s="29" t="s">
        <v>33</v>
      </c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15"/>
      <c r="AC69" s="15"/>
      <c r="AD69" s="15"/>
      <c r="AE69" s="15"/>
      <c r="AF69" s="15"/>
      <c r="AG69" s="15"/>
      <c r="AH69" s="15"/>
      <c r="AI69" s="15"/>
      <c r="AJ69" s="15"/>
      <c r="AK69" s="270">
        <v>-552974.40798356384</v>
      </c>
      <c r="AL69" s="270">
        <v>-664269.3535892088</v>
      </c>
      <c r="AM69" s="270">
        <v>-408609.67208798788</v>
      </c>
      <c r="AN69" s="270">
        <v>-724706.99754799716</v>
      </c>
      <c r="AO69" s="270">
        <v>-555191.519429693</v>
      </c>
      <c r="AP69" s="270">
        <v>-577819.12003649399</v>
      </c>
      <c r="AQ69" s="270">
        <v>-572342.10295092128</v>
      </c>
      <c r="AR69" s="270">
        <v>-579408.77179348096</v>
      </c>
      <c r="AS69" s="270">
        <v>-569041.41948436201</v>
      </c>
      <c r="AT69" s="270">
        <v>-640107.41987605207</v>
      </c>
      <c r="AU69" s="270">
        <v>-637930.47458266281</v>
      </c>
      <c r="AV69" s="270">
        <v>-627338.15859918855</v>
      </c>
      <c r="AW69" s="270">
        <v>-639328.32400418632</v>
      </c>
      <c r="AX69" s="270">
        <v>-628332.23700807989</v>
      </c>
      <c r="AY69" s="270">
        <v>-634500.91189786792</v>
      </c>
    </row>
    <row r="70" spans="1:54" s="3" customFormat="1" x14ac:dyDescent="0.25">
      <c r="A70" s="346" t="s">
        <v>35</v>
      </c>
      <c r="B70" s="346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  <c r="AA70" s="347"/>
      <c r="AB70" s="347"/>
      <c r="AC70" s="347"/>
      <c r="AD70" s="347"/>
      <c r="AE70" s="347"/>
      <c r="AF70" s="347"/>
      <c r="AG70" s="347"/>
      <c r="AH70" s="347"/>
      <c r="AI70" s="347"/>
      <c r="AJ70" s="347"/>
      <c r="AK70" s="343">
        <v>1888559.837934002</v>
      </c>
      <c r="AL70" s="343">
        <v>2949404.1463312618</v>
      </c>
      <c r="AM70" s="343">
        <v>3317376.0653860359</v>
      </c>
      <c r="AN70" s="343">
        <v>2834557.3735855808</v>
      </c>
      <c r="AO70" s="343">
        <v>2973465.398700153</v>
      </c>
      <c r="AP70" s="343">
        <v>2392050.8426418849</v>
      </c>
      <c r="AQ70" s="343">
        <v>2400869.9849250331</v>
      </c>
      <c r="AR70" s="343">
        <v>2625765.9099274748</v>
      </c>
      <c r="AS70" s="343">
        <v>2039112.0581647819</v>
      </c>
      <c r="AT70" s="343">
        <v>1934490.715575147</v>
      </c>
      <c r="AU70" s="343">
        <v>2422006.3155527948</v>
      </c>
      <c r="AV70" s="343">
        <v>2191084.6161744781</v>
      </c>
      <c r="AW70" s="343">
        <v>2441181.2093401821</v>
      </c>
      <c r="AX70" s="343">
        <v>2694104.581611041</v>
      </c>
      <c r="AY70" s="343">
        <v>2698594.1349185421</v>
      </c>
    </row>
    <row r="71" spans="1:54" x14ac:dyDescent="0.25">
      <c r="A71" s="29" t="s">
        <v>36</v>
      </c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15"/>
      <c r="AC71" s="15"/>
      <c r="AD71" s="15"/>
      <c r="AE71" s="15"/>
      <c r="AF71" s="15"/>
      <c r="AG71" s="15"/>
      <c r="AH71" s="15"/>
      <c r="AI71" s="15"/>
      <c r="AJ71" s="15"/>
      <c r="AK71" s="42">
        <v>-383570.08659444528</v>
      </c>
      <c r="AL71" s="42">
        <v>-383570.08659444528</v>
      </c>
      <c r="AM71" s="42">
        <v>-383570.08659444528</v>
      </c>
      <c r="AN71" s="270">
        <v>-423570.08659444528</v>
      </c>
      <c r="AO71" s="270">
        <v>-475521.65613863629</v>
      </c>
      <c r="AP71" s="270">
        <v>-486890.13951879612</v>
      </c>
      <c r="AQ71" s="270">
        <v>-486890.13951879612</v>
      </c>
      <c r="AR71" s="270">
        <v>-486890.13951879612</v>
      </c>
      <c r="AS71" s="270">
        <v>-497979.28378861438</v>
      </c>
      <c r="AT71" s="270">
        <v>-498703.08097511443</v>
      </c>
      <c r="AU71" s="270">
        <v>-498703.08097511443</v>
      </c>
      <c r="AV71" s="270">
        <v>-498703.08097511443</v>
      </c>
      <c r="AW71" s="270">
        <v>-498703.08097511443</v>
      </c>
      <c r="AX71" s="270">
        <v>-498703.08097511443</v>
      </c>
      <c r="AY71" s="270">
        <v>-502907.91776599438</v>
      </c>
      <c r="AZ71">
        <v>-1</v>
      </c>
      <c r="BB71" s="88"/>
    </row>
    <row r="72" spans="1:54" x14ac:dyDescent="0.25">
      <c r="A72" s="29" t="s">
        <v>212</v>
      </c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15"/>
      <c r="AC72" s="15"/>
      <c r="AD72" s="15"/>
      <c r="AE72" s="15"/>
      <c r="AF72" s="15"/>
      <c r="AG72" s="15"/>
      <c r="AH72" s="15"/>
      <c r="AI72" s="15"/>
      <c r="AJ72" s="15"/>
      <c r="AK72" s="270">
        <v>0</v>
      </c>
      <c r="AL72" s="270">
        <v>0</v>
      </c>
      <c r="AM72" s="270">
        <v>0</v>
      </c>
      <c r="AN72" s="270">
        <v>0</v>
      </c>
      <c r="AO72" s="270">
        <v>0</v>
      </c>
      <c r="AP72" s="270">
        <v>0</v>
      </c>
      <c r="AQ72" s="270">
        <v>0</v>
      </c>
      <c r="AR72" s="270">
        <v>0</v>
      </c>
      <c r="AS72" s="270">
        <v>0</v>
      </c>
      <c r="AT72" s="270">
        <v>0</v>
      </c>
      <c r="AU72" s="270">
        <v>0</v>
      </c>
      <c r="AV72" s="270">
        <v>0</v>
      </c>
      <c r="AW72" s="270">
        <v>0</v>
      </c>
      <c r="AX72" s="270">
        <v>0</v>
      </c>
      <c r="AY72" s="270">
        <v>0</v>
      </c>
    </row>
    <row r="73" spans="1:54" s="3" customFormat="1" x14ac:dyDescent="0.25">
      <c r="A73" s="341" t="s">
        <v>38</v>
      </c>
      <c r="B73" s="341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8"/>
      <c r="W73" s="348"/>
      <c r="X73" s="348"/>
      <c r="Y73" s="348"/>
      <c r="Z73" s="348"/>
      <c r="AA73" s="348"/>
      <c r="AB73" s="347"/>
      <c r="AC73" s="347"/>
      <c r="AD73" s="347"/>
      <c r="AE73" s="347"/>
      <c r="AF73" s="347"/>
      <c r="AG73" s="347"/>
      <c r="AH73" s="347"/>
      <c r="AI73" s="347"/>
      <c r="AJ73" s="347"/>
      <c r="AK73" s="343">
        <v>1371444.0469855289</v>
      </c>
      <c r="AL73" s="343">
        <v>2441219.3904994559</v>
      </c>
      <c r="AM73" s="343">
        <v>2816867.535575063</v>
      </c>
      <c r="AN73" s="343">
        <v>2303808.4983037752</v>
      </c>
      <c r="AO73" s="343">
        <v>2400426.734024155</v>
      </c>
      <c r="AP73" s="343">
        <v>1817078.5367423941</v>
      </c>
      <c r="AQ73" s="343">
        <v>1834329.2224663759</v>
      </c>
      <c r="AR73" s="343">
        <v>2063263.9042146511</v>
      </c>
      <c r="AS73" s="343">
        <v>1468027.06485714</v>
      </c>
      <c r="AT73" s="343">
        <v>1367294.781781838</v>
      </c>
      <c r="AU73" s="343">
        <v>1859502.2882094861</v>
      </c>
      <c r="AV73" s="343">
        <v>1633237.891068669</v>
      </c>
      <c r="AW73" s="343">
        <v>1887643.2321577061</v>
      </c>
      <c r="AX73" s="343">
        <v>2145161.1632618979</v>
      </c>
      <c r="AY73" s="343">
        <v>2145656.6133968532</v>
      </c>
    </row>
    <row r="74" spans="1:54" x14ac:dyDescent="0.25">
      <c r="A74" s="31" t="s">
        <v>39</v>
      </c>
      <c r="B74" s="31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15"/>
      <c r="AC74" s="15"/>
      <c r="AD74" s="15"/>
      <c r="AE74" s="15"/>
      <c r="AF74" s="15"/>
      <c r="AG74" s="15"/>
      <c r="AH74" s="15"/>
      <c r="AI74" s="15"/>
      <c r="AJ74" s="15"/>
      <c r="AK74" s="270">
        <v>-719698.60984694608</v>
      </c>
      <c r="AL74" s="270">
        <v>-718832.31484694569</v>
      </c>
      <c r="AM74" s="270">
        <v>-718832.31484694569</v>
      </c>
      <c r="AN74" s="270">
        <v>-728263.16584694572</v>
      </c>
      <c r="AO74" s="270">
        <v>-476449.99256944429</v>
      </c>
      <c r="AP74" s="270">
        <v>-575798.95511480491</v>
      </c>
      <c r="AQ74" s="270">
        <v>-487798.95511480432</v>
      </c>
      <c r="AR74" s="270">
        <v>-487798.95511480432</v>
      </c>
      <c r="AS74" s="270">
        <v>-500863.84758680442</v>
      </c>
      <c r="AT74" s="270">
        <v>-501808.30386697111</v>
      </c>
      <c r="AU74" s="270">
        <v>-501808.30386697111</v>
      </c>
      <c r="AV74" s="270">
        <v>-501808.30386697111</v>
      </c>
      <c r="AW74" s="270">
        <v>-501808.30386697111</v>
      </c>
      <c r="AX74" s="270">
        <v>-514568.30386697111</v>
      </c>
      <c r="AY74" s="270">
        <v>-501808.30386697111</v>
      </c>
      <c r="AZ74">
        <v>-1</v>
      </c>
    </row>
    <row r="75" spans="1:54" x14ac:dyDescent="0.25">
      <c r="A75" s="31" t="s">
        <v>217</v>
      </c>
      <c r="B75" s="31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15"/>
      <c r="AC75" s="15"/>
      <c r="AD75" s="15"/>
      <c r="AE75" s="15"/>
      <c r="AF75" s="15"/>
      <c r="AG75" s="15"/>
      <c r="AH75" s="15"/>
      <c r="AI75" s="15"/>
      <c r="AJ75" s="15"/>
      <c r="AK75" s="270">
        <v>-133545.70435402781</v>
      </c>
      <c r="AL75" s="270">
        <v>-124614.6692373612</v>
      </c>
      <c r="AM75" s="270">
        <v>-116938.4432165279</v>
      </c>
      <c r="AN75" s="270">
        <v>-107178.7886873612</v>
      </c>
      <c r="AO75" s="270">
        <v>-97517.008537361151</v>
      </c>
      <c r="AP75" s="270">
        <v>-88082.1663806945</v>
      </c>
      <c r="AQ75" s="270">
        <v>-79650.622939861176</v>
      </c>
      <c r="AR75" s="270">
        <v>-75611.866194027825</v>
      </c>
      <c r="AS75" s="270">
        <v>-73105.709519027834</v>
      </c>
      <c r="AT75" s="270">
        <v>-68492.852818194486</v>
      </c>
      <c r="AU75" s="270">
        <v>-63800.946368194484</v>
      </c>
      <c r="AV75" s="270">
        <v>-59143.644130694483</v>
      </c>
      <c r="AW75" s="270">
        <v>-54834.89620736114</v>
      </c>
      <c r="AX75" s="270">
        <v>-50240.337374027797</v>
      </c>
      <c r="AY75" s="270">
        <v>-50029.603755694479</v>
      </c>
    </row>
    <row r="76" spans="1:54" s="3" customFormat="1" x14ac:dyDescent="0.25">
      <c r="A76" s="341" t="s">
        <v>41</v>
      </c>
      <c r="B76" s="341"/>
      <c r="C76" s="347"/>
      <c r="D76" s="347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8"/>
      <c r="W76" s="348"/>
      <c r="X76" s="348"/>
      <c r="Y76" s="348"/>
      <c r="Z76" s="348"/>
      <c r="AA76" s="348"/>
      <c r="AB76" s="347"/>
      <c r="AC76" s="347"/>
      <c r="AD76" s="347"/>
      <c r="AE76" s="347"/>
      <c r="AF76" s="347"/>
      <c r="AG76" s="347"/>
      <c r="AH76" s="347"/>
      <c r="AI76" s="347"/>
      <c r="AJ76" s="347"/>
      <c r="AK76" s="343">
        <v>651745.43713858305</v>
      </c>
      <c r="AL76" s="343">
        <v>1722387.0756525099</v>
      </c>
      <c r="AM76" s="343">
        <v>2098035.220728118</v>
      </c>
      <c r="AN76" s="343">
        <v>1575545.332456829</v>
      </c>
      <c r="AO76" s="343">
        <v>1923976.741454711</v>
      </c>
      <c r="AP76" s="343">
        <v>1241279.581627589</v>
      </c>
      <c r="AQ76" s="343">
        <v>1346530.267351571</v>
      </c>
      <c r="AR76" s="343">
        <v>1575464.9490998471</v>
      </c>
      <c r="AS76" s="343">
        <v>967163.2172703353</v>
      </c>
      <c r="AT76" s="343">
        <v>865486.47791486699</v>
      </c>
      <c r="AU76" s="343">
        <v>1357693.984342515</v>
      </c>
      <c r="AV76" s="343">
        <v>1131429.587201698</v>
      </c>
      <c r="AW76" s="343">
        <v>1385834.928290735</v>
      </c>
      <c r="AX76" s="343">
        <v>1630592.859394927</v>
      </c>
      <c r="AY76" s="343">
        <v>1643848.3095298819</v>
      </c>
    </row>
    <row r="77" spans="1:54" x14ac:dyDescent="0.25">
      <c r="A77" s="29" t="s">
        <v>42</v>
      </c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15"/>
      <c r="AC77" s="15"/>
      <c r="AD77" s="15"/>
      <c r="AE77" s="15"/>
      <c r="AF77" s="15"/>
      <c r="AG77" s="15"/>
      <c r="AH77" s="15"/>
      <c r="AI77" s="15"/>
      <c r="AJ77" s="15"/>
      <c r="AK77" s="270">
        <v>-161960.91713333991</v>
      </c>
      <c r="AL77" s="270">
        <v>-454291.80553390161</v>
      </c>
      <c r="AM77" s="270">
        <v>-505766.29072641989</v>
      </c>
      <c r="AN77" s="270">
        <v>-325141</v>
      </c>
      <c r="AO77" s="270">
        <v>-377989.90260145039</v>
      </c>
      <c r="AP77" s="270">
        <v>-487969.93166831072</v>
      </c>
      <c r="AQ77" s="270">
        <v>-520162.59457223688</v>
      </c>
      <c r="AR77" s="270">
        <v>-454841.62217146659</v>
      </c>
      <c r="AS77" s="270">
        <v>-485727.28160452959</v>
      </c>
      <c r="AT77" s="270">
        <v>-383710.56154615473</v>
      </c>
      <c r="AU77" s="270">
        <v>-489045.22081445821</v>
      </c>
      <c r="AV77" s="270">
        <v>-489902.55546278169</v>
      </c>
      <c r="AW77" s="270">
        <v>-523423.35664160398</v>
      </c>
      <c r="AX77" s="270">
        <v>-618638.97438040504</v>
      </c>
      <c r="AY77" s="270">
        <v>-519254.41204784991</v>
      </c>
    </row>
    <row r="78" spans="1:54" s="3" customFormat="1" x14ac:dyDescent="0.25">
      <c r="A78" s="349" t="s">
        <v>213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  <c r="AI78" s="349"/>
      <c r="AJ78" s="349"/>
      <c r="AK78" s="349">
        <v>489784.52000524307</v>
      </c>
      <c r="AL78" s="349">
        <v>1268095.2701186091</v>
      </c>
      <c r="AM78" s="349">
        <v>1592268.930001698</v>
      </c>
      <c r="AN78" s="345">
        <v>1250404.332456829</v>
      </c>
      <c r="AO78" s="345">
        <v>1545986.838853261</v>
      </c>
      <c r="AP78" s="345">
        <v>753309.64995927876</v>
      </c>
      <c r="AQ78" s="345">
        <v>826367.67277933459</v>
      </c>
      <c r="AR78" s="345">
        <v>1120623.3269283799</v>
      </c>
      <c r="AS78" s="345">
        <v>481435.93566580571</v>
      </c>
      <c r="AT78" s="345">
        <v>481775.91636871232</v>
      </c>
      <c r="AU78" s="345">
        <v>868648.76352805679</v>
      </c>
      <c r="AV78" s="345">
        <v>641527.03173891653</v>
      </c>
      <c r="AW78" s="345">
        <v>862411.57164913102</v>
      </c>
      <c r="AX78" s="345">
        <v>1011953.885014522</v>
      </c>
      <c r="AY78" s="345">
        <v>1124593.897482032</v>
      </c>
    </row>
    <row r="79" spans="1:54" s="352" customFormat="1" x14ac:dyDescent="0.25">
      <c r="A79" s="350" t="s">
        <v>43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>
        <v>489784.52000524307</v>
      </c>
      <c r="AL79" s="350">
        <v>1268095.2701186091</v>
      </c>
      <c r="AM79" s="350">
        <v>1592268.930001698</v>
      </c>
      <c r="AN79" s="350">
        <v>1250404.332456829</v>
      </c>
      <c r="AO79" s="350">
        <v>1545986.838853261</v>
      </c>
      <c r="AP79" s="350">
        <v>753309.64995927876</v>
      </c>
      <c r="AQ79" s="350">
        <v>826367.67277933459</v>
      </c>
      <c r="AR79" s="350">
        <v>1120623.3269283799</v>
      </c>
      <c r="AS79" s="350">
        <v>481435.93566580571</v>
      </c>
      <c r="AT79" s="350">
        <v>481775.91636871232</v>
      </c>
      <c r="AU79" s="350">
        <v>868648.76352805679</v>
      </c>
      <c r="AV79" s="350">
        <v>641527.03173891653</v>
      </c>
      <c r="AW79" s="350">
        <v>862411.57164913102</v>
      </c>
      <c r="AX79" s="350">
        <v>1011953.885014522</v>
      </c>
      <c r="AY79" s="350">
        <v>1124593.897482032</v>
      </c>
    </row>
    <row r="80" spans="1:54" x14ac:dyDescent="0.25">
      <c r="AN80" s="26"/>
      <c r="AO80" s="26"/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s="26">
        <v>0</v>
      </c>
      <c r="AV80" s="26">
        <v>0</v>
      </c>
      <c r="AW80" s="26">
        <v>0</v>
      </c>
      <c r="AX80" s="26">
        <v>0</v>
      </c>
      <c r="AY80" s="26">
        <v>0</v>
      </c>
    </row>
    <row r="81" spans="1:51" x14ac:dyDescent="0.25">
      <c r="A81" s="27" t="s">
        <v>220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>
        <v>45961</v>
      </c>
      <c r="AL81" s="22">
        <v>45991</v>
      </c>
      <c r="AM81" s="22">
        <v>46022</v>
      </c>
      <c r="AN81" s="22">
        <v>46053</v>
      </c>
      <c r="AO81" s="22">
        <v>46081</v>
      </c>
      <c r="AP81" s="22">
        <v>46112</v>
      </c>
      <c r="AQ81" s="22">
        <v>46142</v>
      </c>
      <c r="AR81" s="22">
        <v>46173</v>
      </c>
      <c r="AS81" s="22">
        <v>46203</v>
      </c>
      <c r="AT81" s="22">
        <v>46234</v>
      </c>
      <c r="AU81" s="22">
        <v>46265</v>
      </c>
      <c r="AV81" s="22">
        <v>46295</v>
      </c>
      <c r="AW81" s="22">
        <v>46326</v>
      </c>
      <c r="AX81" s="22">
        <v>46356</v>
      </c>
      <c r="AY81" s="22">
        <v>46387</v>
      </c>
    </row>
    <row r="82" spans="1:51" s="344" customFormat="1" x14ac:dyDescent="0.25">
      <c r="A82" s="341" t="s">
        <v>9</v>
      </c>
      <c r="B82" s="341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3">
        <v>21022833.56350011</v>
      </c>
      <c r="AL82" s="343">
        <v>22572875.985963199</v>
      </c>
      <c r="AM82" s="343">
        <v>24527585.938605819</v>
      </c>
      <c r="AN82" s="343">
        <v>24532548.447623588</v>
      </c>
      <c r="AO82" s="343">
        <v>23417972.987558741</v>
      </c>
      <c r="AP82" s="343">
        <v>29464374.41346433</v>
      </c>
      <c r="AQ82" s="343">
        <v>27827307.230193719</v>
      </c>
      <c r="AR82" s="343">
        <v>26639239.322199099</v>
      </c>
      <c r="AS82" s="343">
        <v>29052905.883028269</v>
      </c>
      <c r="AT82" s="343">
        <v>29113454.09883862</v>
      </c>
      <c r="AU82" s="343">
        <v>29754492.42397612</v>
      </c>
      <c r="AV82" s="343">
        <v>30381983.211697262</v>
      </c>
      <c r="AW82" s="343">
        <v>30970767.756977081</v>
      </c>
      <c r="AX82" s="343">
        <v>31571675.992914312</v>
      </c>
      <c r="AY82" s="343">
        <v>32307157.87455992</v>
      </c>
    </row>
    <row r="83" spans="1:51" x14ac:dyDescent="0.25">
      <c r="A83" s="33" t="s">
        <v>10</v>
      </c>
      <c r="B83" s="3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406">
        <v>17619344.79520224</v>
      </c>
      <c r="AL83" s="406">
        <v>19687163.04766532</v>
      </c>
      <c r="AM83" s="406">
        <v>20853866.75030794</v>
      </c>
      <c r="AN83" s="406">
        <v>21210590.399325721</v>
      </c>
      <c r="AO83" s="406">
        <v>20364604.92426087</v>
      </c>
      <c r="AP83" s="406">
        <v>26280606.350166459</v>
      </c>
      <c r="AQ83" s="406">
        <v>24677939.16689584</v>
      </c>
      <c r="AR83" s="406">
        <v>23584471.258901231</v>
      </c>
      <c r="AS83" s="406">
        <v>25869137.819730401</v>
      </c>
      <c r="AT83" s="406">
        <v>25706086.035540741</v>
      </c>
      <c r="AU83" s="406">
        <v>26433124.360678252</v>
      </c>
      <c r="AV83" s="406">
        <v>27129415.14839939</v>
      </c>
      <c r="AW83" s="406">
        <v>27683799.69367921</v>
      </c>
      <c r="AX83" s="406">
        <v>28258907.92961644</v>
      </c>
      <c r="AY83" s="406">
        <v>28959989.811262049</v>
      </c>
    </row>
    <row r="84" spans="1:51" x14ac:dyDescent="0.25">
      <c r="A84" s="405" t="s">
        <v>11</v>
      </c>
      <c r="B84" s="405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4">
        <v>14619851.5591472</v>
      </c>
      <c r="AL84" s="194">
        <v>15730290.046272989</v>
      </c>
      <c r="AM84" s="194">
        <v>18885599.384681679</v>
      </c>
      <c r="AN84" s="194">
        <v>18019559.575254548</v>
      </c>
      <c r="AO84" s="194">
        <v>16315715.22878941</v>
      </c>
      <c r="AP84" s="194">
        <v>20556771.502015632</v>
      </c>
      <c r="AQ84" s="194">
        <v>19154707.104258161</v>
      </c>
      <c r="AR84" s="194">
        <v>18901931.899517149</v>
      </c>
      <c r="AS84" s="194">
        <v>20741536.67138961</v>
      </c>
      <c r="AT84" s="194">
        <v>20594778.324638251</v>
      </c>
      <c r="AU84" s="194">
        <v>21164553.12604887</v>
      </c>
      <c r="AV84" s="194">
        <v>21710798.882160269</v>
      </c>
      <c r="AW84" s="194">
        <v>22256363.162639759</v>
      </c>
      <c r="AX84" s="194">
        <v>22820026.077845711</v>
      </c>
      <c r="AY84" s="194">
        <v>23382873.588591222</v>
      </c>
    </row>
    <row r="85" spans="1:51" x14ac:dyDescent="0.25">
      <c r="A85" s="78" t="s">
        <v>254</v>
      </c>
      <c r="B85" s="78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42">
        <v>17267126.3691472</v>
      </c>
      <c r="AL85" s="42">
        <v>16480465.45627299</v>
      </c>
      <c r="AM85" s="42">
        <v>19315753.494681679</v>
      </c>
      <c r="AN85" s="42">
        <v>18518811.19709713</v>
      </c>
      <c r="AO85" s="42">
        <v>16836460.20728191</v>
      </c>
      <c r="AP85" s="42">
        <v>21135580.96273113</v>
      </c>
      <c r="AQ85" s="42">
        <v>19776969.091194399</v>
      </c>
      <c r="AR85" s="42">
        <v>19567952.067415409</v>
      </c>
      <c r="AS85" s="42">
        <v>21447285.593575019</v>
      </c>
      <c r="AT85" s="42">
        <v>21350469.78166325</v>
      </c>
      <c r="AU85" s="42">
        <v>21966656.506831191</v>
      </c>
      <c r="AV85" s="42">
        <v>22554206.473576929</v>
      </c>
      <c r="AW85" s="42">
        <v>23151596.729133159</v>
      </c>
      <c r="AX85" s="42">
        <v>23755840.19019641</v>
      </c>
      <c r="AY85" s="42">
        <v>24372585.78881437</v>
      </c>
    </row>
    <row r="86" spans="1:51" x14ac:dyDescent="0.25">
      <c r="A86" s="29" t="s">
        <v>255</v>
      </c>
      <c r="B86" s="29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15"/>
      <c r="AC86" s="15"/>
      <c r="AD86" s="15"/>
      <c r="AE86" s="15"/>
      <c r="AF86" s="15"/>
      <c r="AG86" s="15"/>
      <c r="AH86" s="15"/>
      <c r="AI86" s="15"/>
      <c r="AJ86" s="15"/>
      <c r="AK86" s="270">
        <v>-2647274.81</v>
      </c>
      <c r="AL86" s="270">
        <v>-750175.41</v>
      </c>
      <c r="AM86" s="270">
        <v>-430154.11</v>
      </c>
      <c r="AN86" s="270">
        <v>-499251.62184257322</v>
      </c>
      <c r="AO86" s="270">
        <v>-520744.97849250631</v>
      </c>
      <c r="AP86" s="270">
        <v>-578809.46071549808</v>
      </c>
      <c r="AQ86" s="270">
        <v>-622261.98693624558</v>
      </c>
      <c r="AR86" s="270">
        <v>-666020.16789826821</v>
      </c>
      <c r="AS86" s="270">
        <v>-705748.92218541028</v>
      </c>
      <c r="AT86" s="270">
        <v>-755691.45702499559</v>
      </c>
      <c r="AU86" s="270">
        <v>-802103.38078231923</v>
      </c>
      <c r="AV86" s="270">
        <v>-843407.59141666256</v>
      </c>
      <c r="AW86" s="270">
        <v>-895233.56649339758</v>
      </c>
      <c r="AX86" s="270">
        <v>-935814.11235069996</v>
      </c>
      <c r="AY86" s="270">
        <v>-989712.20022314705</v>
      </c>
    </row>
    <row r="87" spans="1:51" x14ac:dyDescent="0.25">
      <c r="A87" s="78" t="s">
        <v>12</v>
      </c>
      <c r="B87" s="78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270">
        <v>2609404.699111165</v>
      </c>
      <c r="AL87" s="270">
        <v>3558565.026447115</v>
      </c>
      <c r="AM87" s="270">
        <v>1574779.4262668381</v>
      </c>
      <c r="AN87" s="270">
        <v>2790874.0894744699</v>
      </c>
      <c r="AO87" s="270">
        <v>3641713.1403544522</v>
      </c>
      <c r="AP87" s="270">
        <v>5309468.9457147149</v>
      </c>
      <c r="AQ87" s="270">
        <v>5098166.9339807034</v>
      </c>
      <c r="AR87" s="270">
        <v>4248792.4781685881</v>
      </c>
      <c r="AS87" s="270">
        <v>4701364.9608222144</v>
      </c>
      <c r="AT87" s="270">
        <v>4675672.4180170363</v>
      </c>
      <c r="AU87" s="270">
        <v>4821979.4504415914</v>
      </c>
      <c r="AV87" s="270">
        <v>4961576.9417088386</v>
      </c>
      <c r="AW87" s="270">
        <v>4960526.3112256611</v>
      </c>
      <c r="AX87" s="270">
        <v>4961217.8534661848</v>
      </c>
      <c r="AY87" s="270">
        <v>5107987.7535040909</v>
      </c>
    </row>
    <row r="88" spans="1:51" x14ac:dyDescent="0.25">
      <c r="A88" s="78" t="s">
        <v>13</v>
      </c>
      <c r="B88" s="78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270">
        <v>348636.06885876821</v>
      </c>
      <c r="AL88" s="270">
        <v>356855.50686011318</v>
      </c>
      <c r="AM88" s="270">
        <v>352035.47127431142</v>
      </c>
      <c r="AN88" s="270">
        <v>358704.26651159039</v>
      </c>
      <c r="AO88" s="270">
        <v>365724.08703190682</v>
      </c>
      <c r="AP88" s="270">
        <v>372913.43435100798</v>
      </c>
      <c r="AQ88" s="270">
        <v>383612.66057187738</v>
      </c>
      <c r="AR88" s="270">
        <v>392294.41313038679</v>
      </c>
      <c r="AS88" s="270">
        <v>384783.71943346399</v>
      </c>
      <c r="AT88" s="270">
        <v>394182.82480034849</v>
      </c>
      <c r="AU88" s="270">
        <v>405139.31610268209</v>
      </c>
      <c r="AV88" s="270">
        <v>415586.8564451735</v>
      </c>
      <c r="AW88" s="270">
        <v>425457.751728684</v>
      </c>
      <c r="AX88" s="270">
        <v>436211.53021943552</v>
      </c>
      <c r="AY88" s="270">
        <v>427676.0010816342</v>
      </c>
    </row>
    <row r="89" spans="1:51" x14ac:dyDescent="0.25">
      <c r="A89" s="78" t="s">
        <v>14</v>
      </c>
      <c r="B89" s="78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270">
        <v>41452.468085106389</v>
      </c>
      <c r="AL89" s="270">
        <v>41452.468085106389</v>
      </c>
      <c r="AM89" s="270">
        <v>41452.468085106389</v>
      </c>
      <c r="AN89" s="270">
        <v>41452.468085106389</v>
      </c>
      <c r="AO89" s="270">
        <v>41452.468085106389</v>
      </c>
      <c r="AP89" s="270">
        <v>41452.468085106389</v>
      </c>
      <c r="AQ89" s="270">
        <v>41452.468085106389</v>
      </c>
      <c r="AR89" s="270">
        <v>41452.468085106389</v>
      </c>
      <c r="AS89" s="270">
        <v>41452.468085106389</v>
      </c>
      <c r="AT89" s="270">
        <v>41452.468085106389</v>
      </c>
      <c r="AU89" s="270">
        <v>41452.468085106389</v>
      </c>
      <c r="AV89" s="270">
        <v>41452.468085106389</v>
      </c>
      <c r="AW89" s="270">
        <v>41452.468085106389</v>
      </c>
      <c r="AX89" s="270">
        <v>41452.468085106389</v>
      </c>
      <c r="AY89" s="270">
        <v>41452.468085106389</v>
      </c>
    </row>
    <row r="90" spans="1:51" x14ac:dyDescent="0.25">
      <c r="A90" s="29" t="s">
        <v>15</v>
      </c>
      <c r="B90" s="29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42">
        <v>1970000</v>
      </c>
      <c r="AL90" s="42">
        <v>1970000</v>
      </c>
      <c r="AM90" s="42">
        <v>1970000</v>
      </c>
      <c r="AN90" s="42">
        <v>1642600</v>
      </c>
      <c r="AO90" s="42">
        <v>1591000</v>
      </c>
      <c r="AP90" s="42">
        <v>1754400</v>
      </c>
      <c r="AQ90" s="42">
        <v>1720000</v>
      </c>
      <c r="AR90" s="42">
        <v>1625400</v>
      </c>
      <c r="AS90" s="42">
        <v>1754400</v>
      </c>
      <c r="AT90" s="42">
        <v>1978000</v>
      </c>
      <c r="AU90" s="42">
        <v>1892000</v>
      </c>
      <c r="AV90" s="42">
        <v>1823200</v>
      </c>
      <c r="AW90" s="42">
        <v>1857600</v>
      </c>
      <c r="AX90" s="42">
        <v>1883400</v>
      </c>
      <c r="AY90" s="42">
        <v>1917800</v>
      </c>
    </row>
    <row r="91" spans="1:51" hidden="1" outlineLevel="1" x14ac:dyDescent="0.25">
      <c r="A91" s="77" t="s">
        <v>15</v>
      </c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spans="1:51" hidden="1" outlineLevel="1" x14ac:dyDescent="0.25">
      <c r="A92" s="77" t="s">
        <v>253</v>
      </c>
      <c r="B92" s="2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spans="1:51" collapsed="1" x14ac:dyDescent="0.25">
      <c r="A93" s="29" t="s">
        <v>16</v>
      </c>
      <c r="B93" s="29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42">
        <v>16829.858297872339</v>
      </c>
      <c r="AL93" s="42">
        <v>16829.858297872339</v>
      </c>
      <c r="AM93" s="42">
        <v>16829.858297872339</v>
      </c>
      <c r="AN93" s="42">
        <v>16829.858297872339</v>
      </c>
      <c r="AO93" s="42">
        <v>16829.858297872339</v>
      </c>
      <c r="AP93" s="42">
        <v>16829.858297872339</v>
      </c>
      <c r="AQ93" s="42">
        <v>16829.858297872339</v>
      </c>
      <c r="AR93" s="42">
        <v>16829.858297872339</v>
      </c>
      <c r="AS93" s="42">
        <v>16829.858297872339</v>
      </c>
      <c r="AT93" s="42">
        <v>16829.858297872339</v>
      </c>
      <c r="AU93" s="42">
        <v>16829.858297872339</v>
      </c>
      <c r="AV93" s="42">
        <v>16829.858297872339</v>
      </c>
      <c r="AW93" s="42">
        <v>16829.858297872339</v>
      </c>
      <c r="AX93" s="42">
        <v>16829.858297872339</v>
      </c>
      <c r="AY93" s="42">
        <v>16829.858297872339</v>
      </c>
    </row>
    <row r="94" spans="1:51" x14ac:dyDescent="0.25">
      <c r="A94" s="29" t="s">
        <v>17</v>
      </c>
      <c r="B94" s="29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</row>
    <row r="95" spans="1:51" x14ac:dyDescent="0.25">
      <c r="A95" s="29" t="s">
        <v>18</v>
      </c>
      <c r="B95" s="29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42">
        <v>220437.96</v>
      </c>
      <c r="AL95" s="42">
        <v>251558</v>
      </c>
      <c r="AM95" s="42">
        <v>294718</v>
      </c>
      <c r="AN95" s="42">
        <v>364301.13</v>
      </c>
      <c r="AO95" s="42">
        <v>282753.77250000002</v>
      </c>
      <c r="AP95" s="42">
        <v>282753.77250000002</v>
      </c>
      <c r="AQ95" s="42">
        <v>282753.77250000002</v>
      </c>
      <c r="AR95" s="42">
        <v>282753.77250000002</v>
      </c>
      <c r="AS95" s="42">
        <v>282753.77250000002</v>
      </c>
      <c r="AT95" s="42">
        <v>282753.77250000002</v>
      </c>
      <c r="AU95" s="42">
        <v>282753.77250000002</v>
      </c>
      <c r="AV95" s="42">
        <v>282753.77250000002</v>
      </c>
      <c r="AW95" s="42">
        <v>282753.77250000002</v>
      </c>
      <c r="AX95" s="42">
        <v>282753.77250000002</v>
      </c>
      <c r="AY95" s="42">
        <v>282753.77250000002</v>
      </c>
    </row>
    <row r="96" spans="1:51" hidden="1" outlineLevel="1" x14ac:dyDescent="0.25">
      <c r="A96" s="82" t="s">
        <v>206</v>
      </c>
      <c r="B96" s="2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spans="1:51" hidden="1" outlineLevel="1" x14ac:dyDescent="0.25">
      <c r="A97" s="82" t="s">
        <v>207</v>
      </c>
      <c r="B97" s="2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spans="1:51" hidden="1" outlineLevel="1" x14ac:dyDescent="0.25">
      <c r="A98" s="82" t="s">
        <v>208</v>
      </c>
      <c r="B98" s="29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spans="1:51" collapsed="1" x14ac:dyDescent="0.25">
      <c r="A99" s="29" t="s">
        <v>19</v>
      </c>
      <c r="B99" s="29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42">
        <v>1080237.8400000001</v>
      </c>
      <c r="AL99" s="42">
        <v>791082.68</v>
      </c>
      <c r="AM99" s="42">
        <v>885803.25</v>
      </c>
      <c r="AN99" s="42">
        <v>976784.38</v>
      </c>
      <c r="AO99" s="42">
        <v>900000</v>
      </c>
      <c r="AP99" s="42">
        <v>900000</v>
      </c>
      <c r="AQ99" s="42">
        <v>900000</v>
      </c>
      <c r="AR99" s="42">
        <v>900000</v>
      </c>
      <c r="AS99" s="42">
        <v>900000</v>
      </c>
      <c r="AT99" s="42">
        <v>900000</v>
      </c>
      <c r="AU99" s="42">
        <v>900000</v>
      </c>
      <c r="AV99" s="42">
        <v>900000</v>
      </c>
      <c r="AW99" s="42">
        <v>900000</v>
      </c>
      <c r="AX99" s="42">
        <v>900000</v>
      </c>
      <c r="AY99" s="42">
        <v>900000</v>
      </c>
    </row>
    <row r="100" spans="1:51" x14ac:dyDescent="0.25">
      <c r="A100" s="29" t="s">
        <v>20</v>
      </c>
      <c r="B100" s="29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15"/>
      <c r="AC100" s="15"/>
      <c r="AD100" s="15"/>
      <c r="AE100" s="15"/>
      <c r="AF100" s="15"/>
      <c r="AG100" s="15"/>
      <c r="AH100" s="15"/>
      <c r="AI100" s="15"/>
      <c r="AJ100" s="15"/>
      <c r="AK100" s="270">
        <v>115983.1099999999</v>
      </c>
      <c r="AL100" s="270">
        <v>-143757.60000000009</v>
      </c>
      <c r="AM100" s="270">
        <v>-38583.429999999928</v>
      </c>
      <c r="AN100" s="270">
        <v>65704.179999999949</v>
      </c>
      <c r="AO100" s="270">
        <v>-163.43500000005221</v>
      </c>
      <c r="AP100" s="270">
        <v>-163.43500000005221</v>
      </c>
      <c r="AQ100" s="270">
        <v>-163.43500000005221</v>
      </c>
      <c r="AR100" s="270">
        <v>-163.43500000005221</v>
      </c>
      <c r="AS100" s="270">
        <v>-163.43500000005221</v>
      </c>
      <c r="AT100" s="270">
        <v>-163.43500000005221</v>
      </c>
      <c r="AU100" s="270">
        <v>-163.43500000005221</v>
      </c>
      <c r="AV100" s="270">
        <v>-163.43500000005221</v>
      </c>
      <c r="AW100" s="270">
        <v>-163.43500000005221</v>
      </c>
      <c r="AX100" s="270">
        <v>-163.43500000005221</v>
      </c>
      <c r="AY100" s="270">
        <v>-163.43500000005221</v>
      </c>
    </row>
    <row r="101" spans="1:51" x14ac:dyDescent="0.25">
      <c r="A101" s="31" t="s">
        <v>21</v>
      </c>
      <c r="B101" s="3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42">
        <v>0</v>
      </c>
      <c r="AL101" s="42">
        <v>0</v>
      </c>
      <c r="AM101" s="42">
        <v>544951.51</v>
      </c>
      <c r="AN101" s="42">
        <v>168678.17</v>
      </c>
      <c r="AO101" s="42">
        <v>52799.999999999993</v>
      </c>
      <c r="AP101" s="42">
        <v>19800</v>
      </c>
      <c r="AQ101" s="42">
        <v>19800</v>
      </c>
      <c r="AR101" s="42">
        <v>19800</v>
      </c>
      <c r="AS101" s="42">
        <v>19800</v>
      </c>
      <c r="AT101" s="42">
        <v>19800</v>
      </c>
      <c r="AU101" s="42">
        <v>19800</v>
      </c>
      <c r="AV101" s="42">
        <v>19800</v>
      </c>
      <c r="AW101" s="42">
        <v>19800</v>
      </c>
      <c r="AX101" s="42">
        <v>19800</v>
      </c>
      <c r="AY101" s="42">
        <v>19800</v>
      </c>
    </row>
    <row r="102" spans="1:51" x14ac:dyDescent="0.25">
      <c r="A102" s="29" t="s">
        <v>154</v>
      </c>
      <c r="B102" s="29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42">
        <v>178204.25</v>
      </c>
      <c r="AL102" s="42">
        <v>188001.86</v>
      </c>
      <c r="AM102" s="42">
        <v>387325.03</v>
      </c>
      <c r="AN102" s="42">
        <v>87060.329999999987</v>
      </c>
      <c r="AO102" s="42">
        <v>210147.86749999999</v>
      </c>
      <c r="AP102" s="42">
        <v>210147.86749999999</v>
      </c>
      <c r="AQ102" s="42">
        <v>210147.86749999999</v>
      </c>
      <c r="AR102" s="42">
        <v>210147.86749999999</v>
      </c>
      <c r="AS102" s="42">
        <v>210147.86749999999</v>
      </c>
      <c r="AT102" s="42">
        <v>210147.86749999999</v>
      </c>
      <c r="AU102" s="42">
        <v>210147.86749999999</v>
      </c>
      <c r="AV102" s="42">
        <v>210147.86749999999</v>
      </c>
      <c r="AW102" s="42">
        <v>210147.86749999999</v>
      </c>
      <c r="AX102" s="42">
        <v>210147.86749999999</v>
      </c>
      <c r="AY102" s="42">
        <v>210147.86749999999</v>
      </c>
    </row>
    <row r="103" spans="1:51" s="344" customFormat="1" x14ac:dyDescent="0.25">
      <c r="A103" s="341" t="s">
        <v>23</v>
      </c>
      <c r="B103" s="341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5">
        <v>-13095997.81386614</v>
      </c>
      <c r="AL103" s="345">
        <v>-10478229.358657621</v>
      </c>
      <c r="AM103" s="345">
        <v>-12221626.08419784</v>
      </c>
      <c r="AN103" s="345">
        <v>-13901145.16462414</v>
      </c>
      <c r="AO103" s="345">
        <v>-12699380.02285276</v>
      </c>
      <c r="AP103" s="345">
        <v>-15301310.23183085</v>
      </c>
      <c r="AQ103" s="345">
        <v>-13769320.076793689</v>
      </c>
      <c r="AR103" s="345">
        <v>-13995733.0223465</v>
      </c>
      <c r="AS103" s="345">
        <v>-14559699.116610721</v>
      </c>
      <c r="AT103" s="345">
        <v>-16115170.71333841</v>
      </c>
      <c r="AU103" s="345">
        <v>-15393725.522643309</v>
      </c>
      <c r="AV103" s="345">
        <v>-15663251.497815561</v>
      </c>
      <c r="AW103" s="345">
        <v>-15943466.93246853</v>
      </c>
      <c r="AX103" s="345">
        <v>-15097123.500880729</v>
      </c>
      <c r="AY103" s="345">
        <v>-17541271.233724851</v>
      </c>
    </row>
    <row r="104" spans="1:51" x14ac:dyDescent="0.25">
      <c r="A104" s="29" t="s">
        <v>209</v>
      </c>
      <c r="B104" s="29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55">
        <v>-13095997.81386614</v>
      </c>
      <c r="AL104" s="55">
        <v>-10478229.358657621</v>
      </c>
      <c r="AM104" s="55">
        <v>-12221626.08419784</v>
      </c>
      <c r="AN104" s="55">
        <v>-13901145.16462414</v>
      </c>
      <c r="AO104" s="55">
        <v>-12699380.02285276</v>
      </c>
      <c r="AP104" s="55">
        <v>-15301310.23183085</v>
      </c>
      <c r="AQ104" s="55">
        <v>-13769320.076793689</v>
      </c>
      <c r="AR104" s="55">
        <v>-13995733.0223465</v>
      </c>
      <c r="AS104" s="55">
        <v>-14559699.116610721</v>
      </c>
      <c r="AT104" s="55">
        <v>-16115170.71333841</v>
      </c>
      <c r="AU104" s="55">
        <v>-15393725.522643309</v>
      </c>
      <c r="AV104" s="55">
        <v>-15663251.497815561</v>
      </c>
      <c r="AW104" s="55">
        <v>-15943466.93246853</v>
      </c>
      <c r="AX104" s="55">
        <v>-15097123.500880729</v>
      </c>
      <c r="AY104" s="55">
        <v>-17541271.233724851</v>
      </c>
    </row>
    <row r="105" spans="1:51" x14ac:dyDescent="0.25">
      <c r="A105" s="77" t="s">
        <v>25</v>
      </c>
      <c r="B105" s="77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270">
        <v>-5004075.147264435</v>
      </c>
      <c r="AL105" s="270">
        <v>-3205244.054943745</v>
      </c>
      <c r="AM105" s="270">
        <v>-3921465.7036883291</v>
      </c>
      <c r="AN105" s="270">
        <v>-4518124.3848334625</v>
      </c>
      <c r="AO105" s="270">
        <v>-4228882.4647306856</v>
      </c>
      <c r="AP105" s="270">
        <v>-5380522.1826135786</v>
      </c>
      <c r="AQ105" s="270">
        <v>-4629193.176485246</v>
      </c>
      <c r="AR105" s="270">
        <v>-4876832.3221845124</v>
      </c>
      <c r="AS105" s="270">
        <v>-5484976.0755583979</v>
      </c>
      <c r="AT105" s="270">
        <v>-6454051.8384606875</v>
      </c>
      <c r="AU105" s="270">
        <v>-6691989.1685109232</v>
      </c>
      <c r="AV105" s="270">
        <v>-7288357.5966983968</v>
      </c>
      <c r="AW105" s="270">
        <v>-7923873.7213711683</v>
      </c>
      <c r="AX105" s="270">
        <v>-7975889.1657974171</v>
      </c>
      <c r="AY105" s="270">
        <v>-9171044.0689085573</v>
      </c>
    </row>
    <row r="106" spans="1:51" hidden="1" outlineLevel="1" x14ac:dyDescent="0.25">
      <c r="A106" s="77" t="s">
        <v>26</v>
      </c>
      <c r="B106" s="77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270">
        <v>-2044483.392820792</v>
      </c>
      <c r="AL106" s="270">
        <v>-764046.75044372294</v>
      </c>
      <c r="AM106" s="270">
        <v>-1070052.7011642449</v>
      </c>
      <c r="AN106" s="270">
        <v>-2734250.6567985131</v>
      </c>
      <c r="AO106" s="270">
        <v>-2734250.6567985131</v>
      </c>
      <c r="AP106" s="270">
        <v>-2734250.6567985099</v>
      </c>
      <c r="AQ106" s="270">
        <v>-2734250.6567985099</v>
      </c>
      <c r="AR106" s="270">
        <v>-2734250.6567985099</v>
      </c>
      <c r="AS106" s="270">
        <v>-2734250.6567985099</v>
      </c>
      <c r="AT106" s="270">
        <v>-2734250.6567985099</v>
      </c>
      <c r="AU106" s="270">
        <v>-2734250.6567985099</v>
      </c>
      <c r="AV106" s="270">
        <v>-2734250.6567985099</v>
      </c>
      <c r="AW106" s="270">
        <v>-2734250.6567985099</v>
      </c>
      <c r="AX106" s="270">
        <v>-2734250.6567985099</v>
      </c>
      <c r="AY106" s="270">
        <v>-2734250.6567985099</v>
      </c>
    </row>
    <row r="107" spans="1:51" hidden="1" outlineLevel="1" x14ac:dyDescent="0.25">
      <c r="A107" s="77" t="s">
        <v>27</v>
      </c>
      <c r="B107" s="77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270">
        <v>-10090600.690571951</v>
      </c>
      <c r="AL107" s="270">
        <v>-9202777.7086718027</v>
      </c>
      <c r="AM107" s="270">
        <v>-10792931.66292371</v>
      </c>
      <c r="AN107" s="270">
        <v>-1783873.7280349501</v>
      </c>
      <c r="AO107" s="270">
        <v>-1783873.7280349501</v>
      </c>
      <c r="AP107" s="270">
        <v>-1783873.7280349501</v>
      </c>
      <c r="AQ107" s="270">
        <v>-1783873.7280349501</v>
      </c>
      <c r="AR107" s="270">
        <v>-1783873.7280349501</v>
      </c>
      <c r="AS107" s="270">
        <v>-1783873.7280349501</v>
      </c>
      <c r="AT107" s="270">
        <v>-1783873.7280349501</v>
      </c>
      <c r="AU107" s="270">
        <v>-1783873.7280349501</v>
      </c>
      <c r="AV107" s="270">
        <v>-1783873.7280349501</v>
      </c>
      <c r="AW107" s="270">
        <v>-1783873.7280349501</v>
      </c>
      <c r="AX107" s="270">
        <v>-1783873.7280349501</v>
      </c>
      <c r="AY107" s="270">
        <v>-1783873.7280349501</v>
      </c>
    </row>
    <row r="108" spans="1:51" collapsed="1" x14ac:dyDescent="0.25">
      <c r="A108" s="77" t="s">
        <v>28</v>
      </c>
      <c r="B108" s="77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270">
        <v>-10090600.690571951</v>
      </c>
      <c r="AL108" s="270">
        <v>-9202777.7086718027</v>
      </c>
      <c r="AM108" s="270">
        <v>-10792931.66292371</v>
      </c>
      <c r="AN108" s="270">
        <v>-11585571.582935231</v>
      </c>
      <c r="AO108" s="270">
        <v>-10215152.26681027</v>
      </c>
      <c r="AP108" s="270">
        <v>-12757575.74436051</v>
      </c>
      <c r="AQ108" s="270">
        <v>-11271781.229053151</v>
      </c>
      <c r="AR108" s="270">
        <v>-11127174.377080809</v>
      </c>
      <c r="AS108" s="270">
        <v>-11245628.836957781</v>
      </c>
      <c r="AT108" s="270">
        <v>-12018373.00030119</v>
      </c>
      <c r="AU108" s="270">
        <v>-10761383.395376559</v>
      </c>
      <c r="AV108" s="270">
        <v>-10440238.37704917</v>
      </c>
      <c r="AW108" s="270">
        <v>-10086766.8433</v>
      </c>
      <c r="AX108" s="270">
        <v>-8963638.9086072911</v>
      </c>
      <c r="AY108" s="270">
        <v>-10591854.152574079</v>
      </c>
    </row>
    <row r="109" spans="1:51" x14ac:dyDescent="0.25">
      <c r="A109" s="77" t="s">
        <v>210</v>
      </c>
      <c r="B109" s="77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270">
        <v>1916854.0273877089</v>
      </c>
      <c r="AL109" s="270">
        <v>1318774.7588367909</v>
      </c>
      <c r="AM109" s="270">
        <v>2011255.6485134989</v>
      </c>
      <c r="AN109" s="270">
        <v>1901930.7966888151</v>
      </c>
      <c r="AO109" s="270">
        <v>1470614.528735854</v>
      </c>
      <c r="AP109" s="270">
        <v>2565677.8285521958</v>
      </c>
      <c r="AQ109" s="270">
        <v>1769377.271168001</v>
      </c>
      <c r="AR109" s="270">
        <v>1721974.835391514</v>
      </c>
      <c r="AS109" s="270">
        <v>1828004.182933864</v>
      </c>
      <c r="AT109" s="270">
        <v>2040947.857509353</v>
      </c>
      <c r="AU109" s="270">
        <v>1875600.6052989741</v>
      </c>
      <c r="AV109" s="270">
        <v>1906361.036120536</v>
      </c>
      <c r="AW109" s="270">
        <v>1942658.732523388</v>
      </c>
      <c r="AX109" s="270">
        <v>1763035.768011403</v>
      </c>
      <c r="AY109" s="270">
        <v>2116252.6289802929</v>
      </c>
    </row>
    <row r="110" spans="1:51" x14ac:dyDescent="0.25">
      <c r="A110" s="77" t="s">
        <v>30</v>
      </c>
      <c r="B110" s="77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270">
        <v>81823.996582531836</v>
      </c>
      <c r="AL110" s="270">
        <v>611017.64612113591</v>
      </c>
      <c r="AM110" s="270">
        <v>481515.63390069589</v>
      </c>
      <c r="AN110" s="270">
        <v>300620.00645574089</v>
      </c>
      <c r="AO110" s="270">
        <v>274040.17995234492</v>
      </c>
      <c r="AP110" s="270">
        <v>271109.86659103452</v>
      </c>
      <c r="AQ110" s="270">
        <v>362277.05757671181</v>
      </c>
      <c r="AR110" s="270">
        <v>286298.84152731072</v>
      </c>
      <c r="AS110" s="270">
        <v>342901.61297159782</v>
      </c>
      <c r="AT110" s="270">
        <v>316306.26791411312</v>
      </c>
      <c r="AU110" s="270">
        <v>184046.4359452049</v>
      </c>
      <c r="AV110" s="270">
        <v>158983.43981147089</v>
      </c>
      <c r="AW110" s="270">
        <v>124514.8996792524</v>
      </c>
      <c r="AX110" s="270">
        <v>79368.805512576364</v>
      </c>
      <c r="AY110" s="270">
        <v>105374.3587774895</v>
      </c>
    </row>
    <row r="111" spans="1:51" x14ac:dyDescent="0.25">
      <c r="A111" s="29" t="s">
        <v>31</v>
      </c>
      <c r="B111" s="29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270">
        <v>-425597.37314896798</v>
      </c>
      <c r="AL111" s="270">
        <v>-574929.58978084603</v>
      </c>
      <c r="AM111" s="270">
        <v>-525155.78967311268</v>
      </c>
      <c r="AN111" s="270">
        <v>-478914</v>
      </c>
      <c r="AO111" s="270">
        <v>-490089.49217412289</v>
      </c>
      <c r="AP111" s="270">
        <v>-599202.3882745587</v>
      </c>
      <c r="AQ111" s="270">
        <v>-597063.83185322466</v>
      </c>
      <c r="AR111" s="270">
        <v>-555384.26434026298</v>
      </c>
      <c r="AS111" s="270">
        <v>-602763.34558370057</v>
      </c>
      <c r="AT111" s="270">
        <v>-548662.33896864625</v>
      </c>
      <c r="AU111" s="270">
        <v>-618140.71914942865</v>
      </c>
      <c r="AV111" s="270">
        <v>-623953.84743487812</v>
      </c>
      <c r="AW111" s="270">
        <v>-646875.32749018655</v>
      </c>
      <c r="AX111" s="270">
        <v>-710299.8081641749</v>
      </c>
      <c r="AY111" s="270">
        <v>-650176.09929564409</v>
      </c>
    </row>
    <row r="112" spans="1:51" s="344" customFormat="1" x14ac:dyDescent="0.25">
      <c r="A112" s="341" t="s">
        <v>32</v>
      </c>
      <c r="B112" s="341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5">
        <v>7501238.376485005</v>
      </c>
      <c r="AL112" s="345">
        <v>11519717.03752473</v>
      </c>
      <c r="AM112" s="345">
        <v>11780804.064734859</v>
      </c>
      <c r="AN112" s="345">
        <v>10152489.28299945</v>
      </c>
      <c r="AO112" s="345">
        <v>10228503.47253187</v>
      </c>
      <c r="AP112" s="345">
        <v>13563861.79335892</v>
      </c>
      <c r="AQ112" s="345">
        <v>13460923.3215468</v>
      </c>
      <c r="AR112" s="345">
        <v>12088122.035512339</v>
      </c>
      <c r="AS112" s="345">
        <v>13890443.42083385</v>
      </c>
      <c r="AT112" s="345">
        <v>12449621.04653156</v>
      </c>
      <c r="AU112" s="345">
        <v>13742626.18218339</v>
      </c>
      <c r="AV112" s="345">
        <v>14094777.86644683</v>
      </c>
      <c r="AW112" s="345">
        <v>14380425.497018371</v>
      </c>
      <c r="AX112" s="345">
        <v>15764252.68386941</v>
      </c>
      <c r="AY112" s="345">
        <v>14115710.541539431</v>
      </c>
    </row>
    <row r="113" spans="1:54" x14ac:dyDescent="0.25">
      <c r="A113" s="29" t="s">
        <v>33</v>
      </c>
      <c r="B113" s="29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270">
        <v>-944284.0686799828</v>
      </c>
      <c r="AL113" s="270">
        <v>-1024714.600340933</v>
      </c>
      <c r="AM113" s="270">
        <v>-1070925.5757823139</v>
      </c>
      <c r="AN113" s="270">
        <v>-1528471.526836514</v>
      </c>
      <c r="AO113" s="270">
        <v>-916664.33182585984</v>
      </c>
      <c r="AP113" s="270">
        <v>-1292046.243950896</v>
      </c>
      <c r="AQ113" s="270">
        <v>-1105001.761412062</v>
      </c>
      <c r="AR113" s="270">
        <v>-1110416.4405468481</v>
      </c>
      <c r="AS113" s="270">
        <v>-1629488.7716009771</v>
      </c>
      <c r="AT113" s="270">
        <v>-1848475.3435240311</v>
      </c>
      <c r="AU113" s="270">
        <v>-1812314.3979868221</v>
      </c>
      <c r="AV113" s="270">
        <v>-1950245.051038861</v>
      </c>
      <c r="AW113" s="270">
        <v>-1905520.525946707</v>
      </c>
      <c r="AX113" s="270">
        <v>-1849897.391025387</v>
      </c>
      <c r="AY113" s="270">
        <v>-1963312.0061832289</v>
      </c>
    </row>
    <row r="114" spans="1:54" s="344" customFormat="1" x14ac:dyDescent="0.25">
      <c r="A114" s="341" t="s">
        <v>35</v>
      </c>
      <c r="B114" s="341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5">
        <v>6556954.3078050222</v>
      </c>
      <c r="AL114" s="345">
        <v>10495002.437183799</v>
      </c>
      <c r="AM114" s="345">
        <v>10709878.488952549</v>
      </c>
      <c r="AN114" s="345">
        <v>8624017.7561629377</v>
      </c>
      <c r="AO114" s="345">
        <v>9311839.1407060064</v>
      </c>
      <c r="AP114" s="345">
        <v>12271815.54940803</v>
      </c>
      <c r="AQ114" s="345">
        <v>12355921.560134741</v>
      </c>
      <c r="AR114" s="345">
        <v>10977705.59496549</v>
      </c>
      <c r="AS114" s="345">
        <v>12260954.64923287</v>
      </c>
      <c r="AT114" s="345">
        <v>10601145.70300753</v>
      </c>
      <c r="AU114" s="345">
        <v>11930311.784196571</v>
      </c>
      <c r="AV114" s="345">
        <v>12144532.815407971</v>
      </c>
      <c r="AW114" s="345">
        <v>12474904.971071661</v>
      </c>
      <c r="AX114" s="345">
        <v>13914355.29284402</v>
      </c>
      <c r="AY114" s="345">
        <v>12152398.535356199</v>
      </c>
    </row>
    <row r="115" spans="1:54" x14ac:dyDescent="0.25">
      <c r="A115" s="31" t="s">
        <v>36</v>
      </c>
      <c r="B115" s="31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270">
        <v>-1534280.3463777809</v>
      </c>
      <c r="AL115" s="270">
        <v>-1532433.5463777811</v>
      </c>
      <c r="AM115" s="270">
        <v>-1532433.5463777811</v>
      </c>
      <c r="AN115" s="270">
        <v>-1512538.5863777809</v>
      </c>
      <c r="AO115" s="270">
        <v>-2399769.7458436871</v>
      </c>
      <c r="AP115" s="270">
        <v>-2394625.696087528</v>
      </c>
      <c r="AQ115" s="270">
        <v>-2394625.696087528</v>
      </c>
      <c r="AR115" s="270">
        <v>-2394625.696087528</v>
      </c>
      <c r="AS115" s="270">
        <v>-2479321.276844983</v>
      </c>
      <c r="AT115" s="270">
        <v>-2483961.2197501492</v>
      </c>
      <c r="AU115" s="270">
        <v>-2483961.2197501492</v>
      </c>
      <c r="AV115" s="270">
        <v>-2483961.2197501492</v>
      </c>
      <c r="AW115" s="270">
        <v>-2483961.2197501492</v>
      </c>
      <c r="AX115" s="270">
        <v>-2483961.2197501492</v>
      </c>
      <c r="AY115" s="270">
        <v>-2498869.277463269</v>
      </c>
      <c r="AZ115">
        <v>-1</v>
      </c>
      <c r="BB115" s="55"/>
    </row>
    <row r="116" spans="1:54" x14ac:dyDescent="0.25">
      <c r="A116" s="29" t="s">
        <v>212</v>
      </c>
      <c r="B116" s="2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270">
        <v>-138159.71520000001</v>
      </c>
      <c r="AL116" s="270">
        <v>-82840.510000002701</v>
      </c>
      <c r="AM116" s="270">
        <v>0</v>
      </c>
      <c r="AN116" s="270">
        <v>-180000</v>
      </c>
      <c r="AO116" s="270">
        <v>-192857.14285714281</v>
      </c>
      <c r="AP116" s="270">
        <v>-233766.23376623381</v>
      </c>
      <c r="AQ116" s="270">
        <v>-202207.7922077922</v>
      </c>
      <c r="AR116" s="270">
        <v>-209220.77922077919</v>
      </c>
      <c r="AS116" s="270">
        <v>-222077.92207792209</v>
      </c>
      <c r="AT116" s="270">
        <v>-252467.5324675325</v>
      </c>
      <c r="AU116" s="270">
        <v>-248961.03896103901</v>
      </c>
      <c r="AV116" s="270">
        <v>-238441.55844155839</v>
      </c>
      <c r="AW116" s="270">
        <v>-252467.5324675325</v>
      </c>
      <c r="AX116" s="270">
        <v>-243116.88311688311</v>
      </c>
      <c r="AY116" s="270">
        <v>-262987.01298701297</v>
      </c>
    </row>
    <row r="117" spans="1:54" s="344" customFormat="1" x14ac:dyDescent="0.25">
      <c r="A117" s="341" t="s">
        <v>38</v>
      </c>
      <c r="B117" s="341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5">
        <v>4411034.0216993233</v>
      </c>
      <c r="AL117" s="345">
        <v>8437912.735328095</v>
      </c>
      <c r="AM117" s="345">
        <v>8762845.0075343493</v>
      </c>
      <c r="AN117" s="345">
        <v>6551481.6462572403</v>
      </c>
      <c r="AO117" s="345">
        <v>6373470.1308272611</v>
      </c>
      <c r="AP117" s="345">
        <v>9331132.3023863472</v>
      </c>
      <c r="AQ117" s="345">
        <v>9476690.4086890053</v>
      </c>
      <c r="AR117" s="345">
        <v>8105780.6849692632</v>
      </c>
      <c r="AS117" s="345">
        <v>9300362.4801970515</v>
      </c>
      <c r="AT117" s="345">
        <v>7621878.6544344276</v>
      </c>
      <c r="AU117" s="345">
        <v>8971186.1701799612</v>
      </c>
      <c r="AV117" s="345">
        <v>9212438.9352983404</v>
      </c>
      <c r="AW117" s="345">
        <v>9544061.5868460629</v>
      </c>
      <c r="AX117" s="345">
        <v>11009152.357469071</v>
      </c>
      <c r="AY117" s="345">
        <v>9213164.5588630028</v>
      </c>
    </row>
    <row r="118" spans="1:54" x14ac:dyDescent="0.25">
      <c r="A118" s="29" t="s">
        <v>39</v>
      </c>
      <c r="B118" s="29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270">
        <v>-2409425.7807919499</v>
      </c>
      <c r="AL118" s="270">
        <v>-2406525.5757919489</v>
      </c>
      <c r="AM118" s="270">
        <v>-2406525.5757919489</v>
      </c>
      <c r="AN118" s="270">
        <v>-2438098.4247919479</v>
      </c>
      <c r="AO118" s="270">
        <v>-1689231.7918371209</v>
      </c>
      <c r="AP118" s="270">
        <v>-2041469.022679762</v>
      </c>
      <c r="AQ118" s="270">
        <v>-1729469.022679762</v>
      </c>
      <c r="AR118" s="270">
        <v>-1729469.022679762</v>
      </c>
      <c r="AS118" s="270">
        <v>-1775790.005080489</v>
      </c>
      <c r="AT118" s="270">
        <v>-1779138.5318919891</v>
      </c>
      <c r="AU118" s="270">
        <v>-1779138.5318919891</v>
      </c>
      <c r="AV118" s="270">
        <v>-1779138.5318919891</v>
      </c>
      <c r="AW118" s="270">
        <v>-1779138.5318919891</v>
      </c>
      <c r="AX118" s="270">
        <v>-1824378.5318919891</v>
      </c>
      <c r="AY118" s="270">
        <v>-1783776.9547095471</v>
      </c>
      <c r="AZ118">
        <v>-1</v>
      </c>
    </row>
    <row r="119" spans="1:54" x14ac:dyDescent="0.25">
      <c r="A119" s="31" t="s">
        <v>217</v>
      </c>
      <c r="B119" s="31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270">
        <v>-473480.22452791687</v>
      </c>
      <c r="AL119" s="270">
        <v>-441815.64547791693</v>
      </c>
      <c r="AM119" s="270">
        <v>-414599.93504041701</v>
      </c>
      <c r="AN119" s="270">
        <v>-379997.52352791693</v>
      </c>
      <c r="AO119" s="270">
        <v>-345742.12117791682</v>
      </c>
      <c r="AP119" s="270">
        <v>-312291.31716791692</v>
      </c>
      <c r="AQ119" s="270">
        <v>-282397.66315041692</v>
      </c>
      <c r="AR119" s="270">
        <v>-268078.43468791677</v>
      </c>
      <c r="AS119" s="270">
        <v>-259192.9701129169</v>
      </c>
      <c r="AT119" s="270">
        <v>-242838.29635541679</v>
      </c>
      <c r="AU119" s="270">
        <v>-226203.3553054168</v>
      </c>
      <c r="AV119" s="270">
        <v>-209691.10191791679</v>
      </c>
      <c r="AW119" s="270">
        <v>-194414.63200791681</v>
      </c>
      <c r="AX119" s="270">
        <v>-178124.83250791681</v>
      </c>
      <c r="AY119" s="270">
        <v>-177377.68604291679</v>
      </c>
    </row>
    <row r="120" spans="1:54" s="344" customFormat="1" x14ac:dyDescent="0.25">
      <c r="A120" s="341" t="s">
        <v>41</v>
      </c>
      <c r="B120" s="341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5">
        <v>2001608.2409073729</v>
      </c>
      <c r="AL120" s="345">
        <v>6031387.1595361456</v>
      </c>
      <c r="AM120" s="345">
        <v>6356319.4317423999</v>
      </c>
      <c r="AN120" s="345">
        <v>4113383.2214652919</v>
      </c>
      <c r="AO120" s="345">
        <v>4684238.3389901407</v>
      </c>
      <c r="AP120" s="345">
        <v>7289663.2797065852</v>
      </c>
      <c r="AQ120" s="345">
        <v>7747221.3860092442</v>
      </c>
      <c r="AR120" s="345">
        <v>6376311.6622895021</v>
      </c>
      <c r="AS120" s="345">
        <v>7524572.475116563</v>
      </c>
      <c r="AT120" s="345">
        <v>5842740.122542439</v>
      </c>
      <c r="AU120" s="345">
        <v>7192047.6382879727</v>
      </c>
      <c r="AV120" s="345">
        <v>7433300.4034063518</v>
      </c>
      <c r="AW120" s="345">
        <v>7764923.0549540743</v>
      </c>
      <c r="AX120" s="345">
        <v>9184773.8255770821</v>
      </c>
      <c r="AY120" s="345">
        <v>7429387.6041534562</v>
      </c>
    </row>
    <row r="121" spans="1:54" x14ac:dyDescent="0.25">
      <c r="A121" s="29" t="s">
        <v>42</v>
      </c>
      <c r="B121" s="29"/>
      <c r="C121" s="30"/>
      <c r="D121" s="30"/>
      <c r="E121" s="30"/>
      <c r="F121" s="30"/>
      <c r="G121" s="30"/>
      <c r="H121" s="30"/>
      <c r="I121" s="30"/>
      <c r="J121" s="30"/>
      <c r="K121" s="30"/>
      <c r="L121" s="117"/>
      <c r="M121" s="30"/>
      <c r="N121" s="30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270">
        <v>-574225.06983638695</v>
      </c>
      <c r="AL121" s="270">
        <v>-1610670.9468929239</v>
      </c>
      <c r="AM121" s="270">
        <v>-1793171.3943936711</v>
      </c>
      <c r="AN121" s="270">
        <v>-1157412.422817362</v>
      </c>
      <c r="AO121" s="270">
        <v>-1340146.018314233</v>
      </c>
      <c r="AP121" s="270">
        <v>-1730075.2122785561</v>
      </c>
      <c r="AQ121" s="270">
        <v>-1844212.8353015671</v>
      </c>
      <c r="AR121" s="270">
        <v>-1612620.2967897451</v>
      </c>
      <c r="AS121" s="270">
        <v>-1722123.998416059</v>
      </c>
      <c r="AT121" s="270">
        <v>-1360428.3545727299</v>
      </c>
      <c r="AU121" s="270">
        <v>-1733887.6010694429</v>
      </c>
      <c r="AV121" s="270">
        <v>-1736927.242095317</v>
      </c>
      <c r="AW121" s="270">
        <v>-1855773.719002051</v>
      </c>
      <c r="AX121" s="270">
        <v>-2193356.3637123448</v>
      </c>
      <c r="AY121" s="270">
        <v>-1836354.4926250151</v>
      </c>
      <c r="AZ121" s="55"/>
    </row>
    <row r="122" spans="1:54" s="344" customFormat="1" x14ac:dyDescent="0.25">
      <c r="A122" s="341" t="s">
        <v>213</v>
      </c>
      <c r="B122" s="341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5">
        <v>1427383.171070986</v>
      </c>
      <c r="AL122" s="345">
        <v>4420716.212643222</v>
      </c>
      <c r="AM122" s="345">
        <v>4563148.0373487296</v>
      </c>
      <c r="AN122" s="345">
        <v>2955970.798647929</v>
      </c>
      <c r="AO122" s="345">
        <v>3344092.3206759081</v>
      </c>
      <c r="AP122" s="345">
        <v>5559588.0674280291</v>
      </c>
      <c r="AQ122" s="345">
        <v>5903008.5507076774</v>
      </c>
      <c r="AR122" s="345">
        <v>4763691.3654997572</v>
      </c>
      <c r="AS122" s="345">
        <v>5802448.4767005034</v>
      </c>
      <c r="AT122" s="345">
        <v>4482311.7679697089</v>
      </c>
      <c r="AU122" s="345">
        <v>5458160.0372185297</v>
      </c>
      <c r="AV122" s="345">
        <v>5696373.161311035</v>
      </c>
      <c r="AW122" s="345">
        <v>5909149.335952024</v>
      </c>
      <c r="AX122" s="345">
        <v>6991417.4618647369</v>
      </c>
      <c r="AY122" s="345">
        <v>5593033.1115284413</v>
      </c>
    </row>
    <row r="123" spans="1:54" s="352" customFormat="1" x14ac:dyDescent="0.25">
      <c r="A123" s="350" t="s">
        <v>43</v>
      </c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>
        <v>1605587.421070986</v>
      </c>
      <c r="AL123" s="350">
        <v>4608718.0726432223</v>
      </c>
      <c r="AM123" s="350">
        <v>4950473.0673487298</v>
      </c>
      <c r="AN123" s="351">
        <v>2955970.798647929</v>
      </c>
      <c r="AO123" s="351">
        <v>3344092.3206759081</v>
      </c>
      <c r="AP123" s="351">
        <v>5559588.0674280291</v>
      </c>
      <c r="AQ123" s="351">
        <v>5903008.5507076774</v>
      </c>
      <c r="AR123" s="351">
        <v>4763691.3654997572</v>
      </c>
      <c r="AS123" s="351">
        <v>5802448.4767005034</v>
      </c>
      <c r="AT123" s="351">
        <v>4482311.7679697089</v>
      </c>
      <c r="AU123" s="351">
        <v>5458160.0372185297</v>
      </c>
      <c r="AV123" s="351">
        <v>5696373.161311035</v>
      </c>
      <c r="AW123" s="351">
        <v>5909149.335952024</v>
      </c>
      <c r="AX123" s="351">
        <v>6991417.4618647369</v>
      </c>
      <c r="AY123" s="351">
        <v>5593033.1115284413</v>
      </c>
    </row>
    <row r="124" spans="1:54" x14ac:dyDescent="0.25"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>
        <f>AN123+AN79</f>
        <v>4206375.131104758</v>
      </c>
      <c r="AO124" s="26">
        <f>AO123+AO79</f>
        <v>4890079.1595291691</v>
      </c>
      <c r="AP124" s="26">
        <v>6312897.7173873112</v>
      </c>
      <c r="AQ124" s="26">
        <v>6729376.2234870158</v>
      </c>
      <c r="AR124" s="26">
        <v>5884314.6924281418</v>
      </c>
      <c r="AS124" s="26">
        <v>6283884.4123663129</v>
      </c>
      <c r="AT124" s="26">
        <v>4964087.6843384253</v>
      </c>
      <c r="AU124" s="26">
        <v>6326808.8007465899</v>
      </c>
      <c r="AV124" s="26">
        <v>6337900.1930499552</v>
      </c>
      <c r="AW124" s="26">
        <v>6771560.9076011591</v>
      </c>
      <c r="AX124" s="26">
        <v>8003371.3468792615</v>
      </c>
      <c r="AY124" s="26">
        <v>6717627.009010477</v>
      </c>
    </row>
    <row r="125" spans="1:54" x14ac:dyDescent="0.25">
      <c r="A125" t="s">
        <v>256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>
        <v>3361267.83</v>
      </c>
      <c r="AL125" s="42">
        <v>3361267.83</v>
      </c>
      <c r="AM125" s="42">
        <v>3361267.83</v>
      </c>
      <c r="AN125" s="26">
        <f>AN124-'[1]Orçado '!AN125</f>
        <v>0</v>
      </c>
      <c r="AO125" s="26">
        <f>AO124-'[1]Orçado '!AO125</f>
        <v>0</v>
      </c>
      <c r="AP125" s="26">
        <f>AP124-'[1]Orçado '!AP125</f>
        <v>0</v>
      </c>
      <c r="AQ125" s="26">
        <f>AQ124-'[1]Orçado '!AQ125</f>
        <v>0</v>
      </c>
      <c r="AR125" s="26">
        <f>AR124-'[1]Orçado '!AR125</f>
        <v>0</v>
      </c>
      <c r="AS125" s="26">
        <f>AS124-'[1]Orçado '!AS125</f>
        <v>0</v>
      </c>
      <c r="AT125" s="26">
        <f>AT124-'[1]Orçado '!AT125</f>
        <v>0</v>
      </c>
      <c r="AU125" s="26">
        <f>AU124-'[1]Orçado '!AU125</f>
        <v>0</v>
      </c>
      <c r="AV125" s="26">
        <f>AV124-'[1]Orçado '!AV125</f>
        <v>0</v>
      </c>
      <c r="AW125" s="26">
        <f>AW124-'[1]Orçado '!AW125</f>
        <v>0</v>
      </c>
      <c r="AX125" s="26">
        <f>AX124-'[1]Orçado '!AX125</f>
        <v>0</v>
      </c>
      <c r="AY125" s="26">
        <f>AY124-'[1]Orçado '!AY125</f>
        <v>0</v>
      </c>
    </row>
    <row r="126" spans="1:54" s="344" customFormat="1" x14ac:dyDescent="0.25">
      <c r="A126" s="341" t="s">
        <v>257</v>
      </c>
      <c r="B126" s="341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  <c r="AJ126" s="342"/>
      <c r="AK126" s="345"/>
      <c r="AL126" s="345"/>
      <c r="AM126" s="345"/>
      <c r="AN126" s="345"/>
      <c r="AO126" s="345"/>
      <c r="AP126" s="345"/>
      <c r="AQ126" s="345"/>
      <c r="AR126" s="345"/>
      <c r="AS126" s="345"/>
      <c r="AT126" s="345"/>
      <c r="AU126" s="345"/>
      <c r="AV126" s="345"/>
      <c r="AW126" s="345"/>
      <c r="AX126" s="345"/>
      <c r="AY126" s="345"/>
    </row>
    <row r="127" spans="1:54" x14ac:dyDescent="0.25">
      <c r="A127" t="s">
        <v>184</v>
      </c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>
        <v>0</v>
      </c>
      <c r="AL127" s="42">
        <v>0</v>
      </c>
      <c r="AM127" s="42">
        <v>0</v>
      </c>
      <c r="AO127" s="79"/>
    </row>
    <row r="128" spans="1:54" x14ac:dyDescent="0.25">
      <c r="A128" t="s">
        <v>205</v>
      </c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161"/>
      <c r="AK128" s="161">
        <v>405113624.12851298</v>
      </c>
      <c r="AL128" s="161">
        <v>408253011.56734282</v>
      </c>
      <c r="AM128" s="161">
        <v>410048462.52583498</v>
      </c>
      <c r="AN128" s="42">
        <v>411323806.92283022</v>
      </c>
      <c r="AO128" s="42">
        <v>411783826.2280187</v>
      </c>
      <c r="AP128" s="42">
        <v>412929039.21362871</v>
      </c>
      <c r="AQ128" s="42">
        <v>413908400.87634271</v>
      </c>
      <c r="AR128" s="42">
        <v>415101750.62010407</v>
      </c>
      <c r="AS128" s="42">
        <v>415981163.22097749</v>
      </c>
      <c r="AT128" s="42">
        <v>417195668.95292068</v>
      </c>
      <c r="AU128" s="42">
        <v>418344253.90149939</v>
      </c>
      <c r="AV128" s="42">
        <v>419172089.50952637</v>
      </c>
      <c r="AW128" s="42">
        <v>420363003.18780363</v>
      </c>
      <c r="AX128" s="42">
        <v>421220940.80511773</v>
      </c>
      <c r="AY128" s="42">
        <v>422265674.05863333</v>
      </c>
    </row>
    <row r="129" spans="1:51" x14ac:dyDescent="0.25">
      <c r="A129" t="s">
        <v>220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161"/>
      <c r="AK129" s="161">
        <v>1392427560.2818291</v>
      </c>
      <c r="AL129" s="161">
        <v>1431046740.194416</v>
      </c>
      <c r="AM129" s="161">
        <v>1460338240.044384</v>
      </c>
      <c r="AN129" s="42">
        <v>1490975209.1765189</v>
      </c>
      <c r="AO129" s="42">
        <v>1522293454.6021509</v>
      </c>
      <c r="AP129" s="42">
        <v>1568129054.601011</v>
      </c>
      <c r="AQ129" s="42">
        <v>1605506885.4706719</v>
      </c>
      <c r="AR129" s="42">
        <v>1642288905.8408661</v>
      </c>
      <c r="AS129" s="42">
        <v>1684343532.192333</v>
      </c>
      <c r="AT129" s="42">
        <v>1733301261.653496</v>
      </c>
      <c r="AU129" s="42">
        <v>1779964815.9422209</v>
      </c>
      <c r="AV129" s="42">
        <v>1824092836.803303</v>
      </c>
      <c r="AW129" s="42">
        <v>1872112861.7427571</v>
      </c>
      <c r="AX129" s="42">
        <v>1917043680.8837869</v>
      </c>
      <c r="AY129" s="42">
        <v>1966607488.1591499</v>
      </c>
    </row>
    <row r="130" spans="1:51" x14ac:dyDescent="0.25"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</row>
    <row r="131" spans="1:51" x14ac:dyDescent="0.25"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</row>
    <row r="132" spans="1:51" s="344" customFormat="1" x14ac:dyDescent="0.25">
      <c r="A132" s="341" t="s">
        <v>258</v>
      </c>
      <c r="B132" s="341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  <c r="AJ132" s="342"/>
      <c r="AK132" s="345"/>
      <c r="AL132" s="345"/>
      <c r="AM132" s="345"/>
      <c r="AN132" s="345"/>
      <c r="AO132" s="345"/>
      <c r="AP132" s="345"/>
      <c r="AQ132" s="345"/>
      <c r="AR132" s="345"/>
      <c r="AS132" s="345"/>
      <c r="AT132" s="345"/>
      <c r="AU132" s="345"/>
      <c r="AV132" s="345"/>
      <c r="AW132" s="345"/>
      <c r="AX132" s="345"/>
      <c r="AY132" s="345"/>
    </row>
    <row r="133" spans="1:51" x14ac:dyDescent="0.25">
      <c r="A133" t="s">
        <v>184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>
        <v>0</v>
      </c>
      <c r="AL133" s="42">
        <v>0</v>
      </c>
      <c r="AM133" s="42">
        <v>0</v>
      </c>
    </row>
    <row r="134" spans="1:51" x14ac:dyDescent="0.25">
      <c r="A134" t="s">
        <v>205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>
        <v>404556156.27807242</v>
      </c>
      <c r="AL134" s="42">
        <v>407578382.97623342</v>
      </c>
      <c r="AM134" s="42">
        <v>408765600.66048127</v>
      </c>
      <c r="AN134" s="42">
        <v>409875671.87967068</v>
      </c>
      <c r="AO134" s="42">
        <v>410179964.35174888</v>
      </c>
      <c r="AP134" s="42">
        <v>411169913.83891809</v>
      </c>
      <c r="AQ134">
        <v>411985171.79715401</v>
      </c>
      <c r="AR134">
        <v>413015422.8937217</v>
      </c>
      <c r="AS134">
        <v>413731890.29054397</v>
      </c>
      <c r="AT134">
        <v>414776276.02881593</v>
      </c>
      <c r="AU134">
        <v>415756134.88119477</v>
      </c>
      <c r="AV134">
        <v>416415759.8812629</v>
      </c>
      <c r="AW134">
        <v>417431503.29727763</v>
      </c>
      <c r="AX134">
        <v>418114934.62060839</v>
      </c>
      <c r="AY134">
        <v>418988194.95266372</v>
      </c>
    </row>
    <row r="135" spans="1:51" x14ac:dyDescent="0.25">
      <c r="A135" t="s">
        <v>220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161">
        <v>1374447643.841805</v>
      </c>
      <c r="AL135" s="161">
        <v>1410663890.864392</v>
      </c>
      <c r="AM135" s="161">
        <v>1437714800.8243599</v>
      </c>
      <c r="AN135" s="42">
        <v>1466079021.5783379</v>
      </c>
      <c r="AO135" s="42">
        <v>1495008011.9824619</v>
      </c>
      <c r="AP135" s="42">
        <v>1537966421.4420381</v>
      </c>
      <c r="AQ135" s="42">
        <v>1572840514.298635</v>
      </c>
      <c r="AR135" s="42">
        <v>1607078554.8367269</v>
      </c>
      <c r="AS135" s="42">
        <v>1646400930.110379</v>
      </c>
      <c r="AT135" s="42">
        <v>1692214351.028568</v>
      </c>
      <c r="AU135" s="42">
        <v>1735894008.6980751</v>
      </c>
      <c r="AV135" s="42">
        <v>1777193437.150574</v>
      </c>
      <c r="AW135" s="42">
        <v>1822178695.6565211</v>
      </c>
      <c r="AX135" s="42">
        <v>1864259328.9099021</v>
      </c>
      <c r="AY135" s="42">
        <v>1910726848.385488</v>
      </c>
    </row>
    <row r="136" spans="1:51" x14ac:dyDescent="0.25"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</row>
    <row r="137" spans="1:51" s="344" customFormat="1" x14ac:dyDescent="0.25">
      <c r="A137" s="341" t="s">
        <v>259</v>
      </c>
      <c r="B137" s="341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5">
        <v>189809898.03335831</v>
      </c>
      <c r="AL137" s="345">
        <v>195687099.71334231</v>
      </c>
      <c r="AM137" s="345">
        <v>200988728.44776139</v>
      </c>
      <c r="AN137" s="345">
        <v>203777172.74241969</v>
      </c>
      <c r="AO137" s="345">
        <v>213667251.9019489</v>
      </c>
      <c r="AP137" s="345">
        <v>226483743.54075861</v>
      </c>
      <c r="AQ137" s="345">
        <v>233213119.7642456</v>
      </c>
      <c r="AR137" s="345">
        <v>239097434.45667371</v>
      </c>
      <c r="AS137" s="345">
        <v>245381318.86904001</v>
      </c>
      <c r="AT137" s="345">
        <v>250345406.55337831</v>
      </c>
      <c r="AU137" s="345">
        <v>256672215.35412481</v>
      </c>
      <c r="AV137" s="345">
        <v>263010115.54717481</v>
      </c>
      <c r="AW137" s="345">
        <v>269781676.45477593</v>
      </c>
      <c r="AX137" s="345">
        <v>277785047.80165529</v>
      </c>
      <c r="AY137" s="345">
        <v>284502674.81066602</v>
      </c>
    </row>
    <row r="138" spans="1:51" x14ac:dyDescent="0.25"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</row>
    <row r="139" spans="1:51" x14ac:dyDescent="0.25">
      <c r="Q139" s="73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>
        <v>1392427560.2818291</v>
      </c>
      <c r="AL139" s="88">
        <v>38619179.912586927</v>
      </c>
      <c r="AM139" s="88">
        <v>29291499.84996843</v>
      </c>
    </row>
    <row r="140" spans="1:51" s="344" customFormat="1" x14ac:dyDescent="0.25">
      <c r="A140" s="341" t="s">
        <v>233</v>
      </c>
      <c r="B140" s="341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  <c r="AJ140" s="342"/>
      <c r="AK140" s="345">
        <v>1734931037.751133</v>
      </c>
      <c r="AL140" s="345">
        <v>1764937070.019238</v>
      </c>
      <c r="AM140" s="345">
        <v>1798180153.625278</v>
      </c>
      <c r="AN140" s="345"/>
      <c r="AO140" s="345"/>
      <c r="AP140" s="345"/>
      <c r="AQ140" s="345"/>
      <c r="AR140" s="345"/>
      <c r="AS140" s="345"/>
      <c r="AT140" s="345"/>
      <c r="AU140" s="345"/>
      <c r="AV140" s="345"/>
      <c r="AW140" s="345"/>
      <c r="AX140" s="345"/>
      <c r="AY140" s="345"/>
    </row>
    <row r="141" spans="1:51" x14ac:dyDescent="0.25">
      <c r="A141" t="s">
        <v>260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</row>
    <row r="142" spans="1:51" x14ac:dyDescent="0.25">
      <c r="A142" t="s">
        <v>261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</row>
    <row r="143" spans="1:51" s="344" customFormat="1" x14ac:dyDescent="0.25">
      <c r="A143" s="341" t="s">
        <v>234</v>
      </c>
      <c r="B143" s="341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5">
        <v>784266112.30388761</v>
      </c>
      <c r="AL143" s="345">
        <v>810920055.60876727</v>
      </c>
      <c r="AM143" s="345">
        <v>834783712.80580223</v>
      </c>
      <c r="AN143" s="345"/>
      <c r="AO143" s="345"/>
      <c r="AP143" s="345"/>
      <c r="AQ143" s="345"/>
      <c r="AR143" s="345"/>
      <c r="AS143" s="345"/>
      <c r="AT143" s="345"/>
      <c r="AU143" s="345"/>
      <c r="AV143" s="345"/>
      <c r="AW143" s="345"/>
      <c r="AX143" s="345"/>
      <c r="AY143" s="345"/>
    </row>
    <row r="144" spans="1:51" x14ac:dyDescent="0.25">
      <c r="A144" s="14" t="s">
        <v>262</v>
      </c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>
        <v>-16983917.348869801</v>
      </c>
      <c r="AL144" s="42">
        <v>-14013216.80451015</v>
      </c>
      <c r="AM144" s="42">
        <v>-16455489.324241299</v>
      </c>
    </row>
    <row r="145" spans="1:39" x14ac:dyDescent="0.25">
      <c r="A145" s="14" t="s">
        <v>263</v>
      </c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>
        <v>-3996612.8572214241</v>
      </c>
      <c r="AL145" s="42">
        <v>-4115254.2115762932</v>
      </c>
      <c r="AM145" s="42">
        <v>-4855325.7529941294</v>
      </c>
    </row>
    <row r="146" spans="1:39" x14ac:dyDescent="0.25">
      <c r="A146" s="14" t="s">
        <v>264</v>
      </c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>
        <v>-233819.0291975947</v>
      </c>
      <c r="AL146" s="42">
        <v>-237855.8241575209</v>
      </c>
      <c r="AM146" s="42">
        <v>-242327.09566237041</v>
      </c>
    </row>
    <row r="147" spans="1:39" x14ac:dyDescent="0.25">
      <c r="A147" s="14" t="s">
        <v>265</v>
      </c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>
        <v>2612328.283648408</v>
      </c>
      <c r="AL147" s="42">
        <v>2239416.06938738</v>
      </c>
      <c r="AM147" s="42">
        <v>2608206.5077487561</v>
      </c>
    </row>
    <row r="148" spans="1:39" x14ac:dyDescent="0.25">
      <c r="A148" s="119"/>
      <c r="B148" s="119"/>
      <c r="C148" s="119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</row>
    <row r="150" spans="1:39" x14ac:dyDescent="0.25">
      <c r="A150" s="27" t="s">
        <v>96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1:39" x14ac:dyDescent="0.25">
      <c r="A151" s="28" t="s">
        <v>9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>
        <v>28589156.34366243</v>
      </c>
      <c r="AL151" s="15">
        <v>30197572.8615718</v>
      </c>
      <c r="AM151" s="15">
        <v>33095458.07077869</v>
      </c>
    </row>
    <row r="152" spans="1:39" x14ac:dyDescent="0.25">
      <c r="A152" s="29" t="s">
        <v>10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>
        <v>25173201.01366242</v>
      </c>
      <c r="AL152" s="15">
        <v>27299393.3615718</v>
      </c>
      <c r="AM152" s="15">
        <v>29409272.320778679</v>
      </c>
    </row>
    <row r="153" spans="1:39" x14ac:dyDescent="0.25">
      <c r="A153" s="78" t="s">
        <v>11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>
        <v>20421323.631072029</v>
      </c>
      <c r="AL153" s="15">
        <v>21651991.651497882</v>
      </c>
      <c r="AM153" s="15">
        <v>25705411.691952169</v>
      </c>
    </row>
    <row r="154" spans="1:39" x14ac:dyDescent="0.25">
      <c r="A154" s="78" t="s">
        <v>12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>
        <v>2609404.699111165</v>
      </c>
      <c r="AL154" s="15">
        <v>3558565.026447115</v>
      </c>
      <c r="AM154" s="15">
        <v>1574779.4262668381</v>
      </c>
    </row>
    <row r="155" spans="1:39" x14ac:dyDescent="0.25">
      <c r="A155" s="78" t="s">
        <v>13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>
        <v>348636.06885876821</v>
      </c>
      <c r="AL155" s="15">
        <v>356855.50686011318</v>
      </c>
      <c r="AM155" s="15">
        <v>352035.47127431142</v>
      </c>
    </row>
    <row r="156" spans="1:39" x14ac:dyDescent="0.25">
      <c r="A156" s="78" t="s">
        <v>14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>
        <v>1793836.6146204621</v>
      </c>
      <c r="AL156" s="15">
        <v>1731981.1767666901</v>
      </c>
      <c r="AM156" s="15">
        <v>1777045.731285362</v>
      </c>
    </row>
    <row r="157" spans="1:39" x14ac:dyDescent="0.25">
      <c r="A157" s="29" t="s">
        <v>15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>
        <v>1970000</v>
      </c>
      <c r="AL157" s="15">
        <v>1970000</v>
      </c>
      <c r="AM157" s="15">
        <v>1970000</v>
      </c>
    </row>
    <row r="158" spans="1:39" x14ac:dyDescent="0.25">
      <c r="A158" s="77" t="s">
        <v>15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>
        <v>0</v>
      </c>
      <c r="AL158" s="15">
        <v>0</v>
      </c>
      <c r="AM158" s="15">
        <v>0</v>
      </c>
    </row>
    <row r="159" spans="1:39" x14ac:dyDescent="0.25">
      <c r="A159" s="77" t="s">
        <v>253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>
        <v>0</v>
      </c>
      <c r="AL159" s="15">
        <v>0</v>
      </c>
      <c r="AM159" s="15">
        <v>0</v>
      </c>
    </row>
    <row r="160" spans="1:39" x14ac:dyDescent="0.25">
      <c r="A160" s="29" t="s">
        <v>16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>
        <v>29296.42</v>
      </c>
      <c r="AL160" s="15">
        <v>29296.42</v>
      </c>
      <c r="AM160" s="15">
        <v>29296.42</v>
      </c>
    </row>
    <row r="161" spans="1:39" x14ac:dyDescent="0.25">
      <c r="A161" s="29" t="s">
        <v>17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>
        <v>0</v>
      </c>
      <c r="AL161" s="15">
        <v>0</v>
      </c>
      <c r="AM161" s="15">
        <v>0</v>
      </c>
    </row>
    <row r="162" spans="1:39" x14ac:dyDescent="0.25">
      <c r="A162" s="29" t="s">
        <v>18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>
        <v>220437.96</v>
      </c>
      <c r="AL162" s="15">
        <v>251558</v>
      </c>
      <c r="AM162" s="15">
        <v>294718</v>
      </c>
    </row>
    <row r="163" spans="1:39" x14ac:dyDescent="0.25">
      <c r="A163" s="82" t="s">
        <v>206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>
        <v>0</v>
      </c>
      <c r="AL163" s="15">
        <v>0</v>
      </c>
      <c r="AM163" s="15">
        <v>0</v>
      </c>
    </row>
    <row r="164" spans="1:39" x14ac:dyDescent="0.25">
      <c r="A164" s="82" t="s">
        <v>207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>
        <v>0</v>
      </c>
      <c r="AL164" s="15">
        <v>0</v>
      </c>
      <c r="AM164" s="15">
        <v>0</v>
      </c>
    </row>
    <row r="165" spans="1:39" x14ac:dyDescent="0.25">
      <c r="A165" s="82" t="s">
        <v>208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>
        <v>0</v>
      </c>
      <c r="AL165" s="15">
        <v>0</v>
      </c>
      <c r="AM165" s="15">
        <v>0</v>
      </c>
    </row>
    <row r="166" spans="1:39" x14ac:dyDescent="0.25">
      <c r="A166" s="29" t="s">
        <v>19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>
        <v>1080237.8400000001</v>
      </c>
      <c r="AL166" s="15">
        <v>791082.68</v>
      </c>
      <c r="AM166" s="15">
        <v>885803.25</v>
      </c>
    </row>
    <row r="167" spans="1:39" x14ac:dyDescent="0.25">
      <c r="A167" s="31" t="s">
        <v>20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>
        <v>115983.1099999999</v>
      </c>
      <c r="AL167" s="15">
        <v>-143757.60000000009</v>
      </c>
      <c r="AM167" s="15">
        <v>-38583.429999999928</v>
      </c>
    </row>
    <row r="168" spans="1:39" x14ac:dyDescent="0.25">
      <c r="A168" s="28" t="s">
        <v>23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>
        <v>-18100746.063376561</v>
      </c>
      <c r="AL168" s="15">
        <v>-14327093.106458841</v>
      </c>
      <c r="AM168" s="15">
        <v>-16915391.61514274</v>
      </c>
    </row>
    <row r="169" spans="1:39" x14ac:dyDescent="0.25">
      <c r="A169" s="29" t="s">
        <v>209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>
        <v>-18100746.063376561</v>
      </c>
      <c r="AL169" s="30">
        <v>-14327093.106458841</v>
      </c>
      <c r="AM169" s="30">
        <v>-16915391.61514274</v>
      </c>
    </row>
    <row r="170" spans="1:39" x14ac:dyDescent="0.25">
      <c r="A170" s="77" t="s">
        <v>25</v>
      </c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>
        <v>-5004075.147264435</v>
      </c>
      <c r="AL170" s="91">
        <v>-3205244.054943745</v>
      </c>
      <c r="AM170" s="91">
        <v>-3921465.7036883291</v>
      </c>
    </row>
    <row r="171" spans="1:39" x14ac:dyDescent="0.25">
      <c r="A171" s="77" t="s">
        <v>28</v>
      </c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>
        <v>-16381863.96430188</v>
      </c>
      <c r="AL171" s="91">
        <v>-13888815.780947329</v>
      </c>
      <c r="AM171" s="91">
        <v>-16505524.815714801</v>
      </c>
    </row>
    <row r="172" spans="1:39" x14ac:dyDescent="0.25">
      <c r="A172" s="77" t="s">
        <v>210</v>
      </c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>
        <v>2481062.5666802898</v>
      </c>
      <c r="AL172" s="91">
        <v>1699803.923329839</v>
      </c>
      <c r="AM172" s="91">
        <v>2583088.2002650769</v>
      </c>
    </row>
    <row r="173" spans="1:39" x14ac:dyDescent="0.25">
      <c r="A173" s="77" t="s">
        <v>30</v>
      </c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>
        <v>804130.4815094599</v>
      </c>
      <c r="AL173" s="91">
        <v>1067162.8061023911</v>
      </c>
      <c r="AM173" s="91">
        <v>928510.70399532141</v>
      </c>
    </row>
    <row r="174" spans="1:39" x14ac:dyDescent="0.25">
      <c r="A174" s="29" t="s">
        <v>31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>
        <v>-545637.6578832923</v>
      </c>
      <c r="AL174" s="30">
        <v>-737089.21766775125</v>
      </c>
      <c r="AM174" s="30">
        <v>-673276.65342706745</v>
      </c>
    </row>
    <row r="175" spans="1:39" x14ac:dyDescent="0.25">
      <c r="A175" s="32" t="s">
        <v>32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>
        <v>9942772.6224025711</v>
      </c>
      <c r="AL175" s="15">
        <v>15133390.537445201</v>
      </c>
      <c r="AM175" s="15">
        <v>15506789.80220888</v>
      </c>
    </row>
    <row r="176" spans="1:39" x14ac:dyDescent="0.25">
      <c r="A176" s="29" t="s">
        <v>33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>
        <v>-1497258.4766635471</v>
      </c>
      <c r="AL176" s="15">
        <v>-1688983.9539301409</v>
      </c>
      <c r="AM176" s="15">
        <v>-1479535.2478703021</v>
      </c>
    </row>
    <row r="177" spans="1:40" x14ac:dyDescent="0.25">
      <c r="A177" s="33" t="s">
        <v>35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>
        <v>8445514.1457390245</v>
      </c>
      <c r="AL177" s="15">
        <v>13444406.583515059</v>
      </c>
      <c r="AM177" s="15">
        <v>14027254.55433858</v>
      </c>
    </row>
    <row r="178" spans="1:40" ht="14.25" customHeight="1" x14ac:dyDescent="0.25">
      <c r="A178" s="31" t="s">
        <v>36</v>
      </c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>
        <v>-1917850.432972227</v>
      </c>
      <c r="AL178" s="30">
        <v>-1916003.632972226</v>
      </c>
      <c r="AM178" s="30">
        <v>-1916003.632972226</v>
      </c>
    </row>
    <row r="179" spans="1:40" ht="14.25" customHeight="1" x14ac:dyDescent="0.25">
      <c r="A179" s="31" t="s">
        <v>217</v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</row>
    <row r="180" spans="1:40" x14ac:dyDescent="0.25">
      <c r="A180" s="29" t="s">
        <v>212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>
        <v>-138159.71520000001</v>
      </c>
      <c r="AL180" s="15">
        <v>-82840.510000002701</v>
      </c>
      <c r="AM180" s="15">
        <v>0</v>
      </c>
    </row>
    <row r="181" spans="1:40" x14ac:dyDescent="0.25">
      <c r="A181" s="28" t="s">
        <v>38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>
        <v>5782478.0686848527</v>
      </c>
      <c r="AL181" s="15">
        <v>10879132.125827551</v>
      </c>
      <c r="AM181" s="15">
        <v>11579712.54310941</v>
      </c>
    </row>
    <row r="182" spans="1:40" x14ac:dyDescent="0.25">
      <c r="A182" s="29" t="s">
        <v>39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>
        <v>-3129124.3906388958</v>
      </c>
      <c r="AL182" s="30">
        <v>-3125357.8906388939</v>
      </c>
      <c r="AM182" s="30">
        <v>-3125357.8906388939</v>
      </c>
    </row>
    <row r="183" spans="1:40" x14ac:dyDescent="0.25">
      <c r="A183" s="33" t="s">
        <v>41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>
        <v>2653353.678045956</v>
      </c>
      <c r="AL183" s="15">
        <v>7753774.2351886556</v>
      </c>
      <c r="AM183" s="15">
        <v>8454354.6524705179</v>
      </c>
    </row>
    <row r="184" spans="1:40" x14ac:dyDescent="0.25">
      <c r="A184" s="29" t="s">
        <v>42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>
        <v>-736185.98696972686</v>
      </c>
      <c r="AL184" s="30">
        <v>-2064962.752426825</v>
      </c>
      <c r="AM184" s="30">
        <v>-2298937.6851200899</v>
      </c>
    </row>
    <row r="185" spans="1:40" x14ac:dyDescent="0.25">
      <c r="A185" s="34" t="s">
        <v>213</v>
      </c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>
        <v>1917167.69107623</v>
      </c>
      <c r="AL185" s="34">
        <v>5688811.4827618301</v>
      </c>
      <c r="AM185" s="34">
        <v>6155416.9673504271</v>
      </c>
    </row>
    <row r="186" spans="1:40" x14ac:dyDescent="0.25">
      <c r="A186" s="29" t="s">
        <v>266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>
        <v>178204.25</v>
      </c>
      <c r="AL186" s="15">
        <v>188001.86</v>
      </c>
      <c r="AM186" s="15">
        <v>387325.03</v>
      </c>
      <c r="AN186" s="79">
        <v>87060.329999999987</v>
      </c>
    </row>
    <row r="187" spans="1:40" x14ac:dyDescent="0.25">
      <c r="A187" s="34" t="s">
        <v>43</v>
      </c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>
        <v>2095371.94107623</v>
      </c>
      <c r="AL187" s="34">
        <v>5876813.3427618314</v>
      </c>
      <c r="AM187" s="34">
        <v>6542741.9973504283</v>
      </c>
    </row>
    <row r="190" spans="1:40" x14ac:dyDescent="0.25">
      <c r="A190" t="s">
        <v>267</v>
      </c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 t="e">
        <v>#REF!</v>
      </c>
      <c r="AL190" s="26" t="e">
        <v>#REF!</v>
      </c>
      <c r="AM190" s="26" t="e">
        <v>#REF!</v>
      </c>
    </row>
    <row r="191" spans="1:40" x14ac:dyDescent="0.25">
      <c r="B191" s="116"/>
      <c r="P191" s="93"/>
    </row>
    <row r="192" spans="1:40" x14ac:dyDescent="0.25"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spans="16:39" x14ac:dyDescent="0.25"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6:39" x14ac:dyDescent="0.25"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6:39" x14ac:dyDescent="0.25"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B1:E11"/>
  <sheetViews>
    <sheetView showGridLines="0" zoomScale="80" zoomScaleNormal="80" workbookViewId="0">
      <selection activeCell="C6" sqref="C6"/>
    </sheetView>
  </sheetViews>
  <sheetFormatPr defaultRowHeight="15" x14ac:dyDescent="0.25"/>
  <cols>
    <col min="2" max="2" width="32.28515625" style="86" customWidth="1"/>
    <col min="3" max="3" width="120" customWidth="1"/>
    <col min="4" max="4" width="15.85546875" customWidth="1"/>
    <col min="5" max="5" width="13.85546875" bestFit="1" customWidth="1"/>
    <col min="7" max="7" width="16.140625" bestFit="1" customWidth="1"/>
    <col min="11" max="11" width="34.5703125" customWidth="1"/>
  </cols>
  <sheetData>
    <row r="1" spans="2:5" x14ac:dyDescent="0.25">
      <c r="E1" s="104"/>
    </row>
    <row r="2" spans="2:5" x14ac:dyDescent="0.25">
      <c r="B2" s="85" t="s">
        <v>268</v>
      </c>
    </row>
    <row r="4" spans="2:5" x14ac:dyDescent="0.25">
      <c r="B4" s="147">
        <v>46054</v>
      </c>
      <c r="C4" s="147"/>
    </row>
    <row r="5" spans="2:5" x14ac:dyDescent="0.25">
      <c r="B5" s="125" t="s">
        <v>269</v>
      </c>
      <c r="C5" s="124" t="s">
        <v>270</v>
      </c>
    </row>
    <row r="6" spans="2:5" ht="28.9" customHeight="1" x14ac:dyDescent="0.25">
      <c r="B6" s="125" t="s">
        <v>271</v>
      </c>
      <c r="C6" s="124" t="s">
        <v>272</v>
      </c>
    </row>
    <row r="7" spans="2:5" ht="43.15" customHeight="1" x14ac:dyDescent="0.25">
      <c r="B7" s="125" t="s">
        <v>273</v>
      </c>
      <c r="C7" s="124" t="s">
        <v>274</v>
      </c>
    </row>
    <row r="8" spans="2:5" ht="46.9" customHeight="1" x14ac:dyDescent="0.25">
      <c r="B8" s="125" t="s">
        <v>275</v>
      </c>
      <c r="C8" s="124" t="s">
        <v>276</v>
      </c>
    </row>
    <row r="9" spans="2:5" ht="19.899999999999999" customHeight="1" x14ac:dyDescent="0.25">
      <c r="B9" s="143" t="s">
        <v>277</v>
      </c>
      <c r="C9" s="124" t="s">
        <v>278</v>
      </c>
    </row>
    <row r="11" spans="2:5" x14ac:dyDescent="0.25">
      <c r="B11" s="98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2"/>
  <sheetViews>
    <sheetView workbookViewId="0">
      <selection activeCell="I2" sqref="I2:I72"/>
    </sheetView>
  </sheetViews>
  <sheetFormatPr defaultRowHeight="15" x14ac:dyDescent="0.25"/>
  <cols>
    <col min="1" max="1" width="8.7109375" bestFit="1" customWidth="1"/>
    <col min="2" max="2" width="39.28515625" bestFit="1" customWidth="1"/>
    <col min="3" max="4" width="11" bestFit="1" customWidth="1"/>
    <col min="5" max="5" width="6.28515625" bestFit="1" customWidth="1"/>
    <col min="6" max="6" width="10.140625" bestFit="1" customWidth="1"/>
    <col min="7" max="9" width="12" bestFit="1" customWidth="1"/>
  </cols>
  <sheetData>
    <row r="1" spans="1:9" x14ac:dyDescent="0.2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</row>
    <row r="2" spans="1:9" x14ac:dyDescent="0.25">
      <c r="A2" t="s">
        <v>288</v>
      </c>
      <c r="B2" t="s">
        <v>289</v>
      </c>
      <c r="C2">
        <v>4259515.08</v>
      </c>
      <c r="D2">
        <v>4256781.6399999997</v>
      </c>
      <c r="E2">
        <v>192</v>
      </c>
      <c r="F2">
        <v>164</v>
      </c>
      <c r="G2">
        <v>1000986.0438</v>
      </c>
      <c r="H2">
        <v>808788.51159999985</v>
      </c>
      <c r="I2" s="79">
        <v>192197.5322000001</v>
      </c>
    </row>
    <row r="3" spans="1:9" x14ac:dyDescent="0.25">
      <c r="A3" t="s">
        <v>290</v>
      </c>
      <c r="B3" t="s">
        <v>291</v>
      </c>
      <c r="C3">
        <v>2819790.92</v>
      </c>
      <c r="D3">
        <v>2816683.78</v>
      </c>
      <c r="E3">
        <v>565</v>
      </c>
      <c r="F3">
        <v>537</v>
      </c>
      <c r="G3">
        <v>2185337.963</v>
      </c>
      <c r="H3">
        <v>2056179.1594</v>
      </c>
      <c r="I3" s="79">
        <v>129158.8036</v>
      </c>
    </row>
    <row r="4" spans="1:9" x14ac:dyDescent="0.25">
      <c r="A4" t="s">
        <v>292</v>
      </c>
      <c r="B4" t="s">
        <v>293</v>
      </c>
      <c r="C4">
        <v>2670121.59</v>
      </c>
      <c r="D4">
        <v>2667527.8199999998</v>
      </c>
      <c r="E4">
        <v>534</v>
      </c>
      <c r="F4">
        <v>506</v>
      </c>
      <c r="G4">
        <v>1949188.7607</v>
      </c>
      <c r="H4">
        <v>1827256.5567000001</v>
      </c>
      <c r="I4" s="79">
        <v>121932.2039999999</v>
      </c>
    </row>
    <row r="5" spans="1:9" x14ac:dyDescent="0.25">
      <c r="A5" t="s">
        <v>294</v>
      </c>
      <c r="B5" t="s">
        <v>295</v>
      </c>
      <c r="C5">
        <v>4875679.05</v>
      </c>
      <c r="D5">
        <v>4814667.8499999996</v>
      </c>
      <c r="E5">
        <v>16</v>
      </c>
      <c r="F5">
        <v>0</v>
      </c>
      <c r="G5">
        <v>170648.76675000001</v>
      </c>
      <c r="H5">
        <v>67405.349900000001</v>
      </c>
      <c r="I5" s="79">
        <v>103243.41684999999</v>
      </c>
    </row>
    <row r="6" spans="1:9" x14ac:dyDescent="0.25">
      <c r="A6" t="s">
        <v>296</v>
      </c>
      <c r="B6" t="s">
        <v>297</v>
      </c>
      <c r="C6">
        <v>3154438.49</v>
      </c>
      <c r="D6">
        <v>3105494.78</v>
      </c>
      <c r="E6">
        <v>41</v>
      </c>
      <c r="F6">
        <v>13</v>
      </c>
      <c r="G6">
        <v>141949.73204999999</v>
      </c>
      <c r="H6">
        <v>43476.926919999998</v>
      </c>
      <c r="I6" s="79">
        <v>98472.805129999993</v>
      </c>
    </row>
    <row r="7" spans="1:9" x14ac:dyDescent="0.25">
      <c r="A7" t="s">
        <v>298</v>
      </c>
      <c r="B7" t="s">
        <v>299</v>
      </c>
      <c r="C7">
        <v>2129902.94</v>
      </c>
      <c r="D7">
        <v>2128317.61</v>
      </c>
      <c r="E7">
        <v>131</v>
      </c>
      <c r="F7">
        <v>103</v>
      </c>
      <c r="G7">
        <v>308835.92629999999</v>
      </c>
      <c r="H7">
        <v>212831.761</v>
      </c>
      <c r="I7" s="79">
        <v>96004.165299999993</v>
      </c>
    </row>
    <row r="8" spans="1:9" x14ac:dyDescent="0.25">
      <c r="A8" t="s">
        <v>300</v>
      </c>
      <c r="B8" t="s">
        <v>301</v>
      </c>
      <c r="C8">
        <v>2097902.44</v>
      </c>
      <c r="D8">
        <v>2096202.98</v>
      </c>
      <c r="E8">
        <v>131</v>
      </c>
      <c r="F8">
        <v>103</v>
      </c>
      <c r="G8">
        <v>304195.85379999998</v>
      </c>
      <c r="H8">
        <v>209620.29800000001</v>
      </c>
      <c r="I8" s="79">
        <v>94575.555799999973</v>
      </c>
    </row>
    <row r="9" spans="1:9" x14ac:dyDescent="0.25">
      <c r="A9" t="s">
        <v>302</v>
      </c>
      <c r="B9" t="s">
        <v>303</v>
      </c>
      <c r="C9">
        <v>5468916.2300000004</v>
      </c>
      <c r="E9">
        <v>0</v>
      </c>
      <c r="G9">
        <v>76564.827220000006</v>
      </c>
      <c r="I9" s="79">
        <v>76564.827220000006</v>
      </c>
    </row>
    <row r="10" spans="1:9" x14ac:dyDescent="0.25">
      <c r="A10" t="s">
        <v>304</v>
      </c>
      <c r="B10" t="s">
        <v>305</v>
      </c>
      <c r="C10">
        <v>2412774.25</v>
      </c>
      <c r="D10">
        <v>2372634.94</v>
      </c>
      <c r="E10">
        <v>39</v>
      </c>
      <c r="F10">
        <v>11</v>
      </c>
      <c r="G10">
        <v>108574.84125</v>
      </c>
      <c r="H10">
        <v>33216.889159999999</v>
      </c>
      <c r="I10" s="79">
        <v>75357.952090000006</v>
      </c>
    </row>
    <row r="11" spans="1:9" x14ac:dyDescent="0.25">
      <c r="A11" t="s">
        <v>306</v>
      </c>
      <c r="B11" t="s">
        <v>307</v>
      </c>
      <c r="C11">
        <v>1432232.38</v>
      </c>
      <c r="D11">
        <v>1419105.32</v>
      </c>
      <c r="E11">
        <v>102</v>
      </c>
      <c r="F11">
        <v>74</v>
      </c>
      <c r="G11">
        <v>143223.23800000001</v>
      </c>
      <c r="H11">
        <v>70955.266000000003</v>
      </c>
      <c r="I11" s="79">
        <v>72267.97199999998</v>
      </c>
    </row>
    <row r="12" spans="1:9" x14ac:dyDescent="0.25">
      <c r="A12" t="s">
        <v>308</v>
      </c>
      <c r="B12" t="s">
        <v>309</v>
      </c>
      <c r="C12">
        <v>4297704.5599999996</v>
      </c>
      <c r="E12">
        <v>0</v>
      </c>
      <c r="G12">
        <v>60167.863839999998</v>
      </c>
      <c r="I12" s="79">
        <v>60167.863839999998</v>
      </c>
    </row>
    <row r="13" spans="1:9" x14ac:dyDescent="0.25">
      <c r="A13" t="s">
        <v>310</v>
      </c>
      <c r="B13" t="s">
        <v>311</v>
      </c>
      <c r="C13">
        <v>1313879</v>
      </c>
      <c r="D13">
        <v>1312807.1000000001</v>
      </c>
      <c r="E13">
        <v>192</v>
      </c>
      <c r="F13">
        <v>164</v>
      </c>
      <c r="G13">
        <v>308761.565</v>
      </c>
      <c r="H13">
        <v>249433.34899999999</v>
      </c>
      <c r="I13" s="79">
        <v>59328.215999999993</v>
      </c>
    </row>
    <row r="14" spans="1:9" x14ac:dyDescent="0.25">
      <c r="A14" t="s">
        <v>312</v>
      </c>
      <c r="B14" t="s">
        <v>313</v>
      </c>
      <c r="C14">
        <v>3511979.42</v>
      </c>
      <c r="E14">
        <v>0</v>
      </c>
      <c r="G14">
        <v>49167.711880000003</v>
      </c>
      <c r="I14" s="79">
        <v>49167.711880000003</v>
      </c>
    </row>
    <row r="15" spans="1:9" x14ac:dyDescent="0.25">
      <c r="A15" t="s">
        <v>314</v>
      </c>
      <c r="B15" t="s">
        <v>315</v>
      </c>
      <c r="C15">
        <v>2215527</v>
      </c>
      <c r="D15">
        <v>2183950.29</v>
      </c>
      <c r="E15">
        <v>23</v>
      </c>
      <c r="F15">
        <v>0</v>
      </c>
      <c r="G15">
        <v>77543.445000000007</v>
      </c>
      <c r="H15">
        <v>30575.304059999999</v>
      </c>
      <c r="I15" s="79">
        <v>46968.140939999997</v>
      </c>
    </row>
    <row r="16" spans="1:9" x14ac:dyDescent="0.25">
      <c r="A16" t="s">
        <v>316</v>
      </c>
      <c r="B16" t="s">
        <v>317</v>
      </c>
      <c r="C16">
        <v>1366225.41</v>
      </c>
      <c r="D16">
        <v>1345543.07</v>
      </c>
      <c r="E16">
        <v>39</v>
      </c>
      <c r="F16">
        <v>11</v>
      </c>
      <c r="G16">
        <v>61480.143450000003</v>
      </c>
      <c r="H16">
        <v>18837.60298</v>
      </c>
      <c r="I16" s="79">
        <v>42642.540469999993</v>
      </c>
    </row>
    <row r="17" spans="1:9" x14ac:dyDescent="0.25">
      <c r="A17" t="s">
        <v>318</v>
      </c>
      <c r="B17" t="s">
        <v>319</v>
      </c>
      <c r="C17">
        <v>937173.22</v>
      </c>
      <c r="D17">
        <v>936079.7</v>
      </c>
      <c r="E17">
        <v>284</v>
      </c>
      <c r="F17">
        <v>256</v>
      </c>
      <c r="G17">
        <v>346754.09139999998</v>
      </c>
      <c r="H17">
        <v>304225.90250000003</v>
      </c>
      <c r="I17" s="79">
        <v>42528.18889999995</v>
      </c>
    </row>
    <row r="18" spans="1:9" x14ac:dyDescent="0.25">
      <c r="A18" t="s">
        <v>320</v>
      </c>
      <c r="B18" t="s">
        <v>321</v>
      </c>
      <c r="C18">
        <v>1278338.76</v>
      </c>
      <c r="D18">
        <v>1256620.06</v>
      </c>
      <c r="E18">
        <v>39</v>
      </c>
      <c r="F18">
        <v>11</v>
      </c>
      <c r="G18">
        <v>57525.244200000001</v>
      </c>
      <c r="H18">
        <v>17592.680840000001</v>
      </c>
      <c r="I18" s="79">
        <v>39932.56336</v>
      </c>
    </row>
    <row r="19" spans="1:9" x14ac:dyDescent="0.25">
      <c r="A19" t="s">
        <v>322</v>
      </c>
      <c r="B19" t="s">
        <v>323</v>
      </c>
      <c r="C19">
        <v>815083.84</v>
      </c>
      <c r="D19">
        <v>814562.31</v>
      </c>
      <c r="E19">
        <v>139</v>
      </c>
      <c r="F19">
        <v>111</v>
      </c>
      <c r="G19">
        <v>118187.1568</v>
      </c>
      <c r="H19">
        <v>81456.231</v>
      </c>
      <c r="I19" s="79">
        <v>36730.925799999997</v>
      </c>
    </row>
    <row r="20" spans="1:9" x14ac:dyDescent="0.25">
      <c r="A20" t="s">
        <v>324</v>
      </c>
      <c r="B20" t="s">
        <v>325</v>
      </c>
      <c r="C20">
        <v>781738.62</v>
      </c>
      <c r="D20">
        <v>780916.4</v>
      </c>
      <c r="E20">
        <v>618</v>
      </c>
      <c r="F20">
        <v>590</v>
      </c>
      <c r="G20">
        <v>676203.90629999992</v>
      </c>
      <c r="H20">
        <v>640351.44800000009</v>
      </c>
      <c r="I20" s="79">
        <v>35852.458299999817</v>
      </c>
    </row>
    <row r="21" spans="1:9" x14ac:dyDescent="0.25">
      <c r="A21" t="s">
        <v>326</v>
      </c>
      <c r="B21" t="s">
        <v>327</v>
      </c>
      <c r="C21">
        <v>788050.41</v>
      </c>
      <c r="D21">
        <v>787343.79</v>
      </c>
      <c r="E21">
        <v>381</v>
      </c>
      <c r="F21">
        <v>353</v>
      </c>
      <c r="G21">
        <v>397965.45705000008</v>
      </c>
      <c r="H21">
        <v>362178.14339999988</v>
      </c>
      <c r="I21" s="79">
        <v>35787.313650000142</v>
      </c>
    </row>
    <row r="22" spans="1:9" x14ac:dyDescent="0.25">
      <c r="A22" t="s">
        <v>328</v>
      </c>
      <c r="B22" t="s">
        <v>329</v>
      </c>
      <c r="C22">
        <v>2380063.91</v>
      </c>
      <c r="E22">
        <v>0</v>
      </c>
      <c r="G22">
        <v>33320.894740000003</v>
      </c>
      <c r="I22" s="79">
        <v>33320.894740000003</v>
      </c>
    </row>
    <row r="23" spans="1:9" x14ac:dyDescent="0.25">
      <c r="A23" t="s">
        <v>330</v>
      </c>
      <c r="B23" t="s">
        <v>331</v>
      </c>
      <c r="C23">
        <v>1489695.74</v>
      </c>
      <c r="D23">
        <v>1466942.08</v>
      </c>
      <c r="E23">
        <v>16</v>
      </c>
      <c r="F23">
        <v>0</v>
      </c>
      <c r="G23">
        <v>52139.350899999998</v>
      </c>
      <c r="H23">
        <v>20537.189119999999</v>
      </c>
      <c r="I23" s="79">
        <v>31602.161779999999</v>
      </c>
    </row>
    <row r="24" spans="1:9" x14ac:dyDescent="0.25">
      <c r="A24" t="s">
        <v>332</v>
      </c>
      <c r="B24" t="s">
        <v>333</v>
      </c>
      <c r="C24">
        <v>2249987.46</v>
      </c>
      <c r="E24">
        <v>0</v>
      </c>
      <c r="G24">
        <v>31499.82444</v>
      </c>
      <c r="I24" s="79">
        <v>31499.82444</v>
      </c>
    </row>
    <row r="25" spans="1:9" x14ac:dyDescent="0.25">
      <c r="A25" t="s">
        <v>334</v>
      </c>
      <c r="B25" t="s">
        <v>335</v>
      </c>
      <c r="C25">
        <v>319704.17</v>
      </c>
      <c r="D25">
        <v>323682.05</v>
      </c>
      <c r="E25">
        <v>10</v>
      </c>
      <c r="F25">
        <v>13</v>
      </c>
      <c r="G25">
        <v>31970.417000000001</v>
      </c>
      <c r="H25">
        <v>4531.5487000000003</v>
      </c>
      <c r="I25" s="79">
        <v>27438.868299999998</v>
      </c>
    </row>
    <row r="26" spans="1:9" x14ac:dyDescent="0.25">
      <c r="A26" t="s">
        <v>336</v>
      </c>
      <c r="B26" t="s">
        <v>337</v>
      </c>
      <c r="C26">
        <v>813549.79</v>
      </c>
      <c r="D26">
        <v>802253.53</v>
      </c>
      <c r="E26">
        <v>41</v>
      </c>
      <c r="F26">
        <v>13</v>
      </c>
      <c r="G26">
        <v>36609.740550000002</v>
      </c>
      <c r="H26">
        <v>11231.549419999999</v>
      </c>
      <c r="I26" s="79">
        <v>25378.191129999999</v>
      </c>
    </row>
    <row r="27" spans="1:9" x14ac:dyDescent="0.25">
      <c r="A27" t="s">
        <v>338</v>
      </c>
      <c r="B27" t="s">
        <v>339</v>
      </c>
      <c r="C27">
        <v>811053.45</v>
      </c>
      <c r="D27">
        <v>800408.53</v>
      </c>
      <c r="E27">
        <v>39</v>
      </c>
      <c r="F27">
        <v>11</v>
      </c>
      <c r="G27">
        <v>36497.405250000003</v>
      </c>
      <c r="H27">
        <v>11205.719419999999</v>
      </c>
      <c r="I27" s="79">
        <v>25291.685829999991</v>
      </c>
    </row>
    <row r="28" spans="1:9" x14ac:dyDescent="0.25">
      <c r="A28" t="s">
        <v>340</v>
      </c>
      <c r="B28" t="s">
        <v>341</v>
      </c>
      <c r="C28">
        <v>776964.21</v>
      </c>
      <c r="D28">
        <v>765068.06</v>
      </c>
      <c r="E28">
        <v>39</v>
      </c>
      <c r="F28">
        <v>11</v>
      </c>
      <c r="G28">
        <v>34963.389450000002</v>
      </c>
      <c r="H28">
        <v>10710.95284</v>
      </c>
      <c r="I28" s="79">
        <v>24252.43660999999</v>
      </c>
    </row>
    <row r="29" spans="1:9" x14ac:dyDescent="0.25">
      <c r="A29" t="s">
        <v>342</v>
      </c>
      <c r="B29" t="s">
        <v>343</v>
      </c>
      <c r="C29">
        <v>1730264.21</v>
      </c>
      <c r="E29">
        <v>0</v>
      </c>
      <c r="G29">
        <v>24223.698939999998</v>
      </c>
      <c r="I29" s="79">
        <v>24223.698939999998</v>
      </c>
    </row>
    <row r="30" spans="1:9" x14ac:dyDescent="0.25">
      <c r="A30" t="s">
        <v>344</v>
      </c>
      <c r="B30" t="s">
        <v>345</v>
      </c>
      <c r="C30">
        <v>5166693.09</v>
      </c>
      <c r="D30">
        <v>3598029.61</v>
      </c>
      <c r="E30">
        <v>0</v>
      </c>
      <c r="F30">
        <v>0</v>
      </c>
      <c r="G30">
        <v>72333.703259999995</v>
      </c>
      <c r="H30">
        <v>50372.414539999998</v>
      </c>
      <c r="I30" s="79">
        <v>21961.28872</v>
      </c>
    </row>
    <row r="31" spans="1:9" x14ac:dyDescent="0.25">
      <c r="A31" t="s">
        <v>346</v>
      </c>
      <c r="B31" t="s">
        <v>347</v>
      </c>
      <c r="C31">
        <v>1027839.14</v>
      </c>
      <c r="D31">
        <v>1008076.53</v>
      </c>
      <c r="E31">
        <v>16</v>
      </c>
      <c r="F31">
        <v>0</v>
      </c>
      <c r="G31">
        <v>35974.369900000012</v>
      </c>
      <c r="H31">
        <v>14113.07142</v>
      </c>
      <c r="I31" s="79">
        <v>21861.298480000001</v>
      </c>
    </row>
    <row r="32" spans="1:9" x14ac:dyDescent="0.25">
      <c r="A32" t="s">
        <v>348</v>
      </c>
      <c r="B32" t="s">
        <v>349</v>
      </c>
      <c r="C32">
        <v>663982.16</v>
      </c>
      <c r="D32">
        <v>653983.62</v>
      </c>
      <c r="E32">
        <v>41</v>
      </c>
      <c r="F32">
        <v>13</v>
      </c>
      <c r="G32">
        <v>29879.197199999999</v>
      </c>
      <c r="H32">
        <v>9155.7706799999996</v>
      </c>
      <c r="I32" s="79">
        <v>20723.426520000001</v>
      </c>
    </row>
    <row r="33" spans="1:9" x14ac:dyDescent="0.25">
      <c r="A33" t="s">
        <v>350</v>
      </c>
      <c r="B33" t="s">
        <v>351</v>
      </c>
      <c r="C33">
        <v>625258.61</v>
      </c>
      <c r="D33">
        <v>614963.82999999996</v>
      </c>
      <c r="E33">
        <v>41</v>
      </c>
      <c r="F33">
        <v>13</v>
      </c>
      <c r="G33">
        <v>28136.637449999998</v>
      </c>
      <c r="H33">
        <v>8609.4936199999993</v>
      </c>
      <c r="I33" s="79">
        <v>19527.143830000001</v>
      </c>
    </row>
    <row r="34" spans="1:9" x14ac:dyDescent="0.25">
      <c r="A34" t="s">
        <v>352</v>
      </c>
      <c r="B34" t="s">
        <v>353</v>
      </c>
      <c r="C34">
        <v>1335669.71</v>
      </c>
      <c r="E34">
        <v>0</v>
      </c>
      <c r="G34">
        <v>18699.375940000002</v>
      </c>
      <c r="I34" s="79">
        <v>18699.375940000002</v>
      </c>
    </row>
    <row r="35" spans="1:9" x14ac:dyDescent="0.25">
      <c r="A35" t="s">
        <v>354</v>
      </c>
      <c r="B35" t="s">
        <v>355</v>
      </c>
      <c r="C35">
        <v>593337.81999999995</v>
      </c>
      <c r="D35">
        <v>571820.56000000006</v>
      </c>
      <c r="E35">
        <v>39</v>
      </c>
      <c r="F35">
        <v>11</v>
      </c>
      <c r="G35">
        <v>26700.2019</v>
      </c>
      <c r="H35">
        <v>8005.4878400000007</v>
      </c>
      <c r="I35" s="79">
        <v>18694.714059999991</v>
      </c>
    </row>
    <row r="36" spans="1:9" x14ac:dyDescent="0.25">
      <c r="A36" t="s">
        <v>356</v>
      </c>
      <c r="B36" t="s">
        <v>357</v>
      </c>
      <c r="C36">
        <v>352146.74</v>
      </c>
      <c r="D36">
        <v>332022.63</v>
      </c>
      <c r="E36">
        <v>102</v>
      </c>
      <c r="F36">
        <v>74</v>
      </c>
      <c r="G36">
        <v>35214.673999999999</v>
      </c>
      <c r="H36">
        <v>16601.1315</v>
      </c>
      <c r="I36" s="79">
        <v>18613.5425</v>
      </c>
    </row>
    <row r="37" spans="1:9" x14ac:dyDescent="0.25">
      <c r="A37" t="s">
        <v>358</v>
      </c>
      <c r="B37" t="s">
        <v>359</v>
      </c>
      <c r="C37">
        <v>876995.68</v>
      </c>
      <c r="D37">
        <v>864885.64</v>
      </c>
      <c r="E37">
        <v>16</v>
      </c>
      <c r="F37">
        <v>0</v>
      </c>
      <c r="G37">
        <v>30694.8488</v>
      </c>
      <c r="H37">
        <v>12108.39896</v>
      </c>
      <c r="I37" s="79">
        <v>18586.449840000001</v>
      </c>
    </row>
    <row r="38" spans="1:9" x14ac:dyDescent="0.25">
      <c r="A38" t="s">
        <v>360</v>
      </c>
      <c r="B38" t="s">
        <v>361</v>
      </c>
      <c r="C38">
        <v>1283165.04</v>
      </c>
      <c r="E38">
        <v>0</v>
      </c>
      <c r="G38">
        <v>17964.310560000002</v>
      </c>
      <c r="I38" s="79">
        <v>17964.310560000002</v>
      </c>
    </row>
    <row r="39" spans="1:9" x14ac:dyDescent="0.25">
      <c r="A39" t="s">
        <v>362</v>
      </c>
      <c r="B39" t="s">
        <v>363</v>
      </c>
      <c r="C39">
        <v>396136.72</v>
      </c>
      <c r="D39">
        <v>395899.92</v>
      </c>
      <c r="E39">
        <v>139</v>
      </c>
      <c r="F39">
        <v>111</v>
      </c>
      <c r="G39">
        <v>57439.824399999998</v>
      </c>
      <c r="H39">
        <v>39589.991999999998</v>
      </c>
      <c r="I39" s="79">
        <v>17849.832399999999</v>
      </c>
    </row>
    <row r="40" spans="1:9" x14ac:dyDescent="0.25">
      <c r="A40" t="s">
        <v>364</v>
      </c>
      <c r="B40" t="s">
        <v>365</v>
      </c>
      <c r="C40">
        <v>1243964.6399999999</v>
      </c>
      <c r="E40">
        <v>0</v>
      </c>
      <c r="G40">
        <v>17415.504959999998</v>
      </c>
      <c r="I40" s="79">
        <v>17415.504959999998</v>
      </c>
    </row>
    <row r="41" spans="1:9" x14ac:dyDescent="0.25">
      <c r="A41" t="s">
        <v>366</v>
      </c>
      <c r="B41" t="s">
        <v>367</v>
      </c>
      <c r="C41">
        <v>818132.94</v>
      </c>
      <c r="D41">
        <v>809609.49</v>
      </c>
      <c r="E41">
        <v>16</v>
      </c>
      <c r="F41">
        <v>0</v>
      </c>
      <c r="G41">
        <v>28634.652900000001</v>
      </c>
      <c r="H41">
        <v>11334.532859999999</v>
      </c>
      <c r="I41" s="79">
        <v>17300.120040000002</v>
      </c>
    </row>
    <row r="42" spans="1:9" x14ac:dyDescent="0.25">
      <c r="A42" t="s">
        <v>368</v>
      </c>
      <c r="B42" t="s">
        <v>369</v>
      </c>
      <c r="C42">
        <v>381542.77</v>
      </c>
      <c r="D42">
        <v>381070.55</v>
      </c>
      <c r="E42">
        <v>194</v>
      </c>
      <c r="F42">
        <v>166</v>
      </c>
      <c r="G42">
        <v>89662.550950000004</v>
      </c>
      <c r="H42">
        <v>72403.40449999999</v>
      </c>
      <c r="I42" s="79">
        <v>17259.146450000011</v>
      </c>
    </row>
    <row r="43" spans="1:9" x14ac:dyDescent="0.25">
      <c r="A43" t="s">
        <v>370</v>
      </c>
      <c r="B43" t="s">
        <v>371</v>
      </c>
      <c r="C43">
        <v>549773.01</v>
      </c>
      <c r="D43">
        <v>541116.62</v>
      </c>
      <c r="E43">
        <v>41</v>
      </c>
      <c r="F43">
        <v>13</v>
      </c>
      <c r="G43">
        <v>24739.785449999999</v>
      </c>
      <c r="H43">
        <v>7575.6326799999997</v>
      </c>
      <c r="I43" s="79">
        <v>17164.152770000001</v>
      </c>
    </row>
    <row r="44" spans="1:9" x14ac:dyDescent="0.25">
      <c r="A44" t="s">
        <v>372</v>
      </c>
      <c r="B44" t="s">
        <v>373</v>
      </c>
      <c r="C44">
        <v>375359.24</v>
      </c>
      <c r="D44">
        <v>374911.02</v>
      </c>
      <c r="E44">
        <v>139</v>
      </c>
      <c r="F44">
        <v>111</v>
      </c>
      <c r="G44">
        <v>54427.089800000002</v>
      </c>
      <c r="H44">
        <v>37491.101999999999</v>
      </c>
      <c r="I44" s="79">
        <v>16935.987799999999</v>
      </c>
    </row>
    <row r="45" spans="1:9" x14ac:dyDescent="0.25">
      <c r="A45" t="s">
        <v>374</v>
      </c>
      <c r="B45" t="s">
        <v>375</v>
      </c>
      <c r="C45">
        <v>538042</v>
      </c>
      <c r="D45">
        <v>531901.77</v>
      </c>
      <c r="E45">
        <v>39</v>
      </c>
      <c r="F45">
        <v>11</v>
      </c>
      <c r="G45">
        <v>24211.89</v>
      </c>
      <c r="H45">
        <v>7446.6247800000001</v>
      </c>
      <c r="I45" s="79">
        <v>16765.265220000001</v>
      </c>
    </row>
    <row r="46" spans="1:9" x14ac:dyDescent="0.25">
      <c r="A46" t="s">
        <v>376</v>
      </c>
      <c r="B46" t="s">
        <v>377</v>
      </c>
      <c r="C46">
        <v>1161669.42</v>
      </c>
      <c r="E46">
        <v>0</v>
      </c>
      <c r="G46">
        <v>16263.371880000001</v>
      </c>
      <c r="I46" s="79">
        <v>16263.371880000001</v>
      </c>
    </row>
    <row r="47" spans="1:9" x14ac:dyDescent="0.25">
      <c r="A47" t="s">
        <v>378</v>
      </c>
      <c r="B47" t="s">
        <v>379</v>
      </c>
      <c r="C47">
        <v>336113.96</v>
      </c>
      <c r="D47">
        <v>335807.46</v>
      </c>
      <c r="E47">
        <v>131</v>
      </c>
      <c r="F47">
        <v>103</v>
      </c>
      <c r="G47">
        <v>48736.5242</v>
      </c>
      <c r="H47">
        <v>33580.745999999999</v>
      </c>
      <c r="I47" s="79">
        <v>15155.778200000001</v>
      </c>
    </row>
    <row r="48" spans="1:9" x14ac:dyDescent="0.25">
      <c r="A48" t="s">
        <v>380</v>
      </c>
      <c r="B48" t="s">
        <v>381</v>
      </c>
      <c r="C48">
        <v>1051314.04</v>
      </c>
      <c r="E48">
        <v>0</v>
      </c>
      <c r="G48">
        <v>14718.396559999999</v>
      </c>
      <c r="I48" s="79">
        <v>14718.396559999999</v>
      </c>
    </row>
    <row r="49" spans="1:9" x14ac:dyDescent="0.25">
      <c r="A49" t="s">
        <v>382</v>
      </c>
      <c r="B49" t="s">
        <v>383</v>
      </c>
      <c r="C49">
        <v>321568.40999999997</v>
      </c>
      <c r="D49">
        <v>321403.15000000002</v>
      </c>
      <c r="E49">
        <v>231</v>
      </c>
      <c r="F49">
        <v>203</v>
      </c>
      <c r="G49">
        <v>90039.154799999989</v>
      </c>
      <c r="H49">
        <v>75529.740250000003</v>
      </c>
      <c r="I49" s="79">
        <v>14509.41454999999</v>
      </c>
    </row>
    <row r="50" spans="1:9" x14ac:dyDescent="0.25">
      <c r="A50" t="s">
        <v>384</v>
      </c>
      <c r="B50" t="s">
        <v>385</v>
      </c>
      <c r="C50">
        <v>1025462.87</v>
      </c>
      <c r="E50">
        <v>0</v>
      </c>
      <c r="G50">
        <v>14356.48018</v>
      </c>
      <c r="I50" s="79">
        <v>14356.48018</v>
      </c>
    </row>
    <row r="51" spans="1:9" x14ac:dyDescent="0.25">
      <c r="A51" t="s">
        <v>386</v>
      </c>
      <c r="B51" t="s">
        <v>387</v>
      </c>
      <c r="C51">
        <v>456389.2</v>
      </c>
      <c r="D51">
        <v>447710.57</v>
      </c>
      <c r="E51">
        <v>41</v>
      </c>
      <c r="F51">
        <v>13</v>
      </c>
      <c r="G51">
        <v>20537.513999999999</v>
      </c>
      <c r="H51">
        <v>6267.9479799999999</v>
      </c>
      <c r="I51" s="79">
        <v>14269.56602</v>
      </c>
    </row>
    <row r="52" spans="1:9" x14ac:dyDescent="0.25">
      <c r="A52" t="s">
        <v>388</v>
      </c>
      <c r="B52" t="s">
        <v>389</v>
      </c>
      <c r="C52">
        <v>321597.8</v>
      </c>
      <c r="D52">
        <v>323856.21999999997</v>
      </c>
      <c r="E52">
        <v>192</v>
      </c>
      <c r="F52">
        <v>164</v>
      </c>
      <c r="G52">
        <v>75575.482999999993</v>
      </c>
      <c r="H52">
        <v>61532.681799999991</v>
      </c>
      <c r="I52" s="79">
        <v>14042.8012</v>
      </c>
    </row>
    <row r="53" spans="1:9" x14ac:dyDescent="0.25">
      <c r="A53" t="s">
        <v>390</v>
      </c>
      <c r="B53" t="s">
        <v>391</v>
      </c>
      <c r="C53">
        <v>298672.57</v>
      </c>
      <c r="D53">
        <v>298259.21999999997</v>
      </c>
      <c r="E53">
        <v>200</v>
      </c>
      <c r="F53">
        <v>172</v>
      </c>
      <c r="G53">
        <v>70188.053950000001</v>
      </c>
      <c r="H53">
        <v>56669.251799999991</v>
      </c>
      <c r="I53" s="79">
        <v>13518.80215000001</v>
      </c>
    </row>
    <row r="54" spans="1:9" x14ac:dyDescent="0.25">
      <c r="A54" t="s">
        <v>392</v>
      </c>
      <c r="B54" t="s">
        <v>393</v>
      </c>
      <c r="C54">
        <v>432355.22</v>
      </c>
      <c r="D54">
        <v>425189.91</v>
      </c>
      <c r="E54">
        <v>41</v>
      </c>
      <c r="F54">
        <v>13</v>
      </c>
      <c r="G54">
        <v>19455.984899999999</v>
      </c>
      <c r="H54">
        <v>5952.6587399999999</v>
      </c>
      <c r="I54" s="79">
        <v>13503.326160000001</v>
      </c>
    </row>
    <row r="55" spans="1:9" x14ac:dyDescent="0.25">
      <c r="A55" t="s">
        <v>394</v>
      </c>
      <c r="B55" t="s">
        <v>395</v>
      </c>
      <c r="C55">
        <v>261319.6</v>
      </c>
      <c r="D55">
        <v>258553.2</v>
      </c>
      <c r="E55">
        <v>102</v>
      </c>
      <c r="F55">
        <v>74</v>
      </c>
      <c r="G55">
        <v>26131.96</v>
      </c>
      <c r="H55">
        <v>12927.66</v>
      </c>
      <c r="I55" s="79">
        <v>13204.3</v>
      </c>
    </row>
    <row r="56" spans="1:9" x14ac:dyDescent="0.25">
      <c r="A56" t="s">
        <v>396</v>
      </c>
      <c r="B56" t="s">
        <v>397</v>
      </c>
      <c r="C56">
        <v>420631.2</v>
      </c>
      <c r="D56">
        <v>413775.07</v>
      </c>
      <c r="E56">
        <v>41</v>
      </c>
      <c r="F56">
        <v>13</v>
      </c>
      <c r="G56">
        <v>18928.403999999999</v>
      </c>
      <c r="H56">
        <v>5792.8509800000002</v>
      </c>
      <c r="I56" s="79">
        <v>13135.553019999999</v>
      </c>
    </row>
    <row r="57" spans="1:9" x14ac:dyDescent="0.25">
      <c r="A57" t="s">
        <v>398</v>
      </c>
      <c r="B57" t="s">
        <v>399</v>
      </c>
      <c r="C57">
        <v>910585.68</v>
      </c>
      <c r="E57">
        <v>0</v>
      </c>
      <c r="G57">
        <v>12748.19952</v>
      </c>
      <c r="I57" s="79">
        <v>12748.19952</v>
      </c>
    </row>
    <row r="58" spans="1:9" x14ac:dyDescent="0.25">
      <c r="A58" t="s">
        <v>400</v>
      </c>
      <c r="B58" t="s">
        <v>401</v>
      </c>
      <c r="C58">
        <v>1199764.99</v>
      </c>
      <c r="D58">
        <v>1181701.1299999999</v>
      </c>
      <c r="E58">
        <v>54</v>
      </c>
      <c r="F58">
        <v>26</v>
      </c>
      <c r="G58">
        <v>53989.424550000003</v>
      </c>
      <c r="H58">
        <v>41359.539550000001</v>
      </c>
      <c r="I58" s="79">
        <v>12629.884999999989</v>
      </c>
    </row>
    <row r="59" spans="1:9" x14ac:dyDescent="0.25">
      <c r="A59" t="s">
        <v>402</v>
      </c>
      <c r="B59" t="s">
        <v>403</v>
      </c>
      <c r="C59">
        <v>278826.27</v>
      </c>
      <c r="D59">
        <v>278724.59000000003</v>
      </c>
      <c r="E59">
        <v>169</v>
      </c>
      <c r="F59">
        <v>141</v>
      </c>
      <c r="G59">
        <v>52976.991300000002</v>
      </c>
      <c r="H59">
        <v>40415.065549999999</v>
      </c>
      <c r="I59" s="79">
        <v>12561.92575</v>
      </c>
    </row>
    <row r="60" spans="1:9" x14ac:dyDescent="0.25">
      <c r="A60" t="s">
        <v>404</v>
      </c>
      <c r="B60" t="s">
        <v>405</v>
      </c>
      <c r="C60">
        <v>886559.64</v>
      </c>
      <c r="E60">
        <v>0</v>
      </c>
      <c r="G60">
        <v>12411.83496</v>
      </c>
      <c r="I60" s="79">
        <v>12411.83496</v>
      </c>
    </row>
    <row r="61" spans="1:9" x14ac:dyDescent="0.25">
      <c r="A61" t="s">
        <v>406</v>
      </c>
      <c r="B61" t="s">
        <v>407</v>
      </c>
      <c r="C61">
        <v>395244.01</v>
      </c>
      <c r="D61">
        <v>387747.04</v>
      </c>
      <c r="E61">
        <v>41</v>
      </c>
      <c r="F61">
        <v>13</v>
      </c>
      <c r="G61">
        <v>17785.980449999999</v>
      </c>
      <c r="H61">
        <v>5428.45856</v>
      </c>
      <c r="I61" s="79">
        <v>12357.52189</v>
      </c>
    </row>
    <row r="62" spans="1:9" x14ac:dyDescent="0.25">
      <c r="A62" t="s">
        <v>408</v>
      </c>
      <c r="B62" t="s">
        <v>409</v>
      </c>
      <c r="C62">
        <v>269312.31</v>
      </c>
      <c r="D62">
        <v>269091.76</v>
      </c>
      <c r="E62">
        <v>163</v>
      </c>
      <c r="F62">
        <v>135</v>
      </c>
      <c r="G62">
        <v>51169.338900000002</v>
      </c>
      <c r="H62">
        <v>39018.305200000003</v>
      </c>
      <c r="I62" s="79">
        <v>12151.033699999991</v>
      </c>
    </row>
    <row r="63" spans="1:9" x14ac:dyDescent="0.25">
      <c r="A63" t="s">
        <v>410</v>
      </c>
      <c r="B63" t="s">
        <v>411</v>
      </c>
      <c r="C63">
        <v>365990.76</v>
      </c>
      <c r="D63">
        <v>361877.99</v>
      </c>
      <c r="E63">
        <v>39</v>
      </c>
      <c r="F63">
        <v>11</v>
      </c>
      <c r="G63">
        <v>16469.584200000001</v>
      </c>
      <c r="H63">
        <v>5066.2918600000003</v>
      </c>
      <c r="I63" s="79">
        <v>11403.29234</v>
      </c>
    </row>
    <row r="64" spans="1:9" x14ac:dyDescent="0.25">
      <c r="A64" t="s">
        <v>412</v>
      </c>
      <c r="B64" t="s">
        <v>413</v>
      </c>
      <c r="C64">
        <v>360648.99</v>
      </c>
      <c r="D64">
        <v>355361.79</v>
      </c>
      <c r="E64">
        <v>39</v>
      </c>
      <c r="F64">
        <v>11</v>
      </c>
      <c r="G64">
        <v>16229.20455</v>
      </c>
      <c r="H64">
        <v>4975.0650599999999</v>
      </c>
      <c r="I64" s="79">
        <v>11254.13949</v>
      </c>
    </row>
    <row r="65" spans="1:9" x14ac:dyDescent="0.25">
      <c r="A65" t="s">
        <v>414</v>
      </c>
      <c r="B65" t="s">
        <v>415</v>
      </c>
      <c r="C65">
        <v>358734.23</v>
      </c>
      <c r="D65">
        <v>352402.09</v>
      </c>
      <c r="E65">
        <v>39</v>
      </c>
      <c r="F65">
        <v>11</v>
      </c>
      <c r="G65">
        <v>16143.040349999999</v>
      </c>
      <c r="H65">
        <v>4933.6292600000006</v>
      </c>
      <c r="I65" s="79">
        <v>11209.41109</v>
      </c>
    </row>
    <row r="66" spans="1:9" x14ac:dyDescent="0.25">
      <c r="A66" t="s">
        <v>416</v>
      </c>
      <c r="B66" t="s">
        <v>417</v>
      </c>
      <c r="C66">
        <v>787487.43</v>
      </c>
      <c r="E66">
        <v>0</v>
      </c>
      <c r="G66">
        <v>11024.82402</v>
      </c>
      <c r="I66" s="79">
        <v>11024.82402</v>
      </c>
    </row>
    <row r="67" spans="1:9" x14ac:dyDescent="0.25">
      <c r="A67" t="s">
        <v>418</v>
      </c>
      <c r="B67" t="s">
        <v>419</v>
      </c>
      <c r="C67">
        <v>780737.12</v>
      </c>
      <c r="E67">
        <v>0</v>
      </c>
      <c r="G67">
        <v>10930.319680000001</v>
      </c>
      <c r="I67" s="79">
        <v>10930.319680000001</v>
      </c>
    </row>
    <row r="68" spans="1:9" x14ac:dyDescent="0.25">
      <c r="A68" t="s">
        <v>420</v>
      </c>
      <c r="B68" t="s">
        <v>421</v>
      </c>
      <c r="C68">
        <v>346321</v>
      </c>
      <c r="D68">
        <v>340602.23</v>
      </c>
      <c r="E68">
        <v>41</v>
      </c>
      <c r="F68">
        <v>13</v>
      </c>
      <c r="G68">
        <v>15584.445</v>
      </c>
      <c r="H68">
        <v>4768.4312199999986</v>
      </c>
      <c r="I68" s="79">
        <v>10816.013779999999</v>
      </c>
    </row>
    <row r="69" spans="1:9" x14ac:dyDescent="0.25">
      <c r="A69" t="s">
        <v>422</v>
      </c>
      <c r="B69" t="s">
        <v>423</v>
      </c>
      <c r="C69">
        <v>237845.01</v>
      </c>
      <c r="D69">
        <v>237651.71</v>
      </c>
      <c r="E69">
        <v>255</v>
      </c>
      <c r="F69">
        <v>227</v>
      </c>
      <c r="G69">
        <v>77299.628250000009</v>
      </c>
      <c r="H69">
        <v>66542.478799999997</v>
      </c>
      <c r="I69" s="79">
        <v>10757.14945000001</v>
      </c>
    </row>
    <row r="70" spans="1:9" x14ac:dyDescent="0.25">
      <c r="A70" t="s">
        <v>424</v>
      </c>
      <c r="B70" t="s">
        <v>425</v>
      </c>
      <c r="C70">
        <v>220370.48</v>
      </c>
      <c r="D70">
        <v>230896.32</v>
      </c>
      <c r="E70">
        <v>23</v>
      </c>
      <c r="F70">
        <v>87</v>
      </c>
      <c r="G70">
        <v>22037.047999999999</v>
      </c>
      <c r="H70">
        <v>11544.816000000001</v>
      </c>
      <c r="I70" s="79">
        <v>10492.232</v>
      </c>
    </row>
    <row r="71" spans="1:9" x14ac:dyDescent="0.25">
      <c r="A71" t="s">
        <v>426</v>
      </c>
      <c r="B71" t="s">
        <v>427</v>
      </c>
      <c r="C71">
        <v>117140.65</v>
      </c>
      <c r="D71">
        <v>115120.64</v>
      </c>
      <c r="E71">
        <v>0</v>
      </c>
      <c r="F71">
        <v>0</v>
      </c>
      <c r="G71">
        <v>11714.065000000001</v>
      </c>
      <c r="H71">
        <v>1611.68896</v>
      </c>
      <c r="I71" s="79">
        <v>10102.376039999999</v>
      </c>
    </row>
    <row r="72" spans="1:9" x14ac:dyDescent="0.25">
      <c r="A72" t="s">
        <v>428</v>
      </c>
      <c r="B72" t="s">
        <v>429</v>
      </c>
      <c r="C72">
        <v>222885.64</v>
      </c>
      <c r="D72">
        <v>222682.69</v>
      </c>
      <c r="E72">
        <v>192</v>
      </c>
      <c r="F72">
        <v>164</v>
      </c>
      <c r="G72">
        <v>52378.125399999997</v>
      </c>
      <c r="H72">
        <v>42309.7111</v>
      </c>
      <c r="I72" s="79">
        <v>10068.4143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workbookViewId="0">
      <selection activeCell="I11" sqref="I11"/>
    </sheetView>
  </sheetViews>
  <sheetFormatPr defaultRowHeight="15" x14ac:dyDescent="0.25"/>
  <cols>
    <col min="1" max="1" width="38.42578125" bestFit="1" customWidth="1"/>
    <col min="2" max="2" width="12.85546875" bestFit="1" customWidth="1"/>
    <col min="3" max="3" width="14.42578125" bestFit="1" customWidth="1"/>
    <col min="9" max="9" width="14" bestFit="1" customWidth="1"/>
    <col min="10" max="10" width="12.85546875" bestFit="1" customWidth="1"/>
  </cols>
  <sheetData>
    <row r="1" spans="1:14" x14ac:dyDescent="0.25">
      <c r="B1" s="271" t="s">
        <v>430</v>
      </c>
      <c r="C1" t="s">
        <v>431</v>
      </c>
    </row>
    <row r="2" spans="1:14" x14ac:dyDescent="0.25">
      <c r="A2" t="s">
        <v>432</v>
      </c>
      <c r="B2" s="79" t="e">
        <f>'P&amp;L Mensal'!#REF!</f>
        <v>#REF!</v>
      </c>
      <c r="C2" s="79">
        <f>'[2]Base Despesas'!$BA$3*-1</f>
        <v>-5107034.8236111198</v>
      </c>
      <c r="D2" s="73" t="e">
        <f>B2/C2-1</f>
        <v>#REF!</v>
      </c>
      <c r="I2" s="4"/>
    </row>
    <row r="3" spans="1:14" x14ac:dyDescent="0.25">
      <c r="A3" t="s">
        <v>433</v>
      </c>
      <c r="B3" s="79">
        <v>-520649.65</v>
      </c>
      <c r="D3" t="s">
        <v>434</v>
      </c>
      <c r="I3" s="4">
        <f>B3+B4</f>
        <v>-788489.15</v>
      </c>
      <c r="J3" s="4">
        <f>I3*12</f>
        <v>-9461869.8000000007</v>
      </c>
    </row>
    <row r="4" spans="1:14" x14ac:dyDescent="0.25">
      <c r="A4" t="s">
        <v>435</v>
      </c>
      <c r="B4" s="79">
        <f>-161350.61-106488.89</f>
        <v>-267839.5</v>
      </c>
      <c r="D4" t="s">
        <v>436</v>
      </c>
    </row>
    <row r="5" spans="1:14" x14ac:dyDescent="0.25">
      <c r="A5" t="s">
        <v>437</v>
      </c>
      <c r="B5" s="79">
        <v>-865066.42999999993</v>
      </c>
      <c r="D5" t="s">
        <v>436</v>
      </c>
    </row>
    <row r="6" spans="1:14" x14ac:dyDescent="0.25">
      <c r="A6" t="s">
        <v>96</v>
      </c>
      <c r="B6" s="4" t="e">
        <f>B2+B3+B4+B5</f>
        <v>#REF!</v>
      </c>
    </row>
    <row r="7" spans="1:14" x14ac:dyDescent="0.25">
      <c r="B7" s="4"/>
      <c r="C7" s="4"/>
    </row>
    <row r="8" spans="1:14" x14ac:dyDescent="0.25">
      <c r="B8" s="271">
        <v>45658</v>
      </c>
      <c r="C8" s="271">
        <v>45689</v>
      </c>
      <c r="D8" s="271">
        <v>45717</v>
      </c>
      <c r="E8" s="271">
        <v>45748</v>
      </c>
      <c r="F8" s="271">
        <v>45778</v>
      </c>
      <c r="G8" s="271">
        <v>45809</v>
      </c>
      <c r="H8" s="271">
        <v>45839</v>
      </c>
      <c r="I8" s="271">
        <v>45870</v>
      </c>
      <c r="J8" s="271">
        <v>45901</v>
      </c>
      <c r="K8" s="271">
        <v>45931</v>
      </c>
      <c r="L8" s="271">
        <v>45962</v>
      </c>
      <c r="M8" s="271">
        <v>45992</v>
      </c>
      <c r="N8" s="271">
        <v>46023</v>
      </c>
    </row>
    <row r="9" spans="1:14" x14ac:dyDescent="0.25"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</row>
    <row r="10" spans="1:14" x14ac:dyDescent="0.25">
      <c r="A10" t="s">
        <v>438</v>
      </c>
    </row>
    <row r="12" spans="1:14" x14ac:dyDescent="0.25">
      <c r="A12" t="s">
        <v>439</v>
      </c>
    </row>
    <row r="13" spans="1:14" x14ac:dyDescent="0.25">
      <c r="A13" s="272" t="s">
        <v>440</v>
      </c>
      <c r="B13" s="272" t="s">
        <v>441</v>
      </c>
    </row>
    <row r="14" spans="1:14" x14ac:dyDescent="0.25">
      <c r="A14" t="s">
        <v>442</v>
      </c>
      <c r="B14" t="s">
        <v>443</v>
      </c>
    </row>
    <row r="15" spans="1:14" x14ac:dyDescent="0.25">
      <c r="A15" t="s">
        <v>444</v>
      </c>
      <c r="B15" t="s">
        <v>443</v>
      </c>
    </row>
    <row r="16" spans="1:14" x14ac:dyDescent="0.25">
      <c r="A16" t="s">
        <v>445</v>
      </c>
      <c r="B16" t="s">
        <v>443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9"/>
  <dimension ref="A1:G23"/>
  <sheetViews>
    <sheetView showGridLines="0" zoomScale="90" zoomScaleNormal="90" workbookViewId="0">
      <selection activeCell="E21" sqref="E21"/>
    </sheetView>
  </sheetViews>
  <sheetFormatPr defaultRowHeight="15" x14ac:dyDescent="0.25"/>
  <cols>
    <col min="1" max="1" width="33.28515625" bestFit="1" customWidth="1"/>
    <col min="2" max="2" width="12.28515625" bestFit="1" customWidth="1"/>
    <col min="3" max="3" width="36.28515625" bestFit="1" customWidth="1"/>
    <col min="4" max="4" width="67.140625" bestFit="1" customWidth="1"/>
    <col min="5" max="5" width="33.28515625" bestFit="1" customWidth="1"/>
    <col min="6" max="6" width="10.7109375" customWidth="1"/>
  </cols>
  <sheetData>
    <row r="1" spans="1:7" ht="27.75" customHeight="1" x14ac:dyDescent="0.25">
      <c r="A1" s="94" t="s">
        <v>9</v>
      </c>
      <c r="B1" s="95" t="s">
        <v>446</v>
      </c>
      <c r="C1" s="95" t="s">
        <v>447</v>
      </c>
      <c r="D1" s="96" t="s">
        <v>448</v>
      </c>
      <c r="E1" s="96" t="s">
        <v>449</v>
      </c>
    </row>
    <row r="2" spans="1:7" x14ac:dyDescent="0.25">
      <c r="A2" s="202" t="s">
        <v>10</v>
      </c>
      <c r="B2" s="201" t="s">
        <v>450</v>
      </c>
      <c r="C2" s="201" t="s">
        <v>451</v>
      </c>
      <c r="D2" s="201"/>
      <c r="E2" s="201" t="s">
        <v>452</v>
      </c>
      <c r="G2" s="201" t="s">
        <v>453</v>
      </c>
    </row>
    <row r="3" spans="1:7" x14ac:dyDescent="0.25">
      <c r="A3" s="14" t="s">
        <v>15</v>
      </c>
      <c r="B3" t="s">
        <v>450</v>
      </c>
      <c r="C3" t="s">
        <v>197</v>
      </c>
      <c r="D3" t="s">
        <v>454</v>
      </c>
    </row>
    <row r="4" spans="1:7" x14ac:dyDescent="0.25">
      <c r="A4" s="202" t="s">
        <v>17</v>
      </c>
      <c r="B4" s="201" t="s">
        <v>450</v>
      </c>
      <c r="C4" s="201" t="s">
        <v>451</v>
      </c>
      <c r="D4" s="201"/>
      <c r="E4" s="201"/>
    </row>
    <row r="5" spans="1:7" x14ac:dyDescent="0.25">
      <c r="A5" s="14" t="s">
        <v>18</v>
      </c>
      <c r="B5" t="s">
        <v>451</v>
      </c>
      <c r="C5" t="s">
        <v>193</v>
      </c>
      <c r="D5" t="s">
        <v>455</v>
      </c>
    </row>
    <row r="6" spans="1:7" x14ac:dyDescent="0.25">
      <c r="A6" s="14" t="s">
        <v>19</v>
      </c>
      <c r="B6" t="s">
        <v>451</v>
      </c>
      <c r="C6" t="s">
        <v>456</v>
      </c>
      <c r="D6" t="s">
        <v>457</v>
      </c>
    </row>
    <row r="7" spans="1:7" x14ac:dyDescent="0.25">
      <c r="A7" s="14" t="s">
        <v>20</v>
      </c>
      <c r="B7" t="s">
        <v>451</v>
      </c>
      <c r="C7" t="s">
        <v>201</v>
      </c>
      <c r="D7" t="s">
        <v>457</v>
      </c>
    </row>
    <row r="8" spans="1:7" x14ac:dyDescent="0.25">
      <c r="A8" s="94" t="s">
        <v>23</v>
      </c>
      <c r="B8" s="94"/>
      <c r="C8" s="94"/>
      <c r="D8" s="83"/>
      <c r="E8" s="83"/>
    </row>
    <row r="9" spans="1:7" x14ac:dyDescent="0.25">
      <c r="A9" s="97" t="s">
        <v>209</v>
      </c>
      <c r="B9" t="s">
        <v>450</v>
      </c>
      <c r="C9" t="s">
        <v>451</v>
      </c>
      <c r="E9" s="109" t="s">
        <v>452</v>
      </c>
    </row>
    <row r="10" spans="1:7" x14ac:dyDescent="0.25">
      <c r="A10" s="202" t="s">
        <v>31</v>
      </c>
      <c r="B10" s="201" t="s">
        <v>450</v>
      </c>
      <c r="C10" s="201" t="s">
        <v>197</v>
      </c>
      <c r="D10" s="201" t="s">
        <v>458</v>
      </c>
      <c r="E10" s="201" t="s">
        <v>459</v>
      </c>
    </row>
    <row r="11" spans="1:7" x14ac:dyDescent="0.25">
      <c r="A11" s="94" t="s">
        <v>32</v>
      </c>
      <c r="B11" s="94"/>
      <c r="C11" s="94"/>
      <c r="D11" s="83"/>
    </row>
    <row r="12" spans="1:7" x14ac:dyDescent="0.25">
      <c r="A12" s="14" t="s">
        <v>33</v>
      </c>
      <c r="B12" t="s">
        <v>450</v>
      </c>
      <c r="C12" t="s">
        <v>451</v>
      </c>
      <c r="E12" s="503"/>
    </row>
    <row r="13" spans="1:7" x14ac:dyDescent="0.25">
      <c r="A13" s="94" t="s">
        <v>35</v>
      </c>
      <c r="B13" s="94"/>
      <c r="C13" s="94"/>
      <c r="D13" s="83"/>
      <c r="E13" s="498"/>
    </row>
    <row r="14" spans="1:7" x14ac:dyDescent="0.25">
      <c r="A14" s="14" t="s">
        <v>36</v>
      </c>
      <c r="B14" t="s">
        <v>450</v>
      </c>
      <c r="C14" t="s">
        <v>460</v>
      </c>
      <c r="D14" t="s">
        <v>461</v>
      </c>
    </row>
    <row r="15" spans="1:7" x14ac:dyDescent="0.25">
      <c r="A15" s="14"/>
      <c r="B15" t="s">
        <v>451</v>
      </c>
      <c r="C15" t="s">
        <v>194</v>
      </c>
      <c r="D15" t="s">
        <v>457</v>
      </c>
    </row>
    <row r="16" spans="1:7" x14ac:dyDescent="0.25">
      <c r="A16" s="14" t="s">
        <v>212</v>
      </c>
      <c r="B16" t="s">
        <v>450</v>
      </c>
      <c r="C16" t="s">
        <v>190</v>
      </c>
    </row>
    <row r="17" spans="1:7" x14ac:dyDescent="0.25">
      <c r="A17" s="94" t="s">
        <v>38</v>
      </c>
      <c r="B17" s="94"/>
      <c r="C17" s="94"/>
      <c r="D17" s="83"/>
    </row>
    <row r="18" spans="1:7" x14ac:dyDescent="0.25">
      <c r="A18" s="14" t="s">
        <v>39</v>
      </c>
      <c r="B18" t="s">
        <v>450</v>
      </c>
      <c r="C18" t="s">
        <v>462</v>
      </c>
      <c r="D18" t="s">
        <v>463</v>
      </c>
    </row>
    <row r="19" spans="1:7" x14ac:dyDescent="0.25">
      <c r="A19" s="94" t="s">
        <v>41</v>
      </c>
      <c r="B19" s="94"/>
      <c r="C19" s="94"/>
      <c r="D19" s="83"/>
    </row>
    <row r="20" spans="1:7" x14ac:dyDescent="0.25">
      <c r="A20" s="202" t="s">
        <v>42</v>
      </c>
      <c r="B20" s="201" t="s">
        <v>450</v>
      </c>
      <c r="C20" s="201"/>
      <c r="D20" s="201" t="s">
        <v>464</v>
      </c>
    </row>
    <row r="21" spans="1:7" x14ac:dyDescent="0.25">
      <c r="A21" s="94" t="s">
        <v>213</v>
      </c>
      <c r="B21" s="94"/>
      <c r="C21" s="83"/>
      <c r="D21" s="83"/>
    </row>
    <row r="22" spans="1:7" x14ac:dyDescent="0.25">
      <c r="A22" s="20" t="s">
        <v>214</v>
      </c>
      <c r="B22" s="20"/>
      <c r="C22" t="s">
        <v>465</v>
      </c>
      <c r="D22" t="s">
        <v>457</v>
      </c>
      <c r="G22" s="201" t="s">
        <v>453</v>
      </c>
    </row>
    <row r="23" spans="1:7" x14ac:dyDescent="0.25">
      <c r="A23" s="94" t="s">
        <v>43</v>
      </c>
      <c r="B23" s="94"/>
      <c r="C23" s="83"/>
      <c r="D23" s="83"/>
    </row>
  </sheetData>
  <mergeCells count="1">
    <mergeCell ref="E12:E13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4"/>
  <dimension ref="B1:E30"/>
  <sheetViews>
    <sheetView showGridLines="0" workbookViewId="0">
      <selection activeCell="C4" sqref="C4"/>
    </sheetView>
  </sheetViews>
  <sheetFormatPr defaultRowHeight="15" x14ac:dyDescent="0.25"/>
  <cols>
    <col min="2" max="2" width="39.28515625" bestFit="1" customWidth="1"/>
    <col min="3" max="3" width="15" customWidth="1"/>
    <col min="5" max="5" width="10.140625" bestFit="1" customWidth="1"/>
    <col min="7" max="7" width="14.28515625" bestFit="1" customWidth="1"/>
  </cols>
  <sheetData>
    <row r="1" spans="2:3" x14ac:dyDescent="0.25">
      <c r="C1" s="127" t="s">
        <v>466</v>
      </c>
    </row>
    <row r="2" spans="2:3" x14ac:dyDescent="0.25">
      <c r="B2" t="s">
        <v>467</v>
      </c>
      <c r="C2" s="23">
        <v>45658</v>
      </c>
    </row>
    <row r="3" spans="2:3" x14ac:dyDescent="0.25">
      <c r="C3" s="23">
        <f>EOMONTH(C2,5)</f>
        <v>45838</v>
      </c>
    </row>
    <row r="4" spans="2:3" x14ac:dyDescent="0.25">
      <c r="B4" t="s">
        <v>468</v>
      </c>
      <c r="C4" s="128">
        <f>MONTH(C3)-MONTH(C2)+1</f>
        <v>6</v>
      </c>
    </row>
    <row r="5" spans="2:3" x14ac:dyDescent="0.25">
      <c r="C5" s="128"/>
    </row>
    <row r="6" spans="2:3" x14ac:dyDescent="0.25">
      <c r="C6" s="131" t="s">
        <v>5</v>
      </c>
    </row>
    <row r="7" spans="2:3" x14ac:dyDescent="0.25">
      <c r="B7" s="129"/>
      <c r="C7" s="130">
        <v>2024</v>
      </c>
    </row>
    <row r="8" spans="2:3" x14ac:dyDescent="0.25">
      <c r="B8" s="132" t="s">
        <v>9</v>
      </c>
      <c r="C8" s="49">
        <f>C9+C13</f>
        <v>0</v>
      </c>
    </row>
    <row r="9" spans="2:3" x14ac:dyDescent="0.25">
      <c r="B9" s="14" t="s">
        <v>10</v>
      </c>
      <c r="C9" s="51">
        <f>C10+C11+C12</f>
        <v>0</v>
      </c>
    </row>
    <row r="10" spans="2:3" ht="15.75" customHeight="1" x14ac:dyDescent="0.25">
      <c r="B10" s="133" t="s">
        <v>252</v>
      </c>
      <c r="C10" s="69">
        <f>SUMIFS(Realizado!4:4,Realizado!2:2,"&lt;="&amp;C$3,Realizado!2:2,"&gt;="&amp;C$2)</f>
        <v>0</v>
      </c>
    </row>
    <row r="11" spans="2:3" x14ac:dyDescent="0.25">
      <c r="B11" s="133" t="s">
        <v>205</v>
      </c>
      <c r="C11" s="69">
        <f>+SUMIFS(Realizado!40:40,Realizado!2:2,"&lt;="&amp;C$3,Realizado!2:2,"&gt;="&amp;C$2)</f>
        <v>0</v>
      </c>
    </row>
    <row r="12" spans="2:3" x14ac:dyDescent="0.25">
      <c r="B12" s="133" t="s">
        <v>220</v>
      </c>
      <c r="C12" s="69">
        <f>+SUMIFS(Realizado!82:82,Realizado!2:2,"&lt;="&amp;C$3,Realizado!2:2,"&gt;="&amp;C$2)</f>
        <v>0</v>
      </c>
    </row>
    <row r="13" spans="2:3" x14ac:dyDescent="0.25">
      <c r="B13" s="14" t="s">
        <v>15</v>
      </c>
      <c r="C13" s="51">
        <f>+SUMIFS(Realizado!88:88,Realizado!2:2,"&lt;="&amp;C$3,Realizado!2:2,"&gt;="&amp;C$2)+SUMIFS(Realizado!90:90,Realizado!2:2,"&lt;="&amp;C$3,Realizado!2:2,"&gt;="&amp;C$2)+SUMIFS(Realizado!91:91,Realizado!2:2,"&lt;="&amp;C$3,Realizado!2:2,"&gt;="&amp;C$2)+SUMIFS(Realizado!95:95,Realizado!2:2,"&lt;="&amp;C$3,Realizado!2:2,"&gt;="&amp;C$2)+SUMIFS(Realizado!96:96,Realizado!2:2,"&lt;="&amp;C$3,Realizado!2:2,"&gt;="&amp;C$2)+SUMIFS(Realizado!9:9,Realizado!2:2,"&lt;="&amp;C$3,Realizado!2:2,"&gt;="&amp;C$2)+SUMIFS(Realizado!47:47,Realizado!2:2,"&lt;="&amp;C$3,Realizado!2:2,"&gt;="&amp;C$2)+SUMIFS(Realizado!89:89,Realizado!2:2,"&lt;="&amp;C$3,Realizado!2:2,"&gt;="&amp;C$2)+SUMIFS(Realizado!10:10,Realizado!2:2,"&lt;="&amp;C$3,Realizado!2:2,"&gt;="&amp;C$2)+SUMIFS(Realizado!46:46,Realizado!2:2,"&lt;="&amp;C$3,Realizado!2:2,"&gt;="&amp;C$2)</f>
        <v>0</v>
      </c>
    </row>
    <row r="14" spans="2:3" x14ac:dyDescent="0.25">
      <c r="B14" t="s">
        <v>469</v>
      </c>
      <c r="C14" s="51">
        <f>+SUMIFS(Realizado!19:19,Realizado!2:2,"&lt;="&amp;C$3,Realizado!2:2,"&gt;="&amp;C$2)+SUMIFS(Realizado!24:24,Realizado!2:2,"&lt;="&amp;C$3,Realizado!2:2,"&gt;="&amp;C$2)+SUMIFS(Realizado!57:57,Realizado!2:2,"&lt;="&amp;C$3,Realizado!2:2,"&gt;="&amp;C$2)+SUMIFS(Realizado!62:62,Realizado!2:2,"&lt;="&amp;C$3,Realizado!2:2,"&gt;="&amp;C$2)+SUMIFS(Realizado!99:99,Realizado!2:2,"&lt;="&amp;C$3,Realizado!2:2,"&gt;="&amp;C$2)+SUMIFS(Realizado!106:106,Realizado!2:2,"&lt;="&amp;C$3,Realizado!2:2,"&gt;="&amp;C$2)</f>
        <v>0</v>
      </c>
    </row>
    <row r="15" spans="2:3" x14ac:dyDescent="0.25">
      <c r="B15" t="s">
        <v>470</v>
      </c>
      <c r="C15" s="51">
        <f>+SUMIFS(Realizado!26:26,Realizado!2:2,"&lt;="&amp;C$3,Realizado!2:2,"&gt;="&amp;C$2)+SUMIFS(Realizado!64:64,Realizado!2:2,"&lt;="&amp;C$3,Realizado!2:2,"&gt;="&amp;C$2)+SUMIFS(Realizado!108:108,Realizado!2:2,"&lt;="&amp;C$3,Realizado!2:2,"&gt;="&amp;C$2)</f>
        <v>0</v>
      </c>
    </row>
    <row r="16" spans="2:3" x14ac:dyDescent="0.25">
      <c r="B16" t="s">
        <v>471</v>
      </c>
      <c r="C16" s="51" t="e">
        <f>+SUMIFS(Realizado!30:30,Realizado!2:2,"&lt;="&amp;C$3,Realizado!2:2,"&gt;="&amp;C$2)+SUMIFS(Realizado!33:33,Realizado!2:2,"&lt;="&amp;C$3,Realizado!2:2,"&gt;="&amp;C$2)+SUMIFS(Realizado!68:68,Realizado!2:2,"&lt;="&amp;C$3,Realizado!2:2,"&gt;="&amp;C$2)+SUMIFS(Realizado!70:70,Realizado!2:2,"&lt;="&amp;C$3,Realizado!2:2,"&gt;="&amp;C$2)+SUMIFS(Realizado!72:72,Realizado!2:2,"&lt;="&amp;C$3,Realizado!2:2,"&gt;="&amp;C$2)+SUMIFS(Realizado!112:112,Realizado!2:2,"&lt;="&amp;C$3,Realizado!2:2,"&gt;="&amp;C$2)+SUMIFS(Realizado!114:114,Realizado!2:2,"&lt;="&amp;C$3,Realizado!2:2,"&gt;="&amp;C$2)+SUMIFS(Realizado!116:116,Realizado!2:2,"&lt;="&amp;C$3,Realizado!2:2,"&gt;="&amp;C$2)+SUMIFS(Realizado!#REF!,Realizado!2:2,"&lt;="&amp;C$3,Realizado!2:2,"&gt;="&amp;C$2)</f>
        <v>#REF!</v>
      </c>
    </row>
    <row r="17" spans="2:5" x14ac:dyDescent="0.25">
      <c r="B17" s="12" t="s">
        <v>41</v>
      </c>
      <c r="C17" s="49" t="e">
        <f>C8+C14+C15+C16</f>
        <v>#REF!</v>
      </c>
    </row>
    <row r="18" spans="2:5" x14ac:dyDescent="0.25">
      <c r="B18" t="s">
        <v>472</v>
      </c>
      <c r="C18" s="51">
        <f>+SUMIFS(Realizado!35:35,Realizado!2:2,"&lt;="&amp;C$3,Realizado!2:2,"&gt;="&amp;C$2)+SUMIFS(Realizado!74:74,Realizado!2:2,"&lt;="&amp;C$3,Realizado!2:2,"&gt;="&amp;C$2)+SUMIFS(Realizado!118:118,Realizado!2:2,"&lt;="&amp;C$3,Realizado!2:2,"&gt;="&amp;C$2)</f>
        <v>0</v>
      </c>
    </row>
    <row r="19" spans="2:5" x14ac:dyDescent="0.25">
      <c r="B19" t="s">
        <v>473</v>
      </c>
      <c r="C19" s="51" t="e">
        <f>+SUMIFS(Realizado!37:37,Realizado!2:2,"&lt;="&amp;C$3,Realizado!2:2,"&gt;="&amp;C$2)+SUMIFS(Realizado!76:76,Realizado!2:2,"&lt;="&amp;C$3,Realizado!2:2,"&gt;="&amp;C$2)+SUMIFS(Realizado!120:120,Realizado!2:2,"&lt;="&amp;C$3,Realizado!2:2,"&gt;="&amp;C$2)+SUMIFS(Realizado!#REF!,Realizado!2:2,"&lt;="&amp;C$3,Realizado!2:2,"&gt;="&amp;C$2)+SUMIFS(Realizado!#REF!,Realizado!2:2,"&lt;="&amp;C$3,Realizado!2:2,"&gt;="&amp;C$2)-SUMIFS(Realizado!#REF!,Realizado!2:2,"&lt;="&amp;C$3,Realizado!2:2,"&gt;="&amp;C$2)</f>
        <v>#REF!</v>
      </c>
    </row>
    <row r="20" spans="2:5" x14ac:dyDescent="0.25">
      <c r="B20" s="12" t="s">
        <v>43</v>
      </c>
      <c r="C20" s="49" t="e">
        <f>C17+C18+C19</f>
        <v>#REF!</v>
      </c>
    </row>
    <row r="21" spans="2:5" hidden="1" x14ac:dyDescent="0.25">
      <c r="B21" s="12" t="s">
        <v>474</v>
      </c>
      <c r="C21" s="49" t="e">
        <f>'P&amp;L Acumulado'!#REF!</f>
        <v>#REF!</v>
      </c>
    </row>
    <row r="22" spans="2:5" hidden="1" x14ac:dyDescent="0.25">
      <c r="B22" s="94" t="s">
        <v>475</v>
      </c>
      <c r="C22" s="134" t="e">
        <f>'P&amp;L Acumulado'!#REF!</f>
        <v>#REF!</v>
      </c>
      <c r="E22" s="55"/>
    </row>
    <row r="23" spans="2:5" hidden="1" x14ac:dyDescent="0.25">
      <c r="B23" s="106" t="s">
        <v>476</v>
      </c>
    </row>
    <row r="24" spans="2:5" ht="5.25" hidden="1" customHeight="1" x14ac:dyDescent="0.25">
      <c r="C24" s="55"/>
    </row>
    <row r="25" spans="2:5" x14ac:dyDescent="0.25">
      <c r="B25" s="45" t="s">
        <v>46</v>
      </c>
      <c r="C25" s="71">
        <f>'P&amp;L Acumulado'!L44</f>
        <v>9.379136658975816E-2</v>
      </c>
    </row>
    <row r="26" spans="2:5" x14ac:dyDescent="0.25">
      <c r="B26" s="14" t="s">
        <v>47</v>
      </c>
      <c r="C26" s="60">
        <f>'P&amp;L Acumulado'!L45</f>
        <v>8.2711587638200759E-2</v>
      </c>
    </row>
    <row r="27" spans="2:5" x14ac:dyDescent="0.25">
      <c r="B27" s="14" t="s">
        <v>48</v>
      </c>
      <c r="C27" s="60">
        <f>'P&amp;L Acumulado'!L46</f>
        <v>-0.31666556213667219</v>
      </c>
    </row>
    <row r="28" spans="2:5" hidden="1" x14ac:dyDescent="0.25">
      <c r="B28" s="14" t="s">
        <v>49</v>
      </c>
      <c r="C28" s="60">
        <v>-0.46637548943878843</v>
      </c>
    </row>
    <row r="29" spans="2:5" x14ac:dyDescent="0.25">
      <c r="B29" s="46" t="s">
        <v>50</v>
      </c>
      <c r="C29" s="75" t="e">
        <f>'P&amp;L Acumulado'!L48</f>
        <v>#REF!</v>
      </c>
    </row>
    <row r="30" spans="2:5" hidden="1" x14ac:dyDescent="0.25">
      <c r="B30" s="46" t="s">
        <v>477</v>
      </c>
      <c r="C30" s="75">
        <v>0.28838421240712941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6"/>
  <dimension ref="A1:K5037"/>
  <sheetViews>
    <sheetView showGridLines="0" zoomScale="80" zoomScaleNormal="80" workbookViewId="0">
      <selection activeCell="K8" sqref="K8"/>
    </sheetView>
  </sheetViews>
  <sheetFormatPr defaultRowHeight="15" x14ac:dyDescent="0.25"/>
  <cols>
    <col min="1" max="1" width="8.7109375" bestFit="1" customWidth="1"/>
    <col min="2" max="2" width="42.28515625" bestFit="1" customWidth="1"/>
    <col min="3" max="3" width="18" bestFit="1" customWidth="1"/>
    <col min="4" max="4" width="17.42578125" bestFit="1" customWidth="1"/>
    <col min="5" max="6" width="16.28515625" bestFit="1" customWidth="1"/>
    <col min="7" max="7" width="16" bestFit="1" customWidth="1"/>
    <col min="8" max="8" width="13.42578125" bestFit="1" customWidth="1"/>
    <col min="9" max="9" width="14.28515625" bestFit="1" customWidth="1"/>
    <col min="10" max="10" width="16.28515625" bestFit="1" customWidth="1"/>
    <col min="11" max="11" width="12" bestFit="1" customWidth="1"/>
  </cols>
  <sheetData>
    <row r="1" spans="1:11" x14ac:dyDescent="0.25">
      <c r="A1" s="107"/>
      <c r="B1" s="107"/>
      <c r="C1" s="160"/>
      <c r="D1" s="160"/>
      <c r="E1" s="107"/>
      <c r="F1" s="107"/>
      <c r="G1" s="160"/>
      <c r="H1" s="107"/>
      <c r="I1" s="107"/>
      <c r="J1" s="107"/>
      <c r="K1" s="107"/>
    </row>
    <row r="2" spans="1:11" x14ac:dyDescent="0.25">
      <c r="C2" s="79"/>
      <c r="D2" s="248"/>
      <c r="E2" s="248"/>
      <c r="F2" s="47"/>
      <c r="G2" s="79"/>
      <c r="J2" s="99"/>
      <c r="K2" s="4"/>
    </row>
    <row r="3" spans="1:11" x14ac:dyDescent="0.25">
      <c r="C3" s="79"/>
      <c r="D3" s="248"/>
      <c r="E3" s="248"/>
      <c r="F3" s="47"/>
      <c r="G3" s="79"/>
      <c r="J3" s="99"/>
      <c r="K3" s="4"/>
    </row>
    <row r="4" spans="1:11" x14ac:dyDescent="0.25">
      <c r="C4" s="79"/>
      <c r="D4" s="248"/>
      <c r="E4" s="248"/>
      <c r="F4" s="47"/>
      <c r="G4" s="79"/>
      <c r="J4" s="99"/>
      <c r="K4" s="4"/>
    </row>
    <row r="5" spans="1:11" x14ac:dyDescent="0.25">
      <c r="C5" s="79"/>
      <c r="D5" s="248"/>
      <c r="E5" s="248"/>
      <c r="F5" s="47"/>
      <c r="G5" s="79"/>
      <c r="J5" s="99"/>
      <c r="K5" s="4"/>
    </row>
    <row r="6" spans="1:11" x14ac:dyDescent="0.25">
      <c r="C6" s="79"/>
      <c r="D6" s="248"/>
      <c r="E6" s="248"/>
      <c r="F6" s="47"/>
      <c r="G6" s="79"/>
      <c r="J6" s="99"/>
      <c r="K6" s="4"/>
    </row>
    <row r="7" spans="1:11" x14ac:dyDescent="0.25">
      <c r="C7" s="79"/>
      <c r="D7" s="79"/>
      <c r="E7" s="248"/>
      <c r="F7" s="47"/>
      <c r="G7" s="79"/>
      <c r="J7" s="99"/>
      <c r="K7" s="4"/>
    </row>
    <row r="8" spans="1:11" x14ac:dyDescent="0.25">
      <c r="C8" s="79"/>
      <c r="D8" s="79"/>
      <c r="E8" s="248"/>
      <c r="F8" s="47"/>
      <c r="G8" s="79"/>
      <c r="J8" s="99"/>
      <c r="K8" s="4"/>
    </row>
    <row r="9" spans="1:11" x14ac:dyDescent="0.25">
      <c r="C9" s="79"/>
      <c r="D9" s="248"/>
      <c r="E9" s="248"/>
      <c r="F9" s="47"/>
      <c r="G9" s="79"/>
      <c r="J9" s="99"/>
      <c r="K9" s="4"/>
    </row>
    <row r="10" spans="1:11" x14ac:dyDescent="0.25">
      <c r="C10" s="79"/>
      <c r="D10" s="248"/>
      <c r="E10" s="248"/>
      <c r="F10" s="47"/>
      <c r="G10" s="79"/>
      <c r="J10" s="99"/>
      <c r="K10" s="4"/>
    </row>
    <row r="11" spans="1:11" x14ac:dyDescent="0.25">
      <c r="C11" s="79"/>
      <c r="D11" s="248"/>
      <c r="E11" s="248"/>
      <c r="F11" s="47"/>
      <c r="G11" s="79"/>
      <c r="J11" s="99"/>
      <c r="K11" s="4"/>
    </row>
    <row r="12" spans="1:11" x14ac:dyDescent="0.25">
      <c r="C12" s="79"/>
      <c r="D12" s="248"/>
      <c r="E12" s="248"/>
      <c r="F12" s="47"/>
      <c r="G12" s="79"/>
      <c r="J12" s="99"/>
      <c r="K12" s="4"/>
    </row>
    <row r="13" spans="1:11" x14ac:dyDescent="0.25">
      <c r="C13" s="79"/>
      <c r="D13" s="248"/>
      <c r="E13" s="248"/>
      <c r="F13" s="47"/>
      <c r="G13" s="79"/>
      <c r="J13" s="99"/>
      <c r="K13" s="4"/>
    </row>
    <row r="14" spans="1:11" x14ac:dyDescent="0.25">
      <c r="C14" s="79"/>
      <c r="D14" s="79"/>
      <c r="E14" s="248"/>
      <c r="F14" s="47"/>
      <c r="G14" s="79"/>
      <c r="J14" s="99"/>
      <c r="K14" s="4"/>
    </row>
    <row r="15" spans="1:11" x14ac:dyDescent="0.25">
      <c r="C15" s="79"/>
      <c r="D15" s="248"/>
      <c r="E15" s="248"/>
      <c r="F15" s="47"/>
      <c r="G15" s="79"/>
      <c r="J15" s="99"/>
      <c r="K15" s="4"/>
    </row>
    <row r="16" spans="1:11" x14ac:dyDescent="0.25">
      <c r="C16" s="79"/>
      <c r="D16" s="248"/>
      <c r="E16" s="248"/>
      <c r="F16" s="47"/>
      <c r="G16" s="79"/>
      <c r="J16" s="99"/>
      <c r="K16" s="4"/>
    </row>
    <row r="17" spans="3:11" x14ac:dyDescent="0.25">
      <c r="C17" s="79"/>
      <c r="D17" s="248"/>
      <c r="E17" s="248"/>
      <c r="F17" s="47"/>
      <c r="G17" s="79"/>
      <c r="J17" s="99"/>
      <c r="K17" s="4"/>
    </row>
    <row r="18" spans="3:11" x14ac:dyDescent="0.25">
      <c r="C18" s="79"/>
      <c r="D18" s="79"/>
      <c r="E18" s="248"/>
      <c r="F18" s="47"/>
      <c r="G18" s="79"/>
      <c r="J18" s="99"/>
      <c r="K18" s="4"/>
    </row>
    <row r="19" spans="3:11" x14ac:dyDescent="0.25">
      <c r="C19" s="79"/>
      <c r="D19" s="248"/>
      <c r="E19" s="248"/>
      <c r="F19" s="47"/>
      <c r="G19" s="79"/>
      <c r="J19" s="99"/>
      <c r="K19" s="4"/>
    </row>
    <row r="20" spans="3:11" x14ac:dyDescent="0.25">
      <c r="C20" s="79"/>
      <c r="D20" s="79"/>
      <c r="E20" s="248"/>
      <c r="F20" s="47"/>
      <c r="G20" s="79"/>
      <c r="J20" s="99"/>
      <c r="K20" s="4"/>
    </row>
    <row r="21" spans="3:11" x14ac:dyDescent="0.25">
      <c r="C21" s="79"/>
      <c r="D21" s="248"/>
      <c r="E21" s="248"/>
      <c r="F21" s="47"/>
      <c r="G21" s="79"/>
      <c r="J21" s="99"/>
      <c r="K21" s="4"/>
    </row>
    <row r="22" spans="3:11" x14ac:dyDescent="0.25">
      <c r="C22" s="79"/>
      <c r="D22" s="248"/>
      <c r="E22" s="248"/>
      <c r="F22" s="47"/>
      <c r="G22" s="79"/>
      <c r="J22" s="99"/>
      <c r="K22" s="4"/>
    </row>
    <row r="23" spans="3:11" x14ac:dyDescent="0.25">
      <c r="C23" s="79"/>
      <c r="D23" s="248"/>
      <c r="E23" s="248"/>
      <c r="F23" s="47"/>
      <c r="G23" s="79"/>
      <c r="J23" s="99"/>
      <c r="K23" s="4"/>
    </row>
    <row r="24" spans="3:11" x14ac:dyDescent="0.25">
      <c r="C24" s="79"/>
      <c r="D24" s="248"/>
      <c r="E24" s="248"/>
      <c r="F24" s="47"/>
      <c r="G24" s="79"/>
      <c r="J24" s="99"/>
      <c r="K24" s="4"/>
    </row>
    <row r="25" spans="3:11" x14ac:dyDescent="0.25">
      <c r="C25" s="79"/>
      <c r="D25" s="248"/>
      <c r="E25" s="248"/>
      <c r="F25" s="47"/>
      <c r="G25" s="79"/>
      <c r="J25" s="99"/>
      <c r="K25" s="4"/>
    </row>
    <row r="26" spans="3:11" x14ac:dyDescent="0.25">
      <c r="C26" s="79"/>
      <c r="D26" s="248"/>
      <c r="E26" s="248"/>
      <c r="F26" s="47"/>
      <c r="G26" s="79"/>
      <c r="J26" s="99"/>
      <c r="K26" s="4"/>
    </row>
    <row r="27" spans="3:11" x14ac:dyDescent="0.25">
      <c r="C27" s="79"/>
      <c r="D27" s="248"/>
      <c r="E27" s="248"/>
      <c r="F27" s="47"/>
      <c r="G27" s="79"/>
      <c r="J27" s="99"/>
      <c r="K27" s="4"/>
    </row>
    <row r="28" spans="3:11" x14ac:dyDescent="0.25">
      <c r="C28" s="79"/>
      <c r="D28" s="248"/>
      <c r="E28" s="248"/>
      <c r="F28" s="47"/>
      <c r="G28" s="79"/>
      <c r="J28" s="99"/>
      <c r="K28" s="4"/>
    </row>
    <row r="29" spans="3:11" x14ac:dyDescent="0.25">
      <c r="C29" s="79"/>
      <c r="D29" s="248"/>
      <c r="E29" s="248"/>
      <c r="F29" s="47"/>
      <c r="G29" s="79"/>
      <c r="J29" s="99"/>
      <c r="K29" s="4"/>
    </row>
    <row r="30" spans="3:11" x14ac:dyDescent="0.25">
      <c r="C30" s="79"/>
      <c r="D30" s="248"/>
      <c r="E30" s="248"/>
      <c r="F30" s="47"/>
      <c r="G30" s="79"/>
      <c r="J30" s="99"/>
      <c r="K30" s="4"/>
    </row>
    <row r="31" spans="3:11" x14ac:dyDescent="0.25">
      <c r="C31" s="79"/>
      <c r="D31" s="79"/>
      <c r="E31" s="248"/>
      <c r="F31" s="47"/>
      <c r="G31" s="79"/>
      <c r="J31" s="99"/>
      <c r="K31" s="4"/>
    </row>
    <row r="32" spans="3:11" x14ac:dyDescent="0.25">
      <c r="C32" s="79"/>
      <c r="D32" s="248"/>
      <c r="E32" s="248"/>
      <c r="F32" s="47"/>
      <c r="G32" s="79"/>
      <c r="J32" s="99"/>
      <c r="K32" s="4"/>
    </row>
    <row r="33" spans="3:11" x14ac:dyDescent="0.25">
      <c r="C33" s="79"/>
      <c r="D33" s="248"/>
      <c r="E33" s="248"/>
      <c r="F33" s="47"/>
      <c r="G33" s="79"/>
      <c r="J33" s="99"/>
      <c r="K33" s="4"/>
    </row>
    <row r="34" spans="3:11" x14ac:dyDescent="0.25">
      <c r="C34" s="79"/>
      <c r="D34" s="79"/>
      <c r="E34" s="248"/>
      <c r="F34" s="47"/>
      <c r="G34" s="79"/>
      <c r="J34" s="99"/>
      <c r="K34" s="4"/>
    </row>
    <row r="35" spans="3:11" x14ac:dyDescent="0.25">
      <c r="C35" s="79"/>
      <c r="D35" s="248"/>
      <c r="E35" s="248"/>
      <c r="F35" s="47"/>
      <c r="G35" s="79"/>
      <c r="J35" s="99"/>
      <c r="K35" s="4"/>
    </row>
    <row r="36" spans="3:11" x14ac:dyDescent="0.25">
      <c r="C36" s="79"/>
      <c r="D36" s="79"/>
      <c r="E36" s="248"/>
      <c r="F36" s="47"/>
      <c r="G36" s="79"/>
      <c r="J36" s="99"/>
      <c r="K36" s="4"/>
    </row>
    <row r="37" spans="3:11" x14ac:dyDescent="0.25">
      <c r="C37" s="79"/>
      <c r="D37" s="248"/>
      <c r="E37" s="248"/>
      <c r="F37" s="47"/>
      <c r="G37" s="79"/>
      <c r="J37" s="99"/>
      <c r="K37" s="4"/>
    </row>
    <row r="38" spans="3:11" x14ac:dyDescent="0.25">
      <c r="C38" s="79"/>
      <c r="D38" s="248"/>
      <c r="E38" s="248"/>
      <c r="F38" s="47"/>
      <c r="G38" s="79"/>
      <c r="J38" s="99"/>
      <c r="K38" s="4"/>
    </row>
    <row r="39" spans="3:11" x14ac:dyDescent="0.25">
      <c r="C39" s="79"/>
      <c r="D39" s="248"/>
      <c r="E39" s="248"/>
      <c r="F39" s="47"/>
      <c r="G39" s="79"/>
      <c r="J39" s="99"/>
      <c r="K39" s="4"/>
    </row>
    <row r="40" spans="3:11" x14ac:dyDescent="0.25">
      <c r="C40" s="79"/>
      <c r="D40" s="248"/>
      <c r="E40" s="248"/>
      <c r="F40" s="47"/>
      <c r="G40" s="79"/>
      <c r="J40" s="99"/>
      <c r="K40" s="4"/>
    </row>
    <row r="41" spans="3:11" x14ac:dyDescent="0.25">
      <c r="C41" s="79"/>
      <c r="D41" s="248"/>
      <c r="E41" s="248"/>
      <c r="F41" s="47"/>
      <c r="G41" s="79"/>
      <c r="J41" s="99"/>
      <c r="K41" s="4"/>
    </row>
    <row r="42" spans="3:11" x14ac:dyDescent="0.25">
      <c r="C42" s="79"/>
      <c r="D42" s="79"/>
      <c r="E42" s="248"/>
      <c r="F42" s="47"/>
      <c r="G42" s="79"/>
      <c r="J42" s="99"/>
      <c r="K42" s="4"/>
    </row>
    <row r="43" spans="3:11" x14ac:dyDescent="0.25">
      <c r="C43" s="79"/>
      <c r="D43" s="248"/>
      <c r="E43" s="248"/>
      <c r="F43" s="47"/>
      <c r="G43" s="79"/>
      <c r="J43" s="99"/>
      <c r="K43" s="4"/>
    </row>
    <row r="44" spans="3:11" x14ac:dyDescent="0.25">
      <c r="C44" s="79"/>
      <c r="D44" s="79"/>
      <c r="E44" s="248"/>
      <c r="F44" s="47"/>
      <c r="G44" s="79"/>
      <c r="J44" s="99"/>
      <c r="K44" s="4"/>
    </row>
    <row r="45" spans="3:11" x14ac:dyDescent="0.25">
      <c r="C45" s="79"/>
      <c r="D45" s="248"/>
      <c r="E45" s="248"/>
      <c r="F45" s="47"/>
      <c r="G45" s="79"/>
      <c r="J45" s="99"/>
      <c r="K45" s="4"/>
    </row>
    <row r="46" spans="3:11" x14ac:dyDescent="0.25">
      <c r="C46" s="79"/>
      <c r="D46" s="248"/>
      <c r="E46" s="248"/>
      <c r="F46" s="47"/>
      <c r="G46" s="79"/>
      <c r="J46" s="99"/>
      <c r="K46" s="4"/>
    </row>
    <row r="47" spans="3:11" x14ac:dyDescent="0.25">
      <c r="C47" s="79"/>
      <c r="D47" s="248"/>
      <c r="E47" s="248"/>
      <c r="F47" s="47"/>
      <c r="G47" s="79"/>
      <c r="J47" s="99"/>
      <c r="K47" s="4"/>
    </row>
    <row r="48" spans="3:11" x14ac:dyDescent="0.25">
      <c r="C48" s="79"/>
      <c r="D48" s="248"/>
      <c r="E48" s="248"/>
      <c r="F48" s="47"/>
      <c r="G48" s="79"/>
      <c r="J48" s="99"/>
      <c r="K48" s="4"/>
    </row>
    <row r="49" spans="3:11" x14ac:dyDescent="0.25">
      <c r="C49" s="79"/>
      <c r="D49" s="79"/>
      <c r="E49" s="248"/>
      <c r="F49" s="47"/>
      <c r="G49" s="79"/>
      <c r="J49" s="99"/>
      <c r="K49" s="4"/>
    </row>
    <row r="50" spans="3:11" x14ac:dyDescent="0.25">
      <c r="C50" s="79"/>
      <c r="D50" s="248"/>
      <c r="E50" s="248"/>
      <c r="F50" s="47"/>
      <c r="G50" s="79"/>
      <c r="J50" s="99"/>
      <c r="K50" s="4"/>
    </row>
    <row r="51" spans="3:11" x14ac:dyDescent="0.25">
      <c r="C51" s="79"/>
      <c r="D51" s="79"/>
      <c r="E51" s="248"/>
      <c r="F51" s="47"/>
      <c r="G51" s="79"/>
      <c r="J51" s="99"/>
      <c r="K51" s="4"/>
    </row>
    <row r="52" spans="3:11" x14ac:dyDescent="0.25">
      <c r="C52" s="79"/>
      <c r="D52" s="248"/>
      <c r="E52" s="248"/>
      <c r="F52" s="47"/>
      <c r="G52" s="79"/>
      <c r="J52" s="99"/>
      <c r="K52" s="4"/>
    </row>
    <row r="53" spans="3:11" x14ac:dyDescent="0.25">
      <c r="C53" s="79"/>
      <c r="D53" s="248"/>
      <c r="E53" s="248"/>
      <c r="F53" s="47"/>
      <c r="G53" s="79"/>
      <c r="J53" s="99"/>
      <c r="K53" s="4"/>
    </row>
    <row r="54" spans="3:11" x14ac:dyDescent="0.25">
      <c r="C54" s="79"/>
      <c r="D54" s="79"/>
      <c r="E54" s="248"/>
      <c r="F54" s="47"/>
      <c r="G54" s="79"/>
      <c r="J54" s="99"/>
      <c r="K54" s="4"/>
    </row>
    <row r="55" spans="3:11" x14ac:dyDescent="0.25">
      <c r="C55" s="79"/>
      <c r="D55" s="248"/>
      <c r="E55" s="248"/>
      <c r="F55" s="47"/>
      <c r="G55" s="79"/>
      <c r="J55" s="99"/>
      <c r="K55" s="4"/>
    </row>
    <row r="56" spans="3:11" x14ac:dyDescent="0.25">
      <c r="C56" s="79"/>
      <c r="D56" s="79"/>
      <c r="E56" s="248"/>
      <c r="F56" s="47"/>
      <c r="G56" s="79"/>
      <c r="J56" s="99"/>
      <c r="K56" s="4"/>
    </row>
    <row r="57" spans="3:11" x14ac:dyDescent="0.25">
      <c r="C57" s="79"/>
      <c r="D57" s="79"/>
      <c r="E57" s="248"/>
      <c r="F57" s="47"/>
      <c r="G57" s="79"/>
      <c r="J57" s="99"/>
      <c r="K57" s="4"/>
    </row>
    <row r="58" spans="3:11" x14ac:dyDescent="0.25">
      <c r="C58" s="79"/>
      <c r="D58" s="248"/>
      <c r="E58" s="248"/>
      <c r="F58" s="47"/>
      <c r="G58" s="79"/>
      <c r="J58" s="99"/>
      <c r="K58" s="4"/>
    </row>
    <row r="59" spans="3:11" x14ac:dyDescent="0.25">
      <c r="C59" s="79"/>
      <c r="D59" s="248"/>
      <c r="E59" s="248"/>
      <c r="F59" s="47"/>
      <c r="G59" s="79"/>
      <c r="J59" s="99"/>
      <c r="K59" s="4"/>
    </row>
    <row r="60" spans="3:11" x14ac:dyDescent="0.25">
      <c r="C60" s="79"/>
      <c r="D60" s="248"/>
      <c r="E60" s="248"/>
      <c r="F60" s="47"/>
      <c r="G60" s="79"/>
      <c r="J60" s="99"/>
      <c r="K60" s="4"/>
    </row>
    <row r="61" spans="3:11" x14ac:dyDescent="0.25">
      <c r="C61" s="79"/>
      <c r="D61" s="248"/>
      <c r="E61" s="248"/>
      <c r="F61" s="47"/>
      <c r="G61" s="79"/>
      <c r="J61" s="99"/>
      <c r="K61" s="4"/>
    </row>
    <row r="62" spans="3:11" x14ac:dyDescent="0.25">
      <c r="C62" s="79"/>
      <c r="D62" s="248"/>
      <c r="E62" s="248"/>
      <c r="F62" s="47"/>
      <c r="G62" s="79"/>
      <c r="J62" s="99"/>
      <c r="K62" s="4"/>
    </row>
    <row r="63" spans="3:11" x14ac:dyDescent="0.25">
      <c r="C63" s="79"/>
      <c r="D63" s="79"/>
      <c r="E63" s="248"/>
      <c r="F63" s="47"/>
      <c r="G63" s="79"/>
      <c r="J63" s="99"/>
      <c r="K63" s="4"/>
    </row>
    <row r="64" spans="3:11" x14ac:dyDescent="0.25">
      <c r="C64" s="79"/>
      <c r="D64" s="248"/>
      <c r="E64" s="248"/>
      <c r="F64" s="47"/>
      <c r="G64" s="79"/>
      <c r="J64" s="99"/>
      <c r="K64" s="4"/>
    </row>
    <row r="65" spans="3:11" x14ac:dyDescent="0.25">
      <c r="C65" s="79"/>
      <c r="D65" s="79"/>
      <c r="E65" s="248"/>
      <c r="F65" s="47"/>
      <c r="G65" s="79"/>
      <c r="J65" s="99"/>
      <c r="K65" s="4"/>
    </row>
    <row r="66" spans="3:11" x14ac:dyDescent="0.25">
      <c r="C66" s="79"/>
      <c r="D66" s="248"/>
      <c r="E66" s="248"/>
      <c r="F66" s="47"/>
      <c r="G66" s="79"/>
      <c r="J66" s="99"/>
      <c r="K66" s="4"/>
    </row>
    <row r="67" spans="3:11" x14ac:dyDescent="0.25">
      <c r="C67" s="79"/>
      <c r="D67" s="248"/>
      <c r="E67" s="248"/>
      <c r="F67" s="47"/>
      <c r="G67" s="79"/>
      <c r="J67" s="99"/>
      <c r="K67" s="4"/>
    </row>
    <row r="68" spans="3:11" x14ac:dyDescent="0.25">
      <c r="C68" s="79"/>
      <c r="D68" s="248"/>
      <c r="E68" s="248"/>
      <c r="F68" s="47"/>
      <c r="G68" s="79"/>
      <c r="J68" s="99"/>
      <c r="K68" s="4"/>
    </row>
    <row r="69" spans="3:11" x14ac:dyDescent="0.25">
      <c r="C69" s="79"/>
      <c r="D69" s="248"/>
      <c r="E69" s="248"/>
      <c r="F69" s="47"/>
      <c r="G69" s="79"/>
      <c r="J69" s="99"/>
      <c r="K69" s="4"/>
    </row>
    <row r="70" spans="3:11" x14ac:dyDescent="0.25">
      <c r="C70" s="79"/>
      <c r="D70" s="79"/>
      <c r="E70" s="248"/>
      <c r="F70" s="47"/>
      <c r="G70" s="79"/>
      <c r="J70" s="99"/>
      <c r="K70" s="4"/>
    </row>
    <row r="71" spans="3:11" x14ac:dyDescent="0.25">
      <c r="C71" s="79"/>
      <c r="D71" s="79"/>
      <c r="E71" s="248"/>
      <c r="F71" s="47"/>
      <c r="G71" s="79"/>
      <c r="J71" s="99"/>
      <c r="K71" s="4"/>
    </row>
    <row r="72" spans="3:11" x14ac:dyDescent="0.25">
      <c r="C72" s="79"/>
      <c r="D72" s="248"/>
      <c r="E72" s="248"/>
      <c r="F72" s="47"/>
      <c r="G72" s="79"/>
      <c r="J72" s="99"/>
      <c r="K72" s="4"/>
    </row>
    <row r="73" spans="3:11" x14ac:dyDescent="0.25">
      <c r="C73" s="79"/>
      <c r="D73" s="79"/>
      <c r="E73" s="248"/>
      <c r="F73" s="47"/>
      <c r="G73" s="79"/>
      <c r="J73" s="99"/>
      <c r="K73" s="4"/>
    </row>
    <row r="74" spans="3:11" x14ac:dyDescent="0.25">
      <c r="C74" s="79"/>
      <c r="D74" s="79"/>
      <c r="E74" s="248"/>
      <c r="F74" s="47"/>
      <c r="G74" s="79"/>
      <c r="J74" s="99"/>
      <c r="K74" s="4"/>
    </row>
    <row r="75" spans="3:11" x14ac:dyDescent="0.25">
      <c r="C75" s="79"/>
      <c r="D75" s="248"/>
      <c r="E75" s="248"/>
      <c r="F75" s="47"/>
      <c r="G75" s="79"/>
      <c r="J75" s="99"/>
      <c r="K75" s="4"/>
    </row>
    <row r="76" spans="3:11" x14ac:dyDescent="0.25">
      <c r="C76" s="79"/>
      <c r="D76" s="248"/>
      <c r="E76" s="248"/>
      <c r="F76" s="47"/>
      <c r="G76" s="79"/>
      <c r="J76" s="99"/>
      <c r="K76" s="4"/>
    </row>
    <row r="77" spans="3:11" x14ac:dyDescent="0.25">
      <c r="C77" s="79"/>
      <c r="D77" s="79"/>
      <c r="E77" s="248"/>
      <c r="F77" s="47"/>
      <c r="G77" s="79"/>
      <c r="J77" s="99"/>
      <c r="K77" s="4"/>
    </row>
    <row r="78" spans="3:11" x14ac:dyDescent="0.25">
      <c r="C78" s="79"/>
      <c r="D78" s="248"/>
      <c r="E78" s="248"/>
      <c r="F78" s="47"/>
      <c r="G78" s="79"/>
      <c r="J78" s="99"/>
      <c r="K78" s="4"/>
    </row>
    <row r="79" spans="3:11" x14ac:dyDescent="0.25">
      <c r="C79" s="79"/>
      <c r="D79" s="248"/>
      <c r="E79" s="248"/>
      <c r="F79" s="47"/>
      <c r="G79" s="79"/>
      <c r="J79" s="99"/>
      <c r="K79" s="4"/>
    </row>
    <row r="80" spans="3:11" x14ac:dyDescent="0.25">
      <c r="C80" s="79"/>
      <c r="D80" s="79"/>
      <c r="E80" s="248"/>
      <c r="F80" s="47"/>
      <c r="G80" s="79"/>
      <c r="J80" s="99"/>
      <c r="K80" s="4"/>
    </row>
    <row r="81" spans="3:11" x14ac:dyDescent="0.25">
      <c r="C81" s="79"/>
      <c r="D81" s="248"/>
      <c r="E81" s="248"/>
      <c r="F81" s="47"/>
      <c r="G81" s="79"/>
      <c r="J81" s="99"/>
      <c r="K81" s="4"/>
    </row>
    <row r="82" spans="3:11" x14ac:dyDescent="0.25">
      <c r="C82" s="79"/>
      <c r="D82" s="248"/>
      <c r="E82" s="248"/>
      <c r="F82" s="47"/>
      <c r="G82" s="79"/>
      <c r="J82" s="99"/>
      <c r="K82" s="4"/>
    </row>
    <row r="83" spans="3:11" x14ac:dyDescent="0.25">
      <c r="C83" s="79"/>
      <c r="D83" s="248"/>
      <c r="E83" s="248"/>
      <c r="F83" s="47"/>
      <c r="G83" s="79"/>
      <c r="J83" s="99"/>
      <c r="K83" s="4"/>
    </row>
    <row r="84" spans="3:11" x14ac:dyDescent="0.25">
      <c r="C84" s="79"/>
      <c r="D84" s="248"/>
      <c r="E84" s="248"/>
      <c r="F84" s="47"/>
      <c r="G84" s="79"/>
      <c r="J84" s="99"/>
      <c r="K84" s="4"/>
    </row>
    <row r="85" spans="3:11" x14ac:dyDescent="0.25">
      <c r="C85" s="79"/>
      <c r="D85" s="248"/>
      <c r="E85" s="248"/>
      <c r="F85" s="47"/>
      <c r="G85" s="79"/>
      <c r="J85" s="99"/>
      <c r="K85" s="4"/>
    </row>
    <row r="86" spans="3:11" x14ac:dyDescent="0.25">
      <c r="C86" s="79"/>
      <c r="D86" s="248"/>
      <c r="E86" s="248"/>
      <c r="F86" s="47"/>
      <c r="G86" s="79"/>
      <c r="J86" s="99"/>
      <c r="K86" s="4"/>
    </row>
    <row r="87" spans="3:11" x14ac:dyDescent="0.25">
      <c r="C87" s="79"/>
      <c r="D87" s="248"/>
      <c r="E87" s="248"/>
      <c r="F87" s="47"/>
      <c r="G87" s="79"/>
      <c r="J87" s="99"/>
      <c r="K87" s="4"/>
    </row>
    <row r="88" spans="3:11" x14ac:dyDescent="0.25">
      <c r="C88" s="79"/>
      <c r="D88" s="79"/>
      <c r="E88" s="248"/>
      <c r="F88" s="47"/>
      <c r="G88" s="79"/>
      <c r="J88" s="99"/>
      <c r="K88" s="4"/>
    </row>
    <row r="89" spans="3:11" x14ac:dyDescent="0.25">
      <c r="C89" s="79"/>
      <c r="D89" s="248"/>
      <c r="E89" s="248"/>
      <c r="F89" s="47"/>
      <c r="G89" s="79"/>
      <c r="J89" s="99"/>
      <c r="K89" s="4"/>
    </row>
    <row r="90" spans="3:11" x14ac:dyDescent="0.25">
      <c r="C90" s="79"/>
      <c r="D90" s="248"/>
      <c r="E90" s="248"/>
      <c r="F90" s="47"/>
      <c r="G90" s="79"/>
      <c r="J90" s="99"/>
      <c r="K90" s="4"/>
    </row>
    <row r="91" spans="3:11" x14ac:dyDescent="0.25">
      <c r="C91" s="79"/>
      <c r="D91" s="248"/>
      <c r="E91" s="248"/>
      <c r="F91" s="47"/>
      <c r="G91" s="79"/>
      <c r="J91" s="99"/>
      <c r="K91" s="4"/>
    </row>
    <row r="92" spans="3:11" x14ac:dyDescent="0.25">
      <c r="C92" s="79"/>
      <c r="D92" s="248"/>
      <c r="E92" s="248"/>
      <c r="F92" s="47"/>
      <c r="G92" s="79"/>
      <c r="J92" s="99"/>
      <c r="K92" s="4"/>
    </row>
    <row r="93" spans="3:11" x14ac:dyDescent="0.25">
      <c r="C93" s="79"/>
      <c r="D93" s="79"/>
      <c r="E93" s="248"/>
      <c r="F93" s="47"/>
      <c r="G93" s="79"/>
      <c r="J93" s="99"/>
      <c r="K93" s="4"/>
    </row>
    <row r="94" spans="3:11" x14ac:dyDescent="0.25">
      <c r="C94" s="79"/>
      <c r="D94" s="248"/>
      <c r="E94" s="248"/>
      <c r="F94" s="47"/>
      <c r="G94" s="79"/>
      <c r="J94" s="99"/>
      <c r="K94" s="4"/>
    </row>
    <row r="95" spans="3:11" x14ac:dyDescent="0.25">
      <c r="C95" s="79"/>
      <c r="D95" s="248"/>
      <c r="E95" s="248"/>
      <c r="F95" s="47"/>
      <c r="G95" s="79"/>
      <c r="J95" s="99"/>
      <c r="K95" s="4"/>
    </row>
    <row r="96" spans="3:11" x14ac:dyDescent="0.25">
      <c r="C96" s="79"/>
      <c r="D96" s="248"/>
      <c r="E96" s="248"/>
      <c r="F96" s="47"/>
      <c r="G96" s="79"/>
      <c r="J96" s="99"/>
      <c r="K96" s="4"/>
    </row>
    <row r="97" spans="3:11" x14ac:dyDescent="0.25">
      <c r="C97" s="79"/>
      <c r="D97" s="248"/>
      <c r="E97" s="248"/>
      <c r="F97" s="47"/>
      <c r="G97" s="79"/>
      <c r="J97" s="99"/>
      <c r="K97" s="4"/>
    </row>
    <row r="98" spans="3:11" x14ac:dyDescent="0.25">
      <c r="C98" s="79"/>
      <c r="D98" s="248"/>
      <c r="E98" s="248"/>
      <c r="F98" s="47"/>
      <c r="G98" s="79"/>
      <c r="J98" s="99"/>
      <c r="K98" s="4"/>
    </row>
    <row r="99" spans="3:11" x14ac:dyDescent="0.25">
      <c r="C99" s="79"/>
      <c r="D99" s="79"/>
      <c r="E99" s="248"/>
      <c r="F99" s="47"/>
      <c r="G99" s="79"/>
      <c r="J99" s="99"/>
      <c r="K99" s="4"/>
    </row>
    <row r="100" spans="3:11" x14ac:dyDescent="0.25">
      <c r="C100" s="79"/>
      <c r="D100" s="79"/>
      <c r="E100" s="248"/>
      <c r="F100" s="47"/>
      <c r="G100" s="79"/>
      <c r="J100" s="99"/>
      <c r="K100" s="4"/>
    </row>
    <row r="101" spans="3:11" x14ac:dyDescent="0.25">
      <c r="C101" s="79"/>
      <c r="D101" s="248"/>
      <c r="E101" s="248"/>
      <c r="F101" s="47"/>
      <c r="G101" s="79"/>
      <c r="J101" s="99"/>
      <c r="K101" s="4"/>
    </row>
    <row r="102" spans="3:11" x14ac:dyDescent="0.25">
      <c r="C102" s="79"/>
      <c r="D102" s="79"/>
      <c r="E102" s="248"/>
      <c r="F102" s="47"/>
      <c r="G102" s="79"/>
      <c r="J102" s="99"/>
      <c r="K102" s="4"/>
    </row>
    <row r="103" spans="3:11" x14ac:dyDescent="0.25">
      <c r="C103" s="79"/>
      <c r="D103" s="248"/>
      <c r="E103" s="248"/>
      <c r="F103" s="47"/>
      <c r="G103" s="79"/>
      <c r="J103" s="99"/>
      <c r="K103" s="4"/>
    </row>
    <row r="104" spans="3:11" x14ac:dyDescent="0.25">
      <c r="C104" s="79"/>
      <c r="D104" s="248"/>
      <c r="E104" s="248"/>
      <c r="F104" s="47"/>
      <c r="G104" s="79"/>
      <c r="J104" s="99"/>
      <c r="K104" s="4"/>
    </row>
    <row r="105" spans="3:11" x14ac:dyDescent="0.25">
      <c r="C105" s="79"/>
      <c r="D105" s="248"/>
      <c r="E105" s="248"/>
      <c r="F105" s="47"/>
      <c r="G105" s="79"/>
      <c r="J105" s="99"/>
      <c r="K105" s="4"/>
    </row>
    <row r="106" spans="3:11" x14ac:dyDescent="0.25">
      <c r="C106" s="79"/>
      <c r="D106" s="79"/>
      <c r="E106" s="248"/>
      <c r="F106" s="47"/>
      <c r="G106" s="79"/>
      <c r="J106" s="99"/>
      <c r="K106" s="4"/>
    </row>
    <row r="107" spans="3:11" x14ac:dyDescent="0.25">
      <c r="C107" s="79"/>
      <c r="D107" s="248"/>
      <c r="E107" s="248"/>
      <c r="F107" s="47"/>
      <c r="G107" s="79"/>
      <c r="J107" s="99"/>
      <c r="K107" s="4"/>
    </row>
    <row r="108" spans="3:11" x14ac:dyDescent="0.25">
      <c r="C108" s="79"/>
      <c r="D108" s="248"/>
      <c r="E108" s="248"/>
      <c r="F108" s="47"/>
      <c r="G108" s="79"/>
      <c r="J108" s="99"/>
      <c r="K108" s="4"/>
    </row>
    <row r="109" spans="3:11" x14ac:dyDescent="0.25">
      <c r="C109" s="79"/>
      <c r="D109" s="248"/>
      <c r="E109" s="248"/>
      <c r="F109" s="47"/>
      <c r="G109" s="79"/>
      <c r="J109" s="99"/>
      <c r="K109" s="4"/>
    </row>
    <row r="110" spans="3:11" x14ac:dyDescent="0.25">
      <c r="C110" s="79"/>
      <c r="D110" s="79"/>
      <c r="E110" s="248"/>
      <c r="F110" s="47"/>
      <c r="G110" s="79"/>
      <c r="J110" s="99"/>
      <c r="K110" s="4"/>
    </row>
    <row r="111" spans="3:11" x14ac:dyDescent="0.25">
      <c r="C111" s="79"/>
      <c r="D111" s="248"/>
      <c r="E111" s="248"/>
      <c r="F111" s="47"/>
      <c r="G111" s="79"/>
      <c r="J111" s="99"/>
      <c r="K111" s="4"/>
    </row>
    <row r="112" spans="3:11" x14ac:dyDescent="0.25">
      <c r="C112" s="79"/>
      <c r="D112" s="79"/>
      <c r="E112" s="248"/>
      <c r="F112" s="47"/>
      <c r="G112" s="79"/>
      <c r="J112" s="99"/>
      <c r="K112" s="4"/>
    </row>
    <row r="113" spans="3:11" x14ac:dyDescent="0.25">
      <c r="C113" s="79"/>
      <c r="D113" s="248"/>
      <c r="E113" s="248"/>
      <c r="F113" s="47"/>
      <c r="G113" s="79"/>
      <c r="J113" s="99"/>
      <c r="K113" s="4"/>
    </row>
    <row r="114" spans="3:11" x14ac:dyDescent="0.25">
      <c r="C114" s="79"/>
      <c r="D114" s="79"/>
      <c r="E114" s="248"/>
      <c r="F114" s="47"/>
      <c r="G114" s="79"/>
      <c r="J114" s="99"/>
      <c r="K114" s="4"/>
    </row>
    <row r="115" spans="3:11" x14ac:dyDescent="0.25">
      <c r="C115" s="79"/>
      <c r="D115" s="248"/>
      <c r="E115" s="248"/>
      <c r="F115" s="47"/>
      <c r="G115" s="79"/>
      <c r="J115" s="99"/>
      <c r="K115" s="4"/>
    </row>
    <row r="116" spans="3:11" x14ac:dyDescent="0.25">
      <c r="C116" s="79"/>
      <c r="D116" s="248"/>
      <c r="E116" s="248"/>
      <c r="F116" s="47"/>
      <c r="G116" s="79"/>
      <c r="J116" s="99"/>
      <c r="K116" s="4"/>
    </row>
    <row r="117" spans="3:11" x14ac:dyDescent="0.25">
      <c r="C117" s="79"/>
      <c r="D117" s="248"/>
      <c r="E117" s="248"/>
      <c r="F117" s="47"/>
      <c r="G117" s="79"/>
      <c r="J117" s="99"/>
      <c r="K117" s="4"/>
    </row>
    <row r="118" spans="3:11" x14ac:dyDescent="0.25">
      <c r="C118" s="79"/>
      <c r="D118" s="248"/>
      <c r="E118" s="248"/>
      <c r="F118" s="47"/>
      <c r="G118" s="79"/>
      <c r="J118" s="99"/>
      <c r="K118" s="4"/>
    </row>
    <row r="119" spans="3:11" x14ac:dyDescent="0.25">
      <c r="C119" s="79"/>
      <c r="D119" s="248"/>
      <c r="E119" s="248"/>
      <c r="F119" s="47"/>
      <c r="G119" s="79"/>
      <c r="J119" s="99"/>
      <c r="K119" s="4"/>
    </row>
    <row r="120" spans="3:11" x14ac:dyDescent="0.25">
      <c r="C120" s="79"/>
      <c r="D120" s="248"/>
      <c r="E120" s="248"/>
      <c r="F120" s="47"/>
      <c r="G120" s="79"/>
      <c r="J120" s="99"/>
      <c r="K120" s="4"/>
    </row>
    <row r="121" spans="3:11" x14ac:dyDescent="0.25">
      <c r="C121" s="79"/>
      <c r="D121" s="248"/>
      <c r="E121" s="248"/>
      <c r="F121" s="47"/>
      <c r="G121" s="79"/>
      <c r="J121" s="99"/>
      <c r="K121" s="4"/>
    </row>
    <row r="122" spans="3:11" x14ac:dyDescent="0.25">
      <c r="C122" s="79"/>
      <c r="D122" s="79"/>
      <c r="E122" s="248"/>
      <c r="F122" s="47"/>
      <c r="G122" s="79"/>
      <c r="J122" s="99"/>
      <c r="K122" s="4"/>
    </row>
    <row r="123" spans="3:11" x14ac:dyDescent="0.25">
      <c r="C123" s="79"/>
      <c r="D123" s="79"/>
      <c r="E123" s="248"/>
      <c r="F123" s="47"/>
      <c r="G123" s="79"/>
      <c r="J123" s="99"/>
      <c r="K123" s="4"/>
    </row>
    <row r="124" spans="3:11" x14ac:dyDescent="0.25">
      <c r="C124" s="79"/>
      <c r="D124" s="248"/>
      <c r="E124" s="248"/>
      <c r="F124" s="47"/>
      <c r="G124" s="79"/>
      <c r="J124" s="99"/>
      <c r="K124" s="4"/>
    </row>
    <row r="125" spans="3:11" x14ac:dyDescent="0.25">
      <c r="C125" s="79"/>
      <c r="D125" s="248"/>
      <c r="E125" s="248"/>
      <c r="F125" s="47"/>
      <c r="G125" s="79"/>
      <c r="J125" s="99"/>
      <c r="K125" s="4"/>
    </row>
    <row r="126" spans="3:11" x14ac:dyDescent="0.25">
      <c r="C126" s="79"/>
      <c r="D126" s="79"/>
      <c r="E126" s="248"/>
      <c r="F126" s="47"/>
      <c r="G126" s="79"/>
      <c r="J126" s="99"/>
      <c r="K126" s="4"/>
    </row>
    <row r="127" spans="3:11" x14ac:dyDescent="0.25">
      <c r="C127" s="79"/>
      <c r="D127" s="248"/>
      <c r="E127" s="248"/>
      <c r="F127" s="47"/>
      <c r="G127" s="79"/>
      <c r="J127" s="99"/>
      <c r="K127" s="4"/>
    </row>
    <row r="128" spans="3:11" x14ac:dyDescent="0.25">
      <c r="C128" s="79"/>
      <c r="D128" s="248"/>
      <c r="E128" s="248"/>
      <c r="F128" s="47"/>
      <c r="G128" s="79"/>
      <c r="J128" s="99"/>
      <c r="K128" s="4"/>
    </row>
    <row r="129" spans="3:11" x14ac:dyDescent="0.25">
      <c r="C129" s="79"/>
      <c r="D129" s="248"/>
      <c r="E129" s="248"/>
      <c r="F129" s="47"/>
      <c r="G129" s="79"/>
      <c r="J129" s="99"/>
      <c r="K129" s="4"/>
    </row>
    <row r="130" spans="3:11" x14ac:dyDescent="0.25">
      <c r="C130" s="79"/>
      <c r="D130" s="248"/>
      <c r="E130" s="248"/>
      <c r="F130" s="47"/>
      <c r="G130" s="79"/>
      <c r="J130" s="99"/>
      <c r="K130" s="4"/>
    </row>
    <row r="131" spans="3:11" x14ac:dyDescent="0.25">
      <c r="C131" s="79"/>
      <c r="D131" s="248"/>
      <c r="E131" s="248"/>
      <c r="F131" s="47"/>
      <c r="G131" s="79"/>
      <c r="J131" s="99"/>
      <c r="K131" s="4"/>
    </row>
    <row r="132" spans="3:11" x14ac:dyDescent="0.25">
      <c r="C132" s="79"/>
      <c r="D132" s="248"/>
      <c r="E132" s="248"/>
      <c r="F132" s="47"/>
      <c r="G132" s="79"/>
      <c r="J132" s="99"/>
      <c r="K132" s="4"/>
    </row>
    <row r="133" spans="3:11" x14ac:dyDescent="0.25">
      <c r="C133" s="79"/>
      <c r="D133" s="248"/>
      <c r="E133" s="248"/>
      <c r="F133" s="47"/>
      <c r="G133" s="79"/>
      <c r="J133" s="99"/>
      <c r="K133" s="4"/>
    </row>
    <row r="134" spans="3:11" x14ac:dyDescent="0.25">
      <c r="C134" s="79"/>
      <c r="D134" s="248"/>
      <c r="E134" s="248"/>
      <c r="F134" s="47"/>
      <c r="G134" s="79"/>
      <c r="J134" s="99"/>
      <c r="K134" s="4"/>
    </row>
    <row r="135" spans="3:11" x14ac:dyDescent="0.25">
      <c r="C135" s="79"/>
      <c r="D135" s="248"/>
      <c r="E135" s="248"/>
      <c r="F135" s="47"/>
      <c r="G135" s="79"/>
      <c r="J135" s="99"/>
      <c r="K135" s="4"/>
    </row>
    <row r="136" spans="3:11" x14ac:dyDescent="0.25">
      <c r="C136" s="79"/>
      <c r="D136" s="248"/>
      <c r="E136" s="248"/>
      <c r="F136" s="47"/>
      <c r="G136" s="79"/>
      <c r="J136" s="99"/>
      <c r="K136" s="4"/>
    </row>
    <row r="137" spans="3:11" x14ac:dyDescent="0.25">
      <c r="C137" s="79"/>
      <c r="D137" s="248"/>
      <c r="E137" s="248"/>
      <c r="F137" s="47"/>
      <c r="G137" s="79"/>
      <c r="J137" s="99"/>
      <c r="K137" s="4"/>
    </row>
    <row r="138" spans="3:11" x14ac:dyDescent="0.25">
      <c r="C138" s="79"/>
      <c r="D138" s="248"/>
      <c r="E138" s="248"/>
      <c r="F138" s="47"/>
      <c r="G138" s="79"/>
      <c r="J138" s="99"/>
      <c r="K138" s="4"/>
    </row>
    <row r="139" spans="3:11" x14ac:dyDescent="0.25">
      <c r="C139" s="79"/>
      <c r="D139" s="79"/>
      <c r="E139" s="248"/>
      <c r="F139" s="47"/>
      <c r="G139" s="79"/>
      <c r="J139" s="99"/>
      <c r="K139" s="4"/>
    </row>
    <row r="140" spans="3:11" x14ac:dyDescent="0.25">
      <c r="C140" s="79"/>
      <c r="D140" s="248"/>
      <c r="E140" s="248"/>
      <c r="F140" s="47"/>
      <c r="G140" s="79"/>
      <c r="J140" s="99"/>
      <c r="K140" s="4"/>
    </row>
    <row r="141" spans="3:11" x14ac:dyDescent="0.25">
      <c r="C141" s="79"/>
      <c r="D141" s="79"/>
      <c r="E141" s="248"/>
      <c r="F141" s="47"/>
      <c r="G141" s="79"/>
      <c r="J141" s="99"/>
      <c r="K141" s="4"/>
    </row>
    <row r="142" spans="3:11" x14ac:dyDescent="0.25">
      <c r="C142" s="79"/>
      <c r="D142" s="248"/>
      <c r="E142" s="248"/>
      <c r="F142" s="47"/>
      <c r="G142" s="79"/>
      <c r="J142" s="99"/>
      <c r="K142" s="4"/>
    </row>
    <row r="143" spans="3:11" x14ac:dyDescent="0.25">
      <c r="C143" s="79"/>
      <c r="D143" s="248"/>
      <c r="E143" s="248"/>
      <c r="F143" s="47"/>
      <c r="G143" s="79"/>
      <c r="J143" s="99"/>
      <c r="K143" s="4"/>
    </row>
    <row r="144" spans="3:11" x14ac:dyDescent="0.25">
      <c r="C144" s="79"/>
      <c r="D144" s="248"/>
      <c r="E144" s="248"/>
      <c r="F144" s="47"/>
      <c r="G144" s="79"/>
      <c r="J144" s="99"/>
      <c r="K144" s="4"/>
    </row>
    <row r="145" spans="3:11" x14ac:dyDescent="0.25">
      <c r="C145" s="79"/>
      <c r="D145" s="248"/>
      <c r="E145" s="248"/>
      <c r="F145" s="47"/>
      <c r="G145" s="79"/>
      <c r="J145" s="99"/>
      <c r="K145" s="4"/>
    </row>
    <row r="146" spans="3:11" x14ac:dyDescent="0.25">
      <c r="C146" s="79"/>
      <c r="D146" s="248"/>
      <c r="E146" s="248"/>
      <c r="F146" s="47"/>
      <c r="G146" s="79"/>
      <c r="J146" s="99"/>
      <c r="K146" s="4"/>
    </row>
    <row r="147" spans="3:11" x14ac:dyDescent="0.25">
      <c r="C147" s="79"/>
      <c r="D147" s="248"/>
      <c r="E147" s="248"/>
      <c r="F147" s="47"/>
      <c r="G147" s="79"/>
      <c r="J147" s="99"/>
      <c r="K147" s="4"/>
    </row>
    <row r="148" spans="3:11" x14ac:dyDescent="0.25">
      <c r="C148" s="79"/>
      <c r="D148" s="248"/>
      <c r="E148" s="248"/>
      <c r="F148" s="47"/>
      <c r="G148" s="79"/>
      <c r="J148" s="99"/>
      <c r="K148" s="4"/>
    </row>
    <row r="149" spans="3:11" x14ac:dyDescent="0.25">
      <c r="C149" s="79"/>
      <c r="D149" s="79"/>
      <c r="E149" s="248"/>
      <c r="F149" s="47"/>
      <c r="G149" s="79"/>
      <c r="J149" s="99"/>
      <c r="K149" s="4"/>
    </row>
    <row r="150" spans="3:11" x14ac:dyDescent="0.25">
      <c r="C150" s="79"/>
      <c r="D150" s="248"/>
      <c r="E150" s="248"/>
      <c r="F150" s="47"/>
      <c r="G150" s="79"/>
      <c r="J150" s="99"/>
      <c r="K150" s="4"/>
    </row>
    <row r="151" spans="3:11" x14ac:dyDescent="0.25">
      <c r="C151" s="79"/>
      <c r="D151" s="79"/>
      <c r="E151" s="248"/>
      <c r="F151" s="47"/>
      <c r="G151" s="79"/>
      <c r="J151" s="99"/>
      <c r="K151" s="4"/>
    </row>
    <row r="152" spans="3:11" x14ac:dyDescent="0.25">
      <c r="C152" s="79"/>
      <c r="D152" s="248"/>
      <c r="E152" s="248"/>
      <c r="F152" s="47"/>
      <c r="G152" s="79"/>
      <c r="J152" s="99"/>
      <c r="K152" s="4"/>
    </row>
    <row r="153" spans="3:11" x14ac:dyDescent="0.25">
      <c r="C153" s="79"/>
      <c r="D153" s="248"/>
      <c r="E153" s="248"/>
      <c r="F153" s="47"/>
      <c r="G153" s="79"/>
      <c r="J153" s="99"/>
      <c r="K153" s="4"/>
    </row>
    <row r="154" spans="3:11" x14ac:dyDescent="0.25">
      <c r="C154" s="79"/>
      <c r="D154" s="248"/>
      <c r="E154" s="248"/>
      <c r="F154" s="47"/>
      <c r="G154" s="79"/>
      <c r="J154" s="99"/>
      <c r="K154" s="4"/>
    </row>
    <row r="155" spans="3:11" x14ac:dyDescent="0.25">
      <c r="C155" s="79"/>
      <c r="D155" s="79"/>
      <c r="E155" s="248"/>
      <c r="F155" s="47"/>
      <c r="G155" s="79"/>
      <c r="J155" s="99"/>
      <c r="K155" s="4"/>
    </row>
    <row r="156" spans="3:11" x14ac:dyDescent="0.25">
      <c r="C156" s="79"/>
      <c r="D156" s="79"/>
      <c r="E156" s="248"/>
      <c r="F156" s="47"/>
      <c r="G156" s="79"/>
      <c r="J156" s="99"/>
      <c r="K156" s="4"/>
    </row>
    <row r="157" spans="3:11" x14ac:dyDescent="0.25">
      <c r="C157" s="79"/>
      <c r="D157" s="248"/>
      <c r="E157" s="248"/>
      <c r="F157" s="47"/>
      <c r="G157" s="79"/>
      <c r="J157" s="99"/>
      <c r="K157" s="4"/>
    </row>
    <row r="158" spans="3:11" x14ac:dyDescent="0.25">
      <c r="C158" s="79"/>
      <c r="D158" s="248"/>
      <c r="E158" s="248"/>
      <c r="F158" s="47"/>
      <c r="G158" s="79"/>
      <c r="J158" s="99"/>
      <c r="K158" s="4"/>
    </row>
    <row r="159" spans="3:11" x14ac:dyDescent="0.25">
      <c r="C159" s="79"/>
      <c r="D159" s="79"/>
      <c r="E159" s="248"/>
      <c r="F159" s="47"/>
      <c r="G159" s="79"/>
      <c r="J159" s="99"/>
      <c r="K159" s="4"/>
    </row>
    <row r="160" spans="3:11" x14ac:dyDescent="0.25">
      <c r="C160" s="79"/>
      <c r="D160" s="79"/>
      <c r="E160" s="248"/>
      <c r="F160" s="47"/>
      <c r="G160" s="79"/>
      <c r="J160" s="99"/>
      <c r="K160" s="4"/>
    </row>
    <row r="161" spans="3:11" x14ac:dyDescent="0.25">
      <c r="C161" s="79"/>
      <c r="D161" s="248"/>
      <c r="E161" s="248"/>
      <c r="F161" s="47"/>
      <c r="G161" s="79"/>
      <c r="J161" s="99"/>
      <c r="K161" s="4"/>
    </row>
    <row r="162" spans="3:11" x14ac:dyDescent="0.25">
      <c r="C162" s="79"/>
      <c r="D162" s="248"/>
      <c r="E162" s="248"/>
      <c r="F162" s="47"/>
      <c r="G162" s="79"/>
      <c r="J162" s="99"/>
      <c r="K162" s="4"/>
    </row>
    <row r="163" spans="3:11" x14ac:dyDescent="0.25">
      <c r="C163" s="79"/>
      <c r="D163" s="248"/>
      <c r="E163" s="248"/>
      <c r="F163" s="47"/>
      <c r="G163" s="79"/>
      <c r="J163" s="99"/>
      <c r="K163" s="4"/>
    </row>
    <row r="164" spans="3:11" x14ac:dyDescent="0.25">
      <c r="C164" s="79"/>
      <c r="D164" s="79"/>
      <c r="E164" s="248"/>
      <c r="F164" s="47"/>
      <c r="G164" s="79"/>
      <c r="J164" s="99"/>
      <c r="K164" s="4"/>
    </row>
    <row r="165" spans="3:11" x14ac:dyDescent="0.25">
      <c r="C165" s="79"/>
      <c r="D165" s="79"/>
      <c r="E165" s="248"/>
      <c r="F165" s="47"/>
      <c r="G165" s="79"/>
      <c r="J165" s="99"/>
      <c r="K165" s="4"/>
    </row>
    <row r="166" spans="3:11" x14ac:dyDescent="0.25">
      <c r="C166" s="79"/>
      <c r="D166" s="79"/>
      <c r="E166" s="248"/>
      <c r="F166" s="47"/>
      <c r="G166" s="79"/>
      <c r="J166" s="99"/>
      <c r="K166" s="4"/>
    </row>
    <row r="167" spans="3:11" x14ac:dyDescent="0.25">
      <c r="C167" s="79"/>
      <c r="D167" s="79"/>
      <c r="E167" s="248"/>
      <c r="F167" s="47"/>
      <c r="G167" s="79"/>
      <c r="J167" s="99"/>
      <c r="K167" s="4"/>
    </row>
    <row r="168" spans="3:11" x14ac:dyDescent="0.25">
      <c r="C168" s="79"/>
      <c r="D168" s="248"/>
      <c r="E168" s="248"/>
      <c r="F168" s="47"/>
      <c r="G168" s="79"/>
      <c r="J168" s="99"/>
      <c r="K168" s="4"/>
    </row>
    <row r="169" spans="3:11" x14ac:dyDescent="0.25">
      <c r="C169" s="79"/>
      <c r="D169" s="248"/>
      <c r="E169" s="248"/>
      <c r="F169" s="47"/>
      <c r="G169" s="79"/>
      <c r="J169" s="99"/>
      <c r="K169" s="4"/>
    </row>
    <row r="170" spans="3:11" x14ac:dyDescent="0.25">
      <c r="C170" s="79"/>
      <c r="D170" s="248"/>
      <c r="E170" s="248"/>
      <c r="F170" s="47"/>
      <c r="G170" s="79"/>
      <c r="J170" s="99"/>
      <c r="K170" s="4"/>
    </row>
    <row r="171" spans="3:11" x14ac:dyDescent="0.25">
      <c r="C171" s="79"/>
      <c r="D171" s="248"/>
      <c r="E171" s="248"/>
      <c r="F171" s="47"/>
      <c r="G171" s="79"/>
      <c r="J171" s="99"/>
      <c r="K171" s="4"/>
    </row>
    <row r="172" spans="3:11" x14ac:dyDescent="0.25">
      <c r="C172" s="79"/>
      <c r="D172" s="248"/>
      <c r="E172" s="248"/>
      <c r="F172" s="47"/>
      <c r="G172" s="79"/>
      <c r="J172" s="99"/>
      <c r="K172" s="4"/>
    </row>
    <row r="173" spans="3:11" x14ac:dyDescent="0.25">
      <c r="C173" s="79"/>
      <c r="D173" s="248"/>
      <c r="E173" s="248"/>
      <c r="F173" s="47"/>
      <c r="G173" s="79"/>
      <c r="J173" s="99"/>
      <c r="K173" s="4"/>
    </row>
    <row r="174" spans="3:11" x14ac:dyDescent="0.25">
      <c r="C174" s="79"/>
      <c r="D174" s="248"/>
      <c r="E174" s="248"/>
      <c r="F174" s="47"/>
      <c r="G174" s="79"/>
      <c r="J174" s="99"/>
      <c r="K174" s="4"/>
    </row>
    <row r="175" spans="3:11" x14ac:dyDescent="0.25">
      <c r="C175" s="79"/>
      <c r="D175" s="248"/>
      <c r="E175" s="248"/>
      <c r="F175" s="47"/>
      <c r="G175" s="79"/>
      <c r="J175" s="99"/>
      <c r="K175" s="4"/>
    </row>
    <row r="176" spans="3:11" x14ac:dyDescent="0.25">
      <c r="C176" s="79"/>
      <c r="D176" s="248"/>
      <c r="E176" s="248"/>
      <c r="F176" s="47"/>
      <c r="G176" s="79"/>
      <c r="J176" s="99"/>
      <c r="K176" s="4"/>
    </row>
    <row r="177" spans="3:11" x14ac:dyDescent="0.25">
      <c r="C177" s="79"/>
      <c r="D177" s="79"/>
      <c r="E177" s="248"/>
      <c r="F177" s="47"/>
      <c r="G177" s="79"/>
      <c r="J177" s="99"/>
      <c r="K177" s="4"/>
    </row>
    <row r="178" spans="3:11" x14ac:dyDescent="0.25">
      <c r="C178" s="79"/>
      <c r="D178" s="248"/>
      <c r="E178" s="248"/>
      <c r="F178" s="47"/>
      <c r="G178" s="79"/>
      <c r="J178" s="99"/>
      <c r="K178" s="4"/>
    </row>
    <row r="179" spans="3:11" x14ac:dyDescent="0.25">
      <c r="C179" s="79"/>
      <c r="D179" s="79"/>
      <c r="E179" s="248"/>
      <c r="F179" s="47"/>
      <c r="G179" s="79"/>
      <c r="J179" s="99"/>
      <c r="K179" s="4"/>
    </row>
    <row r="180" spans="3:11" x14ac:dyDescent="0.25">
      <c r="C180" s="79"/>
      <c r="D180" s="248"/>
      <c r="E180" s="248"/>
      <c r="F180" s="47"/>
      <c r="G180" s="79"/>
      <c r="J180" s="99"/>
      <c r="K180" s="4"/>
    </row>
    <row r="181" spans="3:11" x14ac:dyDescent="0.25">
      <c r="C181" s="79"/>
      <c r="D181" s="248"/>
      <c r="E181" s="248"/>
      <c r="F181" s="47"/>
      <c r="G181" s="79"/>
      <c r="J181" s="99"/>
      <c r="K181" s="4"/>
    </row>
    <row r="182" spans="3:11" x14ac:dyDescent="0.25">
      <c r="C182" s="79"/>
      <c r="D182" s="79"/>
      <c r="E182" s="248"/>
      <c r="F182" s="47"/>
      <c r="G182" s="79"/>
      <c r="J182" s="99"/>
      <c r="K182" s="4"/>
    </row>
    <row r="183" spans="3:11" x14ac:dyDescent="0.25">
      <c r="C183" s="79"/>
      <c r="D183" s="79"/>
      <c r="E183" s="248"/>
      <c r="F183" s="47"/>
      <c r="G183" s="79"/>
      <c r="J183" s="99"/>
      <c r="K183" s="4"/>
    </row>
    <row r="184" spans="3:11" x14ac:dyDescent="0.25">
      <c r="C184" s="79"/>
      <c r="D184" s="79"/>
      <c r="E184" s="248"/>
      <c r="F184" s="47"/>
      <c r="G184" s="79"/>
      <c r="J184" s="99"/>
      <c r="K184" s="4"/>
    </row>
    <row r="185" spans="3:11" x14ac:dyDescent="0.25">
      <c r="C185" s="79"/>
      <c r="D185" s="79"/>
      <c r="E185" s="248"/>
      <c r="F185" s="47"/>
      <c r="G185" s="79"/>
      <c r="J185" s="99"/>
      <c r="K185" s="4"/>
    </row>
    <row r="186" spans="3:11" x14ac:dyDescent="0.25">
      <c r="C186" s="79"/>
      <c r="D186" s="79"/>
      <c r="E186" s="248"/>
      <c r="F186" s="47"/>
      <c r="G186" s="79"/>
      <c r="J186" s="99"/>
      <c r="K186" s="4"/>
    </row>
    <row r="187" spans="3:11" x14ac:dyDescent="0.25">
      <c r="C187" s="79"/>
      <c r="D187" s="248"/>
      <c r="E187" s="248"/>
      <c r="F187" s="47"/>
      <c r="G187" s="79"/>
      <c r="J187" s="99"/>
      <c r="K187" s="4"/>
    </row>
    <row r="188" spans="3:11" x14ac:dyDescent="0.25">
      <c r="C188" s="79"/>
      <c r="D188" s="248"/>
      <c r="E188" s="248"/>
      <c r="F188" s="47"/>
      <c r="G188" s="79"/>
      <c r="J188" s="99"/>
      <c r="K188" s="4"/>
    </row>
    <row r="189" spans="3:11" x14ac:dyDescent="0.25">
      <c r="C189" s="79"/>
      <c r="D189" s="248"/>
      <c r="E189" s="248"/>
      <c r="F189" s="47"/>
      <c r="G189" s="79"/>
      <c r="J189" s="99"/>
      <c r="K189" s="4"/>
    </row>
    <row r="190" spans="3:11" x14ac:dyDescent="0.25">
      <c r="C190" s="79"/>
      <c r="D190" s="248"/>
      <c r="E190" s="248"/>
      <c r="F190" s="47"/>
      <c r="G190" s="79"/>
      <c r="J190" s="99"/>
      <c r="K190" s="4"/>
    </row>
    <row r="191" spans="3:11" x14ac:dyDescent="0.25">
      <c r="C191" s="79"/>
      <c r="D191" s="79"/>
      <c r="E191" s="248"/>
      <c r="F191" s="47"/>
      <c r="G191" s="79"/>
      <c r="J191" s="99"/>
      <c r="K191" s="4"/>
    </row>
    <row r="192" spans="3:11" x14ac:dyDescent="0.25">
      <c r="C192" s="79"/>
      <c r="D192" s="248"/>
      <c r="E192" s="248"/>
      <c r="F192" s="47"/>
      <c r="G192" s="79"/>
      <c r="J192" s="99"/>
      <c r="K192" s="4"/>
    </row>
    <row r="193" spans="3:11" x14ac:dyDescent="0.25">
      <c r="C193" s="79"/>
      <c r="D193" s="248"/>
      <c r="E193" s="248"/>
      <c r="F193" s="47"/>
      <c r="G193" s="79"/>
      <c r="J193" s="99"/>
      <c r="K193" s="4"/>
    </row>
    <row r="194" spans="3:11" x14ac:dyDescent="0.25">
      <c r="C194" s="79"/>
      <c r="D194" s="248"/>
      <c r="E194" s="248"/>
      <c r="F194" s="47"/>
      <c r="G194" s="79"/>
      <c r="J194" s="99"/>
      <c r="K194" s="4"/>
    </row>
    <row r="195" spans="3:11" x14ac:dyDescent="0.25">
      <c r="C195" s="79"/>
      <c r="D195" s="79"/>
      <c r="E195" s="248"/>
      <c r="F195" s="47"/>
      <c r="G195" s="79"/>
      <c r="J195" s="99"/>
      <c r="K195" s="4"/>
    </row>
    <row r="196" spans="3:11" x14ac:dyDescent="0.25">
      <c r="C196" s="79"/>
      <c r="D196" s="248"/>
      <c r="E196" s="248"/>
      <c r="F196" s="47"/>
      <c r="G196" s="79"/>
      <c r="J196" s="99"/>
      <c r="K196" s="4"/>
    </row>
    <row r="197" spans="3:11" x14ac:dyDescent="0.25">
      <c r="C197" s="79"/>
      <c r="D197" s="248"/>
      <c r="E197" s="248"/>
      <c r="F197" s="47"/>
      <c r="G197" s="79"/>
      <c r="J197" s="99"/>
      <c r="K197" s="4"/>
    </row>
    <row r="198" spans="3:11" x14ac:dyDescent="0.25">
      <c r="C198" s="79"/>
      <c r="D198" s="248"/>
      <c r="E198" s="248"/>
      <c r="F198" s="47"/>
      <c r="G198" s="79"/>
      <c r="J198" s="99"/>
      <c r="K198" s="4"/>
    </row>
    <row r="199" spans="3:11" x14ac:dyDescent="0.25">
      <c r="C199" s="79"/>
      <c r="D199" s="248"/>
      <c r="E199" s="248"/>
      <c r="F199" s="47"/>
      <c r="G199" s="79"/>
      <c r="J199" s="99"/>
      <c r="K199" s="4"/>
    </row>
    <row r="200" spans="3:11" x14ac:dyDescent="0.25">
      <c r="C200" s="79"/>
      <c r="D200" s="79"/>
      <c r="E200" s="248"/>
      <c r="F200" s="47"/>
      <c r="G200" s="79"/>
      <c r="J200" s="99"/>
      <c r="K200" s="4"/>
    </row>
    <row r="201" spans="3:11" x14ac:dyDescent="0.25">
      <c r="C201" s="79"/>
      <c r="D201" s="248"/>
      <c r="E201" s="248"/>
      <c r="F201" s="47"/>
      <c r="G201" s="79"/>
      <c r="J201" s="99"/>
      <c r="K201" s="4"/>
    </row>
    <row r="202" spans="3:11" x14ac:dyDescent="0.25">
      <c r="C202" s="79"/>
      <c r="D202" s="79"/>
      <c r="E202" s="248"/>
      <c r="F202" s="47"/>
      <c r="G202" s="79"/>
      <c r="J202" s="99"/>
      <c r="K202" s="4"/>
    </row>
    <row r="203" spans="3:11" x14ac:dyDescent="0.25">
      <c r="C203" s="79"/>
      <c r="D203" s="248"/>
      <c r="E203" s="248"/>
      <c r="F203" s="47"/>
      <c r="G203" s="79"/>
      <c r="J203" s="99"/>
      <c r="K203" s="4"/>
    </row>
    <row r="204" spans="3:11" x14ac:dyDescent="0.25">
      <c r="C204" s="79"/>
      <c r="D204" s="248"/>
      <c r="E204" s="248"/>
      <c r="F204" s="47"/>
      <c r="G204" s="79"/>
      <c r="J204" s="99"/>
      <c r="K204" s="4"/>
    </row>
    <row r="205" spans="3:11" x14ac:dyDescent="0.25">
      <c r="C205" s="79"/>
      <c r="D205" s="79"/>
      <c r="E205" s="248"/>
      <c r="F205" s="47"/>
      <c r="G205" s="79"/>
      <c r="J205" s="99"/>
      <c r="K205" s="4"/>
    </row>
    <row r="206" spans="3:11" x14ac:dyDescent="0.25">
      <c r="C206" s="79"/>
      <c r="D206" s="248"/>
      <c r="E206" s="248"/>
      <c r="F206" s="47"/>
      <c r="G206" s="79"/>
      <c r="J206" s="99"/>
      <c r="K206" s="4"/>
    </row>
    <row r="207" spans="3:11" x14ac:dyDescent="0.25">
      <c r="C207" s="79"/>
      <c r="D207" s="248"/>
      <c r="E207" s="248"/>
      <c r="F207" s="47"/>
      <c r="G207" s="79"/>
      <c r="J207" s="99"/>
      <c r="K207" s="4"/>
    </row>
    <row r="208" spans="3:11" x14ac:dyDescent="0.25">
      <c r="C208" s="79"/>
      <c r="D208" s="79"/>
      <c r="E208" s="248"/>
      <c r="F208" s="47"/>
      <c r="G208" s="79"/>
      <c r="J208" s="99"/>
      <c r="K208" s="4"/>
    </row>
    <row r="209" spans="3:11" x14ac:dyDescent="0.25">
      <c r="C209" s="79"/>
      <c r="D209" s="248"/>
      <c r="E209" s="248"/>
      <c r="F209" s="47"/>
      <c r="G209" s="79"/>
      <c r="J209" s="99"/>
      <c r="K209" s="4"/>
    </row>
    <row r="210" spans="3:11" x14ac:dyDescent="0.25">
      <c r="C210" s="79"/>
      <c r="D210" s="248"/>
      <c r="E210" s="248"/>
      <c r="F210" s="47"/>
      <c r="G210" s="79"/>
      <c r="J210" s="99"/>
      <c r="K210" s="4"/>
    </row>
    <row r="211" spans="3:11" x14ac:dyDescent="0.25">
      <c r="C211" s="79"/>
      <c r="D211" s="248"/>
      <c r="E211" s="248"/>
      <c r="F211" s="47"/>
      <c r="G211" s="79"/>
      <c r="J211" s="99"/>
      <c r="K211" s="4"/>
    </row>
    <row r="212" spans="3:11" x14ac:dyDescent="0.25">
      <c r="C212" s="79"/>
      <c r="D212" s="248"/>
      <c r="E212" s="248"/>
      <c r="F212" s="47"/>
      <c r="G212" s="79"/>
      <c r="J212" s="99"/>
      <c r="K212" s="4"/>
    </row>
    <row r="213" spans="3:11" x14ac:dyDescent="0.25">
      <c r="C213" s="79"/>
      <c r="D213" s="79"/>
      <c r="E213" s="248"/>
      <c r="F213" s="47"/>
      <c r="G213" s="79"/>
      <c r="J213" s="99"/>
      <c r="K213" s="4"/>
    </row>
    <row r="214" spans="3:11" x14ac:dyDescent="0.25">
      <c r="C214" s="79"/>
      <c r="D214" s="248"/>
      <c r="E214" s="248"/>
      <c r="F214" s="47"/>
      <c r="G214" s="79"/>
      <c r="J214" s="99"/>
      <c r="K214" s="4"/>
    </row>
    <row r="215" spans="3:11" x14ac:dyDescent="0.25">
      <c r="C215" s="79"/>
      <c r="D215" s="248"/>
      <c r="E215" s="248"/>
      <c r="F215" s="47"/>
      <c r="G215" s="79"/>
      <c r="J215" s="99"/>
      <c r="K215" s="4"/>
    </row>
    <row r="216" spans="3:11" x14ac:dyDescent="0.25">
      <c r="C216" s="79"/>
      <c r="D216" s="79"/>
      <c r="E216" s="248"/>
      <c r="F216" s="47"/>
      <c r="G216" s="79"/>
      <c r="J216" s="99"/>
      <c r="K216" s="4"/>
    </row>
    <row r="217" spans="3:11" x14ac:dyDescent="0.25">
      <c r="C217" s="79"/>
      <c r="D217" s="79"/>
      <c r="E217" s="248"/>
      <c r="F217" s="47"/>
      <c r="G217" s="79"/>
      <c r="J217" s="99"/>
      <c r="K217" s="4"/>
    </row>
    <row r="218" spans="3:11" x14ac:dyDescent="0.25">
      <c r="C218" s="79"/>
      <c r="D218" s="79"/>
      <c r="E218" s="248"/>
      <c r="F218" s="47"/>
      <c r="G218" s="79"/>
      <c r="J218" s="99"/>
      <c r="K218" s="4"/>
    </row>
    <row r="219" spans="3:11" x14ac:dyDescent="0.25">
      <c r="C219" s="79"/>
      <c r="D219" s="248"/>
      <c r="E219" s="248"/>
      <c r="F219" s="47"/>
      <c r="G219" s="79"/>
      <c r="J219" s="99"/>
      <c r="K219" s="4"/>
    </row>
    <row r="220" spans="3:11" x14ac:dyDescent="0.25">
      <c r="C220" s="79"/>
      <c r="D220" s="248"/>
      <c r="E220" s="248"/>
      <c r="F220" s="47"/>
      <c r="G220" s="79"/>
      <c r="J220" s="99"/>
      <c r="K220" s="4"/>
    </row>
    <row r="221" spans="3:11" x14ac:dyDescent="0.25">
      <c r="C221" s="79"/>
      <c r="D221" s="79"/>
      <c r="E221" s="248"/>
      <c r="F221" s="47"/>
      <c r="G221" s="79"/>
      <c r="J221" s="99"/>
      <c r="K221" s="4"/>
    </row>
    <row r="222" spans="3:11" x14ac:dyDescent="0.25">
      <c r="C222" s="79"/>
      <c r="D222" s="248"/>
      <c r="E222" s="248"/>
      <c r="F222" s="47"/>
      <c r="G222" s="79"/>
      <c r="J222" s="99"/>
      <c r="K222" s="4"/>
    </row>
    <row r="223" spans="3:11" x14ac:dyDescent="0.25">
      <c r="C223" s="79"/>
      <c r="D223" s="79"/>
      <c r="E223" s="248"/>
      <c r="F223" s="47"/>
      <c r="G223" s="79"/>
      <c r="J223" s="99"/>
      <c r="K223" s="4"/>
    </row>
    <row r="224" spans="3:11" x14ac:dyDescent="0.25">
      <c r="C224" s="79"/>
      <c r="D224" s="248"/>
      <c r="E224" s="248"/>
      <c r="F224" s="47"/>
      <c r="G224" s="79"/>
      <c r="J224" s="99"/>
      <c r="K224" s="4"/>
    </row>
    <row r="225" spans="3:11" x14ac:dyDescent="0.25">
      <c r="C225" s="79"/>
      <c r="D225" s="248"/>
      <c r="E225" s="248"/>
      <c r="F225" s="47"/>
      <c r="G225" s="79"/>
      <c r="J225" s="99"/>
      <c r="K225" s="4"/>
    </row>
    <row r="226" spans="3:11" x14ac:dyDescent="0.25">
      <c r="C226" s="79"/>
      <c r="D226" s="248"/>
      <c r="E226" s="248"/>
      <c r="F226" s="47"/>
      <c r="G226" s="79"/>
      <c r="J226" s="99"/>
      <c r="K226" s="4"/>
    </row>
    <row r="227" spans="3:11" x14ac:dyDescent="0.25">
      <c r="C227" s="79"/>
      <c r="D227" s="248"/>
      <c r="E227" s="248"/>
      <c r="F227" s="47"/>
      <c r="G227" s="79"/>
      <c r="J227" s="99"/>
      <c r="K227" s="4"/>
    </row>
    <row r="228" spans="3:11" x14ac:dyDescent="0.25">
      <c r="C228" s="79"/>
      <c r="D228" s="248"/>
      <c r="E228" s="248"/>
      <c r="F228" s="47"/>
      <c r="G228" s="79"/>
      <c r="J228" s="99"/>
      <c r="K228" s="4"/>
    </row>
    <row r="229" spans="3:11" x14ac:dyDescent="0.25">
      <c r="C229" s="79"/>
      <c r="D229" s="248"/>
      <c r="E229" s="248"/>
      <c r="F229" s="47"/>
      <c r="G229" s="79"/>
      <c r="J229" s="99"/>
      <c r="K229" s="4"/>
    </row>
    <row r="230" spans="3:11" x14ac:dyDescent="0.25">
      <c r="C230" s="79"/>
      <c r="D230" s="248"/>
      <c r="E230" s="248"/>
      <c r="F230" s="47"/>
      <c r="G230" s="79"/>
      <c r="J230" s="99"/>
      <c r="K230" s="4"/>
    </row>
    <row r="231" spans="3:11" x14ac:dyDescent="0.25">
      <c r="C231" s="79"/>
      <c r="D231" s="248"/>
      <c r="E231" s="248"/>
      <c r="F231" s="47"/>
      <c r="G231" s="79"/>
      <c r="J231" s="99"/>
      <c r="K231" s="4"/>
    </row>
    <row r="232" spans="3:11" x14ac:dyDescent="0.25">
      <c r="C232" s="79"/>
      <c r="D232" s="79"/>
      <c r="E232" s="248"/>
      <c r="F232" s="47"/>
      <c r="G232" s="79"/>
      <c r="J232" s="99"/>
      <c r="K232" s="4"/>
    </row>
    <row r="233" spans="3:11" x14ac:dyDescent="0.25">
      <c r="C233" s="79"/>
      <c r="D233" s="79"/>
      <c r="E233" s="248"/>
      <c r="F233" s="47"/>
      <c r="G233" s="79"/>
      <c r="J233" s="99"/>
      <c r="K233" s="4"/>
    </row>
    <row r="234" spans="3:11" x14ac:dyDescent="0.25">
      <c r="C234" s="79"/>
      <c r="D234" s="79"/>
      <c r="E234" s="248"/>
      <c r="F234" s="47"/>
      <c r="G234" s="79"/>
      <c r="J234" s="99"/>
      <c r="K234" s="4"/>
    </row>
    <row r="235" spans="3:11" x14ac:dyDescent="0.25">
      <c r="C235" s="79"/>
      <c r="D235" s="248"/>
      <c r="E235" s="248"/>
      <c r="F235" s="47"/>
      <c r="G235" s="79"/>
      <c r="J235" s="99"/>
      <c r="K235" s="4"/>
    </row>
    <row r="236" spans="3:11" x14ac:dyDescent="0.25">
      <c r="C236" s="79"/>
      <c r="D236" s="248"/>
      <c r="E236" s="248"/>
      <c r="F236" s="47"/>
      <c r="G236" s="79"/>
      <c r="J236" s="99"/>
      <c r="K236" s="4"/>
    </row>
    <row r="237" spans="3:11" x14ac:dyDescent="0.25">
      <c r="C237" s="79"/>
      <c r="D237" s="248"/>
      <c r="E237" s="248"/>
      <c r="F237" s="47"/>
      <c r="G237" s="79"/>
      <c r="J237" s="99"/>
      <c r="K237" s="4"/>
    </row>
    <row r="238" spans="3:11" x14ac:dyDescent="0.25">
      <c r="C238" s="79"/>
      <c r="D238" s="248"/>
      <c r="E238" s="248"/>
      <c r="F238" s="47"/>
      <c r="G238" s="79"/>
      <c r="J238" s="99"/>
      <c r="K238" s="4"/>
    </row>
    <row r="239" spans="3:11" x14ac:dyDescent="0.25">
      <c r="C239" s="79"/>
      <c r="D239" s="79"/>
      <c r="E239" s="248"/>
      <c r="F239" s="47"/>
      <c r="G239" s="79"/>
      <c r="J239" s="99"/>
      <c r="K239" s="4"/>
    </row>
    <row r="240" spans="3:11" x14ac:dyDescent="0.25">
      <c r="C240" s="79"/>
      <c r="D240" s="79"/>
      <c r="E240" s="248"/>
      <c r="F240" s="47"/>
      <c r="G240" s="79"/>
      <c r="J240" s="99"/>
      <c r="K240" s="4"/>
    </row>
    <row r="241" spans="3:11" x14ac:dyDescent="0.25">
      <c r="C241" s="79"/>
      <c r="D241" s="79"/>
      <c r="E241" s="248"/>
      <c r="F241" s="47"/>
      <c r="G241" s="79"/>
      <c r="J241" s="99"/>
      <c r="K241" s="4"/>
    </row>
    <row r="242" spans="3:11" x14ac:dyDescent="0.25">
      <c r="C242" s="79"/>
      <c r="D242" s="248"/>
      <c r="E242" s="248"/>
      <c r="F242" s="47"/>
      <c r="G242" s="79"/>
      <c r="J242" s="99"/>
      <c r="K242" s="4"/>
    </row>
    <row r="243" spans="3:11" x14ac:dyDescent="0.25">
      <c r="C243" s="79"/>
      <c r="D243" s="79"/>
      <c r="E243" s="248"/>
      <c r="F243" s="47"/>
      <c r="G243" s="79"/>
      <c r="J243" s="99"/>
      <c r="K243" s="4"/>
    </row>
    <row r="244" spans="3:11" x14ac:dyDescent="0.25">
      <c r="C244" s="79"/>
      <c r="D244" s="248"/>
      <c r="E244" s="248"/>
      <c r="F244" s="47"/>
      <c r="G244" s="79"/>
      <c r="J244" s="99"/>
      <c r="K244" s="4"/>
    </row>
    <row r="245" spans="3:11" x14ac:dyDescent="0.25">
      <c r="C245" s="79"/>
      <c r="D245" s="79"/>
      <c r="E245" s="248"/>
      <c r="F245" s="47"/>
      <c r="G245" s="79"/>
      <c r="J245" s="99"/>
      <c r="K245" s="4"/>
    </row>
    <row r="246" spans="3:11" x14ac:dyDescent="0.25">
      <c r="C246" s="79"/>
      <c r="D246" s="248"/>
      <c r="E246" s="248"/>
      <c r="F246" s="47"/>
      <c r="G246" s="79"/>
      <c r="J246" s="99"/>
      <c r="K246" s="4"/>
    </row>
    <row r="247" spans="3:11" x14ac:dyDescent="0.25">
      <c r="C247" s="79"/>
      <c r="D247" s="248"/>
      <c r="E247" s="248"/>
      <c r="F247" s="47"/>
      <c r="G247" s="79"/>
      <c r="J247" s="99"/>
      <c r="K247" s="4"/>
    </row>
    <row r="248" spans="3:11" x14ac:dyDescent="0.25">
      <c r="C248" s="79"/>
      <c r="D248" s="79"/>
      <c r="E248" s="248"/>
      <c r="F248" s="47"/>
      <c r="G248" s="79"/>
      <c r="J248" s="99"/>
      <c r="K248" s="4"/>
    </row>
    <row r="249" spans="3:11" x14ac:dyDescent="0.25">
      <c r="C249" s="79"/>
      <c r="D249" s="248"/>
      <c r="E249" s="248"/>
      <c r="F249" s="47"/>
      <c r="G249" s="79"/>
      <c r="J249" s="99"/>
      <c r="K249" s="4"/>
    </row>
    <row r="250" spans="3:11" x14ac:dyDescent="0.25">
      <c r="C250" s="79"/>
      <c r="D250" s="248"/>
      <c r="E250" s="248"/>
      <c r="F250" s="47"/>
      <c r="G250" s="79"/>
      <c r="J250" s="99"/>
      <c r="K250" s="4"/>
    </row>
    <row r="251" spans="3:11" x14ac:dyDescent="0.25">
      <c r="C251" s="79"/>
      <c r="D251" s="248"/>
      <c r="E251" s="248"/>
      <c r="F251" s="47"/>
      <c r="G251" s="79"/>
      <c r="J251" s="99"/>
      <c r="K251" s="4"/>
    </row>
    <row r="252" spans="3:11" x14ac:dyDescent="0.25">
      <c r="C252" s="79"/>
      <c r="D252" s="248"/>
      <c r="E252" s="248"/>
      <c r="F252" s="47"/>
      <c r="G252" s="79"/>
      <c r="J252" s="99"/>
      <c r="K252" s="4"/>
    </row>
    <row r="253" spans="3:11" x14ac:dyDescent="0.25">
      <c r="C253" s="79"/>
      <c r="D253" s="248"/>
      <c r="E253" s="248"/>
      <c r="F253" s="47"/>
      <c r="G253" s="79"/>
      <c r="J253" s="99"/>
      <c r="K253" s="4"/>
    </row>
    <row r="254" spans="3:11" x14ac:dyDescent="0.25">
      <c r="C254" s="79"/>
      <c r="D254" s="248"/>
      <c r="E254" s="248"/>
      <c r="F254" s="47"/>
      <c r="G254" s="79"/>
      <c r="J254" s="99"/>
      <c r="K254" s="4"/>
    </row>
    <row r="255" spans="3:11" x14ac:dyDescent="0.25">
      <c r="C255" s="79"/>
      <c r="D255" s="248"/>
      <c r="E255" s="248"/>
      <c r="F255" s="47"/>
      <c r="G255" s="79"/>
      <c r="J255" s="99"/>
      <c r="K255" s="4"/>
    </row>
    <row r="256" spans="3:11" x14ac:dyDescent="0.25">
      <c r="C256" s="79"/>
      <c r="D256" s="79"/>
      <c r="E256" s="248"/>
      <c r="F256" s="47"/>
      <c r="G256" s="79"/>
      <c r="J256" s="99"/>
      <c r="K256" s="4"/>
    </row>
    <row r="257" spans="3:11" x14ac:dyDescent="0.25">
      <c r="C257" s="79"/>
      <c r="D257" s="248"/>
      <c r="E257" s="248"/>
      <c r="F257" s="47"/>
      <c r="G257" s="79"/>
      <c r="J257" s="99"/>
      <c r="K257" s="4"/>
    </row>
    <row r="258" spans="3:11" x14ac:dyDescent="0.25">
      <c r="C258" s="79"/>
      <c r="D258" s="248"/>
      <c r="E258" s="248"/>
      <c r="F258" s="47"/>
      <c r="G258" s="79"/>
      <c r="J258" s="99"/>
      <c r="K258" s="4"/>
    </row>
    <row r="259" spans="3:11" x14ac:dyDescent="0.25">
      <c r="C259" s="79"/>
      <c r="D259" s="248"/>
      <c r="E259" s="248"/>
      <c r="F259" s="47"/>
      <c r="G259" s="79"/>
      <c r="J259" s="99"/>
      <c r="K259" s="4"/>
    </row>
    <row r="260" spans="3:11" x14ac:dyDescent="0.25">
      <c r="C260" s="79"/>
      <c r="D260" s="248"/>
      <c r="E260" s="248"/>
      <c r="F260" s="47"/>
      <c r="G260" s="79"/>
      <c r="J260" s="99"/>
      <c r="K260" s="4"/>
    </row>
    <row r="261" spans="3:11" x14ac:dyDescent="0.25">
      <c r="C261" s="79"/>
      <c r="D261" s="79"/>
      <c r="E261" s="248"/>
      <c r="F261" s="47"/>
      <c r="G261" s="79"/>
      <c r="J261" s="99"/>
      <c r="K261" s="4"/>
    </row>
    <row r="262" spans="3:11" x14ac:dyDescent="0.25">
      <c r="C262" s="79"/>
      <c r="D262" s="248"/>
      <c r="E262" s="248"/>
      <c r="F262" s="47"/>
      <c r="G262" s="79"/>
      <c r="J262" s="99"/>
      <c r="K262" s="4"/>
    </row>
    <row r="263" spans="3:11" x14ac:dyDescent="0.25">
      <c r="C263" s="79"/>
      <c r="D263" s="79"/>
      <c r="E263" s="248"/>
      <c r="F263" s="47"/>
      <c r="G263" s="79"/>
      <c r="J263" s="99"/>
      <c r="K263" s="4"/>
    </row>
    <row r="264" spans="3:11" x14ac:dyDescent="0.25">
      <c r="C264" s="79"/>
      <c r="D264" s="248"/>
      <c r="E264" s="248"/>
      <c r="F264" s="47"/>
      <c r="G264" s="79"/>
      <c r="J264" s="99"/>
      <c r="K264" s="4"/>
    </row>
    <row r="265" spans="3:11" x14ac:dyDescent="0.25">
      <c r="C265" s="79"/>
      <c r="D265" s="79"/>
      <c r="E265" s="248"/>
      <c r="F265" s="47"/>
      <c r="G265" s="79"/>
      <c r="J265" s="99"/>
      <c r="K265" s="4"/>
    </row>
    <row r="266" spans="3:11" x14ac:dyDescent="0.25">
      <c r="C266" s="79"/>
      <c r="D266" s="248"/>
      <c r="E266" s="248"/>
      <c r="F266" s="47"/>
      <c r="G266" s="79"/>
      <c r="J266" s="99"/>
      <c r="K266" s="4"/>
    </row>
    <row r="267" spans="3:11" x14ac:dyDescent="0.25">
      <c r="C267" s="79"/>
      <c r="D267" s="248"/>
      <c r="E267" s="248"/>
      <c r="F267" s="47"/>
      <c r="G267" s="79"/>
      <c r="J267" s="99"/>
      <c r="K267" s="4"/>
    </row>
    <row r="268" spans="3:11" x14ac:dyDescent="0.25">
      <c r="C268" s="79"/>
      <c r="D268" s="79"/>
      <c r="E268" s="248"/>
      <c r="F268" s="47"/>
      <c r="G268" s="79"/>
      <c r="J268" s="99"/>
      <c r="K268" s="4"/>
    </row>
    <row r="269" spans="3:11" x14ac:dyDescent="0.25">
      <c r="C269" s="79"/>
      <c r="D269" s="79"/>
      <c r="E269" s="248"/>
      <c r="F269" s="47"/>
      <c r="G269" s="79"/>
      <c r="J269" s="99"/>
      <c r="K269" s="4"/>
    </row>
    <row r="270" spans="3:11" x14ac:dyDescent="0.25">
      <c r="C270" s="79"/>
      <c r="D270" s="248"/>
      <c r="E270" s="248"/>
      <c r="F270" s="47"/>
      <c r="G270" s="79"/>
      <c r="J270" s="99"/>
      <c r="K270" s="4"/>
    </row>
    <row r="271" spans="3:11" x14ac:dyDescent="0.25">
      <c r="C271" s="79"/>
      <c r="D271" s="79"/>
      <c r="E271" s="248"/>
      <c r="F271" s="47"/>
      <c r="G271" s="79"/>
      <c r="J271" s="99"/>
      <c r="K271" s="4"/>
    </row>
    <row r="272" spans="3:11" x14ac:dyDescent="0.25">
      <c r="C272" s="79"/>
      <c r="D272" s="248"/>
      <c r="E272" s="248"/>
      <c r="F272" s="47"/>
      <c r="G272" s="79"/>
      <c r="J272" s="99"/>
      <c r="K272" s="4"/>
    </row>
    <row r="273" spans="3:11" x14ac:dyDescent="0.25">
      <c r="C273" s="79"/>
      <c r="D273" s="79"/>
      <c r="E273" s="248"/>
      <c r="F273" s="47"/>
      <c r="G273" s="79"/>
      <c r="J273" s="99"/>
      <c r="K273" s="4"/>
    </row>
    <row r="274" spans="3:11" x14ac:dyDescent="0.25">
      <c r="C274" s="79"/>
      <c r="D274" s="248"/>
      <c r="E274" s="248"/>
      <c r="F274" s="47"/>
      <c r="G274" s="79"/>
      <c r="J274" s="99"/>
      <c r="K274" s="4"/>
    </row>
    <row r="275" spans="3:11" x14ac:dyDescent="0.25">
      <c r="C275" s="79"/>
      <c r="D275" s="248"/>
      <c r="E275" s="248"/>
      <c r="F275" s="47"/>
      <c r="G275" s="79"/>
      <c r="J275" s="99"/>
      <c r="K275" s="4"/>
    </row>
    <row r="276" spans="3:11" x14ac:dyDescent="0.25">
      <c r="C276" s="79"/>
      <c r="D276" s="79"/>
      <c r="E276" s="248"/>
      <c r="F276" s="47"/>
      <c r="G276" s="79"/>
      <c r="J276" s="99"/>
      <c r="K276" s="4"/>
    </row>
    <row r="277" spans="3:11" x14ac:dyDescent="0.25">
      <c r="C277" s="79"/>
      <c r="D277" s="79"/>
      <c r="E277" s="248"/>
      <c r="F277" s="47"/>
      <c r="G277" s="79"/>
      <c r="J277" s="99"/>
      <c r="K277" s="4"/>
    </row>
    <row r="278" spans="3:11" x14ac:dyDescent="0.25">
      <c r="C278" s="79"/>
      <c r="D278" s="248"/>
      <c r="E278" s="248"/>
      <c r="F278" s="47"/>
      <c r="G278" s="79"/>
      <c r="J278" s="99"/>
      <c r="K278" s="4"/>
    </row>
    <row r="279" spans="3:11" x14ac:dyDescent="0.25">
      <c r="C279" s="79"/>
      <c r="D279" s="79"/>
      <c r="E279" s="248"/>
      <c r="F279" s="47"/>
      <c r="G279" s="79"/>
      <c r="J279" s="99"/>
      <c r="K279" s="4"/>
    </row>
    <row r="280" spans="3:11" x14ac:dyDescent="0.25">
      <c r="C280" s="79"/>
      <c r="D280" s="79"/>
      <c r="E280" s="248"/>
      <c r="F280" s="47"/>
      <c r="G280" s="79"/>
      <c r="J280" s="99"/>
      <c r="K280" s="4"/>
    </row>
    <row r="281" spans="3:11" x14ac:dyDescent="0.25">
      <c r="C281" s="79"/>
      <c r="D281" s="79"/>
      <c r="E281" s="248"/>
      <c r="F281" s="47"/>
      <c r="G281" s="79"/>
      <c r="J281" s="99"/>
      <c r="K281" s="4"/>
    </row>
    <row r="282" spans="3:11" x14ac:dyDescent="0.25">
      <c r="C282" s="79"/>
      <c r="D282" s="248"/>
      <c r="E282" s="248"/>
      <c r="F282" s="47"/>
      <c r="G282" s="79"/>
      <c r="J282" s="99"/>
      <c r="K282" s="4"/>
    </row>
    <row r="283" spans="3:11" x14ac:dyDescent="0.25">
      <c r="C283" s="79"/>
      <c r="D283" s="248"/>
      <c r="E283" s="248"/>
      <c r="F283" s="47"/>
      <c r="G283" s="79"/>
      <c r="J283" s="99"/>
      <c r="K283" s="4"/>
    </row>
    <row r="284" spans="3:11" x14ac:dyDescent="0.25">
      <c r="C284" s="79"/>
      <c r="D284" s="79"/>
      <c r="E284" s="248"/>
      <c r="F284" s="47"/>
      <c r="G284" s="79"/>
      <c r="J284" s="99"/>
      <c r="K284" s="4"/>
    </row>
    <row r="285" spans="3:11" x14ac:dyDescent="0.25">
      <c r="C285" s="79"/>
      <c r="D285" s="79"/>
      <c r="E285" s="248"/>
      <c r="F285" s="47"/>
      <c r="G285" s="79"/>
      <c r="J285" s="99"/>
      <c r="K285" s="4"/>
    </row>
    <row r="286" spans="3:11" x14ac:dyDescent="0.25">
      <c r="C286" s="79"/>
      <c r="D286" s="248"/>
      <c r="E286" s="248"/>
      <c r="F286" s="47"/>
      <c r="G286" s="79"/>
      <c r="J286" s="99"/>
      <c r="K286" s="4"/>
    </row>
    <row r="287" spans="3:11" x14ac:dyDescent="0.25">
      <c r="C287" s="79"/>
      <c r="D287" s="248"/>
      <c r="E287" s="248"/>
      <c r="F287" s="47"/>
      <c r="G287" s="79"/>
      <c r="J287" s="99"/>
      <c r="K287" s="4"/>
    </row>
    <row r="288" spans="3:11" x14ac:dyDescent="0.25">
      <c r="C288" s="79"/>
      <c r="D288" s="248"/>
      <c r="E288" s="248"/>
      <c r="F288" s="47"/>
      <c r="G288" s="79"/>
      <c r="J288" s="99"/>
      <c r="K288" s="4"/>
    </row>
    <row r="289" spans="3:11" x14ac:dyDescent="0.25">
      <c r="C289" s="79"/>
      <c r="D289" s="248"/>
      <c r="E289" s="248"/>
      <c r="F289" s="47"/>
      <c r="G289" s="79"/>
      <c r="J289" s="99"/>
      <c r="K289" s="4"/>
    </row>
    <row r="290" spans="3:11" x14ac:dyDescent="0.25">
      <c r="C290" s="79"/>
      <c r="D290" s="79"/>
      <c r="E290" s="248"/>
      <c r="F290" s="47"/>
      <c r="G290" s="79"/>
      <c r="J290" s="99"/>
      <c r="K290" s="4"/>
    </row>
    <row r="291" spans="3:11" x14ac:dyDescent="0.25">
      <c r="C291" s="79"/>
      <c r="D291" s="79"/>
      <c r="E291" s="248"/>
      <c r="F291" s="47"/>
      <c r="G291" s="79"/>
      <c r="J291" s="99"/>
      <c r="K291" s="4"/>
    </row>
    <row r="292" spans="3:11" x14ac:dyDescent="0.25">
      <c r="C292" s="79"/>
      <c r="D292" s="79"/>
      <c r="E292" s="248"/>
      <c r="F292" s="47"/>
      <c r="G292" s="79"/>
      <c r="J292" s="99"/>
      <c r="K292" s="4"/>
    </row>
    <row r="293" spans="3:11" x14ac:dyDescent="0.25">
      <c r="C293" s="79"/>
      <c r="D293" s="248"/>
      <c r="E293" s="248"/>
      <c r="F293" s="47"/>
      <c r="G293" s="79"/>
      <c r="J293" s="99"/>
      <c r="K293" s="4"/>
    </row>
    <row r="294" spans="3:11" x14ac:dyDescent="0.25">
      <c r="C294" s="79"/>
      <c r="D294" s="248"/>
      <c r="E294" s="248"/>
      <c r="F294" s="47"/>
      <c r="G294" s="79"/>
      <c r="J294" s="99"/>
      <c r="K294" s="4"/>
    </row>
    <row r="295" spans="3:11" x14ac:dyDescent="0.25">
      <c r="C295" s="79"/>
      <c r="D295" s="248"/>
      <c r="E295" s="248"/>
      <c r="F295" s="47"/>
      <c r="G295" s="79"/>
      <c r="J295" s="99"/>
      <c r="K295" s="4"/>
    </row>
    <row r="296" spans="3:11" x14ac:dyDescent="0.25">
      <c r="C296" s="79"/>
      <c r="D296" s="248"/>
      <c r="E296" s="248"/>
      <c r="F296" s="47"/>
      <c r="G296" s="79"/>
      <c r="J296" s="99"/>
      <c r="K296" s="4"/>
    </row>
    <row r="297" spans="3:11" x14ac:dyDescent="0.25">
      <c r="C297" s="79"/>
      <c r="D297" s="248"/>
      <c r="E297" s="248"/>
      <c r="F297" s="47"/>
      <c r="G297" s="79"/>
      <c r="J297" s="99"/>
      <c r="K297" s="4"/>
    </row>
    <row r="298" spans="3:11" x14ac:dyDescent="0.25">
      <c r="C298" s="79"/>
      <c r="D298" s="248"/>
      <c r="E298" s="248"/>
      <c r="F298" s="47"/>
      <c r="G298" s="79"/>
      <c r="J298" s="99"/>
      <c r="K298" s="4"/>
    </row>
    <row r="299" spans="3:11" x14ac:dyDescent="0.25">
      <c r="C299" s="79"/>
      <c r="D299" s="248"/>
      <c r="E299" s="248"/>
      <c r="F299" s="47"/>
      <c r="G299" s="79"/>
      <c r="J299" s="99"/>
      <c r="K299" s="4"/>
    </row>
    <row r="300" spans="3:11" x14ac:dyDescent="0.25">
      <c r="C300" s="79"/>
      <c r="D300" s="248"/>
      <c r="E300" s="248"/>
      <c r="F300" s="47"/>
      <c r="G300" s="79"/>
      <c r="J300" s="99"/>
      <c r="K300" s="4"/>
    </row>
    <row r="301" spans="3:11" x14ac:dyDescent="0.25">
      <c r="C301" s="79"/>
      <c r="D301" s="248"/>
      <c r="E301" s="248"/>
      <c r="F301" s="47"/>
      <c r="G301" s="79"/>
      <c r="J301" s="99"/>
      <c r="K301" s="4"/>
    </row>
    <row r="302" spans="3:11" x14ac:dyDescent="0.25">
      <c r="C302" s="79"/>
      <c r="D302" s="248"/>
      <c r="E302" s="248"/>
      <c r="F302" s="47"/>
      <c r="G302" s="79"/>
      <c r="J302" s="99"/>
      <c r="K302" s="4"/>
    </row>
    <row r="303" spans="3:11" x14ac:dyDescent="0.25">
      <c r="C303" s="79"/>
      <c r="D303" s="79"/>
      <c r="E303" s="248"/>
      <c r="F303" s="47"/>
      <c r="G303" s="79"/>
      <c r="J303" s="99"/>
      <c r="K303" s="4"/>
    </row>
    <row r="304" spans="3:11" x14ac:dyDescent="0.25">
      <c r="C304" s="79"/>
      <c r="D304" s="79"/>
      <c r="E304" s="248"/>
      <c r="F304" s="47"/>
      <c r="G304" s="79"/>
      <c r="J304" s="99"/>
      <c r="K304" s="4"/>
    </row>
    <row r="305" spans="3:11" x14ac:dyDescent="0.25">
      <c r="C305" s="79"/>
      <c r="D305" s="248"/>
      <c r="E305" s="248"/>
      <c r="F305" s="47"/>
      <c r="G305" s="79"/>
      <c r="J305" s="99"/>
      <c r="K305" s="4"/>
    </row>
    <row r="306" spans="3:11" x14ac:dyDescent="0.25">
      <c r="C306" s="79"/>
      <c r="D306" s="248"/>
      <c r="E306" s="248"/>
      <c r="F306" s="47"/>
      <c r="G306" s="79"/>
      <c r="J306" s="99"/>
      <c r="K306" s="4"/>
    </row>
    <row r="307" spans="3:11" x14ac:dyDescent="0.25">
      <c r="C307" s="79"/>
      <c r="D307" s="79"/>
      <c r="E307" s="248"/>
      <c r="F307" s="47"/>
      <c r="G307" s="79"/>
      <c r="J307" s="99"/>
      <c r="K307" s="4"/>
    </row>
    <row r="308" spans="3:11" x14ac:dyDescent="0.25">
      <c r="C308" s="79"/>
      <c r="D308" s="248"/>
      <c r="E308" s="248"/>
      <c r="F308" s="47"/>
      <c r="G308" s="79"/>
      <c r="J308" s="99"/>
      <c r="K308" s="4"/>
    </row>
    <row r="309" spans="3:11" x14ac:dyDescent="0.25">
      <c r="C309" s="79"/>
      <c r="D309" s="79"/>
      <c r="E309" s="248"/>
      <c r="F309" s="47"/>
      <c r="G309" s="79"/>
      <c r="J309" s="99"/>
      <c r="K309" s="4"/>
    </row>
    <row r="310" spans="3:11" x14ac:dyDescent="0.25">
      <c r="C310" s="79"/>
      <c r="D310" s="248"/>
      <c r="E310" s="248"/>
      <c r="F310" s="47"/>
      <c r="G310" s="79"/>
      <c r="J310" s="99"/>
      <c r="K310" s="4"/>
    </row>
    <row r="311" spans="3:11" x14ac:dyDescent="0.25">
      <c r="C311" s="79"/>
      <c r="D311" s="79"/>
      <c r="E311" s="248"/>
      <c r="F311" s="47"/>
      <c r="G311" s="79"/>
      <c r="J311" s="99"/>
      <c r="K311" s="4"/>
    </row>
    <row r="312" spans="3:11" x14ac:dyDescent="0.25">
      <c r="C312" s="79"/>
      <c r="D312" s="248"/>
      <c r="E312" s="248"/>
      <c r="F312" s="47"/>
      <c r="G312" s="79"/>
      <c r="J312" s="99"/>
      <c r="K312" s="4"/>
    </row>
    <row r="313" spans="3:11" x14ac:dyDescent="0.25">
      <c r="C313" s="79"/>
      <c r="D313" s="248"/>
      <c r="E313" s="248"/>
      <c r="F313" s="47"/>
      <c r="G313" s="79"/>
      <c r="J313" s="99"/>
      <c r="K313" s="4"/>
    </row>
    <row r="314" spans="3:11" x14ac:dyDescent="0.25">
      <c r="C314" s="79"/>
      <c r="D314" s="248"/>
      <c r="E314" s="248"/>
      <c r="F314" s="47"/>
      <c r="G314" s="79"/>
      <c r="J314" s="99"/>
      <c r="K314" s="4"/>
    </row>
    <row r="315" spans="3:11" x14ac:dyDescent="0.25">
      <c r="C315" s="79"/>
      <c r="D315" s="248"/>
      <c r="E315" s="248"/>
      <c r="F315" s="47"/>
      <c r="G315" s="79"/>
      <c r="J315" s="99"/>
      <c r="K315" s="4"/>
    </row>
    <row r="316" spans="3:11" x14ac:dyDescent="0.25">
      <c r="C316" s="79"/>
      <c r="D316" s="248"/>
      <c r="E316" s="248"/>
      <c r="F316" s="47"/>
      <c r="G316" s="79"/>
      <c r="J316" s="99"/>
      <c r="K316" s="4"/>
    </row>
    <row r="317" spans="3:11" x14ac:dyDescent="0.25">
      <c r="C317" s="79"/>
      <c r="D317" s="248"/>
      <c r="E317" s="248"/>
      <c r="F317" s="47"/>
      <c r="G317" s="79"/>
      <c r="J317" s="99"/>
      <c r="K317" s="4"/>
    </row>
    <row r="318" spans="3:11" x14ac:dyDescent="0.25">
      <c r="C318" s="79"/>
      <c r="D318" s="248"/>
      <c r="E318" s="248"/>
      <c r="F318" s="47"/>
      <c r="G318" s="79"/>
      <c r="J318" s="99"/>
      <c r="K318" s="4"/>
    </row>
    <row r="319" spans="3:11" x14ac:dyDescent="0.25">
      <c r="C319" s="79"/>
      <c r="D319" s="248"/>
      <c r="E319" s="248"/>
      <c r="F319" s="47"/>
      <c r="G319" s="79"/>
      <c r="J319" s="99"/>
      <c r="K319" s="4"/>
    </row>
    <row r="320" spans="3:11" x14ac:dyDescent="0.25">
      <c r="C320" s="79"/>
      <c r="D320" s="248"/>
      <c r="E320" s="248"/>
      <c r="F320" s="47"/>
      <c r="G320" s="79"/>
      <c r="J320" s="99"/>
      <c r="K320" s="4"/>
    </row>
    <row r="321" spans="3:11" x14ac:dyDescent="0.25">
      <c r="C321" s="79"/>
      <c r="D321" s="248"/>
      <c r="E321" s="248"/>
      <c r="F321" s="47"/>
      <c r="G321" s="79"/>
      <c r="J321" s="99"/>
      <c r="K321" s="4"/>
    </row>
    <row r="322" spans="3:11" x14ac:dyDescent="0.25">
      <c r="C322" s="79"/>
      <c r="D322" s="79"/>
      <c r="E322" s="248"/>
      <c r="F322" s="47"/>
      <c r="G322" s="79"/>
      <c r="J322" s="99"/>
      <c r="K322" s="4"/>
    </row>
    <row r="323" spans="3:11" x14ac:dyDescent="0.25">
      <c r="C323" s="79"/>
      <c r="D323" s="248"/>
      <c r="E323" s="248"/>
      <c r="F323" s="47"/>
      <c r="G323" s="79"/>
      <c r="J323" s="99"/>
      <c r="K323" s="4"/>
    </row>
    <row r="324" spans="3:11" x14ac:dyDescent="0.25">
      <c r="C324" s="79"/>
      <c r="D324" s="248"/>
      <c r="E324" s="248"/>
      <c r="F324" s="47"/>
      <c r="G324" s="79"/>
      <c r="J324" s="99"/>
      <c r="K324" s="4"/>
    </row>
    <row r="325" spans="3:11" x14ac:dyDescent="0.25">
      <c r="C325" s="79"/>
      <c r="D325" s="248"/>
      <c r="E325" s="248"/>
      <c r="F325" s="47"/>
      <c r="G325" s="79"/>
      <c r="J325" s="99"/>
      <c r="K325" s="4"/>
    </row>
    <row r="326" spans="3:11" x14ac:dyDescent="0.25">
      <c r="C326" s="79"/>
      <c r="D326" s="79"/>
      <c r="E326" s="248"/>
      <c r="F326" s="47"/>
      <c r="G326" s="79"/>
      <c r="J326" s="99"/>
      <c r="K326" s="4"/>
    </row>
    <row r="327" spans="3:11" x14ac:dyDescent="0.25">
      <c r="C327" s="79"/>
      <c r="D327" s="248"/>
      <c r="E327" s="248"/>
      <c r="F327" s="47"/>
      <c r="G327" s="79"/>
      <c r="J327" s="99"/>
      <c r="K327" s="4"/>
    </row>
    <row r="328" spans="3:11" x14ac:dyDescent="0.25">
      <c r="C328" s="79"/>
      <c r="D328" s="248"/>
      <c r="E328" s="248"/>
      <c r="F328" s="47"/>
      <c r="G328" s="79"/>
      <c r="J328" s="99"/>
      <c r="K328" s="4"/>
    </row>
    <row r="329" spans="3:11" x14ac:dyDescent="0.25">
      <c r="C329" s="79"/>
      <c r="D329" s="248"/>
      <c r="E329" s="248"/>
      <c r="F329" s="47"/>
      <c r="G329" s="79"/>
      <c r="J329" s="99"/>
      <c r="K329" s="4"/>
    </row>
    <row r="330" spans="3:11" x14ac:dyDescent="0.25">
      <c r="C330" s="79"/>
      <c r="D330" s="248"/>
      <c r="E330" s="248"/>
      <c r="F330" s="47"/>
      <c r="G330" s="79"/>
      <c r="J330" s="99"/>
      <c r="K330" s="4"/>
    </row>
    <row r="331" spans="3:11" x14ac:dyDescent="0.25">
      <c r="C331" s="79"/>
      <c r="D331" s="248"/>
      <c r="E331" s="248"/>
      <c r="F331" s="47"/>
      <c r="G331" s="79"/>
      <c r="J331" s="99"/>
      <c r="K331" s="4"/>
    </row>
    <row r="332" spans="3:11" x14ac:dyDescent="0.25">
      <c r="C332" s="79"/>
      <c r="D332" s="248"/>
      <c r="E332" s="248"/>
      <c r="F332" s="47"/>
      <c r="G332" s="79"/>
      <c r="J332" s="99"/>
      <c r="K332" s="4"/>
    </row>
    <row r="333" spans="3:11" x14ac:dyDescent="0.25">
      <c r="C333" s="79"/>
      <c r="D333" s="79"/>
      <c r="E333" s="248"/>
      <c r="F333" s="47"/>
      <c r="G333" s="79"/>
      <c r="J333" s="99"/>
      <c r="K333" s="4"/>
    </row>
    <row r="334" spans="3:11" x14ac:dyDescent="0.25">
      <c r="C334" s="79"/>
      <c r="D334" s="248"/>
      <c r="E334" s="248"/>
      <c r="F334" s="47"/>
      <c r="G334" s="79"/>
      <c r="J334" s="99"/>
      <c r="K334" s="4"/>
    </row>
    <row r="335" spans="3:11" x14ac:dyDescent="0.25">
      <c r="C335" s="79"/>
      <c r="D335" s="79"/>
      <c r="E335" s="248"/>
      <c r="F335" s="47"/>
      <c r="G335" s="79"/>
      <c r="J335" s="99"/>
      <c r="K335" s="4"/>
    </row>
    <row r="336" spans="3:11" x14ac:dyDescent="0.25">
      <c r="C336" s="79"/>
      <c r="D336" s="79"/>
      <c r="E336" s="248"/>
      <c r="F336" s="47"/>
      <c r="G336" s="79"/>
      <c r="J336" s="99"/>
      <c r="K336" s="4"/>
    </row>
    <row r="337" spans="3:11" x14ac:dyDescent="0.25">
      <c r="C337" s="79"/>
      <c r="D337" s="79"/>
      <c r="E337" s="248"/>
      <c r="F337" s="47"/>
      <c r="G337" s="79"/>
      <c r="J337" s="99"/>
      <c r="K337" s="4"/>
    </row>
    <row r="338" spans="3:11" x14ac:dyDescent="0.25">
      <c r="C338" s="79"/>
      <c r="D338" s="248"/>
      <c r="E338" s="248"/>
      <c r="F338" s="47"/>
      <c r="G338" s="79"/>
      <c r="J338" s="99"/>
      <c r="K338" s="4"/>
    </row>
    <row r="339" spans="3:11" x14ac:dyDescent="0.25">
      <c r="C339" s="79"/>
      <c r="D339" s="79"/>
      <c r="E339" s="248"/>
      <c r="F339" s="47"/>
      <c r="G339" s="79"/>
      <c r="J339" s="99"/>
      <c r="K339" s="4"/>
    </row>
    <row r="340" spans="3:11" x14ac:dyDescent="0.25">
      <c r="C340" s="79"/>
      <c r="D340" s="79"/>
      <c r="E340" s="248"/>
      <c r="F340" s="47"/>
      <c r="G340" s="79"/>
      <c r="J340" s="99"/>
      <c r="K340" s="4"/>
    </row>
    <row r="341" spans="3:11" x14ac:dyDescent="0.25">
      <c r="C341" s="79"/>
      <c r="D341" s="79"/>
      <c r="E341" s="248"/>
      <c r="F341" s="47"/>
      <c r="G341" s="79"/>
      <c r="J341" s="99"/>
      <c r="K341" s="4"/>
    </row>
    <row r="342" spans="3:11" x14ac:dyDescent="0.25">
      <c r="C342" s="79"/>
      <c r="D342" s="248"/>
      <c r="E342" s="248"/>
      <c r="F342" s="47"/>
      <c r="G342" s="79"/>
      <c r="J342" s="99"/>
      <c r="K342" s="4"/>
    </row>
    <row r="343" spans="3:11" x14ac:dyDescent="0.25">
      <c r="C343" s="79"/>
      <c r="D343" s="79"/>
      <c r="E343" s="248"/>
      <c r="F343" s="47"/>
      <c r="G343" s="79"/>
      <c r="J343" s="99"/>
      <c r="K343" s="4"/>
    </row>
    <row r="344" spans="3:11" x14ac:dyDescent="0.25">
      <c r="C344" s="79"/>
      <c r="D344" s="248"/>
      <c r="E344" s="248"/>
      <c r="F344" s="47"/>
      <c r="G344" s="79"/>
      <c r="J344" s="99"/>
      <c r="K344" s="4"/>
    </row>
    <row r="345" spans="3:11" x14ac:dyDescent="0.25">
      <c r="C345" s="79"/>
      <c r="D345" s="79"/>
      <c r="E345" s="248"/>
      <c r="F345" s="47"/>
      <c r="G345" s="79"/>
      <c r="J345" s="99"/>
      <c r="K345" s="4"/>
    </row>
    <row r="346" spans="3:11" x14ac:dyDescent="0.25">
      <c r="C346" s="79"/>
      <c r="D346" s="79"/>
      <c r="E346" s="248"/>
      <c r="F346" s="47"/>
      <c r="G346" s="79"/>
      <c r="J346" s="99"/>
      <c r="K346" s="4"/>
    </row>
    <row r="347" spans="3:11" x14ac:dyDescent="0.25">
      <c r="C347" s="79"/>
      <c r="D347" s="79"/>
      <c r="E347" s="248"/>
      <c r="F347" s="47"/>
      <c r="G347" s="79"/>
      <c r="J347" s="99"/>
      <c r="K347" s="4"/>
    </row>
    <row r="348" spans="3:11" x14ac:dyDescent="0.25">
      <c r="C348" s="79"/>
      <c r="D348" s="79"/>
      <c r="E348" s="248"/>
      <c r="F348" s="47"/>
      <c r="G348" s="79"/>
      <c r="J348" s="99"/>
      <c r="K348" s="4"/>
    </row>
    <row r="349" spans="3:11" x14ac:dyDescent="0.25">
      <c r="C349" s="79"/>
      <c r="D349" s="79"/>
      <c r="E349" s="248"/>
      <c r="F349" s="47"/>
      <c r="G349" s="79"/>
      <c r="J349" s="99"/>
      <c r="K349" s="4"/>
    </row>
    <row r="350" spans="3:11" x14ac:dyDescent="0.25">
      <c r="C350" s="79"/>
      <c r="D350" s="79"/>
      <c r="E350" s="248"/>
      <c r="F350" s="47"/>
      <c r="G350" s="79"/>
      <c r="J350" s="99"/>
      <c r="K350" s="4"/>
    </row>
    <row r="351" spans="3:11" x14ac:dyDescent="0.25">
      <c r="C351" s="79"/>
      <c r="D351" s="79"/>
      <c r="E351" s="248"/>
      <c r="F351" s="47"/>
      <c r="G351" s="79"/>
      <c r="J351" s="99"/>
      <c r="K351" s="4"/>
    </row>
    <row r="352" spans="3:11" x14ac:dyDescent="0.25">
      <c r="C352" s="79"/>
      <c r="D352" s="79"/>
      <c r="E352" s="248"/>
      <c r="F352" s="47"/>
      <c r="G352" s="79"/>
      <c r="J352" s="99"/>
      <c r="K352" s="4"/>
    </row>
    <row r="353" spans="3:11" x14ac:dyDescent="0.25">
      <c r="C353" s="79"/>
      <c r="D353" s="79"/>
      <c r="E353" s="248"/>
      <c r="F353" s="47"/>
      <c r="G353" s="79"/>
      <c r="J353" s="99"/>
      <c r="K353" s="4"/>
    </row>
    <row r="354" spans="3:11" x14ac:dyDescent="0.25">
      <c r="C354" s="79"/>
      <c r="D354" s="79"/>
      <c r="E354" s="248"/>
      <c r="F354" s="47"/>
      <c r="G354" s="79"/>
      <c r="J354" s="99"/>
      <c r="K354" s="4"/>
    </row>
    <row r="355" spans="3:11" x14ac:dyDescent="0.25">
      <c r="C355" s="79"/>
      <c r="D355" s="248"/>
      <c r="E355" s="248"/>
      <c r="F355" s="47"/>
      <c r="G355" s="79"/>
      <c r="J355" s="99"/>
      <c r="K355" s="4"/>
    </row>
    <row r="356" spans="3:11" x14ac:dyDescent="0.25">
      <c r="C356" s="79"/>
      <c r="D356" s="79"/>
      <c r="E356" s="248"/>
      <c r="F356" s="47"/>
      <c r="G356" s="79"/>
      <c r="J356" s="99"/>
      <c r="K356" s="4"/>
    </row>
    <row r="357" spans="3:11" x14ac:dyDescent="0.25">
      <c r="C357" s="79"/>
      <c r="D357" s="79"/>
      <c r="E357" s="248"/>
      <c r="F357" s="47"/>
      <c r="G357" s="79"/>
      <c r="J357" s="99"/>
      <c r="K357" s="4"/>
    </row>
    <row r="358" spans="3:11" x14ac:dyDescent="0.25">
      <c r="C358" s="79"/>
      <c r="D358" s="248"/>
      <c r="E358" s="248"/>
      <c r="F358" s="47"/>
      <c r="G358" s="79"/>
      <c r="J358" s="99"/>
      <c r="K358" s="4"/>
    </row>
    <row r="359" spans="3:11" x14ac:dyDescent="0.25">
      <c r="C359" s="79"/>
      <c r="D359" s="248"/>
      <c r="E359" s="248"/>
      <c r="F359" s="47"/>
      <c r="G359" s="79"/>
      <c r="J359" s="99"/>
      <c r="K359" s="4"/>
    </row>
    <row r="360" spans="3:11" x14ac:dyDescent="0.25">
      <c r="C360" s="79"/>
      <c r="D360" s="79"/>
      <c r="E360" s="248"/>
      <c r="F360" s="47"/>
      <c r="G360" s="79"/>
      <c r="J360" s="99"/>
      <c r="K360" s="4"/>
    </row>
    <row r="361" spans="3:11" x14ac:dyDescent="0.25">
      <c r="C361" s="79"/>
      <c r="D361" s="248"/>
      <c r="E361" s="248"/>
      <c r="F361" s="47"/>
      <c r="G361" s="79"/>
      <c r="J361" s="99"/>
      <c r="K361" s="4"/>
    </row>
    <row r="362" spans="3:11" x14ac:dyDescent="0.25">
      <c r="C362" s="79"/>
      <c r="D362" s="79"/>
      <c r="E362" s="248"/>
      <c r="F362" s="47"/>
      <c r="G362" s="79"/>
      <c r="J362" s="99"/>
      <c r="K362" s="4"/>
    </row>
    <row r="363" spans="3:11" x14ac:dyDescent="0.25">
      <c r="C363" s="79"/>
      <c r="D363" s="248"/>
      <c r="E363" s="248"/>
      <c r="F363" s="47"/>
      <c r="G363" s="79"/>
      <c r="J363" s="99"/>
      <c r="K363" s="4"/>
    </row>
    <row r="364" spans="3:11" x14ac:dyDescent="0.25">
      <c r="C364" s="79"/>
      <c r="D364" s="248"/>
      <c r="E364" s="248"/>
      <c r="F364" s="47"/>
      <c r="G364" s="79"/>
      <c r="J364" s="99"/>
      <c r="K364" s="4"/>
    </row>
    <row r="365" spans="3:11" x14ac:dyDescent="0.25">
      <c r="C365" s="79"/>
      <c r="D365" s="248"/>
      <c r="E365" s="248"/>
      <c r="F365" s="47"/>
      <c r="G365" s="79"/>
      <c r="J365" s="99"/>
      <c r="K365" s="4"/>
    </row>
    <row r="366" spans="3:11" x14ac:dyDescent="0.25">
      <c r="C366" s="79"/>
      <c r="D366" s="248"/>
      <c r="E366" s="248"/>
      <c r="F366" s="47"/>
      <c r="G366" s="79"/>
      <c r="J366" s="99"/>
      <c r="K366" s="4"/>
    </row>
    <row r="367" spans="3:11" x14ac:dyDescent="0.25">
      <c r="C367" s="79"/>
      <c r="D367" s="248"/>
      <c r="E367" s="248"/>
      <c r="F367" s="47"/>
      <c r="G367" s="79"/>
      <c r="J367" s="99"/>
      <c r="K367" s="4"/>
    </row>
    <row r="368" spans="3:11" x14ac:dyDescent="0.25">
      <c r="C368" s="79"/>
      <c r="D368" s="248"/>
      <c r="E368" s="248"/>
      <c r="F368" s="47"/>
      <c r="G368" s="79"/>
      <c r="J368" s="99"/>
      <c r="K368" s="4"/>
    </row>
    <row r="369" spans="3:11" x14ac:dyDescent="0.25">
      <c r="C369" s="79"/>
      <c r="D369" s="248"/>
      <c r="E369" s="248"/>
      <c r="F369" s="47"/>
      <c r="G369" s="79"/>
      <c r="J369" s="99"/>
      <c r="K369" s="4"/>
    </row>
    <row r="370" spans="3:11" x14ac:dyDescent="0.25">
      <c r="C370" s="79"/>
      <c r="D370" s="79"/>
      <c r="E370" s="248"/>
      <c r="F370" s="47"/>
      <c r="G370" s="79"/>
      <c r="J370" s="99"/>
      <c r="K370" s="4"/>
    </row>
    <row r="371" spans="3:11" x14ac:dyDescent="0.25">
      <c r="C371" s="79"/>
      <c r="D371" s="79"/>
      <c r="E371" s="248"/>
      <c r="F371" s="47"/>
      <c r="G371" s="79"/>
      <c r="J371" s="99"/>
      <c r="K371" s="4"/>
    </row>
    <row r="372" spans="3:11" x14ac:dyDescent="0.25">
      <c r="C372" s="79"/>
      <c r="D372" s="248"/>
      <c r="E372" s="248"/>
      <c r="F372" s="47"/>
      <c r="G372" s="79"/>
      <c r="J372" s="99"/>
      <c r="K372" s="4"/>
    </row>
    <row r="373" spans="3:11" x14ac:dyDescent="0.25">
      <c r="C373" s="79"/>
      <c r="D373" s="79"/>
      <c r="E373" s="248"/>
      <c r="F373" s="47"/>
      <c r="G373" s="79"/>
      <c r="J373" s="99"/>
      <c r="K373" s="4"/>
    </row>
    <row r="374" spans="3:11" x14ac:dyDescent="0.25">
      <c r="C374" s="79"/>
      <c r="D374" s="248"/>
      <c r="E374" s="248"/>
      <c r="F374" s="47"/>
      <c r="G374" s="79"/>
      <c r="J374" s="99"/>
      <c r="K374" s="4"/>
    </row>
    <row r="375" spans="3:11" x14ac:dyDescent="0.25">
      <c r="C375" s="79"/>
      <c r="D375" s="248"/>
      <c r="E375" s="248"/>
      <c r="F375" s="47"/>
      <c r="G375" s="79"/>
      <c r="J375" s="99"/>
      <c r="K375" s="4"/>
    </row>
    <row r="376" spans="3:11" x14ac:dyDescent="0.25">
      <c r="C376" s="79"/>
      <c r="D376" s="248"/>
      <c r="E376" s="248"/>
      <c r="F376" s="47"/>
      <c r="G376" s="79"/>
      <c r="J376" s="99"/>
      <c r="K376" s="4"/>
    </row>
    <row r="377" spans="3:11" x14ac:dyDescent="0.25">
      <c r="C377" s="79"/>
      <c r="D377" s="79"/>
      <c r="E377" s="248"/>
      <c r="F377" s="47"/>
      <c r="G377" s="79"/>
      <c r="J377" s="99"/>
      <c r="K377" s="4"/>
    </row>
    <row r="378" spans="3:11" x14ac:dyDescent="0.25">
      <c r="C378" s="79"/>
      <c r="D378" s="248"/>
      <c r="E378" s="248"/>
      <c r="F378" s="47"/>
      <c r="G378" s="79"/>
      <c r="J378" s="99"/>
      <c r="K378" s="4"/>
    </row>
    <row r="379" spans="3:11" x14ac:dyDescent="0.25">
      <c r="C379" s="79"/>
      <c r="D379" s="248"/>
      <c r="E379" s="248"/>
      <c r="F379" s="47"/>
      <c r="G379" s="79"/>
      <c r="J379" s="99"/>
      <c r="K379" s="4"/>
    </row>
    <row r="380" spans="3:11" x14ac:dyDescent="0.25">
      <c r="C380" s="79"/>
      <c r="D380" s="79"/>
      <c r="E380" s="248"/>
      <c r="F380" s="47"/>
      <c r="G380" s="79"/>
      <c r="J380" s="99"/>
      <c r="K380" s="4"/>
    </row>
    <row r="381" spans="3:11" x14ac:dyDescent="0.25">
      <c r="C381" s="79"/>
      <c r="D381" s="248"/>
      <c r="E381" s="248"/>
      <c r="F381" s="47"/>
      <c r="G381" s="79"/>
      <c r="J381" s="99"/>
      <c r="K381" s="4"/>
    </row>
    <row r="382" spans="3:11" x14ac:dyDescent="0.25">
      <c r="C382" s="79"/>
      <c r="D382" s="248"/>
      <c r="E382" s="248"/>
      <c r="F382" s="47"/>
      <c r="G382" s="79"/>
      <c r="J382" s="99"/>
      <c r="K382" s="4"/>
    </row>
    <row r="383" spans="3:11" x14ac:dyDescent="0.25">
      <c r="C383" s="79"/>
      <c r="D383" s="79"/>
      <c r="E383" s="248"/>
      <c r="F383" s="47"/>
      <c r="G383" s="79"/>
      <c r="J383" s="99"/>
      <c r="K383" s="4"/>
    </row>
    <row r="384" spans="3:11" x14ac:dyDescent="0.25">
      <c r="C384" s="79"/>
      <c r="D384" s="248"/>
      <c r="E384" s="248"/>
      <c r="F384" s="47"/>
      <c r="G384" s="79"/>
      <c r="J384" s="99"/>
      <c r="K384" s="4"/>
    </row>
    <row r="385" spans="3:11" x14ac:dyDescent="0.25">
      <c r="C385" s="79"/>
      <c r="D385" s="248"/>
      <c r="E385" s="248"/>
      <c r="F385" s="47"/>
      <c r="G385" s="79"/>
      <c r="J385" s="99"/>
      <c r="K385" s="4"/>
    </row>
    <row r="386" spans="3:11" x14ac:dyDescent="0.25">
      <c r="C386" s="79"/>
      <c r="D386" s="79"/>
      <c r="E386" s="248"/>
      <c r="F386" s="47"/>
      <c r="G386" s="79"/>
      <c r="J386" s="99"/>
      <c r="K386" s="4"/>
    </row>
    <row r="387" spans="3:11" x14ac:dyDescent="0.25">
      <c r="C387" s="79"/>
      <c r="D387" s="248"/>
      <c r="E387" s="248"/>
      <c r="F387" s="47"/>
      <c r="G387" s="79"/>
      <c r="J387" s="99"/>
      <c r="K387" s="4"/>
    </row>
    <row r="388" spans="3:11" x14ac:dyDescent="0.25">
      <c r="C388" s="79"/>
      <c r="D388" s="79"/>
      <c r="E388" s="248"/>
      <c r="F388" s="47"/>
      <c r="G388" s="79"/>
      <c r="J388" s="99"/>
      <c r="K388" s="4"/>
    </row>
    <row r="389" spans="3:11" x14ac:dyDescent="0.25">
      <c r="C389" s="79"/>
      <c r="D389" s="79"/>
      <c r="E389" s="248"/>
      <c r="F389" s="47"/>
      <c r="G389" s="79"/>
      <c r="J389" s="99"/>
      <c r="K389" s="4"/>
    </row>
    <row r="390" spans="3:11" x14ac:dyDescent="0.25">
      <c r="C390" s="79"/>
      <c r="D390" s="79"/>
      <c r="E390" s="248"/>
      <c r="F390" s="47"/>
      <c r="G390" s="79"/>
      <c r="J390" s="99"/>
      <c r="K390" s="4"/>
    </row>
    <row r="391" spans="3:11" x14ac:dyDescent="0.25">
      <c r="C391" s="79"/>
      <c r="D391" s="248"/>
      <c r="E391" s="248"/>
      <c r="F391" s="47"/>
      <c r="G391" s="79"/>
      <c r="J391" s="99"/>
      <c r="K391" s="4"/>
    </row>
    <row r="392" spans="3:11" x14ac:dyDescent="0.25">
      <c r="C392" s="79"/>
      <c r="D392" s="248"/>
      <c r="E392" s="248"/>
      <c r="F392" s="47"/>
      <c r="G392" s="79"/>
      <c r="J392" s="99"/>
      <c r="K392" s="4"/>
    </row>
    <row r="393" spans="3:11" x14ac:dyDescent="0.25">
      <c r="C393" s="79"/>
      <c r="D393" s="248"/>
      <c r="E393" s="248"/>
      <c r="F393" s="47"/>
      <c r="G393" s="79"/>
      <c r="J393" s="99"/>
      <c r="K393" s="4"/>
    </row>
    <row r="394" spans="3:11" x14ac:dyDescent="0.25">
      <c r="C394" s="79"/>
      <c r="D394" s="79"/>
      <c r="E394" s="248"/>
      <c r="F394" s="47"/>
      <c r="G394" s="79"/>
      <c r="J394" s="99"/>
      <c r="K394" s="4"/>
    </row>
    <row r="395" spans="3:11" x14ac:dyDescent="0.25">
      <c r="C395" s="79"/>
      <c r="D395" s="79"/>
      <c r="E395" s="248"/>
      <c r="F395" s="47"/>
      <c r="G395" s="79"/>
      <c r="J395" s="99"/>
      <c r="K395" s="4"/>
    </row>
    <row r="396" spans="3:11" x14ac:dyDescent="0.25">
      <c r="C396" s="79"/>
      <c r="D396" s="79"/>
      <c r="E396" s="248"/>
      <c r="F396" s="47"/>
      <c r="G396" s="79"/>
      <c r="J396" s="99"/>
      <c r="K396" s="4"/>
    </row>
    <row r="397" spans="3:11" x14ac:dyDescent="0.25">
      <c r="C397" s="79"/>
      <c r="D397" s="79"/>
      <c r="E397" s="248"/>
      <c r="F397" s="47"/>
      <c r="G397" s="79"/>
      <c r="J397" s="99"/>
      <c r="K397" s="4"/>
    </row>
    <row r="398" spans="3:11" x14ac:dyDescent="0.25">
      <c r="C398" s="79"/>
      <c r="D398" s="79"/>
      <c r="E398" s="248"/>
      <c r="F398" s="47"/>
      <c r="G398" s="79"/>
      <c r="J398" s="99"/>
      <c r="K398" s="4"/>
    </row>
    <row r="399" spans="3:11" x14ac:dyDescent="0.25">
      <c r="C399" s="79"/>
      <c r="D399" s="248"/>
      <c r="E399" s="248"/>
      <c r="F399" s="47"/>
      <c r="G399" s="79"/>
      <c r="J399" s="99"/>
      <c r="K399" s="4"/>
    </row>
    <row r="400" spans="3:11" x14ac:dyDescent="0.25">
      <c r="C400" s="79"/>
      <c r="D400" s="79"/>
      <c r="E400" s="248"/>
      <c r="F400" s="47"/>
      <c r="G400" s="79"/>
      <c r="J400" s="99"/>
      <c r="K400" s="4"/>
    </row>
    <row r="401" spans="3:11" x14ac:dyDescent="0.25">
      <c r="C401" s="79"/>
      <c r="D401" s="79"/>
      <c r="E401" s="248"/>
      <c r="F401" s="47"/>
      <c r="G401" s="79"/>
      <c r="J401" s="99"/>
      <c r="K401" s="4"/>
    </row>
    <row r="402" spans="3:11" x14ac:dyDescent="0.25">
      <c r="C402" s="79"/>
      <c r="D402" s="248"/>
      <c r="E402" s="248"/>
      <c r="F402" s="47"/>
      <c r="G402" s="79"/>
      <c r="J402" s="99"/>
      <c r="K402" s="4"/>
    </row>
    <row r="403" spans="3:11" x14ac:dyDescent="0.25">
      <c r="C403" s="79"/>
      <c r="D403" s="248"/>
      <c r="E403" s="248"/>
      <c r="F403" s="47"/>
      <c r="G403" s="79"/>
      <c r="J403" s="99"/>
      <c r="K403" s="4"/>
    </row>
    <row r="404" spans="3:11" x14ac:dyDescent="0.25">
      <c r="C404" s="79"/>
      <c r="D404" s="79"/>
      <c r="E404" s="248"/>
      <c r="F404" s="47"/>
      <c r="G404" s="79"/>
      <c r="J404" s="99"/>
      <c r="K404" s="4"/>
    </row>
    <row r="405" spans="3:11" x14ac:dyDescent="0.25">
      <c r="C405" s="79"/>
      <c r="D405" s="248"/>
      <c r="E405" s="248"/>
      <c r="F405" s="47"/>
      <c r="G405" s="79"/>
      <c r="J405" s="99"/>
      <c r="K405" s="4"/>
    </row>
    <row r="406" spans="3:11" x14ac:dyDescent="0.25">
      <c r="C406" s="79"/>
      <c r="D406" s="248"/>
      <c r="E406" s="248"/>
      <c r="F406" s="47"/>
      <c r="G406" s="79"/>
      <c r="J406" s="99"/>
      <c r="K406" s="4"/>
    </row>
    <row r="407" spans="3:11" x14ac:dyDescent="0.25">
      <c r="C407" s="79"/>
      <c r="D407" s="79"/>
      <c r="E407" s="248"/>
      <c r="F407" s="47"/>
      <c r="G407" s="79"/>
      <c r="J407" s="99"/>
      <c r="K407" s="4"/>
    </row>
    <row r="408" spans="3:11" x14ac:dyDescent="0.25">
      <c r="C408" s="79"/>
      <c r="D408" s="79"/>
      <c r="E408" s="248"/>
      <c r="F408" s="47"/>
      <c r="G408" s="79"/>
      <c r="J408" s="99"/>
      <c r="K408" s="4"/>
    </row>
    <row r="409" spans="3:11" x14ac:dyDescent="0.25">
      <c r="C409" s="79"/>
      <c r="D409" s="79"/>
      <c r="E409" s="248"/>
      <c r="F409" s="47"/>
      <c r="G409" s="79"/>
      <c r="J409" s="99"/>
      <c r="K409" s="4"/>
    </row>
    <row r="410" spans="3:11" x14ac:dyDescent="0.25">
      <c r="C410" s="79"/>
      <c r="D410" s="248"/>
      <c r="E410" s="248"/>
      <c r="F410" s="47"/>
      <c r="G410" s="79"/>
      <c r="J410" s="99"/>
      <c r="K410" s="4"/>
    </row>
    <row r="411" spans="3:11" x14ac:dyDescent="0.25">
      <c r="C411" s="79"/>
      <c r="D411" s="79"/>
      <c r="E411" s="248"/>
      <c r="F411" s="47"/>
      <c r="G411" s="79"/>
      <c r="J411" s="99"/>
      <c r="K411" s="4"/>
    </row>
    <row r="412" spans="3:11" x14ac:dyDescent="0.25">
      <c r="C412" s="79"/>
      <c r="D412" s="79"/>
      <c r="E412" s="248"/>
      <c r="F412" s="47"/>
      <c r="G412" s="79"/>
      <c r="J412" s="99"/>
      <c r="K412" s="4"/>
    </row>
    <row r="413" spans="3:11" x14ac:dyDescent="0.25">
      <c r="C413" s="79"/>
      <c r="D413" s="79"/>
      <c r="E413" s="248"/>
      <c r="F413" s="47"/>
      <c r="G413" s="79"/>
      <c r="J413" s="99"/>
      <c r="K413" s="4"/>
    </row>
    <row r="414" spans="3:11" x14ac:dyDescent="0.25">
      <c r="C414" s="79"/>
      <c r="D414" s="79"/>
      <c r="E414" s="248"/>
      <c r="F414" s="47"/>
      <c r="G414" s="79"/>
      <c r="J414" s="99"/>
      <c r="K414" s="4"/>
    </row>
    <row r="415" spans="3:11" x14ac:dyDescent="0.25">
      <c r="C415" s="79"/>
      <c r="D415" s="79"/>
      <c r="E415" s="248"/>
      <c r="F415" s="47"/>
      <c r="G415" s="79"/>
      <c r="J415" s="99"/>
      <c r="K415" s="4"/>
    </row>
    <row r="416" spans="3:11" x14ac:dyDescent="0.25">
      <c r="C416" s="79"/>
      <c r="D416" s="79"/>
      <c r="E416" s="248"/>
      <c r="F416" s="47"/>
      <c r="G416" s="79"/>
      <c r="J416" s="99"/>
      <c r="K416" s="4"/>
    </row>
    <row r="417" spans="3:11" x14ac:dyDescent="0.25">
      <c r="C417" s="79"/>
      <c r="D417" s="248"/>
      <c r="E417" s="248"/>
      <c r="F417" s="47"/>
      <c r="G417" s="79"/>
      <c r="J417" s="99"/>
      <c r="K417" s="4"/>
    </row>
    <row r="418" spans="3:11" x14ac:dyDescent="0.25">
      <c r="C418" s="79"/>
      <c r="D418" s="79"/>
      <c r="E418" s="248"/>
      <c r="F418" s="47"/>
      <c r="G418" s="79"/>
      <c r="J418" s="99"/>
      <c r="K418" s="4"/>
    </row>
    <row r="419" spans="3:11" x14ac:dyDescent="0.25">
      <c r="C419" s="79"/>
      <c r="D419" s="248"/>
      <c r="E419" s="248"/>
      <c r="F419" s="47"/>
      <c r="G419" s="79"/>
      <c r="J419" s="99"/>
      <c r="K419" s="4"/>
    </row>
    <row r="420" spans="3:11" x14ac:dyDescent="0.25">
      <c r="C420" s="79"/>
      <c r="D420" s="248"/>
      <c r="E420" s="248"/>
      <c r="F420" s="47"/>
      <c r="G420" s="79"/>
      <c r="J420" s="99"/>
      <c r="K420" s="4"/>
    </row>
    <row r="421" spans="3:11" x14ac:dyDescent="0.25">
      <c r="C421" s="79"/>
      <c r="D421" s="79"/>
      <c r="E421" s="248"/>
      <c r="F421" s="47"/>
      <c r="G421" s="79"/>
      <c r="J421" s="99"/>
      <c r="K421" s="4"/>
    </row>
    <row r="422" spans="3:11" x14ac:dyDescent="0.25">
      <c r="C422" s="79"/>
      <c r="D422" s="79"/>
      <c r="E422" s="248"/>
      <c r="F422" s="47"/>
      <c r="G422" s="79"/>
      <c r="J422" s="99"/>
      <c r="K422" s="4"/>
    </row>
    <row r="423" spans="3:11" x14ac:dyDescent="0.25">
      <c r="C423" s="79"/>
      <c r="D423" s="248"/>
      <c r="E423" s="248"/>
      <c r="F423" s="47"/>
      <c r="G423" s="79"/>
      <c r="J423" s="99"/>
      <c r="K423" s="4"/>
    </row>
    <row r="424" spans="3:11" x14ac:dyDescent="0.25">
      <c r="C424" s="79"/>
      <c r="D424" s="248"/>
      <c r="E424" s="248"/>
      <c r="F424" s="47"/>
      <c r="G424" s="79"/>
      <c r="J424" s="99"/>
      <c r="K424" s="4"/>
    </row>
    <row r="425" spans="3:11" x14ac:dyDescent="0.25">
      <c r="C425" s="79"/>
      <c r="D425" s="79"/>
      <c r="E425" s="248"/>
      <c r="F425" s="47"/>
      <c r="G425" s="79"/>
      <c r="J425" s="99"/>
      <c r="K425" s="4"/>
    </row>
    <row r="426" spans="3:11" x14ac:dyDescent="0.25">
      <c r="C426" s="79"/>
      <c r="D426" s="248"/>
      <c r="E426" s="248"/>
      <c r="F426" s="47"/>
      <c r="G426" s="79"/>
      <c r="J426" s="99"/>
      <c r="K426" s="4"/>
    </row>
    <row r="427" spans="3:11" x14ac:dyDescent="0.25">
      <c r="C427" s="79"/>
      <c r="D427" s="248"/>
      <c r="E427" s="248"/>
      <c r="F427" s="47"/>
      <c r="G427" s="79"/>
      <c r="J427" s="99"/>
      <c r="K427" s="4"/>
    </row>
    <row r="428" spans="3:11" x14ac:dyDescent="0.25">
      <c r="C428" s="79"/>
      <c r="D428" s="248"/>
      <c r="E428" s="248"/>
      <c r="F428" s="47"/>
      <c r="G428" s="79"/>
      <c r="J428" s="99"/>
      <c r="K428" s="4"/>
    </row>
    <row r="429" spans="3:11" x14ac:dyDescent="0.25">
      <c r="C429" s="79"/>
      <c r="D429" s="248"/>
      <c r="E429" s="248"/>
      <c r="F429" s="47"/>
      <c r="G429" s="79"/>
      <c r="J429" s="99"/>
      <c r="K429" s="4"/>
    </row>
    <row r="430" spans="3:11" x14ac:dyDescent="0.25">
      <c r="C430" s="79"/>
      <c r="D430" s="79"/>
      <c r="E430" s="248"/>
      <c r="F430" s="47"/>
      <c r="G430" s="79"/>
      <c r="J430" s="99"/>
      <c r="K430" s="4"/>
    </row>
    <row r="431" spans="3:11" x14ac:dyDescent="0.25">
      <c r="C431" s="79"/>
      <c r="D431" s="79"/>
      <c r="E431" s="248"/>
      <c r="F431" s="47"/>
      <c r="G431" s="79"/>
      <c r="J431" s="99"/>
      <c r="K431" s="4"/>
    </row>
    <row r="432" spans="3:11" x14ac:dyDescent="0.25">
      <c r="C432" s="79"/>
      <c r="D432" s="79"/>
      <c r="E432" s="248"/>
      <c r="F432" s="47"/>
      <c r="G432" s="79"/>
      <c r="J432" s="99"/>
      <c r="K432" s="4"/>
    </row>
    <row r="433" spans="3:11" x14ac:dyDescent="0.25">
      <c r="C433" s="79"/>
      <c r="D433" s="248"/>
      <c r="E433" s="248"/>
      <c r="F433" s="47"/>
      <c r="G433" s="79"/>
      <c r="J433" s="99"/>
      <c r="K433" s="4"/>
    </row>
    <row r="434" spans="3:11" x14ac:dyDescent="0.25">
      <c r="C434" s="79"/>
      <c r="D434" s="79"/>
      <c r="E434" s="248"/>
      <c r="F434" s="47"/>
      <c r="G434" s="79"/>
      <c r="J434" s="99"/>
      <c r="K434" s="4"/>
    </row>
    <row r="435" spans="3:11" x14ac:dyDescent="0.25">
      <c r="C435" s="79"/>
      <c r="D435" s="248"/>
      <c r="E435" s="248"/>
      <c r="F435" s="47"/>
      <c r="G435" s="79"/>
      <c r="J435" s="99"/>
      <c r="K435" s="4"/>
    </row>
    <row r="436" spans="3:11" x14ac:dyDescent="0.25">
      <c r="C436" s="79"/>
      <c r="D436" s="79"/>
      <c r="E436" s="248"/>
      <c r="F436" s="47"/>
      <c r="G436" s="79"/>
      <c r="J436" s="99"/>
      <c r="K436" s="4"/>
    </row>
    <row r="437" spans="3:11" x14ac:dyDescent="0.25">
      <c r="C437" s="79"/>
      <c r="D437" s="248"/>
      <c r="E437" s="248"/>
      <c r="F437" s="47"/>
      <c r="G437" s="79"/>
      <c r="J437" s="99"/>
      <c r="K437" s="4"/>
    </row>
    <row r="438" spans="3:11" x14ac:dyDescent="0.25">
      <c r="C438" s="79"/>
      <c r="D438" s="248"/>
      <c r="E438" s="248"/>
      <c r="F438" s="47"/>
      <c r="G438" s="79"/>
      <c r="J438" s="99"/>
      <c r="K438" s="4"/>
    </row>
    <row r="439" spans="3:11" x14ac:dyDescent="0.25">
      <c r="C439" s="79"/>
      <c r="D439" s="248"/>
      <c r="E439" s="248"/>
      <c r="F439" s="47"/>
      <c r="G439" s="79"/>
      <c r="J439" s="99"/>
      <c r="K439" s="4"/>
    </row>
    <row r="440" spans="3:11" x14ac:dyDescent="0.25">
      <c r="C440" s="79"/>
      <c r="D440" s="248"/>
      <c r="E440" s="248"/>
      <c r="F440" s="47"/>
      <c r="G440" s="79"/>
      <c r="J440" s="99"/>
      <c r="K440" s="4"/>
    </row>
    <row r="441" spans="3:11" x14ac:dyDescent="0.25">
      <c r="C441" s="79"/>
      <c r="D441" s="248"/>
      <c r="E441" s="248"/>
      <c r="F441" s="47"/>
      <c r="G441" s="79"/>
      <c r="J441" s="99"/>
      <c r="K441" s="4"/>
    </row>
    <row r="442" spans="3:11" x14ac:dyDescent="0.25">
      <c r="C442" s="79"/>
      <c r="D442" s="248"/>
      <c r="E442" s="248"/>
      <c r="F442" s="47"/>
      <c r="G442" s="79"/>
      <c r="J442" s="99"/>
      <c r="K442" s="4"/>
    </row>
    <row r="443" spans="3:11" x14ac:dyDescent="0.25">
      <c r="C443" s="79"/>
      <c r="D443" s="248"/>
      <c r="E443" s="248"/>
      <c r="F443" s="47"/>
      <c r="G443" s="79"/>
      <c r="J443" s="99"/>
      <c r="K443" s="4"/>
    </row>
    <row r="444" spans="3:11" x14ac:dyDescent="0.25">
      <c r="C444" s="79"/>
      <c r="D444" s="248"/>
      <c r="E444" s="248"/>
      <c r="F444" s="47"/>
      <c r="G444" s="79"/>
      <c r="J444" s="99"/>
      <c r="K444" s="4"/>
    </row>
    <row r="445" spans="3:11" x14ac:dyDescent="0.25">
      <c r="C445" s="79"/>
      <c r="D445" s="248"/>
      <c r="E445" s="248"/>
      <c r="F445" s="47"/>
      <c r="G445" s="79"/>
      <c r="J445" s="99"/>
      <c r="K445" s="4"/>
    </row>
    <row r="446" spans="3:11" x14ac:dyDescent="0.25">
      <c r="C446" s="79"/>
      <c r="D446" s="248"/>
      <c r="E446" s="248"/>
      <c r="F446" s="47"/>
      <c r="G446" s="79"/>
      <c r="J446" s="99"/>
      <c r="K446" s="4"/>
    </row>
    <row r="447" spans="3:11" x14ac:dyDescent="0.25">
      <c r="C447" s="79"/>
      <c r="D447" s="79"/>
      <c r="E447" s="248"/>
      <c r="F447" s="47"/>
      <c r="G447" s="79"/>
      <c r="J447" s="99"/>
      <c r="K447" s="4"/>
    </row>
    <row r="448" spans="3:11" x14ac:dyDescent="0.25">
      <c r="C448" s="79"/>
      <c r="D448" s="79"/>
      <c r="E448" s="248"/>
      <c r="F448" s="47"/>
      <c r="G448" s="79"/>
      <c r="J448" s="99"/>
      <c r="K448" s="4"/>
    </row>
    <row r="449" spans="3:11" x14ac:dyDescent="0.25">
      <c r="C449" s="79"/>
      <c r="D449" s="248"/>
      <c r="E449" s="248"/>
      <c r="F449" s="47"/>
      <c r="G449" s="79"/>
      <c r="J449" s="99"/>
      <c r="K449" s="4"/>
    </row>
    <row r="450" spans="3:11" x14ac:dyDescent="0.25">
      <c r="C450" s="79"/>
      <c r="D450" s="248"/>
      <c r="E450" s="248"/>
      <c r="F450" s="47"/>
      <c r="G450" s="79"/>
      <c r="J450" s="99"/>
      <c r="K450" s="4"/>
    </row>
    <row r="451" spans="3:11" x14ac:dyDescent="0.25">
      <c r="C451" s="79"/>
      <c r="D451" s="248"/>
      <c r="E451" s="248"/>
      <c r="F451" s="47"/>
      <c r="G451" s="79"/>
      <c r="J451" s="99"/>
      <c r="K451" s="4"/>
    </row>
    <row r="452" spans="3:11" x14ac:dyDescent="0.25">
      <c r="C452" s="79"/>
      <c r="D452" s="79"/>
      <c r="E452" s="248"/>
      <c r="F452" s="47"/>
      <c r="G452" s="79"/>
      <c r="J452" s="99"/>
      <c r="K452" s="4"/>
    </row>
    <row r="453" spans="3:11" x14ac:dyDescent="0.25">
      <c r="C453" s="79"/>
      <c r="D453" s="248"/>
      <c r="E453" s="248"/>
      <c r="F453" s="47"/>
      <c r="G453" s="79"/>
      <c r="J453" s="99"/>
      <c r="K453" s="4"/>
    </row>
    <row r="454" spans="3:11" x14ac:dyDescent="0.25">
      <c r="C454" s="79"/>
      <c r="D454" s="248"/>
      <c r="E454" s="248"/>
      <c r="F454" s="47"/>
      <c r="G454" s="79"/>
      <c r="J454" s="99"/>
      <c r="K454" s="4"/>
    </row>
    <row r="455" spans="3:11" x14ac:dyDescent="0.25">
      <c r="C455" s="79"/>
      <c r="D455" s="248"/>
      <c r="E455" s="248"/>
      <c r="F455" s="47"/>
      <c r="G455" s="79"/>
      <c r="J455" s="99"/>
      <c r="K455" s="4"/>
    </row>
    <row r="456" spans="3:11" x14ac:dyDescent="0.25">
      <c r="C456" s="79"/>
      <c r="D456" s="248"/>
      <c r="E456" s="248"/>
      <c r="F456" s="47"/>
      <c r="G456" s="79"/>
      <c r="J456" s="99"/>
      <c r="K456" s="4"/>
    </row>
    <row r="457" spans="3:11" x14ac:dyDescent="0.25">
      <c r="C457" s="79"/>
      <c r="D457" s="248"/>
      <c r="E457" s="248"/>
      <c r="F457" s="47"/>
      <c r="G457" s="79"/>
      <c r="J457" s="99"/>
      <c r="K457" s="4"/>
    </row>
    <row r="458" spans="3:11" x14ac:dyDescent="0.25">
      <c r="C458" s="79"/>
      <c r="D458" s="248"/>
      <c r="E458" s="248"/>
      <c r="F458" s="47"/>
      <c r="G458" s="79"/>
      <c r="J458" s="99"/>
      <c r="K458" s="4"/>
    </row>
    <row r="459" spans="3:11" x14ac:dyDescent="0.25">
      <c r="C459" s="79"/>
      <c r="D459" s="248"/>
      <c r="E459" s="248"/>
      <c r="F459" s="47"/>
      <c r="G459" s="79"/>
      <c r="J459" s="99"/>
      <c r="K459" s="4"/>
    </row>
    <row r="460" spans="3:11" x14ac:dyDescent="0.25">
      <c r="C460" s="79"/>
      <c r="D460" s="248"/>
      <c r="E460" s="248"/>
      <c r="F460" s="47"/>
      <c r="G460" s="79"/>
      <c r="J460" s="99"/>
      <c r="K460" s="4"/>
    </row>
    <row r="461" spans="3:11" x14ac:dyDescent="0.25">
      <c r="C461" s="79"/>
      <c r="D461" s="248"/>
      <c r="E461" s="248"/>
      <c r="F461" s="47"/>
      <c r="G461" s="79"/>
      <c r="J461" s="99"/>
      <c r="K461" s="4"/>
    </row>
    <row r="462" spans="3:11" x14ac:dyDescent="0.25">
      <c r="C462" s="79"/>
      <c r="D462" s="248"/>
      <c r="E462" s="248"/>
      <c r="F462" s="47"/>
      <c r="G462" s="79"/>
      <c r="J462" s="99"/>
      <c r="K462" s="4"/>
    </row>
    <row r="463" spans="3:11" x14ac:dyDescent="0.25">
      <c r="C463" s="79"/>
      <c r="D463" s="79"/>
      <c r="E463" s="248"/>
      <c r="F463" s="47"/>
      <c r="G463" s="79"/>
      <c r="J463" s="99"/>
      <c r="K463" s="4"/>
    </row>
    <row r="464" spans="3:11" x14ac:dyDescent="0.25">
      <c r="C464" s="79"/>
      <c r="D464" s="79"/>
      <c r="E464" s="248"/>
      <c r="F464" s="47"/>
      <c r="G464" s="79"/>
      <c r="J464" s="99"/>
      <c r="K464" s="4"/>
    </row>
    <row r="465" spans="3:11" x14ac:dyDescent="0.25">
      <c r="C465" s="79"/>
      <c r="D465" s="248"/>
      <c r="E465" s="248"/>
      <c r="F465" s="47"/>
      <c r="G465" s="79"/>
      <c r="J465" s="99"/>
      <c r="K465" s="4"/>
    </row>
    <row r="466" spans="3:11" x14ac:dyDescent="0.25">
      <c r="C466" s="79"/>
      <c r="D466" s="248"/>
      <c r="E466" s="248"/>
      <c r="F466" s="47"/>
      <c r="G466" s="79"/>
      <c r="J466" s="99"/>
      <c r="K466" s="4"/>
    </row>
    <row r="467" spans="3:11" x14ac:dyDescent="0.25">
      <c r="C467" s="79"/>
      <c r="D467" s="248"/>
      <c r="E467" s="248"/>
      <c r="F467" s="47"/>
      <c r="G467" s="79"/>
      <c r="J467" s="99"/>
      <c r="K467" s="4"/>
    </row>
    <row r="468" spans="3:11" x14ac:dyDescent="0.25">
      <c r="C468" s="79"/>
      <c r="D468" s="248"/>
      <c r="E468" s="248"/>
      <c r="F468" s="47"/>
      <c r="G468" s="79"/>
      <c r="J468" s="99"/>
      <c r="K468" s="4"/>
    </row>
    <row r="469" spans="3:11" x14ac:dyDescent="0.25">
      <c r="C469" s="79"/>
      <c r="D469" s="248"/>
      <c r="E469" s="248"/>
      <c r="F469" s="47"/>
      <c r="G469" s="79"/>
      <c r="J469" s="99"/>
      <c r="K469" s="4"/>
    </row>
    <row r="470" spans="3:11" x14ac:dyDescent="0.25">
      <c r="C470" s="79"/>
      <c r="D470" s="248"/>
      <c r="E470" s="248"/>
      <c r="F470" s="47"/>
      <c r="G470" s="79"/>
      <c r="J470" s="99"/>
      <c r="K470" s="4"/>
    </row>
    <row r="471" spans="3:11" x14ac:dyDescent="0.25">
      <c r="C471" s="79"/>
      <c r="D471" s="248"/>
      <c r="E471" s="248"/>
      <c r="F471" s="47"/>
      <c r="G471" s="79"/>
      <c r="J471" s="99"/>
      <c r="K471" s="4"/>
    </row>
    <row r="472" spans="3:11" x14ac:dyDescent="0.25">
      <c r="C472" s="79"/>
      <c r="D472" s="248"/>
      <c r="E472" s="248"/>
      <c r="F472" s="47"/>
      <c r="G472" s="79"/>
      <c r="J472" s="99"/>
      <c r="K472" s="4"/>
    </row>
    <row r="473" spans="3:11" x14ac:dyDescent="0.25">
      <c r="C473" s="79"/>
      <c r="D473" s="248"/>
      <c r="E473" s="248"/>
      <c r="F473" s="47"/>
      <c r="G473" s="79"/>
      <c r="J473" s="99"/>
      <c r="K473" s="4"/>
    </row>
    <row r="474" spans="3:11" x14ac:dyDescent="0.25">
      <c r="C474" s="79"/>
      <c r="D474" s="248"/>
      <c r="E474" s="248"/>
      <c r="F474" s="47"/>
      <c r="G474" s="79"/>
      <c r="J474" s="99"/>
      <c r="K474" s="4"/>
    </row>
    <row r="475" spans="3:11" x14ac:dyDescent="0.25">
      <c r="C475" s="79"/>
      <c r="D475" s="248"/>
      <c r="E475" s="248"/>
      <c r="F475" s="47"/>
      <c r="G475" s="79"/>
      <c r="J475" s="99"/>
      <c r="K475" s="4"/>
    </row>
    <row r="476" spans="3:11" x14ac:dyDescent="0.25">
      <c r="C476" s="79"/>
      <c r="D476" s="248"/>
      <c r="E476" s="248"/>
      <c r="F476" s="47"/>
      <c r="G476" s="79"/>
      <c r="J476" s="99"/>
      <c r="K476" s="4"/>
    </row>
    <row r="477" spans="3:11" x14ac:dyDescent="0.25">
      <c r="C477" s="79"/>
      <c r="D477" s="248"/>
      <c r="E477" s="248"/>
      <c r="F477" s="47"/>
      <c r="G477" s="79"/>
      <c r="J477" s="99"/>
      <c r="K477" s="4"/>
    </row>
    <row r="478" spans="3:11" x14ac:dyDescent="0.25">
      <c r="C478" s="79"/>
      <c r="D478" s="248"/>
      <c r="E478" s="248"/>
      <c r="F478" s="47"/>
      <c r="G478" s="79"/>
      <c r="J478" s="99"/>
      <c r="K478" s="4"/>
    </row>
    <row r="479" spans="3:11" x14ac:dyDescent="0.25">
      <c r="C479" s="79"/>
      <c r="D479" s="248"/>
      <c r="E479" s="248"/>
      <c r="F479" s="47"/>
      <c r="G479" s="79"/>
      <c r="J479" s="99"/>
      <c r="K479" s="4"/>
    </row>
    <row r="480" spans="3:11" x14ac:dyDescent="0.25">
      <c r="C480" s="79"/>
      <c r="D480" s="248"/>
      <c r="E480" s="248"/>
      <c r="F480" s="47"/>
      <c r="G480" s="79"/>
      <c r="J480" s="99"/>
      <c r="K480" s="4"/>
    </row>
    <row r="481" spans="3:11" x14ac:dyDescent="0.25">
      <c r="C481" s="79"/>
      <c r="D481" s="248"/>
      <c r="E481" s="248"/>
      <c r="F481" s="47"/>
      <c r="G481" s="79"/>
      <c r="J481" s="99"/>
      <c r="K481" s="4"/>
    </row>
    <row r="482" spans="3:11" x14ac:dyDescent="0.25">
      <c r="C482" s="79"/>
      <c r="D482" s="248"/>
      <c r="E482" s="248"/>
      <c r="F482" s="47"/>
      <c r="G482" s="79"/>
      <c r="J482" s="99"/>
      <c r="K482" s="4"/>
    </row>
    <row r="483" spans="3:11" x14ac:dyDescent="0.25">
      <c r="C483" s="79"/>
      <c r="D483" s="248"/>
      <c r="E483" s="248"/>
      <c r="F483" s="47"/>
      <c r="G483" s="79"/>
      <c r="J483" s="99"/>
      <c r="K483" s="4"/>
    </row>
    <row r="484" spans="3:11" x14ac:dyDescent="0.25">
      <c r="C484" s="79"/>
      <c r="D484" s="248"/>
      <c r="E484" s="248"/>
      <c r="F484" s="47"/>
      <c r="G484" s="79"/>
      <c r="J484" s="99"/>
      <c r="K484" s="4"/>
    </row>
    <row r="485" spans="3:11" x14ac:dyDescent="0.25">
      <c r="C485" s="79"/>
      <c r="D485" s="248"/>
      <c r="E485" s="248"/>
      <c r="F485" s="47"/>
      <c r="G485" s="79"/>
      <c r="J485" s="99"/>
      <c r="K485" s="4"/>
    </row>
    <row r="486" spans="3:11" x14ac:dyDescent="0.25">
      <c r="C486" s="79"/>
      <c r="D486" s="79"/>
      <c r="E486" s="248"/>
      <c r="F486" s="47"/>
      <c r="G486" s="79"/>
      <c r="J486" s="99"/>
      <c r="K486" s="4"/>
    </row>
    <row r="487" spans="3:11" x14ac:dyDescent="0.25">
      <c r="C487" s="79"/>
      <c r="D487" s="79"/>
      <c r="E487" s="248"/>
      <c r="F487" s="47"/>
      <c r="G487" s="79"/>
      <c r="J487" s="99"/>
      <c r="K487" s="4"/>
    </row>
    <row r="488" spans="3:11" x14ac:dyDescent="0.25">
      <c r="C488" s="79"/>
      <c r="D488" s="248"/>
      <c r="E488" s="248"/>
      <c r="F488" s="47"/>
      <c r="G488" s="79"/>
      <c r="J488" s="99"/>
      <c r="K488" s="4"/>
    </row>
    <row r="489" spans="3:11" x14ac:dyDescent="0.25">
      <c r="C489" s="79"/>
      <c r="D489" s="248"/>
      <c r="E489" s="248"/>
      <c r="F489" s="47"/>
      <c r="G489" s="79"/>
      <c r="J489" s="99"/>
      <c r="K489" s="4"/>
    </row>
    <row r="490" spans="3:11" x14ac:dyDescent="0.25">
      <c r="C490" s="79"/>
      <c r="D490" s="79"/>
      <c r="E490" s="248"/>
      <c r="F490" s="47"/>
      <c r="G490" s="79"/>
      <c r="J490" s="99"/>
      <c r="K490" s="4"/>
    </row>
    <row r="491" spans="3:11" x14ac:dyDescent="0.25">
      <c r="C491" s="79"/>
      <c r="D491" s="248"/>
      <c r="E491" s="248"/>
      <c r="F491" s="47"/>
      <c r="G491" s="79"/>
      <c r="J491" s="99"/>
      <c r="K491" s="4"/>
    </row>
    <row r="492" spans="3:11" x14ac:dyDescent="0.25">
      <c r="C492" s="79"/>
      <c r="D492" s="248"/>
      <c r="E492" s="248"/>
      <c r="F492" s="47"/>
      <c r="G492" s="79"/>
      <c r="J492" s="99"/>
      <c r="K492" s="4"/>
    </row>
    <row r="493" spans="3:11" x14ac:dyDescent="0.25">
      <c r="C493" s="79"/>
      <c r="D493" s="248"/>
      <c r="E493" s="248"/>
      <c r="F493" s="47"/>
      <c r="G493" s="79"/>
      <c r="J493" s="99"/>
      <c r="K493" s="4"/>
    </row>
    <row r="494" spans="3:11" x14ac:dyDescent="0.25">
      <c r="C494" s="79"/>
      <c r="D494" s="248"/>
      <c r="E494" s="248"/>
      <c r="F494" s="47"/>
      <c r="G494" s="79"/>
      <c r="J494" s="99"/>
      <c r="K494" s="4"/>
    </row>
    <row r="495" spans="3:11" x14ac:dyDescent="0.25">
      <c r="C495" s="79"/>
      <c r="D495" s="248"/>
      <c r="E495" s="248"/>
      <c r="F495" s="47"/>
      <c r="G495" s="79"/>
      <c r="J495" s="99"/>
      <c r="K495" s="4"/>
    </row>
    <row r="496" spans="3:11" x14ac:dyDescent="0.25">
      <c r="C496" s="79"/>
      <c r="D496" s="248"/>
      <c r="E496" s="248"/>
      <c r="F496" s="47"/>
      <c r="G496" s="79"/>
      <c r="J496" s="99"/>
      <c r="K496" s="4"/>
    </row>
    <row r="497" spans="3:11" x14ac:dyDescent="0.25">
      <c r="C497" s="79"/>
      <c r="D497" s="248"/>
      <c r="E497" s="248"/>
      <c r="F497" s="47"/>
      <c r="G497" s="79"/>
      <c r="J497" s="99"/>
      <c r="K497" s="4"/>
    </row>
    <row r="498" spans="3:11" x14ac:dyDescent="0.25">
      <c r="C498" s="79"/>
      <c r="D498" s="248"/>
      <c r="E498" s="248"/>
      <c r="F498" s="47"/>
      <c r="G498" s="79"/>
      <c r="J498" s="99"/>
      <c r="K498" s="4"/>
    </row>
    <row r="499" spans="3:11" x14ac:dyDescent="0.25">
      <c r="C499" s="79"/>
      <c r="D499" s="248"/>
      <c r="E499" s="248"/>
      <c r="F499" s="47"/>
      <c r="G499" s="79"/>
      <c r="J499" s="99"/>
      <c r="K499" s="4"/>
    </row>
    <row r="500" spans="3:11" x14ac:dyDescent="0.25">
      <c r="C500" s="79"/>
      <c r="D500" s="248"/>
      <c r="E500" s="248"/>
      <c r="F500" s="47"/>
      <c r="G500" s="79"/>
      <c r="J500" s="99"/>
      <c r="K500" s="4"/>
    </row>
    <row r="501" spans="3:11" x14ac:dyDescent="0.25">
      <c r="C501" s="79"/>
      <c r="D501" s="248"/>
      <c r="E501" s="248"/>
      <c r="F501" s="47"/>
      <c r="G501" s="79"/>
      <c r="J501" s="99"/>
      <c r="K501" s="4"/>
    </row>
    <row r="502" spans="3:11" x14ac:dyDescent="0.25">
      <c r="C502" s="79"/>
      <c r="D502" s="248"/>
      <c r="E502" s="248"/>
      <c r="F502" s="47"/>
      <c r="G502" s="79"/>
      <c r="J502" s="99"/>
      <c r="K502" s="4"/>
    </row>
    <row r="503" spans="3:11" x14ac:dyDescent="0.25">
      <c r="C503" s="79"/>
      <c r="D503" s="248"/>
      <c r="E503" s="248"/>
      <c r="F503" s="47"/>
      <c r="G503" s="79"/>
      <c r="J503" s="99"/>
      <c r="K503" s="4"/>
    </row>
    <row r="504" spans="3:11" x14ac:dyDescent="0.25">
      <c r="C504" s="79"/>
      <c r="D504" s="248"/>
      <c r="E504" s="248"/>
      <c r="F504" s="47"/>
      <c r="G504" s="79"/>
      <c r="J504" s="99"/>
      <c r="K504" s="4"/>
    </row>
    <row r="505" spans="3:11" x14ac:dyDescent="0.25">
      <c r="C505" s="79"/>
      <c r="D505" s="248"/>
      <c r="E505" s="248"/>
      <c r="F505" s="47"/>
      <c r="G505" s="79"/>
      <c r="J505" s="99"/>
      <c r="K505" s="4"/>
    </row>
    <row r="506" spans="3:11" x14ac:dyDescent="0.25">
      <c r="C506" s="79"/>
      <c r="D506" s="248"/>
      <c r="E506" s="248"/>
      <c r="F506" s="47"/>
      <c r="G506" s="79"/>
      <c r="J506" s="99"/>
      <c r="K506" s="4"/>
    </row>
    <row r="507" spans="3:11" x14ac:dyDescent="0.25">
      <c r="C507" s="79"/>
      <c r="D507" s="248"/>
      <c r="E507" s="248"/>
      <c r="F507" s="47"/>
      <c r="G507" s="79"/>
      <c r="J507" s="99"/>
      <c r="K507" s="4"/>
    </row>
    <row r="508" spans="3:11" x14ac:dyDescent="0.25">
      <c r="C508" s="79"/>
      <c r="D508" s="248"/>
      <c r="E508" s="248"/>
      <c r="F508" s="47"/>
      <c r="G508" s="79"/>
      <c r="J508" s="99"/>
      <c r="K508" s="4"/>
    </row>
    <row r="509" spans="3:11" x14ac:dyDescent="0.25">
      <c r="C509" s="79"/>
      <c r="D509" s="248"/>
      <c r="E509" s="248"/>
      <c r="F509" s="47"/>
      <c r="G509" s="79"/>
      <c r="J509" s="99"/>
      <c r="K509" s="4"/>
    </row>
    <row r="510" spans="3:11" x14ac:dyDescent="0.25">
      <c r="C510" s="79"/>
      <c r="D510" s="248"/>
      <c r="E510" s="248"/>
      <c r="F510" s="47"/>
      <c r="G510" s="79"/>
      <c r="J510" s="99"/>
      <c r="K510" s="4"/>
    </row>
    <row r="511" spans="3:11" x14ac:dyDescent="0.25">
      <c r="C511" s="79"/>
      <c r="D511" s="248"/>
      <c r="E511" s="248"/>
      <c r="F511" s="47"/>
      <c r="G511" s="79"/>
      <c r="J511" s="99"/>
      <c r="K511" s="4"/>
    </row>
    <row r="512" spans="3:11" x14ac:dyDescent="0.25">
      <c r="C512" s="79"/>
      <c r="D512" s="248"/>
      <c r="E512" s="248"/>
      <c r="F512" s="47"/>
      <c r="G512" s="79"/>
      <c r="J512" s="99"/>
      <c r="K512" s="4"/>
    </row>
    <row r="513" spans="3:11" x14ac:dyDescent="0.25">
      <c r="C513" s="79"/>
      <c r="D513" s="248"/>
      <c r="E513" s="248"/>
      <c r="F513" s="47"/>
      <c r="G513" s="79"/>
      <c r="J513" s="99"/>
      <c r="K513" s="4"/>
    </row>
    <row r="514" spans="3:11" x14ac:dyDescent="0.25">
      <c r="C514" s="79"/>
      <c r="D514" s="248"/>
      <c r="E514" s="248"/>
      <c r="F514" s="47"/>
      <c r="G514" s="79"/>
      <c r="J514" s="99"/>
      <c r="K514" s="4"/>
    </row>
    <row r="515" spans="3:11" x14ac:dyDescent="0.25">
      <c r="C515" s="79"/>
      <c r="D515" s="248"/>
      <c r="E515" s="248"/>
      <c r="F515" s="47"/>
      <c r="G515" s="79"/>
      <c r="J515" s="99"/>
      <c r="K515" s="4"/>
    </row>
    <row r="516" spans="3:11" x14ac:dyDescent="0.25">
      <c r="C516" s="79"/>
      <c r="D516" s="248"/>
      <c r="E516" s="248"/>
      <c r="F516" s="47"/>
      <c r="G516" s="79"/>
      <c r="J516" s="99"/>
      <c r="K516" s="4"/>
    </row>
    <row r="517" spans="3:11" x14ac:dyDescent="0.25">
      <c r="C517" s="79"/>
      <c r="D517" s="248"/>
      <c r="E517" s="248"/>
      <c r="F517" s="47"/>
      <c r="G517" s="79"/>
      <c r="J517" s="99"/>
      <c r="K517" s="4"/>
    </row>
    <row r="518" spans="3:11" x14ac:dyDescent="0.25">
      <c r="C518" s="79"/>
      <c r="D518" s="248"/>
      <c r="E518" s="248"/>
      <c r="F518" s="47"/>
      <c r="G518" s="79"/>
      <c r="J518" s="99"/>
      <c r="K518" s="4"/>
    </row>
    <row r="519" spans="3:11" x14ac:dyDescent="0.25">
      <c r="C519" s="79"/>
      <c r="D519" s="248"/>
      <c r="E519" s="248"/>
      <c r="F519" s="47"/>
      <c r="G519" s="79"/>
      <c r="J519" s="99"/>
      <c r="K519" s="4"/>
    </row>
    <row r="520" spans="3:11" x14ac:dyDescent="0.25">
      <c r="C520" s="79"/>
      <c r="D520" s="248"/>
      <c r="E520" s="248"/>
      <c r="F520" s="47"/>
      <c r="G520" s="79"/>
      <c r="J520" s="99"/>
      <c r="K520" s="4"/>
    </row>
    <row r="521" spans="3:11" x14ac:dyDescent="0.25">
      <c r="C521" s="79"/>
      <c r="D521" s="248"/>
      <c r="E521" s="248"/>
      <c r="F521" s="47"/>
      <c r="G521" s="79"/>
      <c r="J521" s="99"/>
      <c r="K521" s="4"/>
    </row>
    <row r="522" spans="3:11" x14ac:dyDescent="0.25">
      <c r="C522" s="79"/>
      <c r="D522" s="248"/>
      <c r="E522" s="248"/>
      <c r="F522" s="47"/>
      <c r="G522" s="79"/>
      <c r="J522" s="99"/>
      <c r="K522" s="4"/>
    </row>
    <row r="523" spans="3:11" x14ac:dyDescent="0.25">
      <c r="C523" s="79"/>
      <c r="D523" s="248"/>
      <c r="E523" s="248"/>
      <c r="F523" s="47"/>
      <c r="G523" s="79"/>
      <c r="J523" s="99"/>
      <c r="K523" s="4"/>
    </row>
    <row r="524" spans="3:11" x14ac:dyDescent="0.25">
      <c r="C524" s="79"/>
      <c r="D524" s="248"/>
      <c r="E524" s="248"/>
      <c r="F524" s="47"/>
      <c r="G524" s="79"/>
      <c r="J524" s="99"/>
      <c r="K524" s="4"/>
    </row>
    <row r="525" spans="3:11" x14ac:dyDescent="0.25">
      <c r="C525" s="79"/>
      <c r="D525" s="248"/>
      <c r="E525" s="248"/>
      <c r="F525" s="47"/>
      <c r="G525" s="79"/>
      <c r="J525" s="99"/>
      <c r="K525" s="4"/>
    </row>
    <row r="526" spans="3:11" x14ac:dyDescent="0.25">
      <c r="C526" s="79"/>
      <c r="D526" s="248"/>
      <c r="E526" s="248"/>
      <c r="F526" s="47"/>
      <c r="G526" s="79"/>
      <c r="J526" s="99"/>
      <c r="K526" s="4"/>
    </row>
    <row r="527" spans="3:11" x14ac:dyDescent="0.25">
      <c r="C527" s="79"/>
      <c r="D527" s="248"/>
      <c r="E527" s="248"/>
      <c r="F527" s="47"/>
      <c r="G527" s="79"/>
      <c r="J527" s="99"/>
      <c r="K527" s="4"/>
    </row>
    <row r="528" spans="3:11" x14ac:dyDescent="0.25">
      <c r="C528" s="79"/>
      <c r="D528" s="248"/>
      <c r="E528" s="248"/>
      <c r="F528" s="47"/>
      <c r="G528" s="79"/>
      <c r="J528" s="99"/>
      <c r="K528" s="4"/>
    </row>
    <row r="529" spans="3:11" x14ac:dyDescent="0.25">
      <c r="C529" s="79"/>
      <c r="D529" s="248"/>
      <c r="E529" s="248"/>
      <c r="F529" s="47"/>
      <c r="G529" s="79"/>
      <c r="J529" s="99"/>
      <c r="K529" s="4"/>
    </row>
    <row r="530" spans="3:11" x14ac:dyDescent="0.25">
      <c r="C530" s="79"/>
      <c r="D530" s="248"/>
      <c r="E530" s="248"/>
      <c r="F530" s="47"/>
      <c r="G530" s="79"/>
      <c r="J530" s="99"/>
      <c r="K530" s="4"/>
    </row>
    <row r="531" spans="3:11" x14ac:dyDescent="0.25">
      <c r="C531" s="79"/>
      <c r="D531" s="248"/>
      <c r="E531" s="248"/>
      <c r="F531" s="47"/>
      <c r="G531" s="79"/>
      <c r="J531" s="99"/>
      <c r="K531" s="4"/>
    </row>
    <row r="532" spans="3:11" x14ac:dyDescent="0.25">
      <c r="C532" s="79"/>
      <c r="D532" s="248"/>
      <c r="E532" s="248"/>
      <c r="F532" s="47"/>
      <c r="G532" s="79"/>
      <c r="J532" s="99"/>
      <c r="K532" s="4"/>
    </row>
    <row r="533" spans="3:11" x14ac:dyDescent="0.25">
      <c r="C533" s="79"/>
      <c r="D533" s="248"/>
      <c r="E533" s="248"/>
      <c r="F533" s="47"/>
      <c r="G533" s="79"/>
      <c r="J533" s="99"/>
      <c r="K533" s="4"/>
    </row>
    <row r="534" spans="3:11" x14ac:dyDescent="0.25">
      <c r="C534" s="79"/>
      <c r="D534" s="248"/>
      <c r="E534" s="248"/>
      <c r="F534" s="47"/>
      <c r="G534" s="79"/>
      <c r="J534" s="99"/>
      <c r="K534" s="4"/>
    </row>
    <row r="535" spans="3:11" x14ac:dyDescent="0.25">
      <c r="C535" s="79"/>
      <c r="D535" s="248"/>
      <c r="E535" s="248"/>
      <c r="F535" s="47"/>
      <c r="G535" s="79"/>
      <c r="J535" s="99"/>
      <c r="K535" s="4"/>
    </row>
    <row r="536" spans="3:11" x14ac:dyDescent="0.25">
      <c r="C536" s="79"/>
      <c r="D536" s="248"/>
      <c r="E536" s="248"/>
      <c r="F536" s="47"/>
      <c r="G536" s="79"/>
      <c r="J536" s="99"/>
      <c r="K536" s="4"/>
    </row>
    <row r="537" spans="3:11" x14ac:dyDescent="0.25">
      <c r="C537" s="79"/>
      <c r="D537" s="248"/>
      <c r="E537" s="248"/>
      <c r="F537" s="47"/>
      <c r="G537" s="79"/>
      <c r="J537" s="99"/>
      <c r="K537" s="4"/>
    </row>
    <row r="538" spans="3:11" x14ac:dyDescent="0.25">
      <c r="C538" s="79"/>
      <c r="D538" s="248"/>
      <c r="E538" s="248"/>
      <c r="F538" s="47"/>
      <c r="G538" s="79"/>
      <c r="J538" s="99"/>
      <c r="K538" s="4"/>
    </row>
    <row r="539" spans="3:11" x14ac:dyDescent="0.25">
      <c r="C539" s="79"/>
      <c r="D539" s="248"/>
      <c r="E539" s="248"/>
      <c r="F539" s="47"/>
      <c r="G539" s="79"/>
      <c r="J539" s="99"/>
      <c r="K539" s="4"/>
    </row>
    <row r="540" spans="3:11" x14ac:dyDescent="0.25">
      <c r="C540" s="79"/>
      <c r="D540" s="248"/>
      <c r="E540" s="248"/>
      <c r="F540" s="47"/>
      <c r="G540" s="79"/>
      <c r="J540" s="99"/>
      <c r="K540" s="4"/>
    </row>
    <row r="541" spans="3:11" x14ac:dyDescent="0.25">
      <c r="C541" s="79"/>
      <c r="D541" s="248"/>
      <c r="E541" s="248"/>
      <c r="F541" s="47"/>
      <c r="G541" s="79"/>
      <c r="J541" s="99"/>
      <c r="K541" s="4"/>
    </row>
    <row r="542" spans="3:11" x14ac:dyDescent="0.25">
      <c r="C542" s="79"/>
      <c r="D542" s="248"/>
      <c r="E542" s="248"/>
      <c r="F542" s="47"/>
      <c r="G542" s="79"/>
      <c r="J542" s="99"/>
      <c r="K542" s="4"/>
    </row>
    <row r="543" spans="3:11" x14ac:dyDescent="0.25">
      <c r="C543" s="79"/>
      <c r="D543" s="248"/>
      <c r="E543" s="248"/>
      <c r="F543" s="47"/>
      <c r="G543" s="79"/>
      <c r="J543" s="99"/>
      <c r="K543" s="4"/>
    </row>
    <row r="544" spans="3:11" x14ac:dyDescent="0.25">
      <c r="C544" s="79"/>
      <c r="D544" s="248"/>
      <c r="E544" s="248"/>
      <c r="F544" s="47"/>
      <c r="G544" s="79"/>
      <c r="J544" s="99"/>
      <c r="K544" s="4"/>
    </row>
    <row r="545" spans="3:11" x14ac:dyDescent="0.25">
      <c r="C545" s="79"/>
      <c r="D545" s="248"/>
      <c r="E545" s="248"/>
      <c r="F545" s="47"/>
      <c r="G545" s="79"/>
      <c r="J545" s="99"/>
      <c r="K545" s="4"/>
    </row>
    <row r="546" spans="3:11" x14ac:dyDescent="0.25">
      <c r="C546" s="79"/>
      <c r="D546" s="248"/>
      <c r="E546" s="248"/>
      <c r="F546" s="47"/>
      <c r="G546" s="79"/>
      <c r="J546" s="99"/>
      <c r="K546" s="4"/>
    </row>
    <row r="547" spans="3:11" x14ac:dyDescent="0.25">
      <c r="C547" s="79"/>
      <c r="D547" s="248"/>
      <c r="E547" s="248"/>
      <c r="F547" s="47"/>
      <c r="G547" s="79"/>
      <c r="J547" s="99"/>
      <c r="K547" s="4"/>
    </row>
    <row r="548" spans="3:11" x14ac:dyDescent="0.25">
      <c r="C548" s="79"/>
      <c r="D548" s="248"/>
      <c r="E548" s="248"/>
      <c r="F548" s="47"/>
      <c r="G548" s="79"/>
      <c r="J548" s="99"/>
      <c r="K548" s="4"/>
    </row>
    <row r="549" spans="3:11" x14ac:dyDescent="0.25">
      <c r="C549" s="79"/>
      <c r="D549" s="248"/>
      <c r="E549" s="248"/>
      <c r="F549" s="47"/>
      <c r="G549" s="79"/>
      <c r="J549" s="99"/>
      <c r="K549" s="4"/>
    </row>
    <row r="550" spans="3:11" x14ac:dyDescent="0.25">
      <c r="C550" s="79"/>
      <c r="D550" s="248"/>
      <c r="E550" s="248"/>
      <c r="F550" s="47"/>
      <c r="G550" s="79"/>
      <c r="J550" s="99"/>
      <c r="K550" s="4"/>
    </row>
    <row r="551" spans="3:11" x14ac:dyDescent="0.25">
      <c r="C551" s="79"/>
      <c r="D551" s="248"/>
      <c r="E551" s="248"/>
      <c r="F551" s="47"/>
      <c r="G551" s="79"/>
      <c r="J551" s="99"/>
      <c r="K551" s="4"/>
    </row>
    <row r="552" spans="3:11" x14ac:dyDescent="0.25">
      <c r="C552" s="79"/>
      <c r="D552" s="248"/>
      <c r="E552" s="248"/>
      <c r="F552" s="47"/>
      <c r="G552" s="79"/>
      <c r="J552" s="99"/>
      <c r="K552" s="4"/>
    </row>
    <row r="553" spans="3:11" x14ac:dyDescent="0.25">
      <c r="C553" s="79"/>
      <c r="D553" s="248"/>
      <c r="E553" s="248"/>
      <c r="F553" s="47"/>
      <c r="G553" s="79"/>
      <c r="J553" s="99"/>
      <c r="K553" s="4"/>
    </row>
    <row r="554" spans="3:11" x14ac:dyDescent="0.25">
      <c r="C554" s="79"/>
      <c r="D554" s="248"/>
      <c r="E554" s="248"/>
      <c r="F554" s="47"/>
      <c r="G554" s="79"/>
      <c r="J554" s="99"/>
      <c r="K554" s="4"/>
    </row>
    <row r="555" spans="3:11" x14ac:dyDescent="0.25">
      <c r="C555" s="79"/>
      <c r="D555" s="248"/>
      <c r="E555" s="248"/>
      <c r="F555" s="47"/>
      <c r="G555" s="79"/>
      <c r="J555" s="99"/>
      <c r="K555" s="4"/>
    </row>
    <row r="556" spans="3:11" x14ac:dyDescent="0.25">
      <c r="C556" s="79"/>
      <c r="D556" s="248"/>
      <c r="E556" s="248"/>
      <c r="F556" s="47"/>
      <c r="G556" s="79"/>
      <c r="J556" s="99"/>
      <c r="K556" s="4"/>
    </row>
    <row r="557" spans="3:11" x14ac:dyDescent="0.25">
      <c r="C557" s="79"/>
      <c r="D557" s="248"/>
      <c r="E557" s="248"/>
      <c r="F557" s="47"/>
      <c r="G557" s="79"/>
      <c r="J557" s="99"/>
      <c r="K557" s="4"/>
    </row>
    <row r="558" spans="3:11" x14ac:dyDescent="0.25">
      <c r="C558" s="79"/>
      <c r="D558" s="248"/>
      <c r="E558" s="248"/>
      <c r="F558" s="47"/>
      <c r="G558" s="79"/>
      <c r="J558" s="99"/>
      <c r="K558" s="4"/>
    </row>
    <row r="559" spans="3:11" x14ac:dyDescent="0.25">
      <c r="C559" s="79"/>
      <c r="D559" s="248"/>
      <c r="E559" s="248"/>
      <c r="F559" s="47"/>
      <c r="G559" s="79"/>
      <c r="J559" s="99"/>
      <c r="K559" s="4"/>
    </row>
    <row r="560" spans="3:11" x14ac:dyDescent="0.25">
      <c r="C560" s="79"/>
      <c r="D560" s="248"/>
      <c r="E560" s="248"/>
      <c r="F560" s="47"/>
      <c r="G560" s="79"/>
      <c r="J560" s="99"/>
      <c r="K560" s="4"/>
    </row>
    <row r="561" spans="3:11" x14ac:dyDescent="0.25">
      <c r="C561" s="79"/>
      <c r="D561" s="248"/>
      <c r="E561" s="248"/>
      <c r="F561" s="47"/>
      <c r="G561" s="79"/>
      <c r="J561" s="99"/>
      <c r="K561" s="4"/>
    </row>
    <row r="562" spans="3:11" x14ac:dyDescent="0.25">
      <c r="C562" s="79"/>
      <c r="D562" s="248"/>
      <c r="E562" s="248"/>
      <c r="F562" s="47"/>
      <c r="G562" s="79"/>
      <c r="J562" s="99"/>
      <c r="K562" s="4"/>
    </row>
    <row r="563" spans="3:11" x14ac:dyDescent="0.25">
      <c r="C563" s="79"/>
      <c r="D563" s="248"/>
      <c r="E563" s="248"/>
      <c r="F563" s="47"/>
      <c r="G563" s="79"/>
      <c r="J563" s="99"/>
      <c r="K563" s="4"/>
    </row>
    <row r="564" spans="3:11" x14ac:dyDescent="0.25">
      <c r="C564" s="79"/>
      <c r="D564" s="248"/>
      <c r="E564" s="248"/>
      <c r="F564" s="47"/>
      <c r="G564" s="79"/>
      <c r="J564" s="99"/>
      <c r="K564" s="4"/>
    </row>
    <row r="565" spans="3:11" x14ac:dyDescent="0.25">
      <c r="C565" s="79"/>
      <c r="D565" s="248"/>
      <c r="E565" s="248"/>
      <c r="F565" s="47"/>
      <c r="G565" s="79"/>
      <c r="J565" s="99"/>
      <c r="K565" s="4"/>
    </row>
    <row r="566" spans="3:11" x14ac:dyDescent="0.25">
      <c r="C566" s="79"/>
      <c r="D566" s="248"/>
      <c r="E566" s="248"/>
      <c r="F566" s="47"/>
      <c r="G566" s="79"/>
      <c r="J566" s="99"/>
      <c r="K566" s="4"/>
    </row>
    <row r="567" spans="3:11" x14ac:dyDescent="0.25">
      <c r="C567" s="79"/>
      <c r="D567" s="248"/>
      <c r="E567" s="248"/>
      <c r="F567" s="47"/>
      <c r="G567" s="79"/>
      <c r="J567" s="99"/>
      <c r="K567" s="4"/>
    </row>
    <row r="568" spans="3:11" x14ac:dyDescent="0.25">
      <c r="C568" s="79"/>
      <c r="D568" s="248"/>
      <c r="E568" s="248"/>
      <c r="F568" s="47"/>
      <c r="G568" s="79"/>
      <c r="J568" s="99"/>
      <c r="K568" s="4"/>
    </row>
    <row r="569" spans="3:11" x14ac:dyDescent="0.25">
      <c r="C569" s="79"/>
      <c r="D569" s="248"/>
      <c r="E569" s="248"/>
      <c r="F569" s="47"/>
      <c r="G569" s="79"/>
      <c r="J569" s="99"/>
      <c r="K569" s="4"/>
    </row>
    <row r="570" spans="3:11" x14ac:dyDescent="0.25">
      <c r="C570" s="79"/>
      <c r="D570" s="248"/>
      <c r="E570" s="248"/>
      <c r="F570" s="47"/>
      <c r="G570" s="79"/>
      <c r="J570" s="99"/>
      <c r="K570" s="4"/>
    </row>
    <row r="571" spans="3:11" x14ac:dyDescent="0.25">
      <c r="C571" s="79"/>
      <c r="D571" s="248"/>
      <c r="E571" s="248"/>
      <c r="F571" s="47"/>
      <c r="G571" s="79"/>
      <c r="J571" s="99"/>
      <c r="K571" s="4"/>
    </row>
    <row r="572" spans="3:11" x14ac:dyDescent="0.25">
      <c r="C572" s="79"/>
      <c r="D572" s="248"/>
      <c r="E572" s="248"/>
      <c r="F572" s="47"/>
      <c r="G572" s="79"/>
      <c r="J572" s="99"/>
      <c r="K572" s="4"/>
    </row>
    <row r="573" spans="3:11" x14ac:dyDescent="0.25">
      <c r="C573" s="79"/>
      <c r="D573" s="248"/>
      <c r="E573" s="248"/>
      <c r="F573" s="47"/>
      <c r="G573" s="79"/>
      <c r="J573" s="99"/>
      <c r="K573" s="4"/>
    </row>
    <row r="574" spans="3:11" x14ac:dyDescent="0.25">
      <c r="C574" s="79"/>
      <c r="D574" s="248"/>
      <c r="E574" s="248"/>
      <c r="F574" s="47"/>
      <c r="G574" s="79"/>
      <c r="J574" s="99"/>
      <c r="K574" s="4"/>
    </row>
    <row r="575" spans="3:11" x14ac:dyDescent="0.25">
      <c r="C575" s="79"/>
      <c r="D575" s="248"/>
      <c r="E575" s="248"/>
      <c r="F575" s="47"/>
      <c r="G575" s="79"/>
      <c r="J575" s="99"/>
      <c r="K575" s="4"/>
    </row>
    <row r="576" spans="3:11" x14ac:dyDescent="0.25">
      <c r="C576" s="79"/>
      <c r="D576" s="248"/>
      <c r="E576" s="248"/>
      <c r="F576" s="47"/>
      <c r="G576" s="79"/>
      <c r="J576" s="99"/>
      <c r="K576" s="4"/>
    </row>
    <row r="577" spans="3:11" x14ac:dyDescent="0.25">
      <c r="C577" s="79"/>
      <c r="D577" s="248"/>
      <c r="E577" s="248"/>
      <c r="F577" s="47"/>
      <c r="G577" s="79"/>
      <c r="J577" s="99"/>
      <c r="K577" s="4"/>
    </row>
    <row r="578" spans="3:11" x14ac:dyDescent="0.25">
      <c r="C578" s="79"/>
      <c r="D578" s="248"/>
      <c r="E578" s="248"/>
      <c r="F578" s="47"/>
      <c r="G578" s="79"/>
      <c r="J578" s="99"/>
      <c r="K578" s="4"/>
    </row>
    <row r="579" spans="3:11" x14ac:dyDescent="0.25">
      <c r="C579" s="79"/>
      <c r="D579" s="248"/>
      <c r="E579" s="248"/>
      <c r="F579" s="47"/>
      <c r="G579" s="79"/>
      <c r="J579" s="99"/>
      <c r="K579" s="4"/>
    </row>
    <row r="580" spans="3:11" x14ac:dyDescent="0.25">
      <c r="C580" s="79"/>
      <c r="D580" s="248"/>
      <c r="E580" s="248"/>
      <c r="F580" s="47"/>
      <c r="G580" s="79"/>
      <c r="J580" s="99"/>
      <c r="K580" s="4"/>
    </row>
    <row r="581" spans="3:11" x14ac:dyDescent="0.25">
      <c r="C581" s="79"/>
      <c r="D581" s="248"/>
      <c r="E581" s="248"/>
      <c r="F581" s="47"/>
      <c r="G581" s="79"/>
      <c r="J581" s="99"/>
      <c r="K581" s="4"/>
    </row>
    <row r="582" spans="3:11" x14ac:dyDescent="0.25">
      <c r="C582" s="79"/>
      <c r="D582" s="248"/>
      <c r="E582" s="248"/>
      <c r="F582" s="47"/>
      <c r="G582" s="79"/>
      <c r="J582" s="99"/>
      <c r="K582" s="4"/>
    </row>
    <row r="583" spans="3:11" x14ac:dyDescent="0.25">
      <c r="C583" s="79"/>
      <c r="D583" s="248"/>
      <c r="E583" s="248"/>
      <c r="F583" s="47"/>
      <c r="G583" s="79"/>
      <c r="J583" s="99"/>
      <c r="K583" s="4"/>
    </row>
    <row r="584" spans="3:11" x14ac:dyDescent="0.25">
      <c r="C584" s="79"/>
      <c r="D584" s="248"/>
      <c r="E584" s="248"/>
      <c r="F584" s="47"/>
      <c r="G584" s="79"/>
      <c r="J584" s="99"/>
      <c r="K584" s="4"/>
    </row>
    <row r="585" spans="3:11" x14ac:dyDescent="0.25">
      <c r="C585" s="79"/>
      <c r="D585" s="248"/>
      <c r="E585" s="248"/>
      <c r="F585" s="47"/>
      <c r="G585" s="79"/>
      <c r="J585" s="99"/>
      <c r="K585" s="4"/>
    </row>
    <row r="586" spans="3:11" x14ac:dyDescent="0.25">
      <c r="C586" s="79"/>
      <c r="D586" s="248"/>
      <c r="E586" s="248"/>
      <c r="F586" s="47"/>
      <c r="G586" s="79"/>
      <c r="J586" s="99"/>
      <c r="K586" s="4"/>
    </row>
    <row r="587" spans="3:11" x14ac:dyDescent="0.25">
      <c r="C587" s="79"/>
      <c r="D587" s="248"/>
      <c r="E587" s="248"/>
      <c r="F587" s="47"/>
      <c r="G587" s="79"/>
      <c r="J587" s="99"/>
      <c r="K587" s="4"/>
    </row>
    <row r="588" spans="3:11" x14ac:dyDescent="0.25">
      <c r="C588" s="79"/>
      <c r="D588" s="248"/>
      <c r="E588" s="248"/>
      <c r="F588" s="47"/>
      <c r="G588" s="79"/>
      <c r="J588" s="99"/>
      <c r="K588" s="4"/>
    </row>
    <row r="589" spans="3:11" x14ac:dyDescent="0.25">
      <c r="C589" s="79"/>
      <c r="D589" s="248"/>
      <c r="E589" s="248"/>
      <c r="F589" s="47"/>
      <c r="G589" s="79"/>
      <c r="J589" s="99"/>
      <c r="K589" s="4"/>
    </row>
    <row r="590" spans="3:11" x14ac:dyDescent="0.25">
      <c r="C590" s="79"/>
      <c r="D590" s="248"/>
      <c r="E590" s="248"/>
      <c r="F590" s="47"/>
      <c r="G590" s="79"/>
      <c r="J590" s="99"/>
      <c r="K590" s="4"/>
    </row>
    <row r="591" spans="3:11" x14ac:dyDescent="0.25">
      <c r="C591" s="79"/>
      <c r="D591" s="248"/>
      <c r="E591" s="248"/>
      <c r="F591" s="47"/>
      <c r="G591" s="79"/>
      <c r="J591" s="99"/>
      <c r="K591" s="4"/>
    </row>
    <row r="592" spans="3:11" x14ac:dyDescent="0.25">
      <c r="C592" s="79"/>
      <c r="D592" s="248"/>
      <c r="E592" s="248"/>
      <c r="F592" s="47"/>
      <c r="G592" s="79"/>
      <c r="J592" s="99"/>
      <c r="K592" s="4"/>
    </row>
    <row r="593" spans="3:11" x14ac:dyDescent="0.25">
      <c r="C593" s="79"/>
      <c r="D593" s="248"/>
      <c r="E593" s="248"/>
      <c r="F593" s="47"/>
      <c r="G593" s="79"/>
      <c r="J593" s="99"/>
      <c r="K593" s="4"/>
    </row>
    <row r="594" spans="3:11" x14ac:dyDescent="0.25">
      <c r="C594" s="79"/>
      <c r="D594" s="248"/>
      <c r="E594" s="248"/>
      <c r="F594" s="47"/>
      <c r="G594" s="79"/>
      <c r="J594" s="99"/>
      <c r="K594" s="4"/>
    </row>
    <row r="595" spans="3:11" x14ac:dyDescent="0.25">
      <c r="C595" s="79"/>
      <c r="D595" s="248"/>
      <c r="E595" s="248"/>
      <c r="F595" s="47"/>
      <c r="G595" s="79"/>
      <c r="J595" s="99"/>
      <c r="K595" s="4"/>
    </row>
    <row r="596" spans="3:11" x14ac:dyDescent="0.25">
      <c r="C596" s="79"/>
      <c r="D596" s="248"/>
      <c r="E596" s="248"/>
      <c r="F596" s="47"/>
      <c r="G596" s="79"/>
      <c r="J596" s="99"/>
      <c r="K596" s="4"/>
    </row>
    <row r="597" spans="3:11" x14ac:dyDescent="0.25">
      <c r="C597" s="79"/>
      <c r="D597" s="248"/>
      <c r="E597" s="248"/>
      <c r="F597" s="47"/>
      <c r="G597" s="79"/>
      <c r="J597" s="99"/>
      <c r="K597" s="4"/>
    </row>
    <row r="598" spans="3:11" x14ac:dyDescent="0.25">
      <c r="C598" s="79"/>
      <c r="D598" s="248"/>
      <c r="E598" s="248"/>
      <c r="F598" s="47"/>
      <c r="G598" s="79"/>
      <c r="J598" s="99"/>
      <c r="K598" s="4"/>
    </row>
    <row r="599" spans="3:11" x14ac:dyDescent="0.25">
      <c r="C599" s="79"/>
      <c r="D599" s="248"/>
      <c r="E599" s="248"/>
      <c r="F599" s="47"/>
      <c r="G599" s="79"/>
      <c r="J599" s="99"/>
      <c r="K599" s="4"/>
    </row>
    <row r="600" spans="3:11" x14ac:dyDescent="0.25">
      <c r="C600" s="79"/>
      <c r="D600" s="248"/>
      <c r="E600" s="248"/>
      <c r="F600" s="47"/>
      <c r="G600" s="79"/>
      <c r="J600" s="99"/>
      <c r="K600" s="4"/>
    </row>
    <row r="601" spans="3:11" x14ac:dyDescent="0.25">
      <c r="C601" s="79"/>
      <c r="D601" s="248"/>
      <c r="E601" s="248"/>
      <c r="F601" s="47"/>
      <c r="G601" s="79"/>
      <c r="J601" s="99"/>
      <c r="K601" s="4"/>
    </row>
    <row r="602" spans="3:11" x14ac:dyDescent="0.25">
      <c r="C602" s="79"/>
      <c r="D602" s="248"/>
      <c r="E602" s="248"/>
      <c r="F602" s="47"/>
      <c r="G602" s="79"/>
      <c r="J602" s="99"/>
      <c r="K602" s="4"/>
    </row>
    <row r="603" spans="3:11" x14ac:dyDescent="0.25">
      <c r="C603" s="79"/>
      <c r="D603" s="248"/>
      <c r="E603" s="248"/>
      <c r="F603" s="47"/>
      <c r="G603" s="79"/>
      <c r="J603" s="99"/>
      <c r="K603" s="4"/>
    </row>
    <row r="604" spans="3:11" x14ac:dyDescent="0.25">
      <c r="C604" s="79"/>
      <c r="D604" s="248"/>
      <c r="E604" s="248"/>
      <c r="F604" s="47"/>
      <c r="G604" s="79"/>
      <c r="J604" s="99"/>
      <c r="K604" s="4"/>
    </row>
    <row r="605" spans="3:11" x14ac:dyDescent="0.25">
      <c r="C605" s="79"/>
      <c r="D605" s="248"/>
      <c r="E605" s="248"/>
      <c r="F605" s="47"/>
      <c r="G605" s="79"/>
      <c r="J605" s="99"/>
      <c r="K605" s="4"/>
    </row>
    <row r="606" spans="3:11" x14ac:dyDescent="0.25">
      <c r="C606" s="79"/>
      <c r="D606" s="248"/>
      <c r="E606" s="248"/>
      <c r="F606" s="47"/>
      <c r="G606" s="79"/>
      <c r="J606" s="99"/>
      <c r="K606" s="4"/>
    </row>
    <row r="607" spans="3:11" x14ac:dyDescent="0.25">
      <c r="C607" s="79"/>
      <c r="D607" s="248"/>
      <c r="E607" s="248"/>
      <c r="F607" s="47"/>
      <c r="G607" s="79"/>
      <c r="J607" s="99"/>
      <c r="K607" s="4"/>
    </row>
    <row r="608" spans="3:11" x14ac:dyDescent="0.25">
      <c r="C608" s="79"/>
      <c r="D608" s="248"/>
      <c r="E608" s="248"/>
      <c r="F608" s="47"/>
      <c r="G608" s="79"/>
      <c r="J608" s="99"/>
      <c r="K608" s="4"/>
    </row>
    <row r="609" spans="3:11" x14ac:dyDescent="0.25">
      <c r="C609" s="79"/>
      <c r="D609" s="248"/>
      <c r="E609" s="248"/>
      <c r="F609" s="47"/>
      <c r="G609" s="79"/>
      <c r="J609" s="99"/>
      <c r="K609" s="4"/>
    </row>
    <row r="610" spans="3:11" x14ac:dyDescent="0.25">
      <c r="C610" s="79"/>
      <c r="D610" s="248"/>
      <c r="E610" s="248"/>
      <c r="F610" s="47"/>
      <c r="G610" s="79"/>
      <c r="J610" s="99"/>
      <c r="K610" s="4"/>
    </row>
    <row r="611" spans="3:11" x14ac:dyDescent="0.25">
      <c r="C611" s="79"/>
      <c r="D611" s="248"/>
      <c r="E611" s="248"/>
      <c r="F611" s="47"/>
      <c r="G611" s="79"/>
      <c r="J611" s="99"/>
      <c r="K611" s="4"/>
    </row>
    <row r="612" spans="3:11" x14ac:dyDescent="0.25">
      <c r="C612" s="79"/>
      <c r="D612" s="248"/>
      <c r="E612" s="248"/>
      <c r="F612" s="47"/>
      <c r="G612" s="79"/>
      <c r="J612" s="99"/>
      <c r="K612" s="4"/>
    </row>
    <row r="613" spans="3:11" x14ac:dyDescent="0.25">
      <c r="C613" s="79"/>
      <c r="D613" s="248"/>
      <c r="E613" s="248"/>
      <c r="F613" s="47"/>
      <c r="G613" s="79"/>
      <c r="J613" s="99"/>
      <c r="K613" s="4"/>
    </row>
    <row r="614" spans="3:11" x14ac:dyDescent="0.25">
      <c r="C614" s="79"/>
      <c r="D614" s="248"/>
      <c r="E614" s="248"/>
      <c r="F614" s="47"/>
      <c r="G614" s="79"/>
      <c r="J614" s="99"/>
      <c r="K614" s="4"/>
    </row>
    <row r="615" spans="3:11" x14ac:dyDescent="0.25">
      <c r="C615" s="79"/>
      <c r="D615" s="248"/>
      <c r="E615" s="248"/>
      <c r="F615" s="47"/>
      <c r="G615" s="79"/>
      <c r="J615" s="99"/>
      <c r="K615" s="4"/>
    </row>
    <row r="616" spans="3:11" x14ac:dyDescent="0.25">
      <c r="C616" s="79"/>
      <c r="D616" s="248"/>
      <c r="E616" s="248"/>
      <c r="F616" s="47"/>
      <c r="G616" s="79"/>
      <c r="J616" s="99"/>
      <c r="K616" s="4"/>
    </row>
    <row r="617" spans="3:11" x14ac:dyDescent="0.25">
      <c r="C617" s="79"/>
      <c r="D617" s="248"/>
      <c r="E617" s="248"/>
      <c r="F617" s="47"/>
      <c r="G617" s="79"/>
      <c r="J617" s="99"/>
      <c r="K617" s="4"/>
    </row>
    <row r="618" spans="3:11" x14ac:dyDescent="0.25">
      <c r="C618" s="79"/>
      <c r="D618" s="248"/>
      <c r="E618" s="248"/>
      <c r="F618" s="47"/>
      <c r="G618" s="79"/>
      <c r="J618" s="99"/>
      <c r="K618" s="4"/>
    </row>
    <row r="619" spans="3:11" x14ac:dyDescent="0.25">
      <c r="C619" s="79"/>
      <c r="D619" s="248"/>
      <c r="E619" s="248"/>
      <c r="F619" s="47"/>
      <c r="G619" s="79"/>
      <c r="J619" s="99"/>
      <c r="K619" s="4"/>
    </row>
    <row r="620" spans="3:11" x14ac:dyDescent="0.25">
      <c r="C620" s="79"/>
      <c r="D620" s="248"/>
      <c r="E620" s="248"/>
      <c r="F620" s="47"/>
      <c r="G620" s="79"/>
      <c r="J620" s="99"/>
      <c r="K620" s="4"/>
    </row>
    <row r="621" spans="3:11" x14ac:dyDescent="0.25">
      <c r="C621" s="79"/>
      <c r="D621" s="248"/>
      <c r="E621" s="248"/>
      <c r="F621" s="47"/>
      <c r="G621" s="79"/>
      <c r="J621" s="99"/>
      <c r="K621" s="4"/>
    </row>
    <row r="622" spans="3:11" x14ac:dyDescent="0.25">
      <c r="C622" s="79"/>
      <c r="D622" s="248"/>
      <c r="E622" s="248"/>
      <c r="F622" s="47"/>
      <c r="G622" s="79"/>
      <c r="J622" s="99"/>
      <c r="K622" s="4"/>
    </row>
    <row r="623" spans="3:11" x14ac:dyDescent="0.25">
      <c r="C623" s="79"/>
      <c r="D623" s="248"/>
      <c r="E623" s="248"/>
      <c r="F623" s="47"/>
      <c r="G623" s="79"/>
      <c r="J623" s="99"/>
      <c r="K623" s="4"/>
    </row>
    <row r="624" spans="3:11" x14ac:dyDescent="0.25">
      <c r="C624" s="79"/>
      <c r="D624" s="248"/>
      <c r="E624" s="248"/>
      <c r="F624" s="47"/>
      <c r="G624" s="79"/>
      <c r="J624" s="99"/>
      <c r="K624" s="4"/>
    </row>
    <row r="625" spans="3:11" x14ac:dyDescent="0.25">
      <c r="C625" s="79"/>
      <c r="D625" s="248"/>
      <c r="E625" s="248"/>
      <c r="F625" s="47"/>
      <c r="G625" s="79"/>
      <c r="J625" s="99"/>
      <c r="K625" s="4"/>
    </row>
    <row r="626" spans="3:11" x14ac:dyDescent="0.25">
      <c r="C626" s="79"/>
      <c r="D626" s="248"/>
      <c r="E626" s="248"/>
      <c r="F626" s="47"/>
      <c r="G626" s="79"/>
      <c r="J626" s="99"/>
      <c r="K626" s="4"/>
    </row>
    <row r="627" spans="3:11" x14ac:dyDescent="0.25">
      <c r="C627" s="79"/>
      <c r="D627" s="248"/>
      <c r="E627" s="248"/>
      <c r="F627" s="47"/>
      <c r="G627" s="79"/>
      <c r="J627" s="99"/>
      <c r="K627" s="4"/>
    </row>
    <row r="628" spans="3:11" x14ac:dyDescent="0.25">
      <c r="C628" s="79"/>
      <c r="D628" s="248"/>
      <c r="E628" s="248"/>
      <c r="F628" s="47"/>
      <c r="G628" s="79"/>
      <c r="J628" s="99"/>
      <c r="K628" s="4"/>
    </row>
    <row r="629" spans="3:11" x14ac:dyDescent="0.25">
      <c r="C629" s="79"/>
      <c r="D629" s="248"/>
      <c r="E629" s="248"/>
      <c r="F629" s="47"/>
      <c r="G629" s="79"/>
      <c r="J629" s="99"/>
      <c r="K629" s="4"/>
    </row>
    <row r="630" spans="3:11" x14ac:dyDescent="0.25">
      <c r="C630" s="79"/>
      <c r="D630" s="248"/>
      <c r="E630" s="248"/>
      <c r="F630" s="47"/>
      <c r="G630" s="79"/>
      <c r="J630" s="99"/>
      <c r="K630" s="4"/>
    </row>
    <row r="631" spans="3:11" x14ac:dyDescent="0.25">
      <c r="C631" s="79"/>
      <c r="D631" s="248"/>
      <c r="E631" s="248"/>
      <c r="F631" s="47"/>
      <c r="G631" s="79"/>
      <c r="J631" s="99"/>
      <c r="K631" s="4"/>
    </row>
    <row r="632" spans="3:11" x14ac:dyDescent="0.25">
      <c r="C632" s="79"/>
      <c r="D632" s="248"/>
      <c r="E632" s="248"/>
      <c r="F632" s="47"/>
      <c r="G632" s="79"/>
      <c r="J632" s="99"/>
      <c r="K632" s="4"/>
    </row>
    <row r="633" spans="3:11" x14ac:dyDescent="0.25">
      <c r="C633" s="79"/>
      <c r="D633" s="248"/>
      <c r="E633" s="248"/>
      <c r="F633" s="47"/>
      <c r="G633" s="79"/>
      <c r="J633" s="99"/>
      <c r="K633" s="4"/>
    </row>
    <row r="634" spans="3:11" x14ac:dyDescent="0.25">
      <c r="C634" s="79"/>
      <c r="D634" s="248"/>
      <c r="E634" s="248"/>
      <c r="F634" s="47"/>
      <c r="G634" s="79"/>
      <c r="J634" s="99"/>
      <c r="K634" s="4"/>
    </row>
    <row r="635" spans="3:11" x14ac:dyDescent="0.25">
      <c r="C635" s="79"/>
      <c r="D635" s="248"/>
      <c r="E635" s="248"/>
      <c r="F635" s="47"/>
      <c r="G635" s="79"/>
      <c r="J635" s="99"/>
      <c r="K635" s="4"/>
    </row>
    <row r="636" spans="3:11" x14ac:dyDescent="0.25">
      <c r="C636" s="79"/>
      <c r="D636" s="248"/>
      <c r="E636" s="248"/>
      <c r="F636" s="47"/>
      <c r="G636" s="79"/>
      <c r="J636" s="99"/>
      <c r="K636" s="4"/>
    </row>
    <row r="637" spans="3:11" x14ac:dyDescent="0.25">
      <c r="C637" s="79"/>
      <c r="D637" s="248"/>
      <c r="E637" s="248"/>
      <c r="F637" s="47"/>
      <c r="G637" s="79"/>
      <c r="J637" s="99"/>
      <c r="K637" s="4"/>
    </row>
    <row r="638" spans="3:11" x14ac:dyDescent="0.25">
      <c r="C638" s="79"/>
      <c r="D638" s="248"/>
      <c r="E638" s="248"/>
      <c r="F638" s="47"/>
      <c r="G638" s="79"/>
      <c r="J638" s="99"/>
      <c r="K638" s="4"/>
    </row>
    <row r="639" spans="3:11" x14ac:dyDescent="0.25">
      <c r="C639" s="79"/>
      <c r="D639" s="248"/>
      <c r="E639" s="248"/>
      <c r="F639" s="47"/>
      <c r="G639" s="79"/>
      <c r="J639" s="99"/>
      <c r="K639" s="4"/>
    </row>
    <row r="640" spans="3:11" x14ac:dyDescent="0.25">
      <c r="C640" s="79"/>
      <c r="D640" s="248"/>
      <c r="E640" s="248"/>
      <c r="F640" s="47"/>
      <c r="G640" s="79"/>
      <c r="J640" s="99"/>
      <c r="K640" s="4"/>
    </row>
    <row r="641" spans="3:11" x14ac:dyDescent="0.25">
      <c r="C641" s="79"/>
      <c r="D641" s="248"/>
      <c r="E641" s="248"/>
      <c r="F641" s="47"/>
      <c r="G641" s="79"/>
      <c r="J641" s="99"/>
      <c r="K641" s="4"/>
    </row>
    <row r="642" spans="3:11" x14ac:dyDescent="0.25">
      <c r="C642" s="79"/>
      <c r="D642" s="248"/>
      <c r="E642" s="248"/>
      <c r="F642" s="47"/>
      <c r="G642" s="79"/>
      <c r="J642" s="99"/>
      <c r="K642" s="4"/>
    </row>
    <row r="643" spans="3:11" x14ac:dyDescent="0.25">
      <c r="C643" s="79"/>
      <c r="D643" s="248"/>
      <c r="E643" s="248"/>
      <c r="F643" s="47"/>
      <c r="G643" s="79"/>
      <c r="J643" s="99"/>
      <c r="K643" s="4"/>
    </row>
    <row r="644" spans="3:11" x14ac:dyDescent="0.25">
      <c r="C644" s="79"/>
      <c r="D644" s="248"/>
      <c r="E644" s="248"/>
      <c r="F644" s="47"/>
      <c r="G644" s="79"/>
      <c r="J644" s="99"/>
      <c r="K644" s="4"/>
    </row>
    <row r="645" spans="3:11" x14ac:dyDescent="0.25">
      <c r="C645" s="79"/>
      <c r="D645" s="248"/>
      <c r="E645" s="248"/>
      <c r="F645" s="47"/>
      <c r="G645" s="79"/>
      <c r="J645" s="99"/>
      <c r="K645" s="4"/>
    </row>
    <row r="646" spans="3:11" x14ac:dyDescent="0.25">
      <c r="C646" s="79"/>
      <c r="D646" s="248"/>
      <c r="E646" s="248"/>
      <c r="F646" s="47"/>
      <c r="G646" s="79"/>
      <c r="J646" s="99"/>
      <c r="K646" s="4"/>
    </row>
    <row r="647" spans="3:11" x14ac:dyDescent="0.25">
      <c r="C647" s="79"/>
      <c r="D647" s="248"/>
      <c r="E647" s="248"/>
      <c r="F647" s="47"/>
      <c r="G647" s="79"/>
      <c r="J647" s="99"/>
      <c r="K647" s="4"/>
    </row>
    <row r="648" spans="3:11" x14ac:dyDescent="0.25">
      <c r="C648" s="79"/>
      <c r="D648" s="248"/>
      <c r="E648" s="248"/>
      <c r="F648" s="47"/>
      <c r="G648" s="79"/>
      <c r="J648" s="99"/>
      <c r="K648" s="4"/>
    </row>
    <row r="649" spans="3:11" x14ac:dyDescent="0.25">
      <c r="C649" s="79"/>
      <c r="D649" s="248"/>
      <c r="E649" s="248"/>
      <c r="F649" s="47"/>
      <c r="G649" s="79"/>
      <c r="J649" s="99"/>
      <c r="K649" s="4"/>
    </row>
    <row r="650" spans="3:11" x14ac:dyDescent="0.25">
      <c r="C650" s="79"/>
      <c r="D650" s="248"/>
      <c r="E650" s="248"/>
      <c r="F650" s="47"/>
      <c r="G650" s="79"/>
      <c r="J650" s="99"/>
      <c r="K650" s="4"/>
    </row>
    <row r="651" spans="3:11" x14ac:dyDescent="0.25">
      <c r="C651" s="79"/>
      <c r="D651" s="248"/>
      <c r="E651" s="248"/>
      <c r="F651" s="47"/>
      <c r="G651" s="79"/>
      <c r="J651" s="99"/>
      <c r="K651" s="4"/>
    </row>
    <row r="652" spans="3:11" x14ac:dyDescent="0.25">
      <c r="C652" s="79"/>
      <c r="D652" s="248"/>
      <c r="E652" s="248"/>
      <c r="F652" s="47"/>
      <c r="G652" s="79"/>
      <c r="J652" s="99"/>
      <c r="K652" s="4"/>
    </row>
    <row r="653" spans="3:11" x14ac:dyDescent="0.25">
      <c r="C653" s="79"/>
      <c r="D653" s="248"/>
      <c r="E653" s="248"/>
      <c r="F653" s="47"/>
      <c r="G653" s="79"/>
      <c r="J653" s="99"/>
      <c r="K653" s="4"/>
    </row>
    <row r="654" spans="3:11" x14ac:dyDescent="0.25">
      <c r="C654" s="79"/>
      <c r="D654" s="248"/>
      <c r="E654" s="248"/>
      <c r="F654" s="47"/>
      <c r="G654" s="79"/>
      <c r="J654" s="99"/>
      <c r="K654" s="4"/>
    </row>
    <row r="655" spans="3:11" x14ac:dyDescent="0.25">
      <c r="C655" s="79"/>
      <c r="D655" s="248"/>
      <c r="E655" s="248"/>
      <c r="F655" s="47"/>
      <c r="G655" s="79"/>
      <c r="J655" s="99"/>
      <c r="K655" s="4"/>
    </row>
    <row r="656" spans="3:11" x14ac:dyDescent="0.25">
      <c r="C656" s="79"/>
      <c r="D656" s="248"/>
      <c r="E656" s="248"/>
      <c r="F656" s="47"/>
      <c r="G656" s="79"/>
      <c r="J656" s="99"/>
      <c r="K656" s="4"/>
    </row>
    <row r="657" spans="3:11" x14ac:dyDescent="0.25">
      <c r="C657" s="79"/>
      <c r="D657" s="248"/>
      <c r="E657" s="248"/>
      <c r="F657" s="47"/>
      <c r="G657" s="79"/>
      <c r="J657" s="99"/>
      <c r="K657" s="4"/>
    </row>
    <row r="658" spans="3:11" x14ac:dyDescent="0.25">
      <c r="C658" s="79"/>
      <c r="D658" s="248"/>
      <c r="E658" s="248"/>
      <c r="F658" s="47"/>
      <c r="G658" s="79"/>
      <c r="J658" s="99"/>
      <c r="K658" s="4"/>
    </row>
    <row r="659" spans="3:11" x14ac:dyDescent="0.25">
      <c r="C659" s="79"/>
      <c r="D659" s="248"/>
      <c r="E659" s="248"/>
      <c r="F659" s="47"/>
      <c r="G659" s="79"/>
      <c r="J659" s="99"/>
      <c r="K659" s="4"/>
    </row>
    <row r="660" spans="3:11" x14ac:dyDescent="0.25">
      <c r="C660" s="79"/>
      <c r="D660" s="248"/>
      <c r="E660" s="248"/>
      <c r="F660" s="47"/>
      <c r="G660" s="79"/>
      <c r="J660" s="99"/>
      <c r="K660" s="4"/>
    </row>
    <row r="661" spans="3:11" x14ac:dyDescent="0.25">
      <c r="C661" s="79"/>
      <c r="D661" s="248"/>
      <c r="E661" s="248"/>
      <c r="F661" s="47"/>
      <c r="G661" s="79"/>
      <c r="J661" s="99"/>
      <c r="K661" s="4"/>
    </row>
    <row r="662" spans="3:11" x14ac:dyDescent="0.25">
      <c r="C662" s="79"/>
      <c r="D662" s="248"/>
      <c r="E662" s="248"/>
      <c r="F662" s="47"/>
      <c r="G662" s="79"/>
      <c r="J662" s="99"/>
      <c r="K662" s="4"/>
    </row>
    <row r="663" spans="3:11" x14ac:dyDescent="0.25">
      <c r="C663" s="79"/>
      <c r="D663" s="248"/>
      <c r="E663" s="248"/>
      <c r="F663" s="47"/>
      <c r="G663" s="79"/>
      <c r="J663" s="99"/>
      <c r="K663" s="4"/>
    </row>
    <row r="664" spans="3:11" x14ac:dyDescent="0.25">
      <c r="C664" s="79"/>
      <c r="D664" s="248"/>
      <c r="E664" s="248"/>
      <c r="F664" s="47"/>
      <c r="G664" s="79"/>
      <c r="J664" s="99"/>
      <c r="K664" s="4"/>
    </row>
    <row r="665" spans="3:11" x14ac:dyDescent="0.25">
      <c r="C665" s="79"/>
      <c r="D665" s="248"/>
      <c r="E665" s="248"/>
      <c r="F665" s="47"/>
      <c r="G665" s="79"/>
      <c r="J665" s="99"/>
      <c r="K665" s="4"/>
    </row>
    <row r="666" spans="3:11" x14ac:dyDescent="0.25">
      <c r="C666" s="79"/>
      <c r="D666" s="248"/>
      <c r="E666" s="248"/>
      <c r="F666" s="47"/>
      <c r="G666" s="79"/>
      <c r="J666" s="99"/>
      <c r="K666" s="4"/>
    </row>
    <row r="667" spans="3:11" x14ac:dyDescent="0.25">
      <c r="C667" s="79"/>
      <c r="D667" s="248"/>
      <c r="E667" s="248"/>
      <c r="F667" s="47"/>
      <c r="G667" s="79"/>
      <c r="J667" s="99"/>
      <c r="K667" s="4"/>
    </row>
    <row r="668" spans="3:11" x14ac:dyDescent="0.25">
      <c r="C668" s="79"/>
      <c r="D668" s="248"/>
      <c r="E668" s="248"/>
      <c r="F668" s="47"/>
      <c r="G668" s="79"/>
      <c r="J668" s="99"/>
      <c r="K668" s="4"/>
    </row>
    <row r="669" spans="3:11" x14ac:dyDescent="0.25">
      <c r="C669" s="79"/>
      <c r="D669" s="248"/>
      <c r="E669" s="248"/>
      <c r="F669" s="47"/>
      <c r="G669" s="79"/>
      <c r="J669" s="99"/>
      <c r="K669" s="4"/>
    </row>
    <row r="670" spans="3:11" x14ac:dyDescent="0.25">
      <c r="C670" s="79"/>
      <c r="D670" s="248"/>
      <c r="E670" s="248"/>
      <c r="F670" s="47"/>
      <c r="G670" s="79"/>
      <c r="J670" s="99"/>
      <c r="K670" s="4"/>
    </row>
    <row r="671" spans="3:11" x14ac:dyDescent="0.25">
      <c r="C671" s="79"/>
      <c r="D671" s="248"/>
      <c r="E671" s="248"/>
      <c r="F671" s="47"/>
      <c r="G671" s="79"/>
      <c r="J671" s="99"/>
      <c r="K671" s="4"/>
    </row>
    <row r="672" spans="3:11" x14ac:dyDescent="0.25">
      <c r="C672" s="79"/>
      <c r="D672" s="248"/>
      <c r="E672" s="248"/>
      <c r="F672" s="47"/>
      <c r="G672" s="79"/>
      <c r="J672" s="99"/>
      <c r="K672" s="4"/>
    </row>
    <row r="673" spans="3:11" x14ac:dyDescent="0.25">
      <c r="C673" s="79"/>
      <c r="D673" s="248"/>
      <c r="E673" s="248"/>
      <c r="F673" s="47"/>
      <c r="G673" s="79"/>
      <c r="J673" s="99"/>
      <c r="K673" s="4"/>
    </row>
    <row r="674" spans="3:11" x14ac:dyDescent="0.25">
      <c r="C674" s="79"/>
      <c r="D674" s="248"/>
      <c r="E674" s="248"/>
      <c r="F674" s="47"/>
      <c r="G674" s="79"/>
      <c r="J674" s="99"/>
      <c r="K674" s="4"/>
    </row>
    <row r="675" spans="3:11" x14ac:dyDescent="0.25">
      <c r="C675" s="79"/>
      <c r="D675" s="248"/>
      <c r="E675" s="248"/>
      <c r="F675" s="47"/>
      <c r="G675" s="79"/>
      <c r="J675" s="99"/>
      <c r="K675" s="4"/>
    </row>
    <row r="676" spans="3:11" x14ac:dyDescent="0.25">
      <c r="C676" s="79"/>
      <c r="D676" s="248"/>
      <c r="E676" s="248"/>
      <c r="F676" s="47"/>
      <c r="G676" s="79"/>
      <c r="J676" s="99"/>
      <c r="K676" s="4"/>
    </row>
    <row r="677" spans="3:11" x14ac:dyDescent="0.25">
      <c r="C677" s="79"/>
      <c r="D677" s="248"/>
      <c r="E677" s="248"/>
      <c r="F677" s="47"/>
      <c r="G677" s="79"/>
      <c r="J677" s="99"/>
      <c r="K677" s="4"/>
    </row>
    <row r="678" spans="3:11" x14ac:dyDescent="0.25">
      <c r="C678" s="79"/>
      <c r="D678" s="248"/>
      <c r="E678" s="248"/>
      <c r="F678" s="47"/>
      <c r="G678" s="79"/>
      <c r="J678" s="99"/>
      <c r="K678" s="4"/>
    </row>
    <row r="679" spans="3:11" x14ac:dyDescent="0.25">
      <c r="C679" s="79"/>
      <c r="D679" s="248"/>
      <c r="E679" s="248"/>
      <c r="F679" s="47"/>
      <c r="G679" s="79"/>
      <c r="J679" s="99"/>
      <c r="K679" s="4"/>
    </row>
    <row r="680" spans="3:11" x14ac:dyDescent="0.25">
      <c r="C680" s="79"/>
      <c r="D680" s="248"/>
      <c r="E680" s="248"/>
      <c r="F680" s="47"/>
      <c r="G680" s="79"/>
      <c r="J680" s="99"/>
      <c r="K680" s="4"/>
    </row>
    <row r="681" spans="3:11" x14ac:dyDescent="0.25">
      <c r="C681" s="79"/>
      <c r="D681" s="248"/>
      <c r="E681" s="248"/>
      <c r="F681" s="47"/>
      <c r="G681" s="79"/>
      <c r="J681" s="99"/>
      <c r="K681" s="4"/>
    </row>
    <row r="682" spans="3:11" x14ac:dyDescent="0.25">
      <c r="C682" s="79"/>
      <c r="D682" s="248"/>
      <c r="E682" s="248"/>
      <c r="F682" s="47"/>
      <c r="G682" s="79"/>
      <c r="J682" s="99"/>
      <c r="K682" s="4"/>
    </row>
    <row r="683" spans="3:11" x14ac:dyDescent="0.25">
      <c r="C683" s="79"/>
      <c r="D683" s="248"/>
      <c r="E683" s="248"/>
      <c r="F683" s="47"/>
      <c r="G683" s="79"/>
      <c r="J683" s="99"/>
      <c r="K683" s="4"/>
    </row>
    <row r="684" spans="3:11" x14ac:dyDescent="0.25">
      <c r="C684" s="79"/>
      <c r="D684" s="248"/>
      <c r="E684" s="248"/>
      <c r="F684" s="47"/>
      <c r="G684" s="79"/>
      <c r="J684" s="99"/>
      <c r="K684" s="4"/>
    </row>
    <row r="685" spans="3:11" x14ac:dyDescent="0.25">
      <c r="C685" s="79"/>
      <c r="D685" s="248"/>
      <c r="E685" s="248"/>
      <c r="F685" s="47"/>
      <c r="G685" s="79"/>
      <c r="J685" s="99"/>
      <c r="K685" s="4"/>
    </row>
    <row r="686" spans="3:11" x14ac:dyDescent="0.25">
      <c r="C686" s="79"/>
      <c r="D686" s="248"/>
      <c r="E686" s="248"/>
      <c r="F686" s="47"/>
      <c r="G686" s="79"/>
      <c r="J686" s="99"/>
      <c r="K686" s="4"/>
    </row>
    <row r="687" spans="3:11" x14ac:dyDescent="0.25">
      <c r="C687" s="79"/>
      <c r="D687" s="248"/>
      <c r="E687" s="248"/>
      <c r="F687" s="47"/>
      <c r="G687" s="79"/>
      <c r="J687" s="99"/>
      <c r="K687" s="4"/>
    </row>
    <row r="688" spans="3:11" x14ac:dyDescent="0.25">
      <c r="C688" s="79"/>
      <c r="D688" s="248"/>
      <c r="E688" s="248"/>
      <c r="F688" s="47"/>
      <c r="G688" s="79"/>
      <c r="J688" s="99"/>
      <c r="K688" s="4"/>
    </row>
    <row r="689" spans="3:11" x14ac:dyDescent="0.25">
      <c r="C689" s="79"/>
      <c r="D689" s="248"/>
      <c r="E689" s="248"/>
      <c r="F689" s="47"/>
      <c r="G689" s="79"/>
      <c r="J689" s="99"/>
      <c r="K689" s="4"/>
    </row>
    <row r="690" spans="3:11" x14ac:dyDescent="0.25">
      <c r="C690" s="79"/>
      <c r="D690" s="248"/>
      <c r="E690" s="248"/>
      <c r="F690" s="47"/>
      <c r="G690" s="79"/>
      <c r="J690" s="99"/>
      <c r="K690" s="4"/>
    </row>
    <row r="691" spans="3:11" x14ac:dyDescent="0.25">
      <c r="C691" s="79"/>
      <c r="D691" s="248"/>
      <c r="E691" s="248"/>
      <c r="F691" s="47"/>
      <c r="G691" s="79"/>
      <c r="J691" s="99"/>
      <c r="K691" s="4"/>
    </row>
    <row r="692" spans="3:11" x14ac:dyDescent="0.25">
      <c r="C692" s="79"/>
      <c r="D692" s="248"/>
      <c r="E692" s="248"/>
      <c r="F692" s="47"/>
      <c r="G692" s="79"/>
      <c r="J692" s="99"/>
      <c r="K692" s="4"/>
    </row>
    <row r="693" spans="3:11" x14ac:dyDescent="0.25">
      <c r="C693" s="79"/>
      <c r="D693" s="248"/>
      <c r="E693" s="248"/>
      <c r="F693" s="47"/>
      <c r="G693" s="79"/>
      <c r="J693" s="99"/>
      <c r="K693" s="4"/>
    </row>
    <row r="694" spans="3:11" x14ac:dyDescent="0.25">
      <c r="C694" s="79"/>
      <c r="D694" s="248"/>
      <c r="E694" s="248"/>
      <c r="F694" s="47"/>
      <c r="G694" s="79"/>
      <c r="J694" s="99"/>
      <c r="K694" s="4"/>
    </row>
    <row r="695" spans="3:11" x14ac:dyDescent="0.25">
      <c r="C695" s="79"/>
      <c r="D695" s="248"/>
      <c r="E695" s="248"/>
      <c r="F695" s="47"/>
      <c r="G695" s="79"/>
      <c r="J695" s="99"/>
      <c r="K695" s="4"/>
    </row>
    <row r="696" spans="3:11" x14ac:dyDescent="0.25">
      <c r="C696" s="79"/>
      <c r="D696" s="248"/>
      <c r="E696" s="248"/>
      <c r="F696" s="47"/>
      <c r="G696" s="79"/>
      <c r="J696" s="99"/>
      <c r="K696" s="4"/>
    </row>
    <row r="697" spans="3:11" x14ac:dyDescent="0.25">
      <c r="C697" s="79"/>
      <c r="D697" s="248"/>
      <c r="E697" s="248"/>
      <c r="F697" s="47"/>
      <c r="G697" s="79"/>
      <c r="J697" s="99"/>
      <c r="K697" s="4"/>
    </row>
    <row r="698" spans="3:11" x14ac:dyDescent="0.25">
      <c r="C698" s="79"/>
      <c r="D698" s="248"/>
      <c r="E698" s="248"/>
      <c r="F698" s="47"/>
      <c r="G698" s="79"/>
      <c r="J698" s="99"/>
      <c r="K698" s="4"/>
    </row>
    <row r="699" spans="3:11" x14ac:dyDescent="0.25">
      <c r="C699" s="79"/>
      <c r="D699" s="248"/>
      <c r="E699" s="248"/>
      <c r="F699" s="47"/>
      <c r="G699" s="79"/>
      <c r="J699" s="99"/>
      <c r="K699" s="4"/>
    </row>
    <row r="700" spans="3:11" x14ac:dyDescent="0.25">
      <c r="C700" s="79"/>
      <c r="D700" s="248"/>
      <c r="E700" s="248"/>
      <c r="F700" s="47"/>
      <c r="G700" s="79"/>
      <c r="J700" s="99"/>
      <c r="K700" s="4"/>
    </row>
    <row r="701" spans="3:11" x14ac:dyDescent="0.25">
      <c r="C701" s="79"/>
      <c r="D701" s="248"/>
      <c r="E701" s="248"/>
      <c r="F701" s="47"/>
      <c r="G701" s="79"/>
      <c r="J701" s="99"/>
      <c r="K701" s="4"/>
    </row>
    <row r="702" spans="3:11" x14ac:dyDescent="0.25">
      <c r="C702" s="79"/>
      <c r="D702" s="248"/>
      <c r="E702" s="248"/>
      <c r="F702" s="47"/>
      <c r="G702" s="79"/>
      <c r="J702" s="99"/>
      <c r="K702" s="4"/>
    </row>
    <row r="703" spans="3:11" x14ac:dyDescent="0.25">
      <c r="C703" s="79"/>
      <c r="D703" s="248"/>
      <c r="E703" s="248"/>
      <c r="F703" s="47"/>
      <c r="G703" s="79"/>
      <c r="J703" s="99"/>
      <c r="K703" s="4"/>
    </row>
    <row r="704" spans="3:11" x14ac:dyDescent="0.25">
      <c r="C704" s="79"/>
      <c r="D704" s="248"/>
      <c r="E704" s="248"/>
      <c r="F704" s="47"/>
      <c r="G704" s="79"/>
      <c r="J704" s="99"/>
      <c r="K704" s="4"/>
    </row>
    <row r="705" spans="3:11" x14ac:dyDescent="0.25">
      <c r="C705" s="79"/>
      <c r="D705" s="248"/>
      <c r="E705" s="248"/>
      <c r="F705" s="47"/>
      <c r="G705" s="79"/>
      <c r="J705" s="99"/>
      <c r="K705" s="4"/>
    </row>
    <row r="706" spans="3:11" x14ac:dyDescent="0.25">
      <c r="C706" s="79"/>
      <c r="D706" s="248"/>
      <c r="E706" s="248"/>
      <c r="F706" s="47"/>
      <c r="G706" s="79"/>
      <c r="J706" s="99"/>
      <c r="K706" s="4"/>
    </row>
    <row r="707" spans="3:11" x14ac:dyDescent="0.25">
      <c r="C707" s="79"/>
      <c r="D707" s="248"/>
      <c r="E707" s="248"/>
      <c r="F707" s="47"/>
      <c r="G707" s="79"/>
      <c r="J707" s="99"/>
      <c r="K707" s="4"/>
    </row>
    <row r="708" spans="3:11" x14ac:dyDescent="0.25">
      <c r="C708" s="79"/>
      <c r="D708" s="248"/>
      <c r="E708" s="248"/>
      <c r="F708" s="47"/>
      <c r="G708" s="79"/>
      <c r="J708" s="99"/>
      <c r="K708" s="4"/>
    </row>
    <row r="709" spans="3:11" x14ac:dyDescent="0.25">
      <c r="C709" s="79"/>
      <c r="D709" s="248"/>
      <c r="E709" s="248"/>
      <c r="F709" s="47"/>
      <c r="G709" s="79"/>
      <c r="J709" s="99"/>
      <c r="K709" s="4"/>
    </row>
    <row r="710" spans="3:11" x14ac:dyDescent="0.25">
      <c r="C710" s="79"/>
      <c r="D710" s="248"/>
      <c r="E710" s="248"/>
      <c r="F710" s="47"/>
      <c r="G710" s="79"/>
      <c r="J710" s="99"/>
      <c r="K710" s="4"/>
    </row>
    <row r="711" spans="3:11" x14ac:dyDescent="0.25">
      <c r="C711" s="79"/>
      <c r="D711" s="248"/>
      <c r="E711" s="248"/>
      <c r="F711" s="47"/>
      <c r="G711" s="79"/>
      <c r="J711" s="99"/>
      <c r="K711" s="4"/>
    </row>
    <row r="712" spans="3:11" x14ac:dyDescent="0.25">
      <c r="C712" s="79"/>
      <c r="D712" s="248"/>
      <c r="E712" s="248"/>
      <c r="F712" s="47"/>
      <c r="G712" s="79"/>
      <c r="J712" s="99"/>
      <c r="K712" s="4"/>
    </row>
    <row r="713" spans="3:11" x14ac:dyDescent="0.25">
      <c r="C713" s="79"/>
      <c r="D713" s="248"/>
      <c r="E713" s="248"/>
      <c r="F713" s="47"/>
      <c r="G713" s="79"/>
      <c r="J713" s="99"/>
      <c r="K713" s="4"/>
    </row>
    <row r="714" spans="3:11" x14ac:dyDescent="0.25">
      <c r="C714" s="79"/>
      <c r="D714" s="248"/>
      <c r="E714" s="248"/>
      <c r="F714" s="47"/>
      <c r="G714" s="79"/>
      <c r="J714" s="99"/>
      <c r="K714" s="4"/>
    </row>
    <row r="715" spans="3:11" x14ac:dyDescent="0.25">
      <c r="C715" s="79"/>
      <c r="D715" s="248"/>
      <c r="E715" s="248"/>
      <c r="F715" s="47"/>
      <c r="G715" s="79"/>
      <c r="J715" s="99"/>
      <c r="K715" s="4"/>
    </row>
    <row r="716" spans="3:11" x14ac:dyDescent="0.25">
      <c r="C716" s="79"/>
      <c r="D716" s="248"/>
      <c r="E716" s="248"/>
      <c r="F716" s="47"/>
      <c r="G716" s="79"/>
      <c r="J716" s="99"/>
      <c r="K716" s="4"/>
    </row>
    <row r="717" spans="3:11" x14ac:dyDescent="0.25">
      <c r="C717" s="79"/>
      <c r="D717" s="248"/>
      <c r="E717" s="248"/>
      <c r="F717" s="47"/>
      <c r="G717" s="79"/>
      <c r="J717" s="99"/>
      <c r="K717" s="4"/>
    </row>
    <row r="718" spans="3:11" x14ac:dyDescent="0.25">
      <c r="C718" s="79"/>
      <c r="D718" s="248"/>
      <c r="E718" s="248"/>
      <c r="F718" s="47"/>
      <c r="G718" s="79"/>
      <c r="J718" s="99"/>
      <c r="K718" s="4"/>
    </row>
    <row r="719" spans="3:11" x14ac:dyDescent="0.25">
      <c r="C719" s="79"/>
      <c r="D719" s="248"/>
      <c r="E719" s="248"/>
      <c r="F719" s="47"/>
      <c r="G719" s="79"/>
      <c r="J719" s="99"/>
      <c r="K719" s="4"/>
    </row>
    <row r="720" spans="3:11" x14ac:dyDescent="0.25">
      <c r="C720" s="79"/>
      <c r="D720" s="248"/>
      <c r="E720" s="248"/>
      <c r="F720" s="47"/>
      <c r="G720" s="79"/>
      <c r="J720" s="99"/>
      <c r="K720" s="4"/>
    </row>
    <row r="721" spans="3:11" x14ac:dyDescent="0.25">
      <c r="C721" s="79"/>
      <c r="D721" s="248"/>
      <c r="E721" s="248"/>
      <c r="F721" s="47"/>
      <c r="G721" s="79"/>
      <c r="J721" s="99"/>
      <c r="K721" s="4"/>
    </row>
    <row r="722" spans="3:11" x14ac:dyDescent="0.25">
      <c r="C722" s="79"/>
      <c r="D722" s="248"/>
      <c r="E722" s="248"/>
      <c r="F722" s="47"/>
      <c r="G722" s="79"/>
      <c r="J722" s="99"/>
      <c r="K722" s="4"/>
    </row>
    <row r="723" spans="3:11" x14ac:dyDescent="0.25">
      <c r="C723" s="79"/>
      <c r="D723" s="248"/>
      <c r="E723" s="248"/>
      <c r="F723" s="47"/>
      <c r="G723" s="79"/>
      <c r="J723" s="99"/>
      <c r="K723" s="4"/>
    </row>
    <row r="724" spans="3:11" x14ac:dyDescent="0.25">
      <c r="C724" s="79"/>
      <c r="D724" s="248"/>
      <c r="E724" s="248"/>
      <c r="F724" s="47"/>
      <c r="G724" s="79"/>
      <c r="J724" s="99"/>
      <c r="K724" s="4"/>
    </row>
    <row r="725" spans="3:11" x14ac:dyDescent="0.25">
      <c r="C725" s="79"/>
      <c r="D725" s="248"/>
      <c r="E725" s="248"/>
      <c r="F725" s="47"/>
      <c r="G725" s="79"/>
      <c r="J725" s="99"/>
      <c r="K725" s="4"/>
    </row>
    <row r="726" spans="3:11" x14ac:dyDescent="0.25">
      <c r="C726" s="79"/>
      <c r="D726" s="248"/>
      <c r="E726" s="248"/>
      <c r="F726" s="47"/>
      <c r="G726" s="79"/>
      <c r="J726" s="99"/>
      <c r="K726" s="4"/>
    </row>
    <row r="727" spans="3:11" x14ac:dyDescent="0.25">
      <c r="C727" s="79"/>
      <c r="D727" s="248"/>
      <c r="E727" s="248"/>
      <c r="F727" s="47"/>
      <c r="G727" s="79"/>
      <c r="J727" s="99"/>
      <c r="K727" s="4"/>
    </row>
    <row r="728" spans="3:11" x14ac:dyDescent="0.25">
      <c r="C728" s="79"/>
      <c r="D728" s="248"/>
      <c r="E728" s="248"/>
      <c r="F728" s="47"/>
      <c r="G728" s="79"/>
      <c r="J728" s="99"/>
      <c r="K728" s="4"/>
    </row>
    <row r="729" spans="3:11" x14ac:dyDescent="0.25">
      <c r="C729" s="79"/>
      <c r="D729" s="248"/>
      <c r="E729" s="248"/>
      <c r="F729" s="47"/>
      <c r="G729" s="79"/>
      <c r="J729" s="99"/>
      <c r="K729" s="4"/>
    </row>
    <row r="730" spans="3:11" x14ac:dyDescent="0.25">
      <c r="C730" s="79"/>
      <c r="D730" s="248"/>
      <c r="E730" s="248"/>
      <c r="F730" s="47"/>
      <c r="G730" s="79"/>
      <c r="J730" s="99"/>
      <c r="K730" s="4"/>
    </row>
    <row r="731" spans="3:11" x14ac:dyDescent="0.25">
      <c r="C731" s="79"/>
      <c r="D731" s="248"/>
      <c r="E731" s="248"/>
      <c r="F731" s="47"/>
      <c r="G731" s="79"/>
      <c r="J731" s="99"/>
      <c r="K731" s="4"/>
    </row>
    <row r="732" spans="3:11" x14ac:dyDescent="0.25">
      <c r="C732" s="79"/>
      <c r="D732" s="248"/>
      <c r="E732" s="248"/>
      <c r="F732" s="47"/>
      <c r="G732" s="79"/>
      <c r="J732" s="99"/>
      <c r="K732" s="4"/>
    </row>
    <row r="733" spans="3:11" x14ac:dyDescent="0.25">
      <c r="C733" s="79"/>
      <c r="D733" s="248"/>
      <c r="E733" s="248"/>
      <c r="F733" s="47"/>
      <c r="G733" s="79"/>
      <c r="J733" s="99"/>
      <c r="K733" s="4"/>
    </row>
    <row r="734" spans="3:11" x14ac:dyDescent="0.25">
      <c r="C734" s="79"/>
      <c r="D734" s="248"/>
      <c r="E734" s="248"/>
      <c r="F734" s="47"/>
      <c r="G734" s="79"/>
      <c r="J734" s="99"/>
      <c r="K734" s="4"/>
    </row>
    <row r="735" spans="3:11" x14ac:dyDescent="0.25">
      <c r="C735" s="79"/>
      <c r="D735" s="248"/>
      <c r="E735" s="248"/>
      <c r="F735" s="47"/>
      <c r="G735" s="79"/>
      <c r="J735" s="99"/>
      <c r="K735" s="4"/>
    </row>
    <row r="736" spans="3:11" x14ac:dyDescent="0.25">
      <c r="C736" s="79"/>
      <c r="D736" s="248"/>
      <c r="E736" s="248"/>
      <c r="F736" s="47"/>
      <c r="G736" s="79"/>
      <c r="J736" s="99"/>
      <c r="K736" s="4"/>
    </row>
    <row r="737" spans="3:11" x14ac:dyDescent="0.25">
      <c r="C737" s="79"/>
      <c r="D737" s="248"/>
      <c r="E737" s="248"/>
      <c r="F737" s="47"/>
      <c r="G737" s="79"/>
      <c r="J737" s="99"/>
      <c r="K737" s="4"/>
    </row>
    <row r="738" spans="3:11" x14ac:dyDescent="0.25">
      <c r="C738" s="79"/>
      <c r="D738" s="248"/>
      <c r="E738" s="248"/>
      <c r="F738" s="47"/>
      <c r="G738" s="79"/>
      <c r="J738" s="99"/>
      <c r="K738" s="4"/>
    </row>
    <row r="739" spans="3:11" x14ac:dyDescent="0.25">
      <c r="C739" s="79"/>
      <c r="D739" s="248"/>
      <c r="E739" s="248"/>
      <c r="F739" s="47"/>
      <c r="G739" s="79"/>
      <c r="J739" s="99"/>
      <c r="K739" s="4"/>
    </row>
    <row r="740" spans="3:11" x14ac:dyDescent="0.25">
      <c r="C740" s="79"/>
      <c r="D740" s="248"/>
      <c r="E740" s="248"/>
      <c r="F740" s="47"/>
      <c r="G740" s="79"/>
      <c r="J740" s="99"/>
      <c r="K740" s="4"/>
    </row>
    <row r="741" spans="3:11" x14ac:dyDescent="0.25">
      <c r="C741" s="79"/>
      <c r="D741" s="248"/>
      <c r="E741" s="248"/>
      <c r="F741" s="47"/>
      <c r="G741" s="79"/>
      <c r="J741" s="99"/>
      <c r="K741" s="4"/>
    </row>
    <row r="742" spans="3:11" x14ac:dyDescent="0.25">
      <c r="C742" s="79"/>
      <c r="D742" s="248"/>
      <c r="E742" s="248"/>
      <c r="F742" s="47"/>
      <c r="G742" s="79"/>
      <c r="J742" s="99"/>
      <c r="K742" s="4"/>
    </row>
    <row r="743" spans="3:11" x14ac:dyDescent="0.25">
      <c r="C743" s="79"/>
      <c r="D743" s="248"/>
      <c r="E743" s="248"/>
      <c r="F743" s="47"/>
      <c r="G743" s="79"/>
      <c r="J743" s="99"/>
      <c r="K743" s="4"/>
    </row>
    <row r="744" spans="3:11" x14ac:dyDescent="0.25">
      <c r="C744" s="79"/>
      <c r="D744" s="248"/>
      <c r="E744" s="248"/>
      <c r="F744" s="47"/>
      <c r="G744" s="79"/>
      <c r="J744" s="99"/>
      <c r="K744" s="4"/>
    </row>
    <row r="745" spans="3:11" x14ac:dyDescent="0.25">
      <c r="C745" s="79"/>
      <c r="D745" s="248"/>
      <c r="E745" s="248"/>
      <c r="F745" s="47"/>
      <c r="G745" s="79"/>
      <c r="J745" s="99"/>
      <c r="K745" s="4"/>
    </row>
    <row r="746" spans="3:11" x14ac:dyDescent="0.25">
      <c r="C746" s="79"/>
      <c r="D746" s="248"/>
      <c r="E746" s="248"/>
      <c r="F746" s="47"/>
      <c r="G746" s="79"/>
      <c r="J746" s="99"/>
      <c r="K746" s="4"/>
    </row>
    <row r="747" spans="3:11" x14ac:dyDescent="0.25">
      <c r="C747" s="79"/>
      <c r="D747" s="248"/>
      <c r="E747" s="248"/>
      <c r="F747" s="47"/>
      <c r="G747" s="79"/>
      <c r="J747" s="99"/>
      <c r="K747" s="4"/>
    </row>
    <row r="748" spans="3:11" x14ac:dyDescent="0.25">
      <c r="C748" s="79"/>
      <c r="D748" s="248"/>
      <c r="E748" s="248"/>
      <c r="F748" s="47"/>
      <c r="G748" s="79"/>
      <c r="J748" s="99"/>
      <c r="K748" s="4"/>
    </row>
    <row r="749" spans="3:11" x14ac:dyDescent="0.25">
      <c r="C749" s="79"/>
      <c r="D749" s="248"/>
      <c r="E749" s="248"/>
      <c r="F749" s="47"/>
      <c r="G749" s="79"/>
      <c r="J749" s="99"/>
      <c r="K749" s="4"/>
    </row>
    <row r="750" spans="3:11" x14ac:dyDescent="0.25">
      <c r="C750" s="79"/>
      <c r="D750" s="248"/>
      <c r="E750" s="248"/>
      <c r="F750" s="47"/>
      <c r="G750" s="79"/>
      <c r="J750" s="99"/>
      <c r="K750" s="4"/>
    </row>
    <row r="751" spans="3:11" x14ac:dyDescent="0.25">
      <c r="C751" s="79"/>
      <c r="D751" s="248"/>
      <c r="E751" s="248"/>
      <c r="F751" s="47"/>
      <c r="G751" s="79"/>
      <c r="J751" s="99"/>
      <c r="K751" s="4"/>
    </row>
    <row r="752" spans="3:11" x14ac:dyDescent="0.25">
      <c r="C752" s="79"/>
      <c r="D752" s="248"/>
      <c r="E752" s="248"/>
      <c r="F752" s="47"/>
      <c r="G752" s="79"/>
      <c r="J752" s="99"/>
      <c r="K752" s="4"/>
    </row>
    <row r="753" spans="3:11" x14ac:dyDescent="0.25">
      <c r="C753" s="79"/>
      <c r="D753" s="248"/>
      <c r="E753" s="248"/>
      <c r="F753" s="47"/>
      <c r="G753" s="79"/>
      <c r="J753" s="99"/>
      <c r="K753" s="4"/>
    </row>
    <row r="754" spans="3:11" x14ac:dyDescent="0.25">
      <c r="C754" s="79"/>
      <c r="D754" s="248"/>
      <c r="E754" s="248"/>
      <c r="F754" s="47"/>
      <c r="G754" s="79"/>
      <c r="J754" s="99"/>
      <c r="K754" s="4"/>
    </row>
    <row r="755" spans="3:11" x14ac:dyDescent="0.25">
      <c r="C755" s="79"/>
      <c r="D755" s="248"/>
      <c r="E755" s="248"/>
      <c r="F755" s="47"/>
      <c r="G755" s="79"/>
      <c r="J755" s="99"/>
      <c r="K755" s="4"/>
    </row>
    <row r="756" spans="3:11" x14ac:dyDescent="0.25">
      <c r="C756" s="79"/>
      <c r="D756" s="248"/>
      <c r="E756" s="248"/>
      <c r="F756" s="47"/>
      <c r="G756" s="79"/>
      <c r="J756" s="99"/>
      <c r="K756" s="4"/>
    </row>
    <row r="757" spans="3:11" x14ac:dyDescent="0.25">
      <c r="C757" s="79"/>
      <c r="D757" s="248"/>
      <c r="E757" s="248"/>
      <c r="F757" s="47"/>
      <c r="G757" s="79"/>
      <c r="J757" s="99"/>
      <c r="K757" s="4"/>
    </row>
    <row r="758" spans="3:11" x14ac:dyDescent="0.25">
      <c r="C758" s="79"/>
      <c r="D758" s="248"/>
      <c r="E758" s="248"/>
      <c r="F758" s="47"/>
      <c r="G758" s="79"/>
      <c r="J758" s="99"/>
      <c r="K758" s="4"/>
    </row>
    <row r="759" spans="3:11" x14ac:dyDescent="0.25">
      <c r="C759" s="79"/>
      <c r="D759" s="248"/>
      <c r="E759" s="248"/>
      <c r="F759" s="47"/>
      <c r="G759" s="79"/>
      <c r="J759" s="99"/>
      <c r="K759" s="4"/>
    </row>
    <row r="760" spans="3:11" x14ac:dyDescent="0.25">
      <c r="C760" s="79"/>
      <c r="D760" s="248"/>
      <c r="E760" s="248"/>
      <c r="F760" s="47"/>
      <c r="G760" s="79"/>
      <c r="J760" s="99"/>
      <c r="K760" s="4"/>
    </row>
    <row r="761" spans="3:11" x14ac:dyDescent="0.25">
      <c r="C761" s="79"/>
      <c r="D761" s="248"/>
      <c r="E761" s="248"/>
      <c r="F761" s="47"/>
      <c r="G761" s="79"/>
      <c r="J761" s="99"/>
      <c r="K761" s="4"/>
    </row>
    <row r="762" spans="3:11" x14ac:dyDescent="0.25">
      <c r="C762" s="79"/>
      <c r="D762" s="248"/>
      <c r="E762" s="248"/>
      <c r="F762" s="47"/>
      <c r="G762" s="79"/>
      <c r="J762" s="99"/>
      <c r="K762" s="4"/>
    </row>
    <row r="763" spans="3:11" x14ac:dyDescent="0.25">
      <c r="C763" s="79"/>
      <c r="D763" s="248"/>
      <c r="E763" s="248"/>
      <c r="F763" s="47"/>
      <c r="G763" s="79"/>
      <c r="J763" s="99"/>
      <c r="K763" s="4"/>
    </row>
    <row r="764" spans="3:11" x14ac:dyDescent="0.25">
      <c r="C764" s="79"/>
      <c r="D764" s="248"/>
      <c r="E764" s="248"/>
      <c r="F764" s="47"/>
      <c r="G764" s="79"/>
      <c r="J764" s="99"/>
      <c r="K764" s="4"/>
    </row>
    <row r="765" spans="3:11" x14ac:dyDescent="0.25">
      <c r="C765" s="79"/>
      <c r="D765" s="248"/>
      <c r="E765" s="248"/>
      <c r="F765" s="47"/>
      <c r="G765" s="79"/>
      <c r="J765" s="99"/>
      <c r="K765" s="4"/>
    </row>
    <row r="766" spans="3:11" x14ac:dyDescent="0.25">
      <c r="C766" s="79"/>
      <c r="D766" s="248"/>
      <c r="E766" s="248"/>
      <c r="F766" s="47"/>
      <c r="G766" s="79"/>
      <c r="J766" s="99"/>
      <c r="K766" s="4"/>
    </row>
    <row r="767" spans="3:11" x14ac:dyDescent="0.25">
      <c r="C767" s="79"/>
      <c r="D767" s="248"/>
      <c r="E767" s="248"/>
      <c r="F767" s="47"/>
      <c r="G767" s="79"/>
      <c r="J767" s="99"/>
      <c r="K767" s="4"/>
    </row>
    <row r="768" spans="3:11" x14ac:dyDescent="0.25">
      <c r="C768" s="79"/>
      <c r="D768" s="248"/>
      <c r="E768" s="248"/>
      <c r="F768" s="47"/>
      <c r="G768" s="79"/>
      <c r="J768" s="99"/>
      <c r="K768" s="4"/>
    </row>
    <row r="769" spans="3:11" x14ac:dyDescent="0.25">
      <c r="C769" s="79"/>
      <c r="D769" s="248"/>
      <c r="E769" s="248"/>
      <c r="F769" s="47"/>
      <c r="G769" s="79"/>
      <c r="J769" s="99"/>
      <c r="K769" s="4"/>
    </row>
    <row r="770" spans="3:11" x14ac:dyDescent="0.25">
      <c r="C770" s="79"/>
      <c r="D770" s="248"/>
      <c r="E770" s="248"/>
      <c r="F770" s="47"/>
      <c r="G770" s="79"/>
      <c r="J770" s="99"/>
      <c r="K770" s="4"/>
    </row>
    <row r="771" spans="3:11" x14ac:dyDescent="0.25">
      <c r="C771" s="79"/>
      <c r="D771" s="248"/>
      <c r="E771" s="248"/>
      <c r="F771" s="47"/>
      <c r="G771" s="79"/>
      <c r="J771" s="99"/>
      <c r="K771" s="4"/>
    </row>
    <row r="772" spans="3:11" x14ac:dyDescent="0.25">
      <c r="C772" s="79"/>
      <c r="D772" s="248"/>
      <c r="E772" s="248"/>
      <c r="F772" s="47"/>
      <c r="G772" s="79"/>
      <c r="J772" s="99"/>
      <c r="K772" s="4"/>
    </row>
    <row r="773" spans="3:11" x14ac:dyDescent="0.25">
      <c r="C773" s="79"/>
      <c r="D773" s="248"/>
      <c r="E773" s="248"/>
      <c r="F773" s="47"/>
      <c r="G773" s="79"/>
      <c r="J773" s="99"/>
      <c r="K773" s="4"/>
    </row>
    <row r="774" spans="3:11" x14ac:dyDescent="0.25">
      <c r="C774" s="79"/>
      <c r="D774" s="248"/>
      <c r="E774" s="248"/>
      <c r="F774" s="47"/>
      <c r="G774" s="79"/>
      <c r="J774" s="99"/>
      <c r="K774" s="4"/>
    </row>
    <row r="775" spans="3:11" x14ac:dyDescent="0.25">
      <c r="C775" s="79"/>
      <c r="D775" s="248"/>
      <c r="E775" s="248"/>
      <c r="F775" s="47"/>
      <c r="G775" s="79"/>
      <c r="J775" s="99"/>
      <c r="K775" s="4"/>
    </row>
    <row r="776" spans="3:11" x14ac:dyDescent="0.25">
      <c r="C776" s="79"/>
      <c r="D776" s="248"/>
      <c r="E776" s="248"/>
      <c r="F776" s="47"/>
      <c r="G776" s="79"/>
      <c r="J776" s="99"/>
      <c r="K776" s="4"/>
    </row>
    <row r="777" spans="3:11" x14ac:dyDescent="0.25">
      <c r="C777" s="79"/>
      <c r="D777" s="248"/>
      <c r="E777" s="248"/>
      <c r="F777" s="47"/>
      <c r="G777" s="79"/>
      <c r="J777" s="99"/>
      <c r="K777" s="4"/>
    </row>
    <row r="778" spans="3:11" x14ac:dyDescent="0.25">
      <c r="C778" s="79"/>
      <c r="D778" s="248"/>
      <c r="E778" s="248"/>
      <c r="F778" s="47"/>
      <c r="G778" s="79"/>
      <c r="J778" s="99"/>
      <c r="K778" s="4"/>
    </row>
    <row r="779" spans="3:11" x14ac:dyDescent="0.25">
      <c r="C779" s="79"/>
      <c r="D779" s="248"/>
      <c r="E779" s="248"/>
      <c r="F779" s="47"/>
      <c r="G779" s="79"/>
      <c r="J779" s="99"/>
      <c r="K779" s="4"/>
    </row>
    <row r="780" spans="3:11" x14ac:dyDescent="0.25">
      <c r="C780" s="79"/>
      <c r="D780" s="248"/>
      <c r="E780" s="248"/>
      <c r="F780" s="47"/>
      <c r="G780" s="79"/>
      <c r="J780" s="99"/>
      <c r="K780" s="4"/>
    </row>
    <row r="781" spans="3:11" x14ac:dyDescent="0.25">
      <c r="C781" s="79"/>
      <c r="D781" s="248"/>
      <c r="E781" s="248"/>
      <c r="F781" s="47"/>
      <c r="G781" s="79"/>
      <c r="J781" s="99"/>
      <c r="K781" s="4"/>
    </row>
    <row r="782" spans="3:11" x14ac:dyDescent="0.25">
      <c r="C782" s="79"/>
      <c r="D782" s="248"/>
      <c r="E782" s="248"/>
      <c r="F782" s="47"/>
      <c r="G782" s="79"/>
      <c r="J782" s="99"/>
      <c r="K782" s="4"/>
    </row>
    <row r="783" spans="3:11" x14ac:dyDescent="0.25">
      <c r="C783" s="79"/>
      <c r="D783" s="248"/>
      <c r="E783" s="248"/>
      <c r="F783" s="47"/>
      <c r="G783" s="79"/>
      <c r="J783" s="99"/>
      <c r="K783" s="4"/>
    </row>
    <row r="784" spans="3:11" x14ac:dyDescent="0.25">
      <c r="C784" s="79"/>
      <c r="D784" s="248"/>
      <c r="E784" s="248"/>
      <c r="F784" s="47"/>
      <c r="G784" s="79"/>
      <c r="J784" s="99"/>
      <c r="K784" s="4"/>
    </row>
    <row r="785" spans="3:11" x14ac:dyDescent="0.25">
      <c r="C785" s="79"/>
      <c r="D785" s="248"/>
      <c r="E785" s="248"/>
      <c r="F785" s="47"/>
      <c r="G785" s="79"/>
      <c r="J785" s="99"/>
      <c r="K785" s="4"/>
    </row>
    <row r="786" spans="3:11" x14ac:dyDescent="0.25">
      <c r="C786" s="79"/>
      <c r="D786" s="248"/>
      <c r="E786" s="248"/>
      <c r="F786" s="47"/>
      <c r="G786" s="79"/>
      <c r="J786" s="99"/>
      <c r="K786" s="4"/>
    </row>
    <row r="787" spans="3:11" x14ac:dyDescent="0.25">
      <c r="C787" s="79"/>
      <c r="D787" s="248"/>
      <c r="E787" s="248"/>
      <c r="F787" s="47"/>
      <c r="G787" s="79"/>
      <c r="J787" s="99"/>
      <c r="K787" s="4"/>
    </row>
    <row r="788" spans="3:11" x14ac:dyDescent="0.25">
      <c r="C788" s="79"/>
      <c r="D788" s="248"/>
      <c r="E788" s="248"/>
      <c r="F788" s="47"/>
      <c r="G788" s="79"/>
      <c r="J788" s="99"/>
      <c r="K788" s="4"/>
    </row>
    <row r="789" spans="3:11" x14ac:dyDescent="0.25">
      <c r="C789" s="79"/>
      <c r="D789" s="248"/>
      <c r="E789" s="248"/>
      <c r="F789" s="47"/>
      <c r="G789" s="79"/>
      <c r="J789" s="99"/>
      <c r="K789" s="4"/>
    </row>
    <row r="790" spans="3:11" x14ac:dyDescent="0.25">
      <c r="C790" s="79"/>
      <c r="D790" s="248"/>
      <c r="E790" s="248"/>
      <c r="F790" s="47"/>
      <c r="G790" s="79"/>
      <c r="J790" s="99"/>
      <c r="K790" s="4"/>
    </row>
    <row r="791" spans="3:11" x14ac:dyDescent="0.25">
      <c r="C791" s="79"/>
      <c r="D791" s="248"/>
      <c r="E791" s="248"/>
      <c r="F791" s="47"/>
      <c r="G791" s="79"/>
      <c r="J791" s="99"/>
      <c r="K791" s="4"/>
    </row>
    <row r="792" spans="3:11" x14ac:dyDescent="0.25">
      <c r="C792" s="79"/>
      <c r="D792" s="248"/>
      <c r="E792" s="248"/>
      <c r="F792" s="47"/>
      <c r="G792" s="79"/>
      <c r="J792" s="99"/>
      <c r="K792" s="4"/>
    </row>
    <row r="793" spans="3:11" x14ac:dyDescent="0.25">
      <c r="C793" s="79"/>
      <c r="D793" s="248"/>
      <c r="E793" s="248"/>
      <c r="F793" s="47"/>
      <c r="G793" s="79"/>
      <c r="J793" s="99"/>
      <c r="K793" s="4"/>
    </row>
    <row r="794" spans="3:11" x14ac:dyDescent="0.25">
      <c r="C794" s="79"/>
      <c r="D794" s="248"/>
      <c r="E794" s="248"/>
      <c r="F794" s="47"/>
      <c r="G794" s="79"/>
      <c r="J794" s="99"/>
      <c r="K794" s="4"/>
    </row>
    <row r="795" spans="3:11" x14ac:dyDescent="0.25">
      <c r="C795" s="79"/>
      <c r="D795" s="248"/>
      <c r="E795" s="248"/>
      <c r="F795" s="47"/>
      <c r="G795" s="79"/>
      <c r="J795" s="99"/>
      <c r="K795" s="4"/>
    </row>
    <row r="796" spans="3:11" x14ac:dyDescent="0.25">
      <c r="C796" s="79"/>
      <c r="D796" s="248"/>
      <c r="E796" s="248"/>
      <c r="F796" s="47"/>
      <c r="G796" s="79"/>
      <c r="J796" s="99"/>
      <c r="K796" s="4"/>
    </row>
    <row r="797" spans="3:11" x14ac:dyDescent="0.25">
      <c r="C797" s="79"/>
      <c r="D797" s="248"/>
      <c r="E797" s="248"/>
      <c r="F797" s="47"/>
      <c r="G797" s="79"/>
      <c r="J797" s="99"/>
      <c r="K797" s="4"/>
    </row>
    <row r="798" spans="3:11" x14ac:dyDescent="0.25">
      <c r="C798" s="79"/>
      <c r="D798" s="248"/>
      <c r="E798" s="248"/>
      <c r="F798" s="47"/>
      <c r="G798" s="79"/>
      <c r="J798" s="99"/>
      <c r="K798" s="4"/>
    </row>
    <row r="799" spans="3:11" x14ac:dyDescent="0.25">
      <c r="C799" s="79"/>
      <c r="D799" s="248"/>
      <c r="E799" s="248"/>
      <c r="F799" s="47"/>
      <c r="G799" s="79"/>
      <c r="J799" s="99"/>
      <c r="K799" s="4"/>
    </row>
    <row r="800" spans="3:11" x14ac:dyDescent="0.25">
      <c r="C800" s="79"/>
      <c r="D800" s="248"/>
      <c r="E800" s="248"/>
      <c r="F800" s="47"/>
      <c r="G800" s="79"/>
      <c r="J800" s="99"/>
      <c r="K800" s="4"/>
    </row>
    <row r="801" spans="3:11" x14ac:dyDescent="0.25">
      <c r="C801" s="79"/>
      <c r="D801" s="248"/>
      <c r="E801" s="248"/>
      <c r="F801" s="47"/>
      <c r="G801" s="79"/>
      <c r="J801" s="99"/>
      <c r="K801" s="4"/>
    </row>
    <row r="802" spans="3:11" x14ac:dyDescent="0.25">
      <c r="C802" s="79"/>
      <c r="D802" s="248"/>
      <c r="E802" s="248"/>
      <c r="F802" s="47"/>
      <c r="G802" s="79"/>
      <c r="J802" s="99"/>
      <c r="K802" s="4"/>
    </row>
    <row r="803" spans="3:11" x14ac:dyDescent="0.25">
      <c r="C803" s="79"/>
      <c r="D803" s="248"/>
      <c r="E803" s="248"/>
      <c r="F803" s="47"/>
      <c r="G803" s="79"/>
      <c r="J803" s="99"/>
      <c r="K803" s="4"/>
    </row>
    <row r="804" spans="3:11" x14ac:dyDescent="0.25">
      <c r="C804" s="79"/>
      <c r="D804" s="248"/>
      <c r="E804" s="248"/>
      <c r="F804" s="47"/>
      <c r="G804" s="79"/>
      <c r="J804" s="99"/>
      <c r="K804" s="4"/>
    </row>
    <row r="805" spans="3:11" x14ac:dyDescent="0.25">
      <c r="C805" s="79"/>
      <c r="D805" s="248"/>
      <c r="E805" s="248"/>
      <c r="F805" s="47"/>
      <c r="G805" s="79"/>
      <c r="J805" s="99"/>
      <c r="K805" s="4"/>
    </row>
    <row r="806" spans="3:11" x14ac:dyDescent="0.25">
      <c r="C806" s="79"/>
      <c r="D806" s="248"/>
      <c r="E806" s="248"/>
      <c r="F806" s="47"/>
      <c r="G806" s="79"/>
      <c r="J806" s="99"/>
      <c r="K806" s="4"/>
    </row>
    <row r="807" spans="3:11" x14ac:dyDescent="0.25">
      <c r="C807" s="79"/>
      <c r="D807" s="248"/>
      <c r="E807" s="248"/>
      <c r="F807" s="47"/>
      <c r="G807" s="79"/>
      <c r="J807" s="99"/>
      <c r="K807" s="4"/>
    </row>
    <row r="808" spans="3:11" x14ac:dyDescent="0.25">
      <c r="C808" s="79"/>
      <c r="D808" s="248"/>
      <c r="E808" s="248"/>
      <c r="F808" s="47"/>
      <c r="G808" s="79"/>
      <c r="J808" s="99"/>
      <c r="K808" s="4"/>
    </row>
    <row r="809" spans="3:11" x14ac:dyDescent="0.25">
      <c r="C809" s="79"/>
      <c r="D809" s="248"/>
      <c r="E809" s="248"/>
      <c r="F809" s="47"/>
      <c r="G809" s="79"/>
      <c r="J809" s="99"/>
      <c r="K809" s="4"/>
    </row>
    <row r="810" spans="3:11" x14ac:dyDescent="0.25">
      <c r="C810" s="79"/>
      <c r="D810" s="248"/>
      <c r="E810" s="248"/>
      <c r="F810" s="47"/>
      <c r="G810" s="79"/>
      <c r="J810" s="99"/>
      <c r="K810" s="4"/>
    </row>
    <row r="811" spans="3:11" x14ac:dyDescent="0.25">
      <c r="C811" s="79"/>
      <c r="D811" s="248"/>
      <c r="E811" s="248"/>
      <c r="F811" s="47"/>
      <c r="G811" s="79"/>
      <c r="J811" s="99"/>
      <c r="K811" s="4"/>
    </row>
    <row r="812" spans="3:11" x14ac:dyDescent="0.25">
      <c r="C812" s="79"/>
      <c r="D812" s="248"/>
      <c r="E812" s="248"/>
      <c r="F812" s="47"/>
      <c r="G812" s="79"/>
      <c r="J812" s="99"/>
      <c r="K812" s="4"/>
    </row>
    <row r="813" spans="3:11" x14ac:dyDescent="0.25">
      <c r="C813" s="79"/>
      <c r="D813" s="248"/>
      <c r="E813" s="248"/>
      <c r="F813" s="47"/>
      <c r="G813" s="79"/>
      <c r="J813" s="99"/>
      <c r="K813" s="4"/>
    </row>
    <row r="814" spans="3:11" x14ac:dyDescent="0.25">
      <c r="C814" s="79"/>
      <c r="D814" s="248"/>
      <c r="E814" s="248"/>
      <c r="F814" s="47"/>
      <c r="G814" s="79"/>
      <c r="J814" s="99"/>
      <c r="K814" s="4"/>
    </row>
    <row r="815" spans="3:11" x14ac:dyDescent="0.25">
      <c r="C815" s="79"/>
      <c r="D815" s="248"/>
      <c r="E815" s="248"/>
      <c r="F815" s="47"/>
      <c r="G815" s="79"/>
      <c r="J815" s="99"/>
      <c r="K815" s="4"/>
    </row>
    <row r="816" spans="3:11" x14ac:dyDescent="0.25">
      <c r="C816" s="79"/>
      <c r="D816" s="248"/>
      <c r="E816" s="248"/>
      <c r="F816" s="47"/>
      <c r="G816" s="79"/>
      <c r="J816" s="99"/>
      <c r="K816" s="4"/>
    </row>
    <row r="817" spans="3:11" x14ac:dyDescent="0.25">
      <c r="C817" s="79"/>
      <c r="D817" s="248"/>
      <c r="E817" s="248"/>
      <c r="F817" s="47"/>
      <c r="G817" s="79"/>
      <c r="J817" s="99"/>
      <c r="K817" s="4"/>
    </row>
    <row r="818" spans="3:11" x14ac:dyDescent="0.25">
      <c r="C818" s="79"/>
      <c r="D818" s="248"/>
      <c r="E818" s="248"/>
      <c r="F818" s="47"/>
      <c r="G818" s="79"/>
      <c r="J818" s="99"/>
      <c r="K818" s="4"/>
    </row>
    <row r="819" spans="3:11" x14ac:dyDescent="0.25">
      <c r="C819" s="79"/>
      <c r="D819" s="248"/>
      <c r="E819" s="248"/>
      <c r="F819" s="47"/>
      <c r="G819" s="79"/>
      <c r="J819" s="99"/>
      <c r="K819" s="4"/>
    </row>
    <row r="820" spans="3:11" x14ac:dyDescent="0.25">
      <c r="C820" s="79"/>
      <c r="D820" s="248"/>
      <c r="E820" s="248"/>
      <c r="F820" s="47"/>
      <c r="G820" s="79"/>
      <c r="J820" s="99"/>
      <c r="K820" s="4"/>
    </row>
    <row r="821" spans="3:11" x14ac:dyDescent="0.25">
      <c r="C821" s="79"/>
      <c r="D821" s="248"/>
      <c r="E821" s="248"/>
      <c r="F821" s="47"/>
      <c r="G821" s="79"/>
      <c r="J821" s="99"/>
      <c r="K821" s="4"/>
    </row>
    <row r="822" spans="3:11" x14ac:dyDescent="0.25">
      <c r="C822" s="79"/>
      <c r="D822" s="248"/>
      <c r="E822" s="248"/>
      <c r="F822" s="47"/>
      <c r="G822" s="79"/>
      <c r="J822" s="99"/>
      <c r="K822" s="4"/>
    </row>
    <row r="823" spans="3:11" x14ac:dyDescent="0.25">
      <c r="C823" s="79"/>
      <c r="D823" s="248"/>
      <c r="E823" s="248"/>
      <c r="F823" s="47"/>
      <c r="G823" s="79"/>
      <c r="J823" s="99"/>
      <c r="K823" s="4"/>
    </row>
    <row r="824" spans="3:11" x14ac:dyDescent="0.25">
      <c r="C824" s="79"/>
      <c r="D824" s="248"/>
      <c r="E824" s="248"/>
      <c r="F824" s="47"/>
      <c r="G824" s="79"/>
      <c r="J824" s="99"/>
      <c r="K824" s="4"/>
    </row>
    <row r="825" spans="3:11" x14ac:dyDescent="0.25">
      <c r="C825" s="79"/>
      <c r="D825" s="248"/>
      <c r="E825" s="248"/>
      <c r="F825" s="47"/>
      <c r="G825" s="79"/>
      <c r="J825" s="99"/>
      <c r="K825" s="4"/>
    </row>
    <row r="826" spans="3:11" x14ac:dyDescent="0.25">
      <c r="C826" s="79"/>
      <c r="D826" s="248"/>
      <c r="E826" s="248"/>
      <c r="F826" s="47"/>
      <c r="G826" s="79"/>
      <c r="J826" s="99"/>
      <c r="K826" s="4"/>
    </row>
    <row r="827" spans="3:11" x14ac:dyDescent="0.25">
      <c r="C827" s="79"/>
      <c r="D827" s="248"/>
      <c r="E827" s="248"/>
      <c r="F827" s="47"/>
      <c r="G827" s="79"/>
      <c r="J827" s="99"/>
      <c r="K827" s="4"/>
    </row>
    <row r="828" spans="3:11" x14ac:dyDescent="0.25">
      <c r="C828" s="79"/>
      <c r="D828" s="248"/>
      <c r="E828" s="248"/>
      <c r="F828" s="47"/>
      <c r="G828" s="79"/>
      <c r="J828" s="99"/>
      <c r="K828" s="4"/>
    </row>
    <row r="829" spans="3:11" x14ac:dyDescent="0.25">
      <c r="C829" s="79"/>
      <c r="D829" s="248"/>
      <c r="E829" s="248"/>
      <c r="F829" s="47"/>
      <c r="G829" s="79"/>
      <c r="J829" s="99"/>
      <c r="K829" s="4"/>
    </row>
    <row r="830" spans="3:11" x14ac:dyDescent="0.25">
      <c r="C830" s="79"/>
      <c r="D830" s="248"/>
      <c r="E830" s="248"/>
      <c r="F830" s="47"/>
      <c r="G830" s="79"/>
      <c r="J830" s="99"/>
      <c r="K830" s="4"/>
    </row>
    <row r="831" spans="3:11" x14ac:dyDescent="0.25">
      <c r="C831" s="79"/>
      <c r="D831" s="248"/>
      <c r="E831" s="248"/>
      <c r="F831" s="47"/>
      <c r="G831" s="79"/>
      <c r="J831" s="99"/>
      <c r="K831" s="4"/>
    </row>
    <row r="832" spans="3:11" x14ac:dyDescent="0.25">
      <c r="C832" s="79"/>
      <c r="D832" s="248"/>
      <c r="E832" s="248"/>
      <c r="F832" s="47"/>
      <c r="G832" s="79"/>
      <c r="J832" s="99"/>
      <c r="K832" s="4"/>
    </row>
    <row r="833" spans="3:11" x14ac:dyDescent="0.25">
      <c r="C833" s="79"/>
      <c r="D833" s="248"/>
      <c r="E833" s="248"/>
      <c r="F833" s="47"/>
      <c r="G833" s="79"/>
      <c r="J833" s="99"/>
      <c r="K833" s="4"/>
    </row>
    <row r="834" spans="3:11" x14ac:dyDescent="0.25">
      <c r="C834" s="79"/>
      <c r="D834" s="248"/>
      <c r="E834" s="248"/>
      <c r="F834" s="47"/>
      <c r="G834" s="79"/>
      <c r="J834" s="99"/>
      <c r="K834" s="4"/>
    </row>
    <row r="835" spans="3:11" x14ac:dyDescent="0.25">
      <c r="C835" s="79"/>
      <c r="D835" s="248"/>
      <c r="E835" s="248"/>
      <c r="F835" s="47"/>
      <c r="G835" s="79"/>
      <c r="J835" s="99"/>
      <c r="K835" s="4"/>
    </row>
    <row r="836" spans="3:11" x14ac:dyDescent="0.25">
      <c r="C836" s="79"/>
      <c r="D836" s="248"/>
      <c r="E836" s="248"/>
      <c r="F836" s="47"/>
      <c r="G836" s="79"/>
      <c r="J836" s="99"/>
      <c r="K836" s="4"/>
    </row>
    <row r="837" spans="3:11" x14ac:dyDescent="0.25">
      <c r="C837" s="79"/>
      <c r="D837" s="248"/>
      <c r="E837" s="248"/>
      <c r="F837" s="47"/>
      <c r="G837" s="79"/>
      <c r="J837" s="99"/>
      <c r="K837" s="4"/>
    </row>
    <row r="838" spans="3:11" x14ac:dyDescent="0.25">
      <c r="C838" s="79"/>
      <c r="D838" s="248"/>
      <c r="E838" s="248"/>
      <c r="F838" s="47"/>
      <c r="G838" s="79"/>
      <c r="J838" s="99"/>
      <c r="K838" s="4"/>
    </row>
    <row r="839" spans="3:11" x14ac:dyDescent="0.25">
      <c r="C839" s="79"/>
      <c r="D839" s="248"/>
      <c r="E839" s="248"/>
      <c r="F839" s="47"/>
      <c r="G839" s="79"/>
      <c r="J839" s="99"/>
      <c r="K839" s="4"/>
    </row>
    <row r="840" spans="3:11" x14ac:dyDescent="0.25">
      <c r="C840" s="79"/>
      <c r="D840" s="248"/>
      <c r="E840" s="248"/>
      <c r="F840" s="47"/>
      <c r="G840" s="79"/>
      <c r="J840" s="99"/>
      <c r="K840" s="4"/>
    </row>
    <row r="841" spans="3:11" x14ac:dyDescent="0.25">
      <c r="C841" s="79"/>
      <c r="D841" s="248"/>
      <c r="E841" s="248"/>
      <c r="F841" s="47"/>
      <c r="G841" s="79"/>
      <c r="J841" s="99"/>
      <c r="K841" s="4"/>
    </row>
    <row r="842" spans="3:11" x14ac:dyDescent="0.25">
      <c r="C842" s="79"/>
      <c r="D842" s="248"/>
      <c r="E842" s="248"/>
      <c r="F842" s="47"/>
      <c r="G842" s="79"/>
      <c r="J842" s="99"/>
      <c r="K842" s="4"/>
    </row>
    <row r="843" spans="3:11" x14ac:dyDescent="0.25">
      <c r="C843" s="79"/>
      <c r="D843" s="248"/>
      <c r="E843" s="248"/>
      <c r="F843" s="47"/>
      <c r="G843" s="79"/>
      <c r="J843" s="99"/>
      <c r="K843" s="4"/>
    </row>
    <row r="844" spans="3:11" x14ac:dyDescent="0.25">
      <c r="C844" s="79"/>
      <c r="D844" s="248"/>
      <c r="E844" s="248"/>
      <c r="F844" s="47"/>
      <c r="G844" s="79"/>
      <c r="J844" s="99"/>
      <c r="K844" s="4"/>
    </row>
    <row r="845" spans="3:11" x14ac:dyDescent="0.25">
      <c r="C845" s="79"/>
      <c r="D845" s="248"/>
      <c r="E845" s="248"/>
      <c r="F845" s="47"/>
      <c r="G845" s="79"/>
      <c r="J845" s="99"/>
      <c r="K845" s="4"/>
    </row>
    <row r="846" spans="3:11" x14ac:dyDescent="0.25">
      <c r="C846" s="79"/>
      <c r="D846" s="248"/>
      <c r="E846" s="248"/>
      <c r="F846" s="47"/>
      <c r="G846" s="79"/>
      <c r="J846" s="99"/>
      <c r="K846" s="4"/>
    </row>
    <row r="847" spans="3:11" x14ac:dyDescent="0.25">
      <c r="C847" s="79"/>
      <c r="D847" s="248"/>
      <c r="E847" s="248"/>
      <c r="F847" s="47"/>
      <c r="G847" s="79"/>
      <c r="J847" s="99"/>
      <c r="K847" s="4"/>
    </row>
    <row r="848" spans="3:11" x14ac:dyDescent="0.25">
      <c r="C848" s="79"/>
      <c r="D848" s="248"/>
      <c r="E848" s="248"/>
      <c r="F848" s="47"/>
      <c r="G848" s="79"/>
      <c r="J848" s="99"/>
      <c r="K848" s="4"/>
    </row>
    <row r="849" spans="3:11" x14ac:dyDescent="0.25">
      <c r="C849" s="79"/>
      <c r="D849" s="248"/>
      <c r="E849" s="248"/>
      <c r="F849" s="47"/>
      <c r="G849" s="79"/>
      <c r="J849" s="99"/>
      <c r="K849" s="4"/>
    </row>
    <row r="850" spans="3:11" x14ac:dyDescent="0.25">
      <c r="C850" s="79"/>
      <c r="D850" s="248"/>
      <c r="E850" s="248"/>
      <c r="F850" s="47"/>
      <c r="G850" s="79"/>
      <c r="J850" s="99"/>
      <c r="K850" s="4"/>
    </row>
    <row r="851" spans="3:11" x14ac:dyDescent="0.25">
      <c r="C851" s="79"/>
      <c r="D851" s="248"/>
      <c r="E851" s="248"/>
      <c r="F851" s="47"/>
      <c r="G851" s="79"/>
      <c r="J851" s="99"/>
      <c r="K851" s="4"/>
    </row>
    <row r="852" spans="3:11" x14ac:dyDescent="0.25">
      <c r="C852" s="79"/>
      <c r="D852" s="248"/>
      <c r="E852" s="248"/>
      <c r="F852" s="47"/>
      <c r="G852" s="79"/>
      <c r="J852" s="99"/>
      <c r="K852" s="4"/>
    </row>
    <row r="853" spans="3:11" x14ac:dyDescent="0.25">
      <c r="C853" s="79"/>
      <c r="D853" s="248"/>
      <c r="E853" s="248"/>
      <c r="F853" s="47"/>
      <c r="G853" s="79"/>
      <c r="J853" s="99"/>
      <c r="K853" s="4"/>
    </row>
    <row r="854" spans="3:11" x14ac:dyDescent="0.25">
      <c r="C854" s="79"/>
      <c r="D854" s="248"/>
      <c r="E854" s="248"/>
      <c r="F854" s="47"/>
      <c r="G854" s="79"/>
      <c r="J854" s="99"/>
      <c r="K854" s="4"/>
    </row>
    <row r="855" spans="3:11" x14ac:dyDescent="0.25">
      <c r="C855" s="79"/>
      <c r="D855" s="248"/>
      <c r="E855" s="248"/>
      <c r="F855" s="47"/>
      <c r="G855" s="79"/>
      <c r="J855" s="99"/>
      <c r="K855" s="4"/>
    </row>
    <row r="856" spans="3:11" x14ac:dyDescent="0.25">
      <c r="C856" s="79"/>
      <c r="D856" s="248"/>
      <c r="E856" s="248"/>
      <c r="F856" s="47"/>
      <c r="G856" s="79"/>
      <c r="J856" s="99"/>
      <c r="K856" s="4"/>
    </row>
    <row r="857" spans="3:11" x14ac:dyDescent="0.25">
      <c r="C857" s="79"/>
      <c r="D857" s="248"/>
      <c r="E857" s="248"/>
      <c r="F857" s="47"/>
      <c r="G857" s="79"/>
      <c r="J857" s="99"/>
      <c r="K857" s="4"/>
    </row>
    <row r="858" spans="3:11" x14ac:dyDescent="0.25">
      <c r="C858" s="79"/>
      <c r="D858" s="248"/>
      <c r="E858" s="248"/>
      <c r="F858" s="47"/>
      <c r="G858" s="79"/>
      <c r="J858" s="99"/>
      <c r="K858" s="4"/>
    </row>
    <row r="859" spans="3:11" x14ac:dyDescent="0.25">
      <c r="C859" s="79"/>
      <c r="D859" s="248"/>
      <c r="E859" s="248"/>
      <c r="F859" s="47"/>
      <c r="G859" s="79"/>
      <c r="J859" s="99"/>
      <c r="K859" s="4"/>
    </row>
    <row r="860" spans="3:11" x14ac:dyDescent="0.25">
      <c r="C860" s="79"/>
      <c r="D860" s="248"/>
      <c r="E860" s="248"/>
      <c r="F860" s="47"/>
      <c r="G860" s="79"/>
      <c r="J860" s="99"/>
      <c r="K860" s="4"/>
    </row>
    <row r="861" spans="3:11" x14ac:dyDescent="0.25">
      <c r="C861" s="79"/>
      <c r="D861" s="248"/>
      <c r="E861" s="248"/>
      <c r="F861" s="47"/>
      <c r="G861" s="79"/>
      <c r="J861" s="99"/>
      <c r="K861" s="4"/>
    </row>
    <row r="862" spans="3:11" x14ac:dyDescent="0.25">
      <c r="C862" s="79"/>
      <c r="D862" s="248"/>
      <c r="E862" s="248"/>
      <c r="F862" s="47"/>
      <c r="G862" s="79"/>
      <c r="J862" s="99"/>
      <c r="K862" s="4"/>
    </row>
    <row r="863" spans="3:11" x14ac:dyDescent="0.25">
      <c r="C863" s="79"/>
      <c r="D863" s="248"/>
      <c r="E863" s="248"/>
      <c r="F863" s="47"/>
      <c r="G863" s="79"/>
      <c r="J863" s="99"/>
      <c r="K863" s="4"/>
    </row>
    <row r="864" spans="3:11" x14ac:dyDescent="0.25">
      <c r="C864" s="79"/>
      <c r="D864" s="248"/>
      <c r="E864" s="248"/>
      <c r="F864" s="47"/>
      <c r="G864" s="79"/>
      <c r="J864" s="99"/>
      <c r="K864" s="4"/>
    </row>
    <row r="865" spans="3:11" x14ac:dyDescent="0.25">
      <c r="C865" s="79"/>
      <c r="D865" s="248"/>
      <c r="E865" s="248"/>
      <c r="F865" s="47"/>
      <c r="G865" s="79"/>
      <c r="J865" s="99"/>
      <c r="K865" s="4"/>
    </row>
    <row r="866" spans="3:11" x14ac:dyDescent="0.25">
      <c r="C866" s="79"/>
      <c r="D866" s="248"/>
      <c r="E866" s="248"/>
      <c r="F866" s="47"/>
      <c r="G866" s="79"/>
      <c r="J866" s="99"/>
      <c r="K866" s="4"/>
    </row>
    <row r="867" spans="3:11" x14ac:dyDescent="0.25">
      <c r="C867" s="79"/>
      <c r="D867" s="248"/>
      <c r="E867" s="248"/>
      <c r="F867" s="47"/>
      <c r="G867" s="79"/>
      <c r="J867" s="99"/>
      <c r="K867" s="4"/>
    </row>
    <row r="868" spans="3:11" x14ac:dyDescent="0.25">
      <c r="C868" s="79"/>
      <c r="D868" s="248"/>
      <c r="E868" s="248"/>
      <c r="F868" s="47"/>
      <c r="G868" s="79"/>
      <c r="J868" s="99"/>
      <c r="K868" s="4"/>
    </row>
    <row r="869" spans="3:11" x14ac:dyDescent="0.25">
      <c r="C869" s="79"/>
      <c r="D869" s="248"/>
      <c r="E869" s="248"/>
      <c r="F869" s="47"/>
      <c r="G869" s="79"/>
      <c r="J869" s="99"/>
      <c r="K869" s="4"/>
    </row>
    <row r="870" spans="3:11" x14ac:dyDescent="0.25">
      <c r="C870" s="79"/>
      <c r="D870" s="248"/>
      <c r="E870" s="248"/>
      <c r="F870" s="47"/>
      <c r="G870" s="79"/>
      <c r="J870" s="99"/>
      <c r="K870" s="4"/>
    </row>
    <row r="871" spans="3:11" x14ac:dyDescent="0.25">
      <c r="C871" s="79"/>
      <c r="D871" s="248"/>
      <c r="E871" s="248"/>
      <c r="F871" s="47"/>
      <c r="G871" s="79"/>
      <c r="J871" s="99"/>
      <c r="K871" s="4"/>
    </row>
    <row r="872" spans="3:11" x14ac:dyDescent="0.25">
      <c r="C872" s="79"/>
      <c r="D872" s="248"/>
      <c r="E872" s="248"/>
      <c r="F872" s="47"/>
      <c r="G872" s="79"/>
      <c r="J872" s="99"/>
      <c r="K872" s="4"/>
    </row>
    <row r="873" spans="3:11" x14ac:dyDescent="0.25">
      <c r="C873" s="79"/>
      <c r="D873" s="248"/>
      <c r="E873" s="248"/>
      <c r="F873" s="47"/>
      <c r="G873" s="79"/>
      <c r="J873" s="99"/>
      <c r="K873" s="4"/>
    </row>
    <row r="874" spans="3:11" x14ac:dyDescent="0.25">
      <c r="C874" s="79"/>
      <c r="D874" s="248"/>
      <c r="E874" s="248"/>
      <c r="F874" s="47"/>
      <c r="G874" s="79"/>
      <c r="J874" s="99"/>
      <c r="K874" s="4"/>
    </row>
    <row r="875" spans="3:11" x14ac:dyDescent="0.25">
      <c r="C875" s="79"/>
      <c r="D875" s="248"/>
      <c r="E875" s="248"/>
      <c r="F875" s="47"/>
      <c r="G875" s="79"/>
      <c r="J875" s="99"/>
      <c r="K875" s="4"/>
    </row>
    <row r="876" spans="3:11" x14ac:dyDescent="0.25">
      <c r="C876" s="79"/>
      <c r="D876" s="248"/>
      <c r="E876" s="248"/>
      <c r="F876" s="47"/>
      <c r="G876" s="79"/>
      <c r="J876" s="99"/>
      <c r="K876" s="4"/>
    </row>
    <row r="877" spans="3:11" x14ac:dyDescent="0.25">
      <c r="C877" s="79"/>
      <c r="D877" s="248"/>
      <c r="E877" s="248"/>
      <c r="F877" s="47"/>
      <c r="G877" s="79"/>
      <c r="J877" s="99"/>
      <c r="K877" s="4"/>
    </row>
    <row r="878" spans="3:11" x14ac:dyDescent="0.25">
      <c r="C878" s="79"/>
      <c r="D878" s="248"/>
      <c r="E878" s="248"/>
      <c r="F878" s="47"/>
      <c r="G878" s="79"/>
      <c r="J878" s="99"/>
      <c r="K878" s="4"/>
    </row>
    <row r="879" spans="3:11" x14ac:dyDescent="0.25">
      <c r="C879" s="79"/>
      <c r="D879" s="248"/>
      <c r="E879" s="248"/>
      <c r="F879" s="47"/>
      <c r="G879" s="79"/>
      <c r="J879" s="99"/>
      <c r="K879" s="4"/>
    </row>
    <row r="880" spans="3:11" x14ac:dyDescent="0.25">
      <c r="C880" s="79"/>
      <c r="D880" s="248"/>
      <c r="E880" s="248"/>
      <c r="F880" s="47"/>
      <c r="G880" s="79"/>
      <c r="J880" s="99"/>
      <c r="K880" s="4"/>
    </row>
    <row r="881" spans="3:11" x14ac:dyDescent="0.25">
      <c r="C881" s="79"/>
      <c r="D881" s="248"/>
      <c r="E881" s="248"/>
      <c r="F881" s="47"/>
      <c r="G881" s="79"/>
      <c r="J881" s="99"/>
      <c r="K881" s="4"/>
    </row>
    <row r="882" spans="3:11" x14ac:dyDescent="0.25">
      <c r="C882" s="79"/>
      <c r="D882" s="248"/>
      <c r="E882" s="248"/>
      <c r="F882" s="47"/>
      <c r="G882" s="79"/>
      <c r="J882" s="99"/>
      <c r="K882" s="4"/>
    </row>
    <row r="883" spans="3:11" x14ac:dyDescent="0.25">
      <c r="C883" s="79"/>
      <c r="D883" s="248"/>
      <c r="E883" s="248"/>
      <c r="F883" s="47"/>
      <c r="G883" s="79"/>
      <c r="J883" s="99"/>
      <c r="K883" s="4"/>
    </row>
    <row r="884" spans="3:11" x14ac:dyDescent="0.25">
      <c r="C884" s="79"/>
      <c r="D884" s="248"/>
      <c r="E884" s="248"/>
      <c r="F884" s="47"/>
      <c r="G884" s="79"/>
      <c r="J884" s="99"/>
      <c r="K884" s="4"/>
    </row>
    <row r="885" spans="3:11" x14ac:dyDescent="0.25">
      <c r="C885" s="79"/>
      <c r="D885" s="248"/>
      <c r="E885" s="248"/>
      <c r="F885" s="47"/>
      <c r="G885" s="79"/>
      <c r="J885" s="99"/>
      <c r="K885" s="4"/>
    </row>
    <row r="886" spans="3:11" x14ac:dyDescent="0.25">
      <c r="C886" s="79"/>
      <c r="D886" s="248"/>
      <c r="E886" s="248"/>
      <c r="F886" s="47"/>
      <c r="G886" s="79"/>
      <c r="J886" s="99"/>
      <c r="K886" s="4"/>
    </row>
    <row r="887" spans="3:11" x14ac:dyDescent="0.25">
      <c r="C887" s="79"/>
      <c r="D887" s="248"/>
      <c r="E887" s="248"/>
      <c r="F887" s="47"/>
      <c r="G887" s="79"/>
      <c r="J887" s="99"/>
      <c r="K887" s="4"/>
    </row>
    <row r="888" spans="3:11" x14ac:dyDescent="0.25">
      <c r="C888" s="79"/>
      <c r="D888" s="248"/>
      <c r="E888" s="248"/>
      <c r="F888" s="47"/>
      <c r="G888" s="79"/>
      <c r="J888" s="99"/>
      <c r="K888" s="4"/>
    </row>
    <row r="889" spans="3:11" x14ac:dyDescent="0.25">
      <c r="C889" s="79"/>
      <c r="D889" s="248"/>
      <c r="E889" s="248"/>
      <c r="F889" s="47"/>
      <c r="G889" s="79"/>
      <c r="J889" s="99"/>
      <c r="K889" s="4"/>
    </row>
    <row r="890" spans="3:11" x14ac:dyDescent="0.25">
      <c r="C890" s="79"/>
      <c r="D890" s="248"/>
      <c r="E890" s="248"/>
      <c r="F890" s="47"/>
      <c r="G890" s="79"/>
      <c r="J890" s="99"/>
      <c r="K890" s="4"/>
    </row>
    <row r="891" spans="3:11" x14ac:dyDescent="0.25">
      <c r="C891" s="79"/>
      <c r="D891" s="248"/>
      <c r="E891" s="248"/>
      <c r="F891" s="47"/>
      <c r="G891" s="79"/>
      <c r="J891" s="99"/>
      <c r="K891" s="4"/>
    </row>
    <row r="892" spans="3:11" x14ac:dyDescent="0.25">
      <c r="C892" s="79"/>
      <c r="D892" s="248"/>
      <c r="E892" s="248"/>
      <c r="F892" s="47"/>
      <c r="G892" s="79"/>
      <c r="J892" s="99"/>
      <c r="K892" s="4"/>
    </row>
    <row r="893" spans="3:11" x14ac:dyDescent="0.25">
      <c r="C893" s="79"/>
      <c r="D893" s="248"/>
      <c r="E893" s="248"/>
      <c r="F893" s="47"/>
      <c r="G893" s="79"/>
      <c r="J893" s="99"/>
      <c r="K893" s="4"/>
    </row>
    <row r="894" spans="3:11" x14ac:dyDescent="0.25">
      <c r="C894" s="79"/>
      <c r="D894" s="248"/>
      <c r="E894" s="248"/>
      <c r="F894" s="47"/>
      <c r="G894" s="79"/>
      <c r="J894" s="99"/>
      <c r="K894" s="4"/>
    </row>
    <row r="895" spans="3:11" x14ac:dyDescent="0.25">
      <c r="C895" s="79"/>
      <c r="D895" s="248"/>
      <c r="E895" s="248"/>
      <c r="F895" s="47"/>
      <c r="G895" s="79"/>
      <c r="J895" s="99"/>
      <c r="K895" s="4"/>
    </row>
    <row r="896" spans="3:11" x14ac:dyDescent="0.25">
      <c r="C896" s="79"/>
      <c r="D896" s="248"/>
      <c r="E896" s="248"/>
      <c r="F896" s="47"/>
      <c r="G896" s="79"/>
      <c r="J896" s="99"/>
      <c r="K896" s="4"/>
    </row>
    <row r="897" spans="3:11" x14ac:dyDescent="0.25">
      <c r="C897" s="79"/>
      <c r="D897" s="248"/>
      <c r="E897" s="248"/>
      <c r="F897" s="47"/>
      <c r="G897" s="79"/>
      <c r="J897" s="99"/>
      <c r="K897" s="4"/>
    </row>
    <row r="898" spans="3:11" x14ac:dyDescent="0.25">
      <c r="C898" s="79"/>
      <c r="D898" s="248"/>
      <c r="E898" s="248"/>
      <c r="F898" s="47"/>
      <c r="G898" s="79"/>
      <c r="J898" s="99"/>
      <c r="K898" s="4"/>
    </row>
    <row r="899" spans="3:11" x14ac:dyDescent="0.25">
      <c r="C899" s="79"/>
      <c r="D899" s="248"/>
      <c r="E899" s="248"/>
      <c r="F899" s="47"/>
      <c r="G899" s="79"/>
      <c r="J899" s="99"/>
      <c r="K899" s="4"/>
    </row>
    <row r="900" spans="3:11" x14ac:dyDescent="0.25">
      <c r="C900" s="79"/>
      <c r="D900" s="248"/>
      <c r="E900" s="248"/>
      <c r="F900" s="47"/>
      <c r="G900" s="79"/>
      <c r="J900" s="99"/>
      <c r="K900" s="4"/>
    </row>
    <row r="901" spans="3:11" x14ac:dyDescent="0.25">
      <c r="C901" s="79"/>
      <c r="D901" s="248"/>
      <c r="E901" s="248"/>
      <c r="F901" s="47"/>
      <c r="G901" s="79"/>
      <c r="J901" s="99"/>
      <c r="K901" s="4"/>
    </row>
    <row r="902" spans="3:11" x14ac:dyDescent="0.25">
      <c r="C902" s="79"/>
      <c r="D902" s="248"/>
      <c r="E902" s="248"/>
      <c r="F902" s="47"/>
      <c r="G902" s="79"/>
      <c r="J902" s="99"/>
      <c r="K902" s="4"/>
    </row>
    <row r="903" spans="3:11" x14ac:dyDescent="0.25">
      <c r="C903" s="79"/>
      <c r="D903" s="248"/>
      <c r="E903" s="248"/>
      <c r="F903" s="47"/>
      <c r="G903" s="79"/>
      <c r="J903" s="99"/>
      <c r="K903" s="4"/>
    </row>
    <row r="904" spans="3:11" x14ac:dyDescent="0.25">
      <c r="C904" s="79"/>
      <c r="D904" s="248"/>
      <c r="E904" s="248"/>
      <c r="F904" s="47"/>
      <c r="G904" s="79"/>
      <c r="J904" s="99"/>
      <c r="K904" s="4"/>
    </row>
    <row r="905" spans="3:11" x14ac:dyDescent="0.25">
      <c r="C905" s="79"/>
      <c r="D905" s="248"/>
      <c r="E905" s="248"/>
      <c r="F905" s="47"/>
      <c r="G905" s="79"/>
      <c r="J905" s="99"/>
      <c r="K905" s="4"/>
    </row>
    <row r="906" spans="3:11" x14ac:dyDescent="0.25">
      <c r="C906" s="79"/>
      <c r="D906" s="248"/>
      <c r="E906" s="248"/>
      <c r="F906" s="47"/>
      <c r="G906" s="79"/>
      <c r="J906" s="99"/>
      <c r="K906" s="4"/>
    </row>
    <row r="907" spans="3:11" x14ac:dyDescent="0.25">
      <c r="C907" s="79"/>
      <c r="D907" s="248"/>
      <c r="E907" s="248"/>
      <c r="F907" s="47"/>
      <c r="G907" s="79"/>
      <c r="J907" s="99"/>
      <c r="K907" s="4"/>
    </row>
    <row r="908" spans="3:11" x14ac:dyDescent="0.25">
      <c r="C908" s="79"/>
      <c r="D908" s="248"/>
      <c r="E908" s="248"/>
      <c r="F908" s="47"/>
      <c r="G908" s="79"/>
      <c r="J908" s="99"/>
      <c r="K908" s="4"/>
    </row>
    <row r="909" spans="3:11" x14ac:dyDescent="0.25">
      <c r="C909" s="79"/>
      <c r="D909" s="248"/>
      <c r="E909" s="248"/>
      <c r="F909" s="47"/>
      <c r="G909" s="79"/>
      <c r="J909" s="99"/>
      <c r="K909" s="4"/>
    </row>
    <row r="910" spans="3:11" x14ac:dyDescent="0.25">
      <c r="C910" s="79"/>
      <c r="D910" s="248"/>
      <c r="E910" s="248"/>
      <c r="F910" s="47"/>
      <c r="G910" s="79"/>
      <c r="J910" s="99"/>
      <c r="K910" s="4"/>
    </row>
    <row r="911" spans="3:11" x14ac:dyDescent="0.25">
      <c r="C911" s="79"/>
      <c r="D911" s="248"/>
      <c r="E911" s="248"/>
      <c r="F911" s="47"/>
      <c r="G911" s="79"/>
      <c r="J911" s="99"/>
      <c r="K911" s="4"/>
    </row>
    <row r="912" spans="3:11" x14ac:dyDescent="0.25">
      <c r="C912" s="79"/>
      <c r="D912" s="248"/>
      <c r="E912" s="248"/>
      <c r="F912" s="47"/>
      <c r="G912" s="79"/>
      <c r="J912" s="99"/>
      <c r="K912" s="4"/>
    </row>
    <row r="913" spans="3:11" x14ac:dyDescent="0.25">
      <c r="C913" s="79"/>
      <c r="D913" s="248"/>
      <c r="E913" s="248"/>
      <c r="F913" s="47"/>
      <c r="G913" s="79"/>
      <c r="J913" s="99"/>
      <c r="K913" s="4"/>
    </row>
    <row r="914" spans="3:11" x14ac:dyDescent="0.25">
      <c r="C914" s="79"/>
      <c r="D914" s="248"/>
      <c r="E914" s="248"/>
      <c r="F914" s="47"/>
      <c r="G914" s="79"/>
      <c r="J914" s="99"/>
      <c r="K914" s="4"/>
    </row>
    <row r="915" spans="3:11" x14ac:dyDescent="0.25">
      <c r="C915" s="79"/>
      <c r="D915" s="248"/>
      <c r="E915" s="248"/>
      <c r="F915" s="47"/>
      <c r="G915" s="79"/>
      <c r="J915" s="99"/>
      <c r="K915" s="4"/>
    </row>
    <row r="916" spans="3:11" x14ac:dyDescent="0.25">
      <c r="C916" s="79"/>
      <c r="D916" s="248"/>
      <c r="E916" s="248"/>
      <c r="F916" s="47"/>
      <c r="G916" s="79"/>
      <c r="J916" s="99"/>
      <c r="K916" s="4"/>
    </row>
    <row r="917" spans="3:11" x14ac:dyDescent="0.25">
      <c r="C917" s="79"/>
      <c r="D917" s="248"/>
      <c r="E917" s="248"/>
      <c r="F917" s="47"/>
      <c r="G917" s="79"/>
      <c r="J917" s="99"/>
      <c r="K917" s="4"/>
    </row>
    <row r="918" spans="3:11" x14ac:dyDescent="0.25">
      <c r="C918" s="79"/>
      <c r="D918" s="248"/>
      <c r="E918" s="248"/>
      <c r="F918" s="47"/>
      <c r="G918" s="79"/>
      <c r="J918" s="99"/>
      <c r="K918" s="4"/>
    </row>
    <row r="919" spans="3:11" x14ac:dyDescent="0.25">
      <c r="C919" s="79"/>
      <c r="D919" s="248"/>
      <c r="E919" s="248"/>
      <c r="F919" s="47"/>
      <c r="G919" s="79"/>
      <c r="J919" s="99"/>
      <c r="K919" s="4"/>
    </row>
    <row r="920" spans="3:11" x14ac:dyDescent="0.25">
      <c r="C920" s="79"/>
      <c r="D920" s="248"/>
      <c r="E920" s="248"/>
      <c r="F920" s="47"/>
      <c r="G920" s="79"/>
      <c r="J920" s="99"/>
      <c r="K920" s="4"/>
    </row>
    <row r="921" spans="3:11" x14ac:dyDescent="0.25">
      <c r="C921" s="79"/>
      <c r="D921" s="248"/>
      <c r="E921" s="248"/>
      <c r="F921" s="47"/>
      <c r="G921" s="79"/>
      <c r="J921" s="99"/>
      <c r="K921" s="4"/>
    </row>
    <row r="922" spans="3:11" x14ac:dyDescent="0.25">
      <c r="C922" s="79"/>
      <c r="D922" s="248"/>
      <c r="E922" s="248"/>
      <c r="F922" s="47"/>
      <c r="G922" s="79"/>
      <c r="J922" s="99"/>
      <c r="K922" s="4"/>
    </row>
    <row r="923" spans="3:11" x14ac:dyDescent="0.25">
      <c r="C923" s="79"/>
      <c r="D923" s="248"/>
      <c r="E923" s="248"/>
      <c r="F923" s="47"/>
      <c r="G923" s="79"/>
      <c r="J923" s="99"/>
      <c r="K923" s="4"/>
    </row>
    <row r="924" spans="3:11" x14ac:dyDescent="0.25">
      <c r="C924" s="79"/>
      <c r="D924" s="248"/>
      <c r="E924" s="248"/>
      <c r="F924" s="47"/>
      <c r="G924" s="79"/>
      <c r="J924" s="99"/>
      <c r="K924" s="4"/>
    </row>
    <row r="925" spans="3:11" x14ac:dyDescent="0.25">
      <c r="C925" s="79"/>
      <c r="D925" s="248"/>
      <c r="E925" s="248"/>
      <c r="F925" s="47"/>
      <c r="G925" s="79"/>
      <c r="J925" s="99"/>
      <c r="K925" s="4"/>
    </row>
    <row r="926" spans="3:11" x14ac:dyDescent="0.25">
      <c r="C926" s="79"/>
      <c r="D926" s="248"/>
      <c r="E926" s="248"/>
      <c r="F926" s="47"/>
      <c r="G926" s="79"/>
      <c r="J926" s="99"/>
      <c r="K926" s="4"/>
    </row>
    <row r="927" spans="3:11" x14ac:dyDescent="0.25">
      <c r="C927" s="79"/>
      <c r="D927" s="248"/>
      <c r="E927" s="248"/>
      <c r="F927" s="47"/>
      <c r="G927" s="79"/>
      <c r="J927" s="99"/>
      <c r="K927" s="4"/>
    </row>
    <row r="928" spans="3:11" x14ac:dyDescent="0.25">
      <c r="C928" s="79"/>
      <c r="D928" s="248"/>
      <c r="E928" s="248"/>
      <c r="F928" s="47"/>
      <c r="G928" s="79"/>
      <c r="J928" s="99"/>
      <c r="K928" s="4"/>
    </row>
    <row r="929" spans="3:11" x14ac:dyDescent="0.25">
      <c r="C929" s="79"/>
      <c r="D929" s="248"/>
      <c r="E929" s="248"/>
      <c r="F929" s="47"/>
      <c r="G929" s="79"/>
      <c r="J929" s="99"/>
      <c r="K929" s="4"/>
    </row>
    <row r="930" spans="3:11" x14ac:dyDescent="0.25">
      <c r="C930" s="79"/>
      <c r="D930" s="248"/>
      <c r="E930" s="248"/>
      <c r="F930" s="47"/>
      <c r="G930" s="79"/>
      <c r="J930" s="99"/>
      <c r="K930" s="4"/>
    </row>
    <row r="931" spans="3:11" x14ac:dyDescent="0.25">
      <c r="C931" s="79"/>
      <c r="D931" s="248"/>
      <c r="E931" s="248"/>
      <c r="F931" s="47"/>
      <c r="G931" s="79"/>
      <c r="J931" s="99"/>
      <c r="K931" s="4"/>
    </row>
    <row r="932" spans="3:11" x14ac:dyDescent="0.25">
      <c r="C932" s="79"/>
      <c r="D932" s="248"/>
      <c r="E932" s="248"/>
      <c r="F932" s="47"/>
      <c r="G932" s="79"/>
      <c r="J932" s="99"/>
      <c r="K932" s="4"/>
    </row>
    <row r="933" spans="3:11" x14ac:dyDescent="0.25">
      <c r="C933" s="79"/>
      <c r="D933" s="248"/>
      <c r="E933" s="248"/>
      <c r="F933" s="47"/>
      <c r="G933" s="79"/>
      <c r="J933" s="99"/>
      <c r="K933" s="4"/>
    </row>
    <row r="934" spans="3:11" x14ac:dyDescent="0.25">
      <c r="C934" s="79"/>
      <c r="D934" s="248"/>
      <c r="E934" s="248"/>
      <c r="F934" s="47"/>
      <c r="G934" s="79"/>
      <c r="J934" s="99"/>
      <c r="K934" s="4"/>
    </row>
    <row r="935" spans="3:11" x14ac:dyDescent="0.25">
      <c r="C935" s="79"/>
      <c r="D935" s="248"/>
      <c r="E935" s="248"/>
      <c r="F935" s="47"/>
      <c r="G935" s="79"/>
      <c r="J935" s="99"/>
      <c r="K935" s="4"/>
    </row>
    <row r="936" spans="3:11" x14ac:dyDescent="0.25">
      <c r="C936" s="79"/>
      <c r="D936" s="248"/>
      <c r="E936" s="248"/>
      <c r="F936" s="47"/>
      <c r="G936" s="79"/>
      <c r="J936" s="99"/>
      <c r="K936" s="4"/>
    </row>
    <row r="937" spans="3:11" x14ac:dyDescent="0.25">
      <c r="C937" s="79"/>
      <c r="D937" s="248"/>
      <c r="E937" s="248"/>
      <c r="F937" s="47"/>
      <c r="G937" s="79"/>
      <c r="J937" s="99"/>
      <c r="K937" s="4"/>
    </row>
    <row r="938" spans="3:11" x14ac:dyDescent="0.25">
      <c r="C938" s="79"/>
      <c r="D938" s="248"/>
      <c r="E938" s="248"/>
      <c r="F938" s="47"/>
      <c r="G938" s="79"/>
      <c r="J938" s="99"/>
      <c r="K938" s="4"/>
    </row>
    <row r="939" spans="3:11" x14ac:dyDescent="0.25">
      <c r="C939" s="79"/>
      <c r="D939" s="248"/>
      <c r="E939" s="248"/>
      <c r="F939" s="47"/>
      <c r="G939" s="79"/>
      <c r="J939" s="99"/>
      <c r="K939" s="4"/>
    </row>
    <row r="940" spans="3:11" x14ac:dyDescent="0.25">
      <c r="C940" s="79"/>
      <c r="D940" s="248"/>
      <c r="E940" s="248"/>
      <c r="F940" s="47"/>
      <c r="G940" s="79"/>
      <c r="J940" s="99"/>
      <c r="K940" s="4"/>
    </row>
    <row r="941" spans="3:11" x14ac:dyDescent="0.25">
      <c r="C941" s="79"/>
      <c r="D941" s="248"/>
      <c r="E941" s="248"/>
      <c r="F941" s="47"/>
      <c r="G941" s="79"/>
      <c r="J941" s="99"/>
      <c r="K941" s="4"/>
    </row>
    <row r="942" spans="3:11" x14ac:dyDescent="0.25">
      <c r="C942" s="79"/>
      <c r="D942" s="248"/>
      <c r="E942" s="248"/>
      <c r="F942" s="47"/>
      <c r="G942" s="79"/>
      <c r="J942" s="99"/>
      <c r="K942" s="4"/>
    </row>
    <row r="943" spans="3:11" x14ac:dyDescent="0.25">
      <c r="C943" s="79"/>
      <c r="D943" s="248"/>
      <c r="E943" s="248"/>
      <c r="F943" s="47"/>
      <c r="G943" s="79"/>
      <c r="J943" s="99"/>
      <c r="K943" s="4"/>
    </row>
    <row r="944" spans="3:11" x14ac:dyDescent="0.25">
      <c r="C944" s="79"/>
      <c r="D944" s="248"/>
      <c r="E944" s="248"/>
      <c r="F944" s="47"/>
      <c r="G944" s="79"/>
      <c r="J944" s="99"/>
      <c r="K944" s="4"/>
    </row>
    <row r="945" spans="3:11" x14ac:dyDescent="0.25">
      <c r="C945" s="79"/>
      <c r="D945" s="248"/>
      <c r="E945" s="248"/>
      <c r="F945" s="47"/>
      <c r="G945" s="79"/>
      <c r="J945" s="99"/>
      <c r="K945" s="4"/>
    </row>
    <row r="946" spans="3:11" x14ac:dyDescent="0.25">
      <c r="C946" s="79"/>
      <c r="D946" s="248"/>
      <c r="E946" s="248"/>
      <c r="F946" s="47"/>
      <c r="G946" s="79"/>
      <c r="J946" s="99"/>
      <c r="K946" s="4"/>
    </row>
    <row r="947" spans="3:11" x14ac:dyDescent="0.25">
      <c r="C947" s="79"/>
      <c r="D947" s="248"/>
      <c r="E947" s="248"/>
      <c r="F947" s="47"/>
      <c r="G947" s="79"/>
      <c r="J947" s="99"/>
      <c r="K947" s="4"/>
    </row>
    <row r="948" spans="3:11" x14ac:dyDescent="0.25">
      <c r="C948" s="79"/>
      <c r="D948" s="248"/>
      <c r="E948" s="248"/>
      <c r="F948" s="47"/>
      <c r="G948" s="79"/>
      <c r="J948" s="99"/>
      <c r="K948" s="4"/>
    </row>
    <row r="949" spans="3:11" x14ac:dyDescent="0.25">
      <c r="C949" s="79"/>
      <c r="D949" s="248"/>
      <c r="E949" s="248"/>
      <c r="F949" s="47"/>
      <c r="G949" s="79"/>
      <c r="J949" s="99"/>
      <c r="K949" s="4"/>
    </row>
    <row r="950" spans="3:11" x14ac:dyDescent="0.25">
      <c r="C950" s="79"/>
      <c r="D950" s="248"/>
      <c r="E950" s="248"/>
      <c r="F950" s="47"/>
      <c r="G950" s="79"/>
      <c r="J950" s="99"/>
      <c r="K950" s="4"/>
    </row>
    <row r="951" spans="3:11" x14ac:dyDescent="0.25">
      <c r="C951" s="79"/>
      <c r="D951" s="248"/>
      <c r="E951" s="248"/>
      <c r="F951" s="47"/>
      <c r="G951" s="79"/>
      <c r="J951" s="99"/>
      <c r="K951" s="4"/>
    </row>
    <row r="952" spans="3:11" x14ac:dyDescent="0.25">
      <c r="C952" s="79"/>
      <c r="D952" s="248"/>
      <c r="E952" s="248"/>
      <c r="F952" s="47"/>
      <c r="G952" s="79"/>
      <c r="J952" s="99"/>
      <c r="K952" s="4"/>
    </row>
    <row r="953" spans="3:11" x14ac:dyDescent="0.25">
      <c r="C953" s="79"/>
      <c r="D953" s="248"/>
      <c r="E953" s="248"/>
      <c r="F953" s="47"/>
      <c r="G953" s="79"/>
      <c r="J953" s="99"/>
      <c r="K953" s="4"/>
    </row>
    <row r="954" spans="3:11" x14ac:dyDescent="0.25">
      <c r="C954" s="79"/>
      <c r="D954" s="248"/>
      <c r="E954" s="248"/>
      <c r="F954" s="47"/>
      <c r="G954" s="79"/>
      <c r="J954" s="99"/>
      <c r="K954" s="4"/>
    </row>
    <row r="955" spans="3:11" x14ac:dyDescent="0.25">
      <c r="C955" s="79"/>
      <c r="D955" s="248"/>
      <c r="E955" s="248"/>
      <c r="F955" s="47"/>
      <c r="G955" s="79"/>
      <c r="J955" s="99"/>
      <c r="K955" s="4"/>
    </row>
    <row r="956" spans="3:11" x14ac:dyDescent="0.25">
      <c r="C956" s="79"/>
      <c r="D956" s="248"/>
      <c r="E956" s="248"/>
      <c r="F956" s="47"/>
      <c r="G956" s="79"/>
      <c r="J956" s="99"/>
      <c r="K956" s="4"/>
    </row>
    <row r="957" spans="3:11" x14ac:dyDescent="0.25">
      <c r="C957" s="79"/>
      <c r="D957" s="248"/>
      <c r="E957" s="248"/>
      <c r="F957" s="47"/>
      <c r="G957" s="79"/>
      <c r="J957" s="99"/>
      <c r="K957" s="4"/>
    </row>
    <row r="958" spans="3:11" x14ac:dyDescent="0.25">
      <c r="C958" s="79"/>
      <c r="D958" s="248"/>
      <c r="E958" s="248"/>
      <c r="F958" s="47"/>
      <c r="G958" s="79"/>
      <c r="J958" s="99"/>
      <c r="K958" s="4"/>
    </row>
    <row r="959" spans="3:11" x14ac:dyDescent="0.25">
      <c r="C959" s="79"/>
      <c r="D959" s="248"/>
      <c r="E959" s="248"/>
      <c r="F959" s="47"/>
      <c r="G959" s="79"/>
      <c r="J959" s="99"/>
      <c r="K959" s="4"/>
    </row>
    <row r="960" spans="3:11" x14ac:dyDescent="0.25">
      <c r="C960" s="79"/>
      <c r="D960" s="248"/>
      <c r="E960" s="248"/>
      <c r="F960" s="47"/>
      <c r="G960" s="79"/>
      <c r="J960" s="99"/>
      <c r="K960" s="4"/>
    </row>
    <row r="961" spans="3:11" x14ac:dyDescent="0.25">
      <c r="C961" s="79"/>
      <c r="D961" s="248"/>
      <c r="E961" s="248"/>
      <c r="F961" s="47"/>
      <c r="G961" s="79"/>
      <c r="J961" s="99"/>
      <c r="K961" s="4"/>
    </row>
    <row r="962" spans="3:11" x14ac:dyDescent="0.25">
      <c r="C962" s="79"/>
      <c r="D962" s="248"/>
      <c r="E962" s="248"/>
      <c r="F962" s="47"/>
      <c r="G962" s="79"/>
      <c r="J962" s="99"/>
      <c r="K962" s="4"/>
    </row>
    <row r="963" spans="3:11" x14ac:dyDescent="0.25">
      <c r="C963" s="79"/>
      <c r="D963" s="248"/>
      <c r="E963" s="248"/>
      <c r="F963" s="47"/>
      <c r="G963" s="79"/>
      <c r="J963" s="99"/>
      <c r="K963" s="4"/>
    </row>
    <row r="964" spans="3:11" x14ac:dyDescent="0.25">
      <c r="C964" s="79"/>
      <c r="D964" s="248"/>
      <c r="E964" s="248"/>
      <c r="F964" s="47"/>
      <c r="G964" s="79"/>
      <c r="J964" s="99"/>
      <c r="K964" s="4"/>
    </row>
    <row r="965" spans="3:11" x14ac:dyDescent="0.25">
      <c r="C965" s="79"/>
      <c r="D965" s="248"/>
      <c r="E965" s="248"/>
      <c r="F965" s="47"/>
      <c r="G965" s="79"/>
      <c r="J965" s="99"/>
      <c r="K965" s="4"/>
    </row>
    <row r="966" spans="3:11" x14ac:dyDescent="0.25">
      <c r="C966" s="79"/>
      <c r="D966" s="248"/>
      <c r="E966" s="248"/>
      <c r="F966" s="47"/>
      <c r="G966" s="79"/>
      <c r="J966" s="99"/>
      <c r="K966" s="4"/>
    </row>
    <row r="967" spans="3:11" x14ac:dyDescent="0.25">
      <c r="C967" s="79"/>
      <c r="D967" s="248"/>
      <c r="E967" s="248"/>
      <c r="F967" s="47"/>
      <c r="G967" s="79"/>
      <c r="J967" s="99"/>
      <c r="K967" s="4"/>
    </row>
    <row r="968" spans="3:11" x14ac:dyDescent="0.25">
      <c r="C968" s="79"/>
      <c r="D968" s="248"/>
      <c r="E968" s="248"/>
      <c r="F968" s="47"/>
      <c r="G968" s="79"/>
      <c r="J968" s="99"/>
      <c r="K968" s="4"/>
    </row>
    <row r="969" spans="3:11" x14ac:dyDescent="0.25">
      <c r="C969" s="79"/>
      <c r="D969" s="248"/>
      <c r="E969" s="248"/>
      <c r="F969" s="47"/>
      <c r="G969" s="79"/>
      <c r="J969" s="99"/>
      <c r="K969" s="4"/>
    </row>
    <row r="970" spans="3:11" x14ac:dyDescent="0.25">
      <c r="C970" s="79"/>
      <c r="D970" s="248"/>
      <c r="E970" s="248"/>
      <c r="F970" s="47"/>
      <c r="G970" s="79"/>
      <c r="J970" s="99"/>
      <c r="K970" s="4"/>
    </row>
    <row r="971" spans="3:11" x14ac:dyDescent="0.25">
      <c r="C971" s="79"/>
      <c r="D971" s="248"/>
      <c r="E971" s="248"/>
      <c r="F971" s="47"/>
      <c r="G971" s="79"/>
      <c r="J971" s="99"/>
      <c r="K971" s="4"/>
    </row>
    <row r="972" spans="3:11" x14ac:dyDescent="0.25">
      <c r="C972" s="79"/>
      <c r="D972" s="248"/>
      <c r="E972" s="248"/>
      <c r="F972" s="47"/>
      <c r="G972" s="79"/>
      <c r="J972" s="99"/>
      <c r="K972" s="4"/>
    </row>
    <row r="973" spans="3:11" x14ac:dyDescent="0.25">
      <c r="C973" s="79"/>
      <c r="D973" s="248"/>
      <c r="E973" s="248"/>
      <c r="F973" s="47"/>
      <c r="G973" s="79"/>
      <c r="J973" s="99"/>
      <c r="K973" s="4"/>
    </row>
    <row r="974" spans="3:11" x14ac:dyDescent="0.25">
      <c r="C974" s="79"/>
      <c r="D974" s="248"/>
      <c r="E974" s="248"/>
      <c r="F974" s="47"/>
      <c r="G974" s="79"/>
      <c r="J974" s="99"/>
      <c r="K974" s="4"/>
    </row>
    <row r="975" spans="3:11" x14ac:dyDescent="0.25">
      <c r="C975" s="79"/>
      <c r="D975" s="248"/>
      <c r="E975" s="248"/>
      <c r="F975" s="47"/>
      <c r="G975" s="79"/>
      <c r="J975" s="99"/>
      <c r="K975" s="4"/>
    </row>
    <row r="976" spans="3:11" x14ac:dyDescent="0.25">
      <c r="C976" s="79"/>
      <c r="D976" s="248"/>
      <c r="E976" s="248"/>
      <c r="F976" s="47"/>
      <c r="G976" s="79"/>
      <c r="J976" s="99"/>
      <c r="K976" s="4"/>
    </row>
    <row r="977" spans="3:11" x14ac:dyDescent="0.25">
      <c r="C977" s="79"/>
      <c r="D977" s="248"/>
      <c r="E977" s="248"/>
      <c r="F977" s="47"/>
      <c r="G977" s="79"/>
      <c r="J977" s="99"/>
      <c r="K977" s="4"/>
    </row>
    <row r="978" spans="3:11" x14ac:dyDescent="0.25">
      <c r="C978" s="79"/>
      <c r="D978" s="248"/>
      <c r="E978" s="248"/>
      <c r="F978" s="47"/>
      <c r="G978" s="79"/>
      <c r="J978" s="99"/>
      <c r="K978" s="4"/>
    </row>
    <row r="979" spans="3:11" x14ac:dyDescent="0.25">
      <c r="C979" s="79"/>
      <c r="D979" s="248"/>
      <c r="E979" s="248"/>
      <c r="F979" s="47"/>
      <c r="G979" s="79"/>
      <c r="J979" s="99"/>
      <c r="K979" s="4"/>
    </row>
    <row r="980" spans="3:11" x14ac:dyDescent="0.25">
      <c r="C980" s="79"/>
      <c r="D980" s="248"/>
      <c r="E980" s="248"/>
      <c r="F980" s="47"/>
      <c r="G980" s="79"/>
      <c r="J980" s="99"/>
      <c r="K980" s="4"/>
    </row>
    <row r="981" spans="3:11" x14ac:dyDescent="0.25">
      <c r="C981" s="79"/>
      <c r="D981" s="248"/>
      <c r="E981" s="248"/>
      <c r="F981" s="47"/>
      <c r="G981" s="79"/>
      <c r="J981" s="99"/>
      <c r="K981" s="4"/>
    </row>
    <row r="982" spans="3:11" x14ac:dyDescent="0.25">
      <c r="C982" s="79"/>
      <c r="D982" s="248"/>
      <c r="E982" s="248"/>
      <c r="F982" s="47"/>
      <c r="G982" s="79"/>
      <c r="J982" s="99"/>
      <c r="K982" s="4"/>
    </row>
    <row r="983" spans="3:11" x14ac:dyDescent="0.25">
      <c r="C983" s="79"/>
      <c r="D983" s="248"/>
      <c r="E983" s="248"/>
      <c r="F983" s="47"/>
      <c r="G983" s="79"/>
      <c r="J983" s="99"/>
      <c r="K983" s="4"/>
    </row>
    <row r="984" spans="3:11" x14ac:dyDescent="0.25">
      <c r="C984" s="79"/>
      <c r="D984" s="248"/>
      <c r="E984" s="248"/>
      <c r="F984" s="47"/>
      <c r="G984" s="79"/>
      <c r="J984" s="99"/>
      <c r="K984" s="4"/>
    </row>
    <row r="985" spans="3:11" x14ac:dyDescent="0.25">
      <c r="C985" s="79"/>
      <c r="D985" s="248"/>
      <c r="E985" s="248"/>
      <c r="F985" s="47"/>
      <c r="G985" s="79"/>
      <c r="J985" s="99"/>
      <c r="K985" s="4"/>
    </row>
    <row r="986" spans="3:11" x14ac:dyDescent="0.25">
      <c r="C986" s="79"/>
      <c r="D986" s="248"/>
      <c r="E986" s="248"/>
      <c r="F986" s="47"/>
      <c r="G986" s="79"/>
      <c r="J986" s="99"/>
      <c r="K986" s="4"/>
    </row>
    <row r="987" spans="3:11" x14ac:dyDescent="0.25">
      <c r="C987" s="79"/>
      <c r="D987" s="248"/>
      <c r="E987" s="248"/>
      <c r="F987" s="47"/>
      <c r="G987" s="79"/>
      <c r="J987" s="99"/>
      <c r="K987" s="4"/>
    </row>
    <row r="988" spans="3:11" x14ac:dyDescent="0.25">
      <c r="C988" s="79"/>
      <c r="D988" s="248"/>
      <c r="E988" s="248"/>
      <c r="F988" s="47"/>
      <c r="G988" s="79"/>
      <c r="J988" s="99"/>
      <c r="K988" s="4"/>
    </row>
    <row r="989" spans="3:11" x14ac:dyDescent="0.25">
      <c r="C989" s="79"/>
      <c r="D989" s="248"/>
      <c r="E989" s="248"/>
      <c r="F989" s="47"/>
      <c r="G989" s="79"/>
      <c r="J989" s="99"/>
      <c r="K989" s="4"/>
    </row>
    <row r="990" spans="3:11" x14ac:dyDescent="0.25">
      <c r="C990" s="79"/>
      <c r="D990" s="248"/>
      <c r="E990" s="248"/>
      <c r="F990" s="47"/>
      <c r="G990" s="79"/>
      <c r="J990" s="99"/>
      <c r="K990" s="4"/>
    </row>
    <row r="991" spans="3:11" x14ac:dyDescent="0.25">
      <c r="C991" s="79"/>
      <c r="D991" s="248"/>
      <c r="E991" s="248"/>
      <c r="F991" s="47"/>
      <c r="G991" s="79"/>
      <c r="J991" s="99"/>
      <c r="K991" s="4"/>
    </row>
    <row r="992" spans="3:11" x14ac:dyDescent="0.25">
      <c r="C992" s="79"/>
      <c r="D992" s="248"/>
      <c r="E992" s="248"/>
      <c r="F992" s="47"/>
      <c r="G992" s="79"/>
      <c r="J992" s="99"/>
      <c r="K992" s="4"/>
    </row>
    <row r="993" spans="3:11" x14ac:dyDescent="0.25">
      <c r="C993" s="79"/>
      <c r="D993" s="248"/>
      <c r="E993" s="248"/>
      <c r="F993" s="47"/>
      <c r="G993" s="79"/>
      <c r="J993" s="99"/>
      <c r="K993" s="4"/>
    </row>
    <row r="994" spans="3:11" x14ac:dyDescent="0.25">
      <c r="C994" s="79"/>
      <c r="D994" s="248"/>
      <c r="E994" s="248"/>
      <c r="F994" s="47"/>
      <c r="G994" s="79"/>
      <c r="J994" s="99"/>
      <c r="K994" s="4"/>
    </row>
    <row r="995" spans="3:11" x14ac:dyDescent="0.25">
      <c r="C995" s="79"/>
      <c r="D995" s="248"/>
      <c r="E995" s="248"/>
      <c r="F995" s="47"/>
      <c r="G995" s="79"/>
      <c r="J995" s="99"/>
      <c r="K995" s="4"/>
    </row>
    <row r="996" spans="3:11" x14ac:dyDescent="0.25">
      <c r="C996" s="79"/>
      <c r="D996" s="248"/>
      <c r="E996" s="248"/>
      <c r="F996" s="47"/>
      <c r="G996" s="79"/>
      <c r="J996" s="99"/>
      <c r="K996" s="4"/>
    </row>
    <row r="997" spans="3:11" x14ac:dyDescent="0.25">
      <c r="C997" s="79"/>
      <c r="D997" s="248"/>
      <c r="E997" s="248"/>
      <c r="F997" s="47"/>
      <c r="G997" s="79"/>
      <c r="J997" s="99"/>
      <c r="K997" s="4"/>
    </row>
    <row r="998" spans="3:11" x14ac:dyDescent="0.25">
      <c r="C998" s="79"/>
      <c r="D998" s="248"/>
      <c r="E998" s="248"/>
      <c r="F998" s="47"/>
      <c r="G998" s="79"/>
      <c r="J998" s="99"/>
      <c r="K998" s="4"/>
    </row>
    <row r="999" spans="3:11" x14ac:dyDescent="0.25">
      <c r="C999" s="79"/>
      <c r="D999" s="248"/>
      <c r="E999" s="248"/>
      <c r="F999" s="47"/>
      <c r="G999" s="79"/>
      <c r="J999" s="99"/>
      <c r="K999" s="4"/>
    </row>
    <row r="1000" spans="3:11" x14ac:dyDescent="0.25">
      <c r="C1000" s="79"/>
      <c r="D1000" s="248"/>
      <c r="E1000" s="248"/>
      <c r="F1000" s="47"/>
      <c r="G1000" s="79"/>
      <c r="J1000" s="99"/>
      <c r="K1000" s="4"/>
    </row>
    <row r="1001" spans="3:11" x14ac:dyDescent="0.25">
      <c r="C1001" s="79"/>
      <c r="D1001" s="248"/>
      <c r="E1001" s="248"/>
      <c r="F1001" s="47"/>
      <c r="G1001" s="79"/>
      <c r="J1001" s="99"/>
      <c r="K1001" s="4"/>
    </row>
    <row r="1002" spans="3:11" x14ac:dyDescent="0.25">
      <c r="C1002" s="79"/>
      <c r="D1002" s="248"/>
      <c r="E1002" s="248"/>
      <c r="F1002" s="47"/>
      <c r="G1002" s="79"/>
      <c r="J1002" s="99"/>
      <c r="K1002" s="4"/>
    </row>
    <row r="1003" spans="3:11" x14ac:dyDescent="0.25">
      <c r="C1003" s="79"/>
      <c r="D1003" s="248"/>
      <c r="E1003" s="248"/>
      <c r="F1003" s="47"/>
      <c r="G1003" s="79"/>
      <c r="J1003" s="99"/>
      <c r="K1003" s="4"/>
    </row>
    <row r="1004" spans="3:11" x14ac:dyDescent="0.25">
      <c r="C1004" s="79"/>
      <c r="D1004" s="248"/>
      <c r="E1004" s="248"/>
      <c r="F1004" s="47"/>
      <c r="G1004" s="79"/>
      <c r="J1004" s="99"/>
      <c r="K1004" s="4"/>
    </row>
    <row r="1005" spans="3:11" x14ac:dyDescent="0.25">
      <c r="C1005" s="79"/>
      <c r="D1005" s="248"/>
      <c r="E1005" s="248"/>
      <c r="F1005" s="47"/>
      <c r="G1005" s="79"/>
      <c r="J1005" s="99"/>
      <c r="K1005" s="4"/>
    </row>
    <row r="1006" spans="3:11" x14ac:dyDescent="0.25">
      <c r="C1006" s="79"/>
      <c r="D1006" s="248"/>
      <c r="E1006" s="248"/>
      <c r="F1006" s="47"/>
      <c r="G1006" s="79"/>
      <c r="J1006" s="99"/>
      <c r="K1006" s="4"/>
    </row>
    <row r="1007" spans="3:11" x14ac:dyDescent="0.25">
      <c r="C1007" s="79"/>
      <c r="D1007" s="248"/>
      <c r="E1007" s="248"/>
      <c r="F1007" s="47"/>
      <c r="G1007" s="79"/>
      <c r="J1007" s="99"/>
      <c r="K1007" s="4"/>
    </row>
    <row r="1008" spans="3:11" x14ac:dyDescent="0.25">
      <c r="C1008" s="79"/>
      <c r="D1008" s="248"/>
      <c r="E1008" s="248"/>
      <c r="F1008" s="47"/>
      <c r="G1008" s="79"/>
      <c r="J1008" s="99"/>
      <c r="K1008" s="4"/>
    </row>
    <row r="1009" spans="3:11" x14ac:dyDescent="0.25">
      <c r="C1009" s="79"/>
      <c r="D1009" s="248"/>
      <c r="E1009" s="248"/>
      <c r="F1009" s="47"/>
      <c r="G1009" s="79"/>
      <c r="J1009" s="99"/>
      <c r="K1009" s="4"/>
    </row>
    <row r="1010" spans="3:11" x14ac:dyDescent="0.25">
      <c r="C1010" s="79"/>
      <c r="D1010" s="248"/>
      <c r="E1010" s="248"/>
      <c r="F1010" s="47"/>
      <c r="G1010" s="79"/>
      <c r="J1010" s="99"/>
      <c r="K1010" s="4"/>
    </row>
    <row r="1011" spans="3:11" x14ac:dyDescent="0.25">
      <c r="C1011" s="79"/>
      <c r="D1011" s="248"/>
      <c r="E1011" s="248"/>
      <c r="F1011" s="47"/>
      <c r="G1011" s="79"/>
      <c r="J1011" s="99"/>
      <c r="K1011" s="4"/>
    </row>
    <row r="1012" spans="3:11" x14ac:dyDescent="0.25">
      <c r="C1012" s="79"/>
      <c r="D1012" s="248"/>
      <c r="E1012" s="248"/>
      <c r="F1012" s="47"/>
      <c r="G1012" s="79"/>
      <c r="J1012" s="99"/>
      <c r="K1012" s="4"/>
    </row>
    <row r="1013" spans="3:11" x14ac:dyDescent="0.25">
      <c r="C1013" s="79"/>
      <c r="D1013" s="248"/>
      <c r="E1013" s="248"/>
      <c r="F1013" s="47"/>
      <c r="G1013" s="79"/>
      <c r="J1013" s="99"/>
      <c r="K1013" s="4"/>
    </row>
    <row r="1014" spans="3:11" x14ac:dyDescent="0.25">
      <c r="C1014" s="79"/>
      <c r="D1014" s="248"/>
      <c r="E1014" s="248"/>
      <c r="F1014" s="47"/>
      <c r="G1014" s="79"/>
      <c r="J1014" s="99"/>
      <c r="K1014" s="4"/>
    </row>
    <row r="1015" spans="3:11" x14ac:dyDescent="0.25">
      <c r="C1015" s="79"/>
      <c r="D1015" s="248"/>
      <c r="E1015" s="248"/>
      <c r="F1015" s="47"/>
      <c r="G1015" s="79"/>
      <c r="J1015" s="99"/>
      <c r="K1015" s="4"/>
    </row>
    <row r="1016" spans="3:11" x14ac:dyDescent="0.25">
      <c r="C1016" s="79"/>
      <c r="D1016" s="248"/>
      <c r="E1016" s="248"/>
      <c r="F1016" s="47"/>
      <c r="G1016" s="79"/>
      <c r="J1016" s="99"/>
      <c r="K1016" s="4"/>
    </row>
    <row r="1017" spans="3:11" x14ac:dyDescent="0.25">
      <c r="C1017" s="79"/>
      <c r="D1017" s="248"/>
      <c r="E1017" s="248"/>
      <c r="F1017" s="47"/>
      <c r="G1017" s="79"/>
      <c r="J1017" s="99"/>
      <c r="K1017" s="4"/>
    </row>
    <row r="1018" spans="3:11" x14ac:dyDescent="0.25">
      <c r="C1018" s="79"/>
      <c r="D1018" s="248"/>
      <c r="E1018" s="248"/>
      <c r="F1018" s="47"/>
      <c r="G1018" s="79"/>
      <c r="J1018" s="99"/>
      <c r="K1018" s="4"/>
    </row>
    <row r="1019" spans="3:11" x14ac:dyDescent="0.25">
      <c r="C1019" s="79"/>
      <c r="D1019" s="248"/>
      <c r="E1019" s="248"/>
      <c r="F1019" s="47"/>
      <c r="G1019" s="79"/>
      <c r="J1019" s="99"/>
      <c r="K1019" s="4"/>
    </row>
    <row r="1020" spans="3:11" x14ac:dyDescent="0.25">
      <c r="C1020" s="79"/>
      <c r="D1020" s="248"/>
      <c r="E1020" s="248"/>
      <c r="F1020" s="47"/>
      <c r="G1020" s="79"/>
      <c r="J1020" s="99"/>
      <c r="K1020" s="4"/>
    </row>
    <row r="1021" spans="3:11" x14ac:dyDescent="0.25">
      <c r="C1021" s="79"/>
      <c r="D1021" s="248"/>
      <c r="E1021" s="248"/>
      <c r="F1021" s="47"/>
      <c r="G1021" s="79"/>
      <c r="J1021" s="99"/>
      <c r="K1021" s="4"/>
    </row>
    <row r="1022" spans="3:11" x14ac:dyDescent="0.25">
      <c r="C1022" s="79"/>
      <c r="D1022" s="248"/>
      <c r="E1022" s="248"/>
      <c r="F1022" s="47"/>
      <c r="G1022" s="79"/>
      <c r="J1022" s="99"/>
      <c r="K1022" s="4"/>
    </row>
    <row r="1023" spans="3:11" x14ac:dyDescent="0.25">
      <c r="C1023" s="79"/>
      <c r="D1023" s="248"/>
      <c r="E1023" s="248"/>
      <c r="F1023" s="47"/>
      <c r="G1023" s="79"/>
      <c r="J1023" s="99"/>
      <c r="K1023" s="4"/>
    </row>
    <row r="1024" spans="3:11" x14ac:dyDescent="0.25">
      <c r="C1024" s="79"/>
      <c r="D1024" s="248"/>
      <c r="E1024" s="248"/>
      <c r="F1024" s="47"/>
      <c r="G1024" s="79"/>
      <c r="J1024" s="99"/>
      <c r="K1024" s="4"/>
    </row>
    <row r="1025" spans="3:11" x14ac:dyDescent="0.25">
      <c r="C1025" s="79"/>
      <c r="D1025" s="248"/>
      <c r="E1025" s="248"/>
      <c r="F1025" s="47"/>
      <c r="G1025" s="79"/>
      <c r="J1025" s="99"/>
      <c r="K1025" s="4"/>
    </row>
    <row r="1026" spans="3:11" x14ac:dyDescent="0.25">
      <c r="C1026" s="79"/>
      <c r="D1026" s="248"/>
      <c r="E1026" s="248"/>
      <c r="F1026" s="47"/>
      <c r="G1026" s="79"/>
      <c r="J1026" s="99"/>
      <c r="K1026" s="4"/>
    </row>
    <row r="1027" spans="3:11" x14ac:dyDescent="0.25">
      <c r="C1027" s="79"/>
      <c r="D1027" s="248"/>
      <c r="E1027" s="248"/>
      <c r="F1027" s="47"/>
      <c r="G1027" s="79"/>
      <c r="J1027" s="99"/>
      <c r="K1027" s="4"/>
    </row>
    <row r="1028" spans="3:11" x14ac:dyDescent="0.25">
      <c r="C1028" s="79"/>
      <c r="D1028" s="248"/>
      <c r="E1028" s="248"/>
      <c r="F1028" s="47"/>
      <c r="G1028" s="79"/>
      <c r="J1028" s="99"/>
      <c r="K1028" s="4"/>
    </row>
    <row r="1029" spans="3:11" x14ac:dyDescent="0.25">
      <c r="C1029" s="79"/>
      <c r="D1029" s="248"/>
      <c r="E1029" s="248"/>
      <c r="F1029" s="47"/>
      <c r="G1029" s="79"/>
      <c r="J1029" s="99"/>
      <c r="K1029" s="4"/>
    </row>
    <row r="1030" spans="3:11" x14ac:dyDescent="0.25">
      <c r="C1030" s="79"/>
      <c r="D1030" s="248"/>
      <c r="E1030" s="248"/>
      <c r="F1030" s="47"/>
      <c r="G1030" s="79"/>
      <c r="J1030" s="99"/>
      <c r="K1030" s="4"/>
    </row>
    <row r="1031" spans="3:11" x14ac:dyDescent="0.25">
      <c r="C1031" s="79"/>
      <c r="D1031" s="248"/>
      <c r="E1031" s="248"/>
      <c r="F1031" s="47"/>
      <c r="G1031" s="79"/>
      <c r="J1031" s="99"/>
      <c r="K1031" s="4"/>
    </row>
    <row r="1032" spans="3:11" x14ac:dyDescent="0.25">
      <c r="C1032" s="79"/>
      <c r="D1032" s="248"/>
      <c r="E1032" s="248"/>
      <c r="F1032" s="47"/>
      <c r="G1032" s="79"/>
      <c r="J1032" s="99"/>
      <c r="K1032" s="4"/>
    </row>
    <row r="1033" spans="3:11" x14ac:dyDescent="0.25">
      <c r="C1033" s="79"/>
      <c r="D1033" s="248"/>
      <c r="E1033" s="248"/>
      <c r="F1033" s="47"/>
      <c r="G1033" s="79"/>
      <c r="J1033" s="99"/>
      <c r="K1033" s="4"/>
    </row>
    <row r="1034" spans="3:11" x14ac:dyDescent="0.25">
      <c r="C1034" s="79"/>
      <c r="D1034" s="248"/>
      <c r="E1034" s="248"/>
      <c r="F1034" s="47"/>
      <c r="G1034" s="79"/>
      <c r="J1034" s="99"/>
      <c r="K1034" s="4"/>
    </row>
    <row r="1035" spans="3:11" x14ac:dyDescent="0.25">
      <c r="C1035" s="79"/>
      <c r="D1035" s="248"/>
      <c r="E1035" s="248"/>
      <c r="F1035" s="47"/>
      <c r="G1035" s="79"/>
      <c r="J1035" s="99"/>
      <c r="K1035" s="4"/>
    </row>
    <row r="1036" spans="3:11" x14ac:dyDescent="0.25">
      <c r="C1036" s="79"/>
      <c r="D1036" s="248"/>
      <c r="E1036" s="248"/>
      <c r="F1036" s="47"/>
      <c r="G1036" s="79"/>
      <c r="J1036" s="99"/>
      <c r="K1036" s="4"/>
    </row>
    <row r="1037" spans="3:11" x14ac:dyDescent="0.25">
      <c r="C1037" s="79"/>
      <c r="D1037" s="248"/>
      <c r="E1037" s="248"/>
      <c r="F1037" s="47"/>
      <c r="G1037" s="79"/>
      <c r="J1037" s="99"/>
      <c r="K1037" s="4"/>
    </row>
    <row r="1038" spans="3:11" x14ac:dyDescent="0.25">
      <c r="C1038" s="79"/>
      <c r="D1038" s="248"/>
      <c r="E1038" s="248"/>
      <c r="F1038" s="47"/>
      <c r="G1038" s="79"/>
      <c r="J1038" s="99"/>
      <c r="K1038" s="4"/>
    </row>
    <row r="1039" spans="3:11" x14ac:dyDescent="0.25">
      <c r="C1039" s="79"/>
      <c r="D1039" s="248"/>
      <c r="E1039" s="248"/>
      <c r="F1039" s="47"/>
      <c r="G1039" s="79"/>
      <c r="J1039" s="99"/>
      <c r="K1039" s="4"/>
    </row>
    <row r="1040" spans="3:11" x14ac:dyDescent="0.25">
      <c r="C1040" s="79"/>
      <c r="D1040" s="248"/>
      <c r="E1040" s="248"/>
      <c r="F1040" s="47"/>
      <c r="G1040" s="79"/>
      <c r="J1040" s="99"/>
      <c r="K1040" s="4"/>
    </row>
    <row r="1041" spans="3:11" x14ac:dyDescent="0.25">
      <c r="C1041" s="79"/>
      <c r="D1041" s="248"/>
      <c r="E1041" s="248"/>
      <c r="F1041" s="47"/>
      <c r="G1041" s="79"/>
      <c r="J1041" s="99"/>
      <c r="K1041" s="4"/>
    </row>
    <row r="1042" spans="3:11" x14ac:dyDescent="0.25">
      <c r="C1042" s="79"/>
      <c r="D1042" s="248"/>
      <c r="E1042" s="248"/>
      <c r="F1042" s="47"/>
      <c r="G1042" s="79"/>
      <c r="J1042" s="99"/>
      <c r="K1042" s="4"/>
    </row>
    <row r="1043" spans="3:11" x14ac:dyDescent="0.25">
      <c r="C1043" s="79"/>
      <c r="D1043" s="248"/>
      <c r="E1043" s="248"/>
      <c r="F1043" s="47"/>
      <c r="G1043" s="79"/>
      <c r="J1043" s="99"/>
      <c r="K1043" s="4"/>
    </row>
    <row r="1044" spans="3:11" x14ac:dyDescent="0.25">
      <c r="C1044" s="79"/>
      <c r="D1044" s="248"/>
      <c r="E1044" s="248"/>
      <c r="F1044" s="47"/>
      <c r="G1044" s="79"/>
      <c r="J1044" s="99"/>
      <c r="K1044" s="4"/>
    </row>
    <row r="1045" spans="3:11" x14ac:dyDescent="0.25">
      <c r="C1045" s="79"/>
      <c r="D1045" s="248"/>
      <c r="E1045" s="248"/>
      <c r="F1045" s="47"/>
      <c r="G1045" s="79"/>
      <c r="J1045" s="99"/>
      <c r="K1045" s="4"/>
    </row>
    <row r="1046" spans="3:11" x14ac:dyDescent="0.25">
      <c r="C1046" s="79"/>
      <c r="D1046" s="248"/>
      <c r="E1046" s="248"/>
      <c r="F1046" s="47"/>
      <c r="G1046" s="79"/>
      <c r="J1046" s="99"/>
      <c r="K1046" s="4"/>
    </row>
    <row r="1047" spans="3:11" x14ac:dyDescent="0.25">
      <c r="C1047" s="79"/>
      <c r="D1047" s="248"/>
      <c r="E1047" s="248"/>
      <c r="F1047" s="47"/>
      <c r="G1047" s="79"/>
      <c r="J1047" s="99"/>
      <c r="K1047" s="4"/>
    </row>
    <row r="1048" spans="3:11" x14ac:dyDescent="0.25">
      <c r="C1048" s="79"/>
      <c r="D1048" s="248"/>
      <c r="E1048" s="248"/>
      <c r="F1048" s="47"/>
      <c r="G1048" s="79"/>
      <c r="J1048" s="99"/>
      <c r="K1048" s="4"/>
    </row>
    <row r="1049" spans="3:11" x14ac:dyDescent="0.25">
      <c r="C1049" s="79"/>
      <c r="D1049" s="248"/>
      <c r="E1049" s="248"/>
      <c r="F1049" s="47"/>
      <c r="G1049" s="79"/>
      <c r="J1049" s="99"/>
      <c r="K1049" s="4"/>
    </row>
    <row r="1050" spans="3:11" x14ac:dyDescent="0.25">
      <c r="C1050" s="79"/>
      <c r="D1050" s="248"/>
      <c r="E1050" s="248"/>
      <c r="F1050" s="47"/>
      <c r="G1050" s="79"/>
      <c r="J1050" s="99"/>
      <c r="K1050" s="4"/>
    </row>
    <row r="1051" spans="3:11" x14ac:dyDescent="0.25">
      <c r="C1051" s="79"/>
      <c r="D1051" s="248"/>
      <c r="E1051" s="248"/>
      <c r="F1051" s="47"/>
      <c r="G1051" s="79"/>
      <c r="J1051" s="99"/>
      <c r="K1051" s="4"/>
    </row>
    <row r="1052" spans="3:11" x14ac:dyDescent="0.25">
      <c r="C1052" s="79"/>
      <c r="D1052" s="248"/>
      <c r="E1052" s="248"/>
      <c r="F1052" s="47"/>
      <c r="G1052" s="79"/>
      <c r="J1052" s="99"/>
      <c r="K1052" s="4"/>
    </row>
    <row r="1053" spans="3:11" x14ac:dyDescent="0.25">
      <c r="C1053" s="79"/>
      <c r="D1053" s="248"/>
      <c r="E1053" s="248"/>
      <c r="F1053" s="47"/>
      <c r="G1053" s="79"/>
      <c r="J1053" s="99"/>
      <c r="K1053" s="4"/>
    </row>
    <row r="1054" spans="3:11" x14ac:dyDescent="0.25">
      <c r="C1054" s="79"/>
      <c r="D1054" s="248"/>
      <c r="E1054" s="248"/>
      <c r="F1054" s="47"/>
      <c r="G1054" s="79"/>
      <c r="J1054" s="99"/>
      <c r="K1054" s="4"/>
    </row>
    <row r="1055" spans="3:11" x14ac:dyDescent="0.25">
      <c r="C1055" s="79"/>
      <c r="D1055" s="248"/>
      <c r="E1055" s="248"/>
      <c r="F1055" s="47"/>
      <c r="G1055" s="79"/>
      <c r="J1055" s="99"/>
      <c r="K1055" s="4"/>
    </row>
    <row r="1056" spans="3:11" x14ac:dyDescent="0.25">
      <c r="C1056" s="79"/>
      <c r="D1056" s="248"/>
      <c r="E1056" s="248"/>
      <c r="F1056" s="47"/>
      <c r="G1056" s="79"/>
      <c r="J1056" s="99"/>
      <c r="K1056" s="4"/>
    </row>
    <row r="1057" spans="3:11" x14ac:dyDescent="0.25">
      <c r="C1057" s="79"/>
      <c r="D1057" s="248"/>
      <c r="E1057" s="248"/>
      <c r="F1057" s="47"/>
      <c r="G1057" s="79"/>
      <c r="J1057" s="99"/>
      <c r="K1057" s="4"/>
    </row>
    <row r="1058" spans="3:11" x14ac:dyDescent="0.25">
      <c r="C1058" s="79"/>
      <c r="D1058" s="248"/>
      <c r="E1058" s="248"/>
      <c r="F1058" s="47"/>
      <c r="G1058" s="79"/>
      <c r="J1058" s="99"/>
      <c r="K1058" s="4"/>
    </row>
    <row r="1059" spans="3:11" x14ac:dyDescent="0.25">
      <c r="C1059" s="79"/>
      <c r="D1059" s="248"/>
      <c r="E1059" s="248"/>
      <c r="F1059" s="47"/>
      <c r="G1059" s="79"/>
      <c r="J1059" s="99"/>
      <c r="K1059" s="4"/>
    </row>
    <row r="1060" spans="3:11" x14ac:dyDescent="0.25">
      <c r="C1060" s="79"/>
      <c r="D1060" s="248"/>
      <c r="E1060" s="248"/>
      <c r="F1060" s="47"/>
      <c r="G1060" s="79"/>
      <c r="J1060" s="99"/>
      <c r="K1060" s="4"/>
    </row>
    <row r="1061" spans="3:11" x14ac:dyDescent="0.25">
      <c r="C1061" s="79"/>
      <c r="D1061" s="248"/>
      <c r="E1061" s="248"/>
      <c r="F1061" s="47"/>
      <c r="G1061" s="79"/>
      <c r="J1061" s="99"/>
      <c r="K1061" s="4"/>
    </row>
    <row r="1062" spans="3:11" x14ac:dyDescent="0.25">
      <c r="C1062" s="79"/>
      <c r="D1062" s="248"/>
      <c r="E1062" s="248"/>
      <c r="F1062" s="47"/>
      <c r="G1062" s="79"/>
      <c r="J1062" s="99"/>
      <c r="K1062" s="4"/>
    </row>
    <row r="1063" spans="3:11" x14ac:dyDescent="0.25">
      <c r="C1063" s="79"/>
      <c r="D1063" s="248"/>
      <c r="E1063" s="248"/>
      <c r="F1063" s="47"/>
      <c r="G1063" s="79"/>
      <c r="J1063" s="99"/>
      <c r="K1063" s="4"/>
    </row>
    <row r="1064" spans="3:11" x14ac:dyDescent="0.25">
      <c r="C1064" s="79"/>
      <c r="D1064" s="248"/>
      <c r="E1064" s="248"/>
      <c r="F1064" s="47"/>
      <c r="G1064" s="79"/>
      <c r="J1064" s="99"/>
      <c r="K1064" s="4"/>
    </row>
    <row r="1065" spans="3:11" x14ac:dyDescent="0.25">
      <c r="C1065" s="79"/>
      <c r="D1065" s="248"/>
      <c r="E1065" s="248"/>
      <c r="F1065" s="47"/>
      <c r="G1065" s="79"/>
      <c r="J1065" s="99"/>
      <c r="K1065" s="4"/>
    </row>
    <row r="1066" spans="3:11" x14ac:dyDescent="0.25">
      <c r="C1066" s="79"/>
      <c r="D1066" s="248"/>
      <c r="E1066" s="248"/>
      <c r="F1066" s="47"/>
      <c r="G1066" s="79"/>
      <c r="J1066" s="99"/>
      <c r="K1066" s="4"/>
    </row>
    <row r="1067" spans="3:11" x14ac:dyDescent="0.25">
      <c r="C1067" s="79"/>
      <c r="D1067" s="248"/>
      <c r="E1067" s="248"/>
      <c r="F1067" s="47"/>
      <c r="G1067" s="79"/>
      <c r="J1067" s="99"/>
      <c r="K1067" s="4"/>
    </row>
    <row r="1068" spans="3:11" x14ac:dyDescent="0.25">
      <c r="C1068" s="79"/>
      <c r="D1068" s="248"/>
      <c r="E1068" s="248"/>
      <c r="F1068" s="47"/>
      <c r="G1068" s="79"/>
      <c r="J1068" s="99"/>
      <c r="K1068" s="4"/>
    </row>
    <row r="1069" spans="3:11" x14ac:dyDescent="0.25">
      <c r="C1069" s="79"/>
      <c r="D1069" s="248"/>
      <c r="E1069" s="248"/>
      <c r="F1069" s="47"/>
      <c r="G1069" s="79"/>
      <c r="J1069" s="99"/>
      <c r="K1069" s="4"/>
    </row>
    <row r="1070" spans="3:11" x14ac:dyDescent="0.25">
      <c r="C1070" s="79"/>
      <c r="D1070" s="248"/>
      <c r="E1070" s="248"/>
      <c r="F1070" s="47"/>
      <c r="G1070" s="79"/>
      <c r="J1070" s="99"/>
      <c r="K1070" s="4"/>
    </row>
    <row r="1071" spans="3:11" x14ac:dyDescent="0.25">
      <c r="C1071" s="79"/>
      <c r="D1071" s="248"/>
      <c r="E1071" s="248"/>
      <c r="F1071" s="47"/>
      <c r="G1071" s="79"/>
      <c r="J1071" s="99"/>
      <c r="K1071" s="4"/>
    </row>
    <row r="1072" spans="3:11" x14ac:dyDescent="0.25">
      <c r="C1072" s="79"/>
      <c r="D1072" s="248"/>
      <c r="E1072" s="248"/>
      <c r="F1072" s="47"/>
      <c r="G1072" s="79"/>
      <c r="J1072" s="99"/>
      <c r="K1072" s="4"/>
    </row>
    <row r="1073" spans="3:11" x14ac:dyDescent="0.25">
      <c r="C1073" s="79"/>
      <c r="D1073" s="248"/>
      <c r="E1073" s="248"/>
      <c r="F1073" s="47"/>
      <c r="G1073" s="79"/>
      <c r="J1073" s="99"/>
      <c r="K1073" s="4"/>
    </row>
    <row r="1074" spans="3:11" x14ac:dyDescent="0.25">
      <c r="C1074" s="79"/>
      <c r="D1074" s="248"/>
      <c r="E1074" s="248"/>
      <c r="F1074" s="47"/>
      <c r="G1074" s="79"/>
      <c r="J1074" s="99"/>
      <c r="K1074" s="4"/>
    </row>
    <row r="1075" spans="3:11" x14ac:dyDescent="0.25">
      <c r="C1075" s="79"/>
      <c r="D1075" s="248"/>
      <c r="E1075" s="248"/>
      <c r="F1075" s="47"/>
      <c r="G1075" s="79"/>
      <c r="J1075" s="99"/>
      <c r="K1075" s="4"/>
    </row>
    <row r="1076" spans="3:11" x14ac:dyDescent="0.25">
      <c r="C1076" s="79"/>
      <c r="D1076" s="248"/>
      <c r="E1076" s="248"/>
      <c r="F1076" s="47"/>
      <c r="G1076" s="79"/>
      <c r="J1076" s="99"/>
      <c r="K1076" s="4"/>
    </row>
    <row r="1077" spans="3:11" x14ac:dyDescent="0.25">
      <c r="C1077" s="79"/>
      <c r="D1077" s="248"/>
      <c r="E1077" s="248"/>
      <c r="F1077" s="47"/>
      <c r="G1077" s="79"/>
      <c r="J1077" s="99"/>
      <c r="K1077" s="4"/>
    </row>
    <row r="1078" spans="3:11" x14ac:dyDescent="0.25">
      <c r="C1078" s="79"/>
      <c r="D1078" s="248"/>
      <c r="E1078" s="248"/>
      <c r="F1078" s="47"/>
      <c r="G1078" s="79"/>
      <c r="J1078" s="99"/>
      <c r="K1078" s="4"/>
    </row>
    <row r="1079" spans="3:11" x14ac:dyDescent="0.25">
      <c r="C1079" s="79"/>
      <c r="D1079" s="248"/>
      <c r="E1079" s="248"/>
      <c r="F1079" s="47"/>
      <c r="G1079" s="79"/>
      <c r="J1079" s="99"/>
      <c r="K1079" s="4"/>
    </row>
    <row r="1080" spans="3:11" x14ac:dyDescent="0.25">
      <c r="C1080" s="79"/>
      <c r="D1080" s="248"/>
      <c r="E1080" s="248"/>
      <c r="F1080" s="47"/>
      <c r="G1080" s="79"/>
      <c r="J1080" s="99"/>
      <c r="K1080" s="4"/>
    </row>
    <row r="1081" spans="3:11" x14ac:dyDescent="0.25">
      <c r="C1081" s="79"/>
      <c r="D1081" s="248"/>
      <c r="E1081" s="248"/>
      <c r="F1081" s="47"/>
      <c r="G1081" s="79"/>
      <c r="J1081" s="99"/>
      <c r="K1081" s="4"/>
    </row>
    <row r="1082" spans="3:11" x14ac:dyDescent="0.25">
      <c r="C1082" s="79"/>
      <c r="D1082" s="248"/>
      <c r="E1082" s="248"/>
      <c r="F1082" s="47"/>
      <c r="G1082" s="79"/>
      <c r="J1082" s="99"/>
      <c r="K1082" s="4"/>
    </row>
    <row r="1083" spans="3:11" x14ac:dyDescent="0.25">
      <c r="C1083" s="79"/>
      <c r="D1083" s="248"/>
      <c r="E1083" s="248"/>
      <c r="F1083" s="47"/>
      <c r="G1083" s="79"/>
      <c r="J1083" s="99"/>
      <c r="K1083" s="4"/>
    </row>
    <row r="1084" spans="3:11" x14ac:dyDescent="0.25">
      <c r="C1084" s="79"/>
      <c r="D1084" s="248"/>
      <c r="E1084" s="248"/>
      <c r="F1084" s="47"/>
      <c r="G1084" s="79"/>
      <c r="J1084" s="99"/>
      <c r="K1084" s="4"/>
    </row>
    <row r="1085" spans="3:11" x14ac:dyDescent="0.25">
      <c r="C1085" s="79"/>
      <c r="D1085" s="248"/>
      <c r="E1085" s="248"/>
      <c r="F1085" s="47"/>
      <c r="G1085" s="79"/>
      <c r="J1085" s="99"/>
      <c r="K1085" s="4"/>
    </row>
    <row r="1086" spans="3:11" x14ac:dyDescent="0.25">
      <c r="C1086" s="79"/>
      <c r="D1086" s="248"/>
      <c r="E1086" s="248"/>
      <c r="F1086" s="47"/>
      <c r="G1086" s="79"/>
      <c r="J1086" s="99"/>
      <c r="K1086" s="4"/>
    </row>
    <row r="1087" spans="3:11" x14ac:dyDescent="0.25">
      <c r="C1087" s="79"/>
      <c r="D1087" s="248"/>
      <c r="E1087" s="248"/>
      <c r="F1087" s="47"/>
      <c r="G1087" s="79"/>
      <c r="J1087" s="99"/>
      <c r="K1087" s="4"/>
    </row>
    <row r="1088" spans="3:11" x14ac:dyDescent="0.25">
      <c r="C1088" s="79"/>
      <c r="D1088" s="248"/>
      <c r="E1088" s="248"/>
      <c r="F1088" s="47"/>
      <c r="G1088" s="79"/>
      <c r="J1088" s="99"/>
      <c r="K1088" s="4"/>
    </row>
    <row r="1089" spans="3:11" x14ac:dyDescent="0.25">
      <c r="C1089" s="79"/>
      <c r="D1089" s="248"/>
      <c r="E1089" s="248"/>
      <c r="F1089" s="47"/>
      <c r="G1089" s="79"/>
      <c r="J1089" s="99"/>
      <c r="K1089" s="4"/>
    </row>
    <row r="1090" spans="3:11" x14ac:dyDescent="0.25">
      <c r="C1090" s="79"/>
      <c r="D1090" s="248"/>
      <c r="E1090" s="248"/>
      <c r="F1090" s="47"/>
      <c r="G1090" s="79"/>
      <c r="J1090" s="99"/>
      <c r="K1090" s="4"/>
    </row>
    <row r="1091" spans="3:11" x14ac:dyDescent="0.25">
      <c r="C1091" s="79"/>
      <c r="D1091" s="248"/>
      <c r="E1091" s="248"/>
      <c r="F1091" s="47"/>
      <c r="G1091" s="79"/>
      <c r="J1091" s="99"/>
      <c r="K1091" s="4"/>
    </row>
    <row r="1092" spans="3:11" x14ac:dyDescent="0.25">
      <c r="C1092" s="79"/>
      <c r="D1092" s="248"/>
      <c r="E1092" s="248"/>
      <c r="F1092" s="47"/>
      <c r="G1092" s="79"/>
      <c r="J1092" s="99"/>
      <c r="K1092" s="4"/>
    </row>
    <row r="1093" spans="3:11" x14ac:dyDescent="0.25">
      <c r="C1093" s="79"/>
      <c r="D1093" s="248"/>
      <c r="E1093" s="248"/>
      <c r="F1093" s="47"/>
      <c r="G1093" s="79"/>
      <c r="J1093" s="99"/>
      <c r="K1093" s="4"/>
    </row>
    <row r="1094" spans="3:11" x14ac:dyDescent="0.25">
      <c r="C1094" s="79"/>
      <c r="D1094" s="248"/>
      <c r="E1094" s="248"/>
      <c r="F1094" s="47"/>
      <c r="G1094" s="79"/>
      <c r="J1094" s="99"/>
      <c r="K1094" s="4"/>
    </row>
    <row r="1095" spans="3:11" x14ac:dyDescent="0.25">
      <c r="C1095" s="79"/>
      <c r="D1095" s="248"/>
      <c r="E1095" s="248"/>
      <c r="F1095" s="47"/>
      <c r="G1095" s="79"/>
      <c r="J1095" s="99"/>
      <c r="K1095" s="4"/>
    </row>
    <row r="1096" spans="3:11" x14ac:dyDescent="0.25">
      <c r="C1096" s="79"/>
      <c r="D1096" s="248"/>
      <c r="E1096" s="248"/>
      <c r="F1096" s="47"/>
      <c r="G1096" s="79"/>
      <c r="J1096" s="99"/>
      <c r="K1096" s="4"/>
    </row>
    <row r="1097" spans="3:11" x14ac:dyDescent="0.25">
      <c r="C1097" s="79"/>
      <c r="D1097" s="248"/>
      <c r="E1097" s="248"/>
      <c r="F1097" s="47"/>
      <c r="G1097" s="79"/>
      <c r="J1097" s="99"/>
      <c r="K1097" s="4"/>
    </row>
    <row r="1098" spans="3:11" x14ac:dyDescent="0.25">
      <c r="C1098" s="79"/>
      <c r="D1098" s="248"/>
      <c r="E1098" s="248"/>
      <c r="F1098" s="47"/>
      <c r="G1098" s="79"/>
      <c r="J1098" s="99"/>
      <c r="K1098" s="4"/>
    </row>
    <row r="1099" spans="3:11" x14ac:dyDescent="0.25">
      <c r="C1099" s="79"/>
      <c r="D1099" s="248"/>
      <c r="E1099" s="248"/>
      <c r="F1099" s="47"/>
      <c r="G1099" s="79"/>
      <c r="J1099" s="99"/>
      <c r="K1099" s="4"/>
    </row>
    <row r="1100" spans="3:11" x14ac:dyDescent="0.25">
      <c r="C1100" s="79"/>
      <c r="D1100" s="248"/>
      <c r="E1100" s="248"/>
      <c r="F1100" s="47"/>
      <c r="G1100" s="79"/>
      <c r="J1100" s="99"/>
      <c r="K1100" s="4"/>
    </row>
    <row r="1101" spans="3:11" x14ac:dyDescent="0.25">
      <c r="C1101" s="79"/>
      <c r="D1101" s="248"/>
      <c r="E1101" s="248"/>
      <c r="F1101" s="47"/>
      <c r="G1101" s="79"/>
      <c r="J1101" s="99"/>
      <c r="K1101" s="4"/>
    </row>
    <row r="1102" spans="3:11" x14ac:dyDescent="0.25">
      <c r="C1102" s="79"/>
      <c r="D1102" s="248"/>
      <c r="E1102" s="248"/>
      <c r="F1102" s="47"/>
      <c r="G1102" s="79"/>
      <c r="J1102" s="99"/>
      <c r="K1102" s="4"/>
    </row>
    <row r="1103" spans="3:11" x14ac:dyDescent="0.25">
      <c r="C1103" s="79"/>
      <c r="D1103" s="248"/>
      <c r="E1103" s="248"/>
      <c r="F1103" s="47"/>
      <c r="G1103" s="79"/>
      <c r="J1103" s="99"/>
      <c r="K1103" s="4"/>
    </row>
    <row r="1104" spans="3:11" x14ac:dyDescent="0.25">
      <c r="C1104" s="79"/>
      <c r="D1104" s="248"/>
      <c r="E1104" s="248"/>
      <c r="F1104" s="47"/>
      <c r="G1104" s="79"/>
      <c r="J1104" s="99"/>
      <c r="K1104" s="4"/>
    </row>
    <row r="1105" spans="3:11" x14ac:dyDescent="0.25">
      <c r="C1105" s="79"/>
      <c r="D1105" s="248"/>
      <c r="E1105" s="248"/>
      <c r="F1105" s="47"/>
      <c r="G1105" s="79"/>
      <c r="J1105" s="99"/>
      <c r="K1105" s="4"/>
    </row>
    <row r="1106" spans="3:11" x14ac:dyDescent="0.25">
      <c r="C1106" s="79"/>
      <c r="D1106" s="248"/>
      <c r="E1106" s="248"/>
      <c r="F1106" s="47"/>
      <c r="G1106" s="79"/>
      <c r="J1106" s="99"/>
      <c r="K1106" s="4"/>
    </row>
    <row r="1107" spans="3:11" x14ac:dyDescent="0.25">
      <c r="C1107" s="79"/>
      <c r="D1107" s="248"/>
      <c r="E1107" s="248"/>
      <c r="F1107" s="47"/>
      <c r="G1107" s="79"/>
      <c r="J1107" s="99"/>
      <c r="K1107" s="4"/>
    </row>
    <row r="1108" spans="3:11" x14ac:dyDescent="0.25">
      <c r="C1108" s="79"/>
      <c r="D1108" s="248"/>
      <c r="E1108" s="248"/>
      <c r="F1108" s="47"/>
      <c r="G1108" s="79"/>
      <c r="J1108" s="99"/>
      <c r="K1108" s="4"/>
    </row>
    <row r="1109" spans="3:11" x14ac:dyDescent="0.25">
      <c r="C1109" s="79"/>
      <c r="D1109" s="248"/>
      <c r="E1109" s="248"/>
      <c r="F1109" s="47"/>
      <c r="G1109" s="79"/>
      <c r="J1109" s="99"/>
      <c r="K1109" s="4"/>
    </row>
    <row r="1110" spans="3:11" x14ac:dyDescent="0.25">
      <c r="C1110" s="79"/>
      <c r="D1110" s="248"/>
      <c r="E1110" s="248"/>
      <c r="F1110" s="47"/>
      <c r="G1110" s="79"/>
      <c r="J1110" s="99"/>
      <c r="K1110" s="4"/>
    </row>
    <row r="1111" spans="3:11" x14ac:dyDescent="0.25">
      <c r="C1111" s="79"/>
      <c r="D1111" s="248"/>
      <c r="E1111" s="248"/>
      <c r="F1111" s="47"/>
      <c r="G1111" s="79"/>
      <c r="J1111" s="99"/>
      <c r="K1111" s="4"/>
    </row>
    <row r="1112" spans="3:11" x14ac:dyDescent="0.25">
      <c r="C1112" s="79"/>
      <c r="D1112" s="248"/>
      <c r="E1112" s="248"/>
      <c r="F1112" s="47"/>
      <c r="G1112" s="79"/>
      <c r="J1112" s="99"/>
      <c r="K1112" s="4"/>
    </row>
    <row r="1113" spans="3:11" x14ac:dyDescent="0.25">
      <c r="C1113" s="79"/>
      <c r="D1113" s="248"/>
      <c r="E1113" s="248"/>
      <c r="F1113" s="47"/>
      <c r="G1113" s="79"/>
      <c r="J1113" s="99"/>
      <c r="K1113" s="4"/>
    </row>
    <row r="1114" spans="3:11" x14ac:dyDescent="0.25">
      <c r="C1114" s="79"/>
      <c r="D1114" s="248"/>
      <c r="E1114" s="248"/>
      <c r="F1114" s="47"/>
      <c r="G1114" s="79"/>
      <c r="J1114" s="99"/>
      <c r="K1114" s="4"/>
    </row>
    <row r="1115" spans="3:11" x14ac:dyDescent="0.25">
      <c r="C1115" s="79"/>
      <c r="D1115" s="248"/>
      <c r="E1115" s="248"/>
      <c r="F1115" s="47"/>
      <c r="G1115" s="79"/>
      <c r="J1115" s="99"/>
      <c r="K1115" s="4"/>
    </row>
    <row r="1116" spans="3:11" x14ac:dyDescent="0.25">
      <c r="C1116" s="79"/>
      <c r="D1116" s="248"/>
      <c r="E1116" s="248"/>
      <c r="F1116" s="47"/>
      <c r="G1116" s="79"/>
      <c r="J1116" s="99"/>
      <c r="K1116" s="4"/>
    </row>
    <row r="1117" spans="3:11" x14ac:dyDescent="0.25">
      <c r="C1117" s="79"/>
      <c r="D1117" s="248"/>
      <c r="E1117" s="248"/>
      <c r="F1117" s="47"/>
      <c r="G1117" s="79"/>
      <c r="J1117" s="99"/>
      <c r="K1117" s="4"/>
    </row>
    <row r="1118" spans="3:11" x14ac:dyDescent="0.25">
      <c r="C1118" s="79"/>
      <c r="D1118" s="248"/>
      <c r="E1118" s="248"/>
      <c r="F1118" s="47"/>
      <c r="G1118" s="79"/>
      <c r="J1118" s="99"/>
      <c r="K1118" s="4"/>
    </row>
    <row r="1119" spans="3:11" x14ac:dyDescent="0.25">
      <c r="C1119" s="79"/>
      <c r="D1119" s="248"/>
      <c r="E1119" s="248"/>
      <c r="F1119" s="47"/>
      <c r="G1119" s="79"/>
      <c r="J1119" s="99"/>
      <c r="K1119" s="4"/>
    </row>
    <row r="1120" spans="3:11" x14ac:dyDescent="0.25">
      <c r="C1120" s="79"/>
      <c r="D1120" s="248"/>
      <c r="E1120" s="248"/>
      <c r="F1120" s="47"/>
      <c r="G1120" s="79"/>
      <c r="J1120" s="99"/>
      <c r="K1120" s="4"/>
    </row>
    <row r="1121" spans="3:11" x14ac:dyDescent="0.25">
      <c r="C1121" s="79"/>
      <c r="D1121" s="248"/>
      <c r="E1121" s="248"/>
      <c r="F1121" s="47"/>
      <c r="G1121" s="79"/>
      <c r="J1121" s="99"/>
      <c r="K1121" s="4"/>
    </row>
    <row r="1122" spans="3:11" x14ac:dyDescent="0.25">
      <c r="C1122" s="79"/>
      <c r="D1122" s="248"/>
      <c r="E1122" s="248"/>
      <c r="F1122" s="47"/>
      <c r="G1122" s="79"/>
      <c r="J1122" s="99"/>
      <c r="K1122" s="4"/>
    </row>
    <row r="1123" spans="3:11" x14ac:dyDescent="0.25">
      <c r="C1123" s="79"/>
      <c r="D1123" s="248"/>
      <c r="E1123" s="248"/>
      <c r="F1123" s="47"/>
      <c r="G1123" s="79"/>
      <c r="J1123" s="99"/>
      <c r="K1123" s="4"/>
    </row>
    <row r="1124" spans="3:11" x14ac:dyDescent="0.25">
      <c r="C1124" s="79"/>
      <c r="D1124" s="248"/>
      <c r="E1124" s="248"/>
      <c r="F1124" s="47"/>
      <c r="G1124" s="79"/>
      <c r="J1124" s="99"/>
      <c r="K1124" s="4"/>
    </row>
    <row r="1125" spans="3:11" x14ac:dyDescent="0.25">
      <c r="C1125" s="79"/>
      <c r="D1125" s="248"/>
      <c r="E1125" s="248"/>
      <c r="F1125" s="47"/>
      <c r="G1125" s="79"/>
      <c r="J1125" s="99"/>
      <c r="K1125" s="4"/>
    </row>
    <row r="1126" spans="3:11" x14ac:dyDescent="0.25">
      <c r="C1126" s="79"/>
      <c r="D1126" s="248"/>
      <c r="E1126" s="248"/>
      <c r="F1126" s="47"/>
      <c r="G1126" s="79"/>
      <c r="J1126" s="99"/>
      <c r="K1126" s="4"/>
    </row>
    <row r="1127" spans="3:11" x14ac:dyDescent="0.25">
      <c r="C1127" s="79"/>
      <c r="D1127" s="248"/>
      <c r="E1127" s="248"/>
      <c r="F1127" s="47"/>
      <c r="G1127" s="79"/>
      <c r="J1127" s="99"/>
      <c r="K1127" s="4"/>
    </row>
    <row r="1128" spans="3:11" x14ac:dyDescent="0.25">
      <c r="C1128" s="79"/>
      <c r="D1128" s="248"/>
      <c r="E1128" s="248"/>
      <c r="F1128" s="47"/>
      <c r="G1128" s="79"/>
      <c r="J1128" s="99"/>
      <c r="K1128" s="4"/>
    </row>
    <row r="1129" spans="3:11" x14ac:dyDescent="0.25">
      <c r="C1129" s="79"/>
      <c r="D1129" s="248"/>
      <c r="E1129" s="248"/>
      <c r="F1129" s="47"/>
      <c r="G1129" s="79"/>
      <c r="J1129" s="99"/>
      <c r="K1129" s="4"/>
    </row>
    <row r="1130" spans="3:11" x14ac:dyDescent="0.25">
      <c r="C1130" s="79"/>
      <c r="D1130" s="248"/>
      <c r="E1130" s="248"/>
      <c r="F1130" s="47"/>
      <c r="G1130" s="79"/>
      <c r="J1130" s="99"/>
      <c r="K1130" s="4"/>
    </row>
    <row r="1131" spans="3:11" x14ac:dyDescent="0.25">
      <c r="C1131" s="79"/>
      <c r="D1131" s="248"/>
      <c r="E1131" s="248"/>
      <c r="F1131" s="47"/>
      <c r="G1131" s="79"/>
      <c r="J1131" s="99"/>
      <c r="K1131" s="4"/>
    </row>
    <row r="1132" spans="3:11" x14ac:dyDescent="0.25">
      <c r="C1132" s="79"/>
      <c r="D1132" s="248"/>
      <c r="E1132" s="248"/>
      <c r="F1132" s="47"/>
      <c r="G1132" s="79"/>
      <c r="J1132" s="99"/>
      <c r="K1132" s="4"/>
    </row>
    <row r="1133" spans="3:11" x14ac:dyDescent="0.25">
      <c r="C1133" s="79"/>
      <c r="D1133" s="248"/>
      <c r="E1133" s="248"/>
      <c r="F1133" s="47"/>
      <c r="G1133" s="79"/>
      <c r="J1133" s="99"/>
      <c r="K1133" s="4"/>
    </row>
    <row r="1134" spans="3:11" x14ac:dyDescent="0.25">
      <c r="C1134" s="79"/>
      <c r="D1134" s="248"/>
      <c r="E1134" s="248"/>
      <c r="F1134" s="47"/>
      <c r="G1134" s="79"/>
      <c r="J1134" s="99"/>
      <c r="K1134" s="4"/>
    </row>
    <row r="1135" spans="3:11" x14ac:dyDescent="0.25">
      <c r="C1135" s="79"/>
      <c r="D1135" s="248"/>
      <c r="E1135" s="248"/>
      <c r="F1135" s="47"/>
      <c r="G1135" s="79"/>
      <c r="J1135" s="99"/>
      <c r="K1135" s="4"/>
    </row>
    <row r="1136" spans="3:11" x14ac:dyDescent="0.25">
      <c r="C1136" s="79"/>
      <c r="D1136" s="248"/>
      <c r="E1136" s="248"/>
      <c r="F1136" s="47"/>
      <c r="G1136" s="79"/>
      <c r="J1136" s="99"/>
      <c r="K1136" s="4"/>
    </row>
    <row r="1137" spans="3:11" x14ac:dyDescent="0.25">
      <c r="C1137" s="79"/>
      <c r="D1137" s="248"/>
      <c r="E1137" s="248"/>
      <c r="F1137" s="47"/>
      <c r="G1137" s="79"/>
      <c r="J1137" s="99"/>
      <c r="K1137" s="4"/>
    </row>
    <row r="1138" spans="3:11" x14ac:dyDescent="0.25">
      <c r="C1138" s="79"/>
      <c r="D1138" s="248"/>
      <c r="E1138" s="248"/>
      <c r="F1138" s="47"/>
      <c r="G1138" s="79"/>
      <c r="J1138" s="99"/>
      <c r="K1138" s="4"/>
    </row>
    <row r="1139" spans="3:11" x14ac:dyDescent="0.25">
      <c r="C1139" s="79"/>
      <c r="D1139" s="248"/>
      <c r="E1139" s="248"/>
      <c r="F1139" s="47"/>
      <c r="G1139" s="79"/>
      <c r="J1139" s="99"/>
      <c r="K1139" s="4"/>
    </row>
    <row r="1140" spans="3:11" x14ac:dyDescent="0.25">
      <c r="C1140" s="79"/>
      <c r="D1140" s="248"/>
      <c r="E1140" s="248"/>
      <c r="F1140" s="47"/>
      <c r="G1140" s="79"/>
      <c r="J1140" s="99"/>
      <c r="K1140" s="4"/>
    </row>
    <row r="1141" spans="3:11" x14ac:dyDescent="0.25">
      <c r="C1141" s="79"/>
      <c r="D1141" s="248"/>
      <c r="E1141" s="248"/>
      <c r="F1141" s="47"/>
      <c r="G1141" s="79"/>
      <c r="J1141" s="99"/>
      <c r="K1141" s="4"/>
    </row>
    <row r="1142" spans="3:11" x14ac:dyDescent="0.25">
      <c r="C1142" s="79"/>
      <c r="D1142" s="248"/>
      <c r="E1142" s="248"/>
      <c r="F1142" s="47"/>
      <c r="G1142" s="79"/>
      <c r="J1142" s="99"/>
      <c r="K1142" s="4"/>
    </row>
    <row r="1143" spans="3:11" x14ac:dyDescent="0.25">
      <c r="C1143" s="79"/>
      <c r="D1143" s="248"/>
      <c r="E1143" s="248"/>
      <c r="F1143" s="47"/>
      <c r="G1143" s="79"/>
      <c r="J1143" s="99"/>
      <c r="K1143" s="4"/>
    </row>
    <row r="1144" spans="3:11" x14ac:dyDescent="0.25">
      <c r="C1144" s="79"/>
      <c r="D1144" s="248"/>
      <c r="E1144" s="248"/>
      <c r="F1144" s="47"/>
      <c r="G1144" s="79"/>
      <c r="J1144" s="99"/>
      <c r="K1144" s="4"/>
    </row>
    <row r="1145" spans="3:11" x14ac:dyDescent="0.25">
      <c r="C1145" s="79"/>
      <c r="D1145" s="248"/>
      <c r="E1145" s="248"/>
      <c r="F1145" s="47"/>
      <c r="G1145" s="79"/>
      <c r="J1145" s="99"/>
      <c r="K1145" s="4"/>
    </row>
    <row r="1146" spans="3:11" x14ac:dyDescent="0.25">
      <c r="C1146" s="79"/>
      <c r="D1146" s="248"/>
      <c r="E1146" s="248"/>
      <c r="F1146" s="47"/>
      <c r="G1146" s="79"/>
      <c r="J1146" s="99"/>
      <c r="K1146" s="4"/>
    </row>
    <row r="1147" spans="3:11" x14ac:dyDescent="0.25">
      <c r="C1147" s="79"/>
      <c r="D1147" s="248"/>
      <c r="E1147" s="248"/>
      <c r="F1147" s="47"/>
      <c r="G1147" s="79"/>
      <c r="J1147" s="99"/>
      <c r="K1147" s="4"/>
    </row>
    <row r="1148" spans="3:11" x14ac:dyDescent="0.25">
      <c r="C1148" s="79"/>
      <c r="D1148" s="248"/>
      <c r="E1148" s="248"/>
      <c r="F1148" s="47"/>
      <c r="G1148" s="79"/>
      <c r="J1148" s="99"/>
      <c r="K1148" s="4"/>
    </row>
    <row r="1149" spans="3:11" x14ac:dyDescent="0.25">
      <c r="C1149" s="79"/>
      <c r="D1149" s="248"/>
      <c r="E1149" s="248"/>
      <c r="F1149" s="47"/>
      <c r="G1149" s="79"/>
      <c r="J1149" s="99"/>
      <c r="K1149" s="4"/>
    </row>
    <row r="1150" spans="3:11" x14ac:dyDescent="0.25">
      <c r="C1150" s="79"/>
      <c r="D1150" s="248"/>
      <c r="E1150" s="248"/>
      <c r="F1150" s="47"/>
      <c r="G1150" s="79"/>
      <c r="J1150" s="99"/>
      <c r="K1150" s="4"/>
    </row>
    <row r="1151" spans="3:11" x14ac:dyDescent="0.25">
      <c r="C1151" s="79"/>
      <c r="D1151" s="248"/>
      <c r="E1151" s="248"/>
      <c r="F1151" s="47"/>
      <c r="G1151" s="79"/>
      <c r="J1151" s="99"/>
      <c r="K1151" s="4"/>
    </row>
    <row r="1152" spans="3:11" x14ac:dyDescent="0.25">
      <c r="C1152" s="79"/>
      <c r="D1152" s="248"/>
      <c r="E1152" s="248"/>
      <c r="F1152" s="47"/>
      <c r="G1152" s="79"/>
      <c r="J1152" s="99"/>
      <c r="K1152" s="4"/>
    </row>
    <row r="1153" spans="3:11" x14ac:dyDescent="0.25">
      <c r="C1153" s="79"/>
      <c r="D1153" s="248"/>
      <c r="E1153" s="248"/>
      <c r="F1153" s="47"/>
      <c r="G1153" s="79"/>
      <c r="J1153" s="99"/>
      <c r="K1153" s="4"/>
    </row>
    <row r="1154" spans="3:11" x14ac:dyDescent="0.25">
      <c r="C1154" s="79"/>
      <c r="D1154" s="248"/>
      <c r="E1154" s="248"/>
      <c r="F1154" s="47"/>
      <c r="G1154" s="79"/>
      <c r="J1154" s="99"/>
      <c r="K1154" s="4"/>
    </row>
    <row r="1155" spans="3:11" x14ac:dyDescent="0.25">
      <c r="C1155" s="79"/>
      <c r="D1155" s="248"/>
      <c r="E1155" s="248"/>
      <c r="F1155" s="47"/>
      <c r="G1155" s="79"/>
      <c r="J1155" s="99"/>
      <c r="K1155" s="4"/>
    </row>
    <row r="1156" spans="3:11" x14ac:dyDescent="0.25">
      <c r="C1156" s="79"/>
      <c r="D1156" s="248"/>
      <c r="E1156" s="248"/>
      <c r="F1156" s="47"/>
      <c r="G1156" s="79"/>
      <c r="J1156" s="99"/>
      <c r="K1156" s="4"/>
    </row>
    <row r="1157" spans="3:11" x14ac:dyDescent="0.25">
      <c r="C1157" s="79"/>
      <c r="D1157" s="248"/>
      <c r="E1157" s="248"/>
      <c r="F1157" s="47"/>
      <c r="G1157" s="79"/>
      <c r="J1157" s="99"/>
      <c r="K1157" s="4"/>
    </row>
    <row r="1158" spans="3:11" x14ac:dyDescent="0.25">
      <c r="C1158" s="79"/>
      <c r="D1158" s="248"/>
      <c r="E1158" s="248"/>
      <c r="F1158" s="47"/>
      <c r="G1158" s="79"/>
      <c r="J1158" s="99"/>
      <c r="K1158" s="4"/>
    </row>
    <row r="1159" spans="3:11" x14ac:dyDescent="0.25">
      <c r="C1159" s="79"/>
      <c r="D1159" s="248"/>
      <c r="E1159" s="248"/>
      <c r="F1159" s="47"/>
      <c r="G1159" s="79"/>
      <c r="J1159" s="99"/>
      <c r="K1159" s="4"/>
    </row>
    <row r="1160" spans="3:11" x14ac:dyDescent="0.25">
      <c r="C1160" s="79"/>
      <c r="D1160" s="248"/>
      <c r="E1160" s="248"/>
      <c r="F1160" s="47"/>
      <c r="G1160" s="79"/>
      <c r="J1160" s="99"/>
      <c r="K1160" s="4"/>
    </row>
    <row r="1161" spans="3:11" x14ac:dyDescent="0.25">
      <c r="C1161" s="79"/>
      <c r="D1161" s="248"/>
      <c r="E1161" s="248"/>
      <c r="F1161" s="47"/>
      <c r="G1161" s="79"/>
      <c r="J1161" s="99"/>
      <c r="K1161" s="4"/>
    </row>
    <row r="1162" spans="3:11" x14ac:dyDescent="0.25">
      <c r="C1162" s="79"/>
      <c r="D1162" s="248"/>
      <c r="E1162" s="248"/>
      <c r="F1162" s="47"/>
      <c r="G1162" s="79"/>
      <c r="J1162" s="99"/>
      <c r="K1162" s="4"/>
    </row>
    <row r="1163" spans="3:11" x14ac:dyDescent="0.25">
      <c r="C1163" s="79"/>
      <c r="D1163" s="248"/>
      <c r="E1163" s="248"/>
      <c r="F1163" s="47"/>
      <c r="G1163" s="79"/>
      <c r="J1163" s="99"/>
      <c r="K1163" s="4"/>
    </row>
    <row r="1164" spans="3:11" x14ac:dyDescent="0.25">
      <c r="C1164" s="79"/>
      <c r="D1164" s="248"/>
      <c r="E1164" s="248"/>
      <c r="F1164" s="47"/>
      <c r="G1164" s="79"/>
      <c r="J1164" s="99"/>
      <c r="K1164" s="4"/>
    </row>
    <row r="1165" spans="3:11" x14ac:dyDescent="0.25">
      <c r="C1165" s="79"/>
      <c r="D1165" s="248"/>
      <c r="E1165" s="248"/>
      <c r="F1165" s="47"/>
      <c r="G1165" s="79"/>
      <c r="J1165" s="99"/>
      <c r="K1165" s="4"/>
    </row>
    <row r="1166" spans="3:11" x14ac:dyDescent="0.25">
      <c r="C1166" s="79"/>
      <c r="D1166" s="248"/>
      <c r="E1166" s="248"/>
      <c r="F1166" s="47"/>
      <c r="G1166" s="79"/>
      <c r="J1166" s="99"/>
      <c r="K1166" s="4"/>
    </row>
    <row r="1167" spans="3:11" x14ac:dyDescent="0.25">
      <c r="C1167" s="79"/>
      <c r="D1167" s="248"/>
      <c r="E1167" s="248"/>
      <c r="F1167" s="47"/>
      <c r="G1167" s="79"/>
      <c r="J1167" s="99"/>
      <c r="K1167" s="4"/>
    </row>
    <row r="1168" spans="3:11" x14ac:dyDescent="0.25">
      <c r="C1168" s="79"/>
      <c r="D1168" s="248"/>
      <c r="E1168" s="248"/>
      <c r="F1168" s="47"/>
      <c r="G1168" s="79"/>
      <c r="J1168" s="99"/>
      <c r="K1168" s="4"/>
    </row>
    <row r="1169" spans="3:11" x14ac:dyDescent="0.25">
      <c r="C1169" s="79"/>
      <c r="D1169" s="248"/>
      <c r="E1169" s="248"/>
      <c r="F1169" s="47"/>
      <c r="G1169" s="79"/>
      <c r="J1169" s="99"/>
      <c r="K1169" s="4"/>
    </row>
    <row r="1170" spans="3:11" x14ac:dyDescent="0.25">
      <c r="C1170" s="79"/>
      <c r="D1170" s="248"/>
      <c r="E1170" s="248"/>
      <c r="F1170" s="47"/>
      <c r="G1170" s="79"/>
      <c r="J1170" s="99"/>
      <c r="K1170" s="4"/>
    </row>
    <row r="1171" spans="3:11" x14ac:dyDescent="0.25">
      <c r="C1171" s="79"/>
      <c r="D1171" s="248"/>
      <c r="E1171" s="248"/>
      <c r="F1171" s="47"/>
      <c r="G1171" s="79"/>
      <c r="J1171" s="99"/>
      <c r="K1171" s="4"/>
    </row>
    <row r="1172" spans="3:11" x14ac:dyDescent="0.25">
      <c r="C1172" s="79"/>
      <c r="D1172" s="248"/>
      <c r="E1172" s="248"/>
      <c r="F1172" s="47"/>
      <c r="G1172" s="79"/>
      <c r="J1172" s="99"/>
      <c r="K1172" s="4"/>
    </row>
    <row r="1173" spans="3:11" x14ac:dyDescent="0.25">
      <c r="C1173" s="79"/>
      <c r="D1173" s="248"/>
      <c r="E1173" s="248"/>
      <c r="F1173" s="47"/>
      <c r="G1173" s="79"/>
      <c r="J1173" s="99"/>
      <c r="K1173" s="4"/>
    </row>
    <row r="1174" spans="3:11" x14ac:dyDescent="0.25">
      <c r="C1174" s="79"/>
      <c r="D1174" s="248"/>
      <c r="E1174" s="248"/>
      <c r="F1174" s="47"/>
      <c r="G1174" s="79"/>
      <c r="J1174" s="99"/>
      <c r="K1174" s="4"/>
    </row>
    <row r="1175" spans="3:11" x14ac:dyDescent="0.25">
      <c r="C1175" s="79"/>
      <c r="D1175" s="248"/>
      <c r="E1175" s="248"/>
      <c r="F1175" s="47"/>
      <c r="G1175" s="79"/>
      <c r="J1175" s="99"/>
      <c r="K1175" s="4"/>
    </row>
    <row r="1176" spans="3:11" x14ac:dyDescent="0.25">
      <c r="C1176" s="79"/>
      <c r="D1176" s="248"/>
      <c r="E1176" s="248"/>
      <c r="F1176" s="47"/>
      <c r="G1176" s="79"/>
      <c r="J1176" s="99"/>
      <c r="K1176" s="4"/>
    </row>
    <row r="1177" spans="3:11" x14ac:dyDescent="0.25">
      <c r="C1177" s="79"/>
      <c r="D1177" s="248"/>
      <c r="E1177" s="248"/>
      <c r="F1177" s="47"/>
      <c r="G1177" s="79"/>
      <c r="J1177" s="99"/>
      <c r="K1177" s="4"/>
    </row>
    <row r="1178" spans="3:11" x14ac:dyDescent="0.25">
      <c r="C1178" s="79"/>
      <c r="D1178" s="248"/>
      <c r="E1178" s="248"/>
      <c r="F1178" s="47"/>
      <c r="G1178" s="79"/>
      <c r="J1178" s="99"/>
      <c r="K1178" s="4"/>
    </row>
    <row r="1179" spans="3:11" x14ac:dyDescent="0.25">
      <c r="C1179" s="79"/>
      <c r="D1179" s="248"/>
      <c r="E1179" s="248"/>
      <c r="F1179" s="47"/>
      <c r="G1179" s="79"/>
      <c r="J1179" s="99"/>
      <c r="K1179" s="4"/>
    </row>
    <row r="1180" spans="3:11" x14ac:dyDescent="0.25">
      <c r="C1180" s="79"/>
      <c r="D1180" s="248"/>
      <c r="E1180" s="248"/>
      <c r="F1180" s="47"/>
      <c r="G1180" s="79"/>
      <c r="J1180" s="99"/>
      <c r="K1180" s="4"/>
    </row>
    <row r="1181" spans="3:11" x14ac:dyDescent="0.25">
      <c r="C1181" s="79"/>
      <c r="D1181" s="248"/>
      <c r="E1181" s="248"/>
      <c r="F1181" s="47"/>
      <c r="G1181" s="79"/>
      <c r="J1181" s="99"/>
      <c r="K1181" s="4"/>
    </row>
    <row r="1182" spans="3:11" x14ac:dyDescent="0.25">
      <c r="C1182" s="79"/>
      <c r="D1182" s="248"/>
      <c r="E1182" s="248"/>
      <c r="F1182" s="47"/>
      <c r="G1182" s="79"/>
      <c r="J1182" s="99"/>
      <c r="K1182" s="4"/>
    </row>
    <row r="1183" spans="3:11" x14ac:dyDescent="0.25">
      <c r="C1183" s="79"/>
      <c r="D1183" s="248"/>
      <c r="E1183" s="248"/>
      <c r="F1183" s="47"/>
      <c r="G1183" s="79"/>
      <c r="J1183" s="99"/>
      <c r="K1183" s="4"/>
    </row>
    <row r="1184" spans="3:11" x14ac:dyDescent="0.25">
      <c r="C1184" s="79"/>
      <c r="D1184" s="248"/>
      <c r="E1184" s="248"/>
      <c r="F1184" s="47"/>
      <c r="G1184" s="79"/>
      <c r="J1184" s="99"/>
      <c r="K1184" s="4"/>
    </row>
    <row r="1185" spans="3:11" x14ac:dyDescent="0.25">
      <c r="C1185" s="79"/>
      <c r="D1185" s="248"/>
      <c r="E1185" s="248"/>
      <c r="F1185" s="47"/>
      <c r="G1185" s="79"/>
      <c r="J1185" s="99"/>
      <c r="K1185" s="4"/>
    </row>
    <row r="1186" spans="3:11" x14ac:dyDescent="0.25">
      <c r="C1186" s="79"/>
      <c r="D1186" s="248"/>
      <c r="E1186" s="248"/>
      <c r="F1186" s="47"/>
      <c r="G1186" s="79"/>
      <c r="J1186" s="99"/>
      <c r="K1186" s="4"/>
    </row>
    <row r="1187" spans="3:11" x14ac:dyDescent="0.25">
      <c r="C1187" s="79"/>
      <c r="D1187" s="248"/>
      <c r="E1187" s="248"/>
      <c r="F1187" s="47"/>
      <c r="G1187" s="79"/>
      <c r="J1187" s="99"/>
      <c r="K1187" s="4"/>
    </row>
    <row r="1188" spans="3:11" x14ac:dyDescent="0.25">
      <c r="C1188" s="79"/>
      <c r="D1188" s="248"/>
      <c r="E1188" s="248"/>
      <c r="F1188" s="47"/>
      <c r="G1188" s="79"/>
      <c r="J1188" s="99"/>
      <c r="K1188" s="4"/>
    </row>
    <row r="1189" spans="3:11" x14ac:dyDescent="0.25">
      <c r="C1189" s="79"/>
      <c r="D1189" s="248"/>
      <c r="E1189" s="248"/>
      <c r="F1189" s="47"/>
      <c r="G1189" s="79"/>
      <c r="J1189" s="99"/>
      <c r="K1189" s="4"/>
    </row>
    <row r="1190" spans="3:11" x14ac:dyDescent="0.25">
      <c r="C1190" s="79"/>
      <c r="D1190" s="248"/>
      <c r="E1190" s="248"/>
      <c r="F1190" s="47"/>
      <c r="G1190" s="79"/>
      <c r="J1190" s="99"/>
      <c r="K1190" s="4"/>
    </row>
    <row r="1191" spans="3:11" x14ac:dyDescent="0.25">
      <c r="C1191" s="79"/>
      <c r="D1191" s="248"/>
      <c r="E1191" s="248"/>
      <c r="F1191" s="47"/>
      <c r="G1191" s="79"/>
      <c r="J1191" s="99"/>
      <c r="K1191" s="4"/>
    </row>
    <row r="1192" spans="3:11" x14ac:dyDescent="0.25">
      <c r="C1192" s="79"/>
      <c r="D1192" s="248"/>
      <c r="E1192" s="248"/>
      <c r="F1192" s="47"/>
      <c r="G1192" s="79"/>
      <c r="J1192" s="99"/>
      <c r="K1192" s="4"/>
    </row>
    <row r="1193" spans="3:11" x14ac:dyDescent="0.25">
      <c r="C1193" s="79"/>
      <c r="D1193" s="248"/>
      <c r="E1193" s="248"/>
      <c r="F1193" s="47"/>
      <c r="G1193" s="79"/>
      <c r="J1193" s="99"/>
      <c r="K1193" s="4"/>
    </row>
    <row r="1194" spans="3:11" x14ac:dyDescent="0.25">
      <c r="C1194" s="79"/>
      <c r="D1194" s="248"/>
      <c r="E1194" s="248"/>
      <c r="F1194" s="47"/>
      <c r="G1194" s="79"/>
      <c r="J1194" s="99"/>
      <c r="K1194" s="4"/>
    </row>
    <row r="1195" spans="3:11" x14ac:dyDescent="0.25">
      <c r="C1195" s="79"/>
      <c r="D1195" s="248"/>
      <c r="E1195" s="248"/>
      <c r="F1195" s="47"/>
      <c r="G1195" s="79"/>
      <c r="J1195" s="99"/>
      <c r="K1195" s="4"/>
    </row>
    <row r="1196" spans="3:11" x14ac:dyDescent="0.25">
      <c r="C1196" s="79"/>
      <c r="D1196" s="248"/>
      <c r="E1196" s="248"/>
      <c r="F1196" s="47"/>
      <c r="G1196" s="79"/>
      <c r="J1196" s="99"/>
      <c r="K1196" s="4"/>
    </row>
    <row r="1197" spans="3:11" x14ac:dyDescent="0.25">
      <c r="C1197" s="79"/>
      <c r="D1197" s="248"/>
      <c r="E1197" s="248"/>
      <c r="F1197" s="47"/>
      <c r="G1197" s="79"/>
      <c r="J1197" s="99"/>
      <c r="K1197" s="4"/>
    </row>
    <row r="1198" spans="3:11" x14ac:dyDescent="0.25">
      <c r="C1198" s="79"/>
      <c r="D1198" s="248"/>
      <c r="E1198" s="248"/>
      <c r="F1198" s="47"/>
      <c r="G1198" s="79"/>
      <c r="J1198" s="99"/>
      <c r="K1198" s="4"/>
    </row>
    <row r="1199" spans="3:11" x14ac:dyDescent="0.25">
      <c r="C1199" s="79"/>
      <c r="D1199" s="248"/>
      <c r="E1199" s="248"/>
      <c r="F1199" s="47"/>
      <c r="G1199" s="79"/>
      <c r="J1199" s="99"/>
      <c r="K1199" s="4"/>
    </row>
    <row r="1200" spans="3:11" x14ac:dyDescent="0.25">
      <c r="C1200" s="79"/>
      <c r="D1200" s="248"/>
      <c r="E1200" s="248"/>
      <c r="F1200" s="47"/>
      <c r="G1200" s="79"/>
      <c r="J1200" s="99"/>
      <c r="K1200" s="4"/>
    </row>
    <row r="1201" spans="3:11" x14ac:dyDescent="0.25">
      <c r="C1201" s="79"/>
      <c r="D1201" s="248"/>
      <c r="E1201" s="248"/>
      <c r="F1201" s="47"/>
      <c r="G1201" s="79"/>
      <c r="J1201" s="99"/>
      <c r="K1201" s="4"/>
    </row>
    <row r="1202" spans="3:11" x14ac:dyDescent="0.25">
      <c r="C1202" s="79"/>
      <c r="D1202" s="248"/>
      <c r="E1202" s="248"/>
      <c r="F1202" s="47"/>
      <c r="G1202" s="79"/>
      <c r="J1202" s="99"/>
      <c r="K1202" s="4"/>
    </row>
    <row r="1203" spans="3:11" x14ac:dyDescent="0.25">
      <c r="C1203" s="79"/>
      <c r="D1203" s="248"/>
      <c r="E1203" s="248"/>
      <c r="F1203" s="47"/>
      <c r="G1203" s="79"/>
      <c r="J1203" s="99"/>
      <c r="K1203" s="4"/>
    </row>
    <row r="1204" spans="3:11" x14ac:dyDescent="0.25">
      <c r="C1204" s="79"/>
      <c r="D1204" s="248"/>
      <c r="E1204" s="248"/>
      <c r="F1204" s="47"/>
      <c r="G1204" s="79"/>
      <c r="J1204" s="99"/>
      <c r="K1204" s="4"/>
    </row>
    <row r="1205" spans="3:11" x14ac:dyDescent="0.25">
      <c r="C1205" s="79"/>
      <c r="D1205" s="248"/>
      <c r="E1205" s="248"/>
      <c r="F1205" s="47"/>
      <c r="G1205" s="79"/>
      <c r="J1205" s="99"/>
      <c r="K1205" s="4"/>
    </row>
    <row r="1206" spans="3:11" x14ac:dyDescent="0.25">
      <c r="C1206" s="79"/>
      <c r="D1206" s="248"/>
      <c r="E1206" s="248"/>
      <c r="F1206" s="47"/>
      <c r="G1206" s="79"/>
      <c r="J1206" s="99"/>
      <c r="K1206" s="4"/>
    </row>
    <row r="1207" spans="3:11" x14ac:dyDescent="0.25">
      <c r="C1207" s="79"/>
      <c r="D1207" s="248"/>
      <c r="E1207" s="248"/>
      <c r="F1207" s="47"/>
      <c r="G1207" s="79"/>
      <c r="J1207" s="99"/>
      <c r="K1207" s="4"/>
    </row>
    <row r="1208" spans="3:11" x14ac:dyDescent="0.25">
      <c r="C1208" s="79"/>
      <c r="D1208" s="248"/>
      <c r="E1208" s="248"/>
      <c r="F1208" s="47"/>
      <c r="G1208" s="79"/>
      <c r="J1208" s="99"/>
      <c r="K1208" s="4"/>
    </row>
    <row r="1209" spans="3:11" x14ac:dyDescent="0.25">
      <c r="C1209" s="79"/>
      <c r="D1209" s="248"/>
      <c r="E1209" s="248"/>
      <c r="F1209" s="47"/>
      <c r="G1209" s="79"/>
      <c r="J1209" s="99"/>
      <c r="K1209" s="4"/>
    </row>
    <row r="1210" spans="3:11" x14ac:dyDescent="0.25">
      <c r="C1210" s="79"/>
      <c r="D1210" s="248"/>
      <c r="E1210" s="248"/>
      <c r="F1210" s="47"/>
      <c r="G1210" s="79"/>
      <c r="J1210" s="99"/>
      <c r="K1210" s="4"/>
    </row>
    <row r="1211" spans="3:11" x14ac:dyDescent="0.25">
      <c r="C1211" s="79"/>
      <c r="D1211" s="248"/>
      <c r="E1211" s="248"/>
      <c r="F1211" s="47"/>
      <c r="G1211" s="79"/>
      <c r="J1211" s="99"/>
      <c r="K1211" s="4"/>
    </row>
    <row r="1212" spans="3:11" x14ac:dyDescent="0.25">
      <c r="C1212" s="79"/>
      <c r="D1212" s="248"/>
      <c r="E1212" s="248"/>
      <c r="F1212" s="47"/>
      <c r="G1212" s="79"/>
      <c r="J1212" s="99"/>
      <c r="K1212" s="4"/>
    </row>
    <row r="1213" spans="3:11" x14ac:dyDescent="0.25">
      <c r="C1213" s="79"/>
      <c r="D1213" s="248"/>
      <c r="E1213" s="248"/>
      <c r="F1213" s="47"/>
      <c r="G1213" s="79"/>
      <c r="J1213" s="99"/>
      <c r="K1213" s="4"/>
    </row>
    <row r="1214" spans="3:11" x14ac:dyDescent="0.25">
      <c r="C1214" s="79"/>
      <c r="D1214" s="248"/>
      <c r="E1214" s="248"/>
      <c r="F1214" s="47"/>
      <c r="G1214" s="79"/>
      <c r="J1214" s="99"/>
      <c r="K1214" s="4"/>
    </row>
    <row r="1215" spans="3:11" x14ac:dyDescent="0.25">
      <c r="C1215" s="79"/>
      <c r="D1215" s="248"/>
      <c r="E1215" s="248"/>
      <c r="F1215" s="47"/>
      <c r="G1215" s="79"/>
      <c r="J1215" s="99"/>
      <c r="K1215" s="4"/>
    </row>
    <row r="1216" spans="3:11" x14ac:dyDescent="0.25">
      <c r="C1216" s="79"/>
      <c r="D1216" s="248"/>
      <c r="E1216" s="248"/>
      <c r="F1216" s="47"/>
      <c r="G1216" s="79"/>
      <c r="J1216" s="99"/>
      <c r="K1216" s="4"/>
    </row>
    <row r="1217" spans="3:11" x14ac:dyDescent="0.25">
      <c r="C1217" s="79"/>
      <c r="D1217" s="248"/>
      <c r="E1217" s="248"/>
      <c r="F1217" s="47"/>
      <c r="G1217" s="79"/>
      <c r="J1217" s="99"/>
      <c r="K1217" s="4"/>
    </row>
    <row r="1218" spans="3:11" x14ac:dyDescent="0.25">
      <c r="C1218" s="79"/>
      <c r="D1218" s="248"/>
      <c r="E1218" s="248"/>
      <c r="F1218" s="47"/>
      <c r="G1218" s="79"/>
      <c r="J1218" s="99"/>
      <c r="K1218" s="4"/>
    </row>
    <row r="1219" spans="3:11" x14ac:dyDescent="0.25">
      <c r="C1219" s="79"/>
      <c r="D1219" s="248"/>
      <c r="E1219" s="248"/>
      <c r="F1219" s="47"/>
      <c r="G1219" s="79"/>
      <c r="J1219" s="99"/>
      <c r="K1219" s="4"/>
    </row>
    <row r="1220" spans="3:11" x14ac:dyDescent="0.25">
      <c r="C1220" s="79"/>
      <c r="D1220" s="248"/>
      <c r="E1220" s="248"/>
      <c r="F1220" s="47"/>
      <c r="G1220" s="79"/>
      <c r="J1220" s="99"/>
      <c r="K1220" s="4"/>
    </row>
    <row r="1221" spans="3:11" x14ac:dyDescent="0.25">
      <c r="C1221" s="79"/>
      <c r="D1221" s="248"/>
      <c r="E1221" s="248"/>
      <c r="F1221" s="47"/>
      <c r="G1221" s="79"/>
      <c r="J1221" s="99"/>
      <c r="K1221" s="4"/>
    </row>
    <row r="1222" spans="3:11" x14ac:dyDescent="0.25">
      <c r="C1222" s="79"/>
      <c r="D1222" s="248"/>
      <c r="E1222" s="248"/>
      <c r="F1222" s="47"/>
      <c r="G1222" s="79"/>
      <c r="J1222" s="99"/>
      <c r="K1222" s="4"/>
    </row>
    <row r="1223" spans="3:11" x14ac:dyDescent="0.25">
      <c r="C1223" s="79"/>
      <c r="D1223" s="248"/>
      <c r="E1223" s="248"/>
      <c r="F1223" s="47"/>
      <c r="G1223" s="79"/>
      <c r="J1223" s="99"/>
      <c r="K1223" s="4"/>
    </row>
    <row r="1224" spans="3:11" x14ac:dyDescent="0.25">
      <c r="C1224" s="79"/>
      <c r="D1224" s="248"/>
      <c r="E1224" s="248"/>
      <c r="F1224" s="47"/>
      <c r="G1224" s="79"/>
      <c r="J1224" s="99"/>
      <c r="K1224" s="4"/>
    </row>
    <row r="1225" spans="3:11" x14ac:dyDescent="0.25">
      <c r="C1225" s="79"/>
      <c r="D1225" s="248"/>
      <c r="E1225" s="248"/>
      <c r="F1225" s="47"/>
      <c r="G1225" s="79"/>
      <c r="J1225" s="99"/>
      <c r="K1225" s="4"/>
    </row>
    <row r="1226" spans="3:11" x14ac:dyDescent="0.25">
      <c r="C1226" s="79"/>
      <c r="D1226" s="248"/>
      <c r="E1226" s="248"/>
      <c r="F1226" s="47"/>
      <c r="G1226" s="79"/>
      <c r="J1226" s="99"/>
      <c r="K1226" s="4"/>
    </row>
    <row r="1227" spans="3:11" x14ac:dyDescent="0.25">
      <c r="C1227" s="79"/>
      <c r="D1227" s="248"/>
      <c r="E1227" s="248"/>
      <c r="F1227" s="47"/>
      <c r="G1227" s="79"/>
      <c r="J1227" s="99"/>
      <c r="K1227" s="4"/>
    </row>
    <row r="1228" spans="3:11" x14ac:dyDescent="0.25">
      <c r="C1228" s="79"/>
      <c r="D1228" s="248"/>
      <c r="E1228" s="248"/>
      <c r="F1228" s="47"/>
      <c r="G1228" s="79"/>
      <c r="J1228" s="99"/>
      <c r="K1228" s="4"/>
    </row>
    <row r="1229" spans="3:11" x14ac:dyDescent="0.25">
      <c r="C1229" s="79"/>
      <c r="D1229" s="248"/>
      <c r="E1229" s="248"/>
      <c r="F1229" s="47"/>
      <c r="G1229" s="79"/>
      <c r="J1229" s="99"/>
      <c r="K1229" s="4"/>
    </row>
    <row r="1230" spans="3:11" x14ac:dyDescent="0.25">
      <c r="C1230" s="79"/>
      <c r="D1230" s="248"/>
      <c r="E1230" s="248"/>
      <c r="F1230" s="47"/>
      <c r="G1230" s="79"/>
      <c r="J1230" s="99"/>
      <c r="K1230" s="4"/>
    </row>
    <row r="1231" spans="3:11" x14ac:dyDescent="0.25">
      <c r="C1231" s="79"/>
      <c r="D1231" s="248"/>
      <c r="E1231" s="248"/>
      <c r="F1231" s="47"/>
      <c r="G1231" s="79"/>
      <c r="J1231" s="99"/>
      <c r="K1231" s="4"/>
    </row>
    <row r="1232" spans="3:11" x14ac:dyDescent="0.25">
      <c r="C1232" s="79"/>
      <c r="D1232" s="248"/>
      <c r="E1232" s="248"/>
      <c r="F1232" s="47"/>
      <c r="G1232" s="79"/>
      <c r="J1232" s="99"/>
      <c r="K1232" s="4"/>
    </row>
    <row r="1233" spans="3:11" x14ac:dyDescent="0.25">
      <c r="C1233" s="79"/>
      <c r="D1233" s="248"/>
      <c r="E1233" s="248"/>
      <c r="F1233" s="47"/>
      <c r="G1233" s="79"/>
      <c r="J1233" s="99"/>
      <c r="K1233" s="4"/>
    </row>
    <row r="1234" spans="3:11" x14ac:dyDescent="0.25">
      <c r="C1234" s="79"/>
      <c r="D1234" s="248"/>
      <c r="E1234" s="248"/>
      <c r="F1234" s="47"/>
      <c r="G1234" s="79"/>
      <c r="J1234" s="99"/>
      <c r="K1234" s="4"/>
    </row>
    <row r="1235" spans="3:11" x14ac:dyDescent="0.25">
      <c r="C1235" s="79"/>
      <c r="D1235" s="248"/>
      <c r="E1235" s="248"/>
      <c r="F1235" s="47"/>
      <c r="G1235" s="79"/>
      <c r="J1235" s="99"/>
      <c r="K1235" s="4"/>
    </row>
    <row r="1236" spans="3:11" x14ac:dyDescent="0.25">
      <c r="C1236" s="79"/>
      <c r="D1236" s="248"/>
      <c r="E1236" s="248"/>
      <c r="F1236" s="47"/>
      <c r="G1236" s="79"/>
      <c r="J1236" s="99"/>
      <c r="K1236" s="4"/>
    </row>
    <row r="1237" spans="3:11" x14ac:dyDescent="0.25">
      <c r="C1237" s="79"/>
      <c r="D1237" s="248"/>
      <c r="E1237" s="248"/>
      <c r="F1237" s="47"/>
      <c r="G1237" s="79"/>
      <c r="J1237" s="99"/>
      <c r="K1237" s="4"/>
    </row>
    <row r="1238" spans="3:11" x14ac:dyDescent="0.25">
      <c r="C1238" s="79"/>
      <c r="D1238" s="248"/>
      <c r="E1238" s="248"/>
      <c r="F1238" s="47"/>
      <c r="G1238" s="79"/>
      <c r="J1238" s="99"/>
      <c r="K1238" s="4"/>
    </row>
    <row r="1239" spans="3:11" x14ac:dyDescent="0.25">
      <c r="C1239" s="79"/>
      <c r="D1239" s="248"/>
      <c r="E1239" s="248"/>
      <c r="F1239" s="47"/>
      <c r="G1239" s="79"/>
      <c r="J1239" s="99"/>
      <c r="K1239" s="4"/>
    </row>
    <row r="1240" spans="3:11" x14ac:dyDescent="0.25">
      <c r="C1240" s="79"/>
      <c r="D1240" s="248"/>
      <c r="E1240" s="248"/>
      <c r="F1240" s="47"/>
      <c r="G1240" s="79"/>
      <c r="J1240" s="99"/>
      <c r="K1240" s="4"/>
    </row>
    <row r="1241" spans="3:11" x14ac:dyDescent="0.25">
      <c r="C1241" s="79"/>
      <c r="D1241" s="248"/>
      <c r="E1241" s="248"/>
      <c r="F1241" s="47"/>
      <c r="G1241" s="79"/>
      <c r="J1241" s="99"/>
      <c r="K1241" s="4"/>
    </row>
    <row r="1242" spans="3:11" x14ac:dyDescent="0.25">
      <c r="C1242" s="79"/>
      <c r="D1242" s="248"/>
      <c r="E1242" s="248"/>
      <c r="F1242" s="47"/>
      <c r="G1242" s="79"/>
      <c r="J1242" s="99"/>
      <c r="K1242" s="4"/>
    </row>
    <row r="1243" spans="3:11" x14ac:dyDescent="0.25">
      <c r="C1243" s="79"/>
      <c r="D1243" s="248"/>
      <c r="E1243" s="248"/>
      <c r="F1243" s="47"/>
      <c r="G1243" s="79"/>
      <c r="J1243" s="99"/>
      <c r="K1243" s="4"/>
    </row>
    <row r="1244" spans="3:11" x14ac:dyDescent="0.25">
      <c r="C1244" s="79"/>
      <c r="D1244" s="248"/>
      <c r="E1244" s="248"/>
      <c r="F1244" s="47"/>
      <c r="G1244" s="79"/>
      <c r="J1244" s="99"/>
      <c r="K1244" s="4"/>
    </row>
    <row r="1245" spans="3:11" x14ac:dyDescent="0.25">
      <c r="C1245" s="79"/>
      <c r="D1245" s="248"/>
      <c r="E1245" s="248"/>
      <c r="F1245" s="47"/>
      <c r="G1245" s="79"/>
      <c r="J1245" s="99"/>
      <c r="K1245" s="4"/>
    </row>
    <row r="1246" spans="3:11" x14ac:dyDescent="0.25">
      <c r="C1246" s="79"/>
      <c r="D1246" s="248"/>
      <c r="E1246" s="248"/>
      <c r="F1246" s="47"/>
      <c r="G1246" s="79"/>
      <c r="J1246" s="99"/>
      <c r="K1246" s="4"/>
    </row>
    <row r="1247" spans="3:11" x14ac:dyDescent="0.25">
      <c r="C1247" s="79"/>
      <c r="D1247" s="248"/>
      <c r="E1247" s="248"/>
      <c r="F1247" s="47"/>
      <c r="G1247" s="79"/>
      <c r="J1247" s="99"/>
      <c r="K1247" s="4"/>
    </row>
    <row r="1248" spans="3:11" x14ac:dyDescent="0.25">
      <c r="C1248" s="79"/>
      <c r="D1248" s="248"/>
      <c r="E1248" s="248"/>
      <c r="F1248" s="47"/>
      <c r="G1248" s="79"/>
      <c r="J1248" s="99"/>
      <c r="K1248" s="4"/>
    </row>
    <row r="1249" spans="3:11" x14ac:dyDescent="0.25">
      <c r="C1249" s="79"/>
      <c r="D1249" s="248"/>
      <c r="E1249" s="248"/>
      <c r="F1249" s="47"/>
      <c r="G1249" s="79"/>
      <c r="J1249" s="99"/>
      <c r="K1249" s="4"/>
    </row>
    <row r="1250" spans="3:11" x14ac:dyDescent="0.25">
      <c r="C1250" s="79"/>
      <c r="D1250" s="248"/>
      <c r="E1250" s="248"/>
      <c r="F1250" s="47"/>
      <c r="G1250" s="79"/>
      <c r="J1250" s="99"/>
      <c r="K1250" s="4"/>
    </row>
    <row r="1251" spans="3:11" x14ac:dyDescent="0.25">
      <c r="C1251" s="79"/>
      <c r="D1251" s="248"/>
      <c r="E1251" s="248"/>
      <c r="F1251" s="47"/>
      <c r="G1251" s="79"/>
      <c r="J1251" s="99"/>
      <c r="K1251" s="4"/>
    </row>
    <row r="1252" spans="3:11" x14ac:dyDescent="0.25">
      <c r="C1252" s="79"/>
      <c r="D1252" s="248"/>
      <c r="E1252" s="248"/>
      <c r="F1252" s="47"/>
      <c r="G1252" s="79"/>
      <c r="J1252" s="99"/>
      <c r="K1252" s="4"/>
    </row>
    <row r="1253" spans="3:11" x14ac:dyDescent="0.25">
      <c r="C1253" s="79"/>
      <c r="D1253" s="248"/>
      <c r="E1253" s="248"/>
      <c r="F1253" s="47"/>
      <c r="G1253" s="79"/>
      <c r="J1253" s="99"/>
      <c r="K1253" s="4"/>
    </row>
    <row r="1254" spans="3:11" x14ac:dyDescent="0.25">
      <c r="C1254" s="79"/>
      <c r="D1254" s="248"/>
      <c r="E1254" s="248"/>
      <c r="F1254" s="47"/>
      <c r="G1254" s="79"/>
      <c r="J1254" s="99"/>
      <c r="K1254" s="4"/>
    </row>
    <row r="1255" spans="3:11" x14ac:dyDescent="0.25">
      <c r="C1255" s="79"/>
      <c r="D1255" s="248"/>
      <c r="E1255" s="248"/>
      <c r="F1255" s="47"/>
      <c r="G1255" s="79"/>
      <c r="J1255" s="99"/>
      <c r="K1255" s="4"/>
    </row>
    <row r="1256" spans="3:11" x14ac:dyDescent="0.25">
      <c r="C1256" s="79"/>
      <c r="D1256" s="248"/>
      <c r="E1256" s="248"/>
      <c r="F1256" s="47"/>
      <c r="G1256" s="79"/>
      <c r="J1256" s="99"/>
      <c r="K1256" s="4"/>
    </row>
    <row r="1257" spans="3:11" x14ac:dyDescent="0.25">
      <c r="C1257" s="79"/>
      <c r="D1257" s="248"/>
      <c r="E1257" s="248"/>
      <c r="F1257" s="47"/>
      <c r="G1257" s="79"/>
      <c r="J1257" s="99"/>
      <c r="K1257" s="4"/>
    </row>
    <row r="1258" spans="3:11" x14ac:dyDescent="0.25">
      <c r="C1258" s="79"/>
      <c r="D1258" s="248"/>
      <c r="E1258" s="248"/>
      <c r="F1258" s="47"/>
      <c r="G1258" s="79"/>
      <c r="J1258" s="99"/>
      <c r="K1258" s="4"/>
    </row>
    <row r="1259" spans="3:11" x14ac:dyDescent="0.25">
      <c r="C1259" s="79"/>
      <c r="D1259" s="248"/>
      <c r="E1259" s="248"/>
      <c r="F1259" s="47"/>
      <c r="G1259" s="79"/>
      <c r="J1259" s="99"/>
      <c r="K1259" s="4"/>
    </row>
    <row r="1260" spans="3:11" x14ac:dyDescent="0.25">
      <c r="C1260" s="79"/>
      <c r="D1260" s="248"/>
      <c r="E1260" s="248"/>
      <c r="F1260" s="47"/>
      <c r="G1260" s="79"/>
      <c r="J1260" s="99"/>
      <c r="K1260" s="4"/>
    </row>
    <row r="1261" spans="3:11" x14ac:dyDescent="0.25">
      <c r="C1261" s="79"/>
      <c r="D1261" s="248"/>
      <c r="E1261" s="248"/>
      <c r="F1261" s="47"/>
      <c r="G1261" s="79"/>
      <c r="J1261" s="99"/>
      <c r="K1261" s="4"/>
    </row>
    <row r="1262" spans="3:11" x14ac:dyDescent="0.25">
      <c r="C1262" s="79"/>
      <c r="D1262" s="248"/>
      <c r="E1262" s="248"/>
      <c r="F1262" s="47"/>
      <c r="G1262" s="79"/>
      <c r="J1262" s="99"/>
      <c r="K1262" s="4"/>
    </row>
    <row r="1263" spans="3:11" x14ac:dyDescent="0.25">
      <c r="C1263" s="79"/>
      <c r="D1263" s="248"/>
      <c r="E1263" s="248"/>
      <c r="F1263" s="47"/>
      <c r="G1263" s="79"/>
      <c r="J1263" s="99"/>
      <c r="K1263" s="4"/>
    </row>
    <row r="1264" spans="3:11" x14ac:dyDescent="0.25">
      <c r="C1264" s="79"/>
      <c r="D1264" s="248"/>
      <c r="E1264" s="248"/>
      <c r="F1264" s="47"/>
      <c r="G1264" s="79"/>
      <c r="J1264" s="99"/>
      <c r="K1264" s="4"/>
    </row>
    <row r="1265" spans="3:11" x14ac:dyDescent="0.25">
      <c r="C1265" s="79"/>
      <c r="D1265" s="248"/>
      <c r="E1265" s="248"/>
      <c r="F1265" s="47"/>
      <c r="G1265" s="79"/>
      <c r="J1265" s="99"/>
      <c r="K1265" s="4"/>
    </row>
    <row r="1266" spans="3:11" x14ac:dyDescent="0.25">
      <c r="C1266" s="79"/>
      <c r="D1266" s="248"/>
      <c r="E1266" s="248"/>
      <c r="F1266" s="47"/>
      <c r="G1266" s="79"/>
      <c r="J1266" s="99"/>
      <c r="K1266" s="4"/>
    </row>
    <row r="1267" spans="3:11" x14ac:dyDescent="0.25">
      <c r="C1267" s="79"/>
      <c r="D1267" s="248"/>
      <c r="E1267" s="248"/>
      <c r="F1267" s="47"/>
      <c r="G1267" s="79"/>
      <c r="J1267" s="99"/>
      <c r="K1267" s="4"/>
    </row>
    <row r="1268" spans="3:11" x14ac:dyDescent="0.25">
      <c r="C1268" s="79"/>
      <c r="D1268" s="248"/>
      <c r="E1268" s="248"/>
      <c r="F1268" s="47"/>
      <c r="G1268" s="79"/>
      <c r="J1268" s="99"/>
      <c r="K1268" s="4"/>
    </row>
    <row r="1269" spans="3:11" x14ac:dyDescent="0.25">
      <c r="C1269" s="79"/>
      <c r="D1269" s="248"/>
      <c r="E1269" s="248"/>
      <c r="F1269" s="47"/>
      <c r="G1269" s="79"/>
      <c r="J1269" s="99"/>
      <c r="K1269" s="4"/>
    </row>
    <row r="1270" spans="3:11" x14ac:dyDescent="0.25">
      <c r="C1270" s="79"/>
      <c r="D1270" s="248"/>
      <c r="E1270" s="248"/>
      <c r="F1270" s="47"/>
      <c r="G1270" s="79"/>
      <c r="J1270" s="99"/>
      <c r="K1270" s="4"/>
    </row>
    <row r="1271" spans="3:11" x14ac:dyDescent="0.25">
      <c r="C1271" s="79"/>
      <c r="D1271" s="248"/>
      <c r="E1271" s="248"/>
      <c r="F1271" s="47"/>
      <c r="G1271" s="79"/>
      <c r="J1271" s="99"/>
      <c r="K1271" s="4"/>
    </row>
    <row r="1272" spans="3:11" x14ac:dyDescent="0.25">
      <c r="C1272" s="79"/>
      <c r="D1272" s="248"/>
      <c r="E1272" s="248"/>
      <c r="F1272" s="47"/>
      <c r="G1272" s="79"/>
      <c r="J1272" s="99"/>
      <c r="K1272" s="4"/>
    </row>
    <row r="1273" spans="3:11" x14ac:dyDescent="0.25">
      <c r="C1273" s="79"/>
      <c r="D1273" s="248"/>
      <c r="E1273" s="248"/>
      <c r="F1273" s="47"/>
      <c r="G1273" s="79"/>
      <c r="J1273" s="99"/>
      <c r="K1273" s="4"/>
    </row>
    <row r="1274" spans="3:11" x14ac:dyDescent="0.25">
      <c r="C1274" s="79"/>
      <c r="D1274" s="248"/>
      <c r="E1274" s="248"/>
      <c r="F1274" s="47"/>
      <c r="G1274" s="79"/>
      <c r="J1274" s="99"/>
      <c r="K1274" s="4"/>
    </row>
    <row r="1275" spans="3:11" x14ac:dyDescent="0.25">
      <c r="C1275" s="79"/>
      <c r="D1275" s="248"/>
      <c r="E1275" s="248"/>
      <c r="F1275" s="47"/>
      <c r="G1275" s="79"/>
      <c r="J1275" s="99"/>
      <c r="K1275" s="4"/>
    </row>
    <row r="1276" spans="3:11" x14ac:dyDescent="0.25">
      <c r="C1276" s="79"/>
      <c r="D1276" s="248"/>
      <c r="E1276" s="248"/>
      <c r="F1276" s="47"/>
      <c r="G1276" s="79"/>
      <c r="J1276" s="99"/>
      <c r="K1276" s="4"/>
    </row>
    <row r="1277" spans="3:11" x14ac:dyDescent="0.25">
      <c r="C1277" s="79"/>
      <c r="D1277" s="248"/>
      <c r="E1277" s="248"/>
      <c r="F1277" s="47"/>
      <c r="G1277" s="79"/>
      <c r="J1277" s="99"/>
      <c r="K1277" s="4"/>
    </row>
    <row r="1278" spans="3:11" x14ac:dyDescent="0.25">
      <c r="C1278" s="79"/>
      <c r="D1278" s="248"/>
      <c r="E1278" s="248"/>
      <c r="F1278" s="47"/>
      <c r="G1278" s="79"/>
      <c r="J1278" s="99"/>
      <c r="K1278" s="4"/>
    </row>
    <row r="1279" spans="3:11" x14ac:dyDescent="0.25">
      <c r="C1279" s="79"/>
      <c r="D1279" s="248"/>
      <c r="E1279" s="248"/>
      <c r="F1279" s="47"/>
      <c r="G1279" s="79"/>
      <c r="J1279" s="99"/>
      <c r="K1279" s="4"/>
    </row>
    <row r="1280" spans="3:11" x14ac:dyDescent="0.25">
      <c r="C1280" s="79"/>
      <c r="D1280" s="248"/>
      <c r="E1280" s="248"/>
      <c r="F1280" s="47"/>
      <c r="G1280" s="79"/>
      <c r="J1280" s="99"/>
      <c r="K1280" s="4"/>
    </row>
    <row r="1281" spans="3:11" x14ac:dyDescent="0.25">
      <c r="C1281" s="79"/>
      <c r="D1281" s="248"/>
      <c r="E1281" s="248"/>
      <c r="F1281" s="47"/>
      <c r="G1281" s="79"/>
      <c r="J1281" s="99"/>
      <c r="K1281" s="4"/>
    </row>
    <row r="1282" spans="3:11" x14ac:dyDescent="0.25">
      <c r="C1282" s="79"/>
      <c r="D1282" s="248"/>
      <c r="E1282" s="248"/>
      <c r="F1282" s="47"/>
      <c r="G1282" s="79"/>
      <c r="J1282" s="99"/>
      <c r="K1282" s="4"/>
    </row>
    <row r="1283" spans="3:11" x14ac:dyDescent="0.25">
      <c r="C1283" s="79"/>
      <c r="D1283" s="248"/>
      <c r="E1283" s="248"/>
      <c r="F1283" s="47"/>
      <c r="G1283" s="79"/>
      <c r="J1283" s="99"/>
      <c r="K1283" s="4"/>
    </row>
    <row r="1284" spans="3:11" x14ac:dyDescent="0.25">
      <c r="C1284" s="79"/>
      <c r="D1284" s="248"/>
      <c r="E1284" s="248"/>
      <c r="F1284" s="47"/>
      <c r="G1284" s="79"/>
      <c r="J1284" s="99"/>
      <c r="K1284" s="4"/>
    </row>
    <row r="1285" spans="3:11" x14ac:dyDescent="0.25">
      <c r="C1285" s="79"/>
      <c r="D1285" s="248"/>
      <c r="E1285" s="248"/>
      <c r="F1285" s="47"/>
      <c r="G1285" s="79"/>
      <c r="J1285" s="99"/>
      <c r="K1285" s="4"/>
    </row>
    <row r="1286" spans="3:11" x14ac:dyDescent="0.25">
      <c r="C1286" s="79"/>
      <c r="D1286" s="248"/>
      <c r="E1286" s="248"/>
      <c r="F1286" s="47"/>
      <c r="G1286" s="79"/>
      <c r="J1286" s="99"/>
      <c r="K1286" s="4"/>
    </row>
    <row r="1287" spans="3:11" x14ac:dyDescent="0.25">
      <c r="C1287" s="79"/>
      <c r="D1287" s="248"/>
      <c r="E1287" s="248"/>
      <c r="F1287" s="47"/>
      <c r="G1287" s="79"/>
      <c r="J1287" s="99"/>
      <c r="K1287" s="4"/>
    </row>
    <row r="1288" spans="3:11" x14ac:dyDescent="0.25">
      <c r="C1288" s="79"/>
      <c r="D1288" s="248"/>
      <c r="E1288" s="248"/>
      <c r="F1288" s="47"/>
      <c r="G1288" s="79"/>
      <c r="J1288" s="99"/>
      <c r="K1288" s="4"/>
    </row>
    <row r="1289" spans="3:11" x14ac:dyDescent="0.25">
      <c r="C1289" s="79"/>
      <c r="D1289" s="248"/>
      <c r="E1289" s="248"/>
      <c r="F1289" s="47"/>
      <c r="G1289" s="79"/>
      <c r="J1289" s="99"/>
      <c r="K1289" s="4"/>
    </row>
    <row r="1290" spans="3:11" x14ac:dyDescent="0.25">
      <c r="C1290" s="79"/>
      <c r="D1290" s="248"/>
      <c r="E1290" s="248"/>
      <c r="F1290" s="47"/>
      <c r="G1290" s="79"/>
      <c r="J1290" s="99"/>
      <c r="K1290" s="4"/>
    </row>
    <row r="1291" spans="3:11" x14ac:dyDescent="0.25">
      <c r="C1291" s="79"/>
      <c r="D1291" s="248"/>
      <c r="E1291" s="248"/>
      <c r="F1291" s="47"/>
      <c r="G1291" s="79"/>
      <c r="J1291" s="99"/>
      <c r="K1291" s="4"/>
    </row>
    <row r="1292" spans="3:11" x14ac:dyDescent="0.25">
      <c r="C1292" s="79"/>
      <c r="D1292" s="248"/>
      <c r="E1292" s="248"/>
      <c r="F1292" s="47"/>
      <c r="G1292" s="79"/>
      <c r="J1292" s="99"/>
      <c r="K1292" s="4"/>
    </row>
    <row r="1293" spans="3:11" x14ac:dyDescent="0.25">
      <c r="C1293" s="79"/>
      <c r="D1293" s="248"/>
      <c r="E1293" s="248"/>
      <c r="F1293" s="47"/>
      <c r="G1293" s="79"/>
      <c r="J1293" s="99"/>
      <c r="K1293" s="4"/>
    </row>
    <row r="1294" spans="3:11" x14ac:dyDescent="0.25">
      <c r="C1294" s="79"/>
      <c r="D1294" s="248"/>
      <c r="E1294" s="248"/>
      <c r="F1294" s="47"/>
      <c r="G1294" s="79"/>
      <c r="J1294" s="99"/>
      <c r="K1294" s="4"/>
    </row>
    <row r="1295" spans="3:11" x14ac:dyDescent="0.25">
      <c r="C1295" s="79"/>
      <c r="D1295" s="248"/>
      <c r="E1295" s="248"/>
      <c r="F1295" s="47"/>
      <c r="G1295" s="79"/>
      <c r="J1295" s="99"/>
      <c r="K1295" s="4"/>
    </row>
    <row r="1296" spans="3:11" x14ac:dyDescent="0.25">
      <c r="C1296" s="79"/>
      <c r="D1296" s="248"/>
      <c r="E1296" s="248"/>
      <c r="F1296" s="47"/>
      <c r="G1296" s="79"/>
      <c r="J1296" s="99"/>
      <c r="K1296" s="4"/>
    </row>
    <row r="1297" spans="3:11" x14ac:dyDescent="0.25">
      <c r="C1297" s="79"/>
      <c r="D1297" s="248"/>
      <c r="E1297" s="248"/>
      <c r="F1297" s="47"/>
      <c r="G1297" s="79"/>
      <c r="J1297" s="99"/>
      <c r="K1297" s="4"/>
    </row>
    <row r="1298" spans="3:11" x14ac:dyDescent="0.25">
      <c r="C1298" s="79"/>
      <c r="D1298" s="248"/>
      <c r="E1298" s="248"/>
      <c r="F1298" s="47"/>
      <c r="G1298" s="79"/>
      <c r="J1298" s="99"/>
      <c r="K1298" s="4"/>
    </row>
    <row r="1299" spans="3:11" x14ac:dyDescent="0.25">
      <c r="C1299" s="79"/>
      <c r="D1299" s="248"/>
      <c r="E1299" s="248"/>
      <c r="F1299" s="47"/>
      <c r="G1299" s="79"/>
      <c r="J1299" s="99"/>
      <c r="K1299" s="4"/>
    </row>
    <row r="1300" spans="3:11" x14ac:dyDescent="0.25">
      <c r="C1300" s="79"/>
      <c r="D1300" s="248"/>
      <c r="E1300" s="248"/>
      <c r="F1300" s="47"/>
      <c r="G1300" s="79"/>
      <c r="J1300" s="99"/>
      <c r="K1300" s="4"/>
    </row>
    <row r="1301" spans="3:11" x14ac:dyDescent="0.25">
      <c r="C1301" s="79"/>
      <c r="D1301" s="248"/>
      <c r="E1301" s="248"/>
      <c r="F1301" s="47"/>
      <c r="G1301" s="79"/>
      <c r="J1301" s="99"/>
      <c r="K1301" s="4"/>
    </row>
    <row r="1302" spans="3:11" x14ac:dyDescent="0.25">
      <c r="C1302" s="79"/>
      <c r="D1302" s="248"/>
      <c r="E1302" s="248"/>
      <c r="F1302" s="47"/>
      <c r="G1302" s="79"/>
      <c r="J1302" s="99"/>
      <c r="K1302" s="4"/>
    </row>
    <row r="1303" spans="3:11" x14ac:dyDescent="0.25">
      <c r="C1303" s="79"/>
      <c r="D1303" s="248"/>
      <c r="E1303" s="248"/>
      <c r="F1303" s="47"/>
      <c r="G1303" s="79"/>
      <c r="J1303" s="99"/>
      <c r="K1303" s="4"/>
    </row>
    <row r="1304" spans="3:11" x14ac:dyDescent="0.25">
      <c r="C1304" s="79"/>
      <c r="D1304" s="248"/>
      <c r="E1304" s="248"/>
      <c r="F1304" s="47"/>
      <c r="G1304" s="79"/>
      <c r="J1304" s="99"/>
      <c r="K1304" s="4"/>
    </row>
    <row r="1305" spans="3:11" x14ac:dyDescent="0.25">
      <c r="C1305" s="79"/>
      <c r="D1305" s="248"/>
      <c r="E1305" s="248"/>
      <c r="F1305" s="47"/>
      <c r="G1305" s="79"/>
      <c r="J1305" s="99"/>
      <c r="K1305" s="4"/>
    </row>
    <row r="1306" spans="3:11" x14ac:dyDescent="0.25">
      <c r="C1306" s="79"/>
      <c r="D1306" s="248"/>
      <c r="E1306" s="248"/>
      <c r="F1306" s="47"/>
      <c r="G1306" s="79"/>
      <c r="J1306" s="99"/>
      <c r="K1306" s="4"/>
    </row>
    <row r="1307" spans="3:11" x14ac:dyDescent="0.25">
      <c r="C1307" s="79"/>
      <c r="D1307" s="248"/>
      <c r="E1307" s="248"/>
      <c r="F1307" s="47"/>
      <c r="G1307" s="79"/>
      <c r="J1307" s="99"/>
      <c r="K1307" s="4"/>
    </row>
    <row r="1308" spans="3:11" x14ac:dyDescent="0.25">
      <c r="C1308" s="79"/>
      <c r="D1308" s="248"/>
      <c r="E1308" s="248"/>
      <c r="F1308" s="47"/>
      <c r="G1308" s="79"/>
      <c r="J1308" s="99"/>
      <c r="K1308" s="4"/>
    </row>
    <row r="1309" spans="3:11" x14ac:dyDescent="0.25">
      <c r="C1309" s="79"/>
      <c r="D1309" s="248"/>
      <c r="E1309" s="248"/>
      <c r="F1309" s="47"/>
      <c r="G1309" s="79"/>
      <c r="J1309" s="99"/>
      <c r="K1309" s="4"/>
    </row>
    <row r="1310" spans="3:11" x14ac:dyDescent="0.25">
      <c r="C1310" s="79"/>
      <c r="D1310" s="248"/>
      <c r="E1310" s="248"/>
      <c r="F1310" s="47"/>
      <c r="G1310" s="79"/>
      <c r="J1310" s="99"/>
      <c r="K1310" s="4"/>
    </row>
    <row r="1311" spans="3:11" x14ac:dyDescent="0.25">
      <c r="C1311" s="79"/>
      <c r="D1311" s="248"/>
      <c r="E1311" s="248"/>
      <c r="F1311" s="47"/>
      <c r="G1311" s="79"/>
      <c r="J1311" s="99"/>
      <c r="K1311" s="4"/>
    </row>
    <row r="1312" spans="3:11" x14ac:dyDescent="0.25">
      <c r="C1312" s="79"/>
      <c r="D1312" s="248"/>
      <c r="E1312" s="248"/>
      <c r="F1312" s="47"/>
      <c r="G1312" s="79"/>
      <c r="J1312" s="99"/>
      <c r="K1312" s="4"/>
    </row>
    <row r="1313" spans="3:11" x14ac:dyDescent="0.25">
      <c r="C1313" s="79"/>
      <c r="D1313" s="248"/>
      <c r="E1313" s="248"/>
      <c r="F1313" s="47"/>
      <c r="G1313" s="79"/>
      <c r="J1313" s="99"/>
      <c r="K1313" s="4"/>
    </row>
    <row r="1314" spans="3:11" x14ac:dyDescent="0.25">
      <c r="C1314" s="79"/>
      <c r="D1314" s="248"/>
      <c r="E1314" s="248"/>
      <c r="F1314" s="47"/>
      <c r="G1314" s="79"/>
      <c r="J1314" s="99"/>
      <c r="K1314" s="4"/>
    </row>
    <row r="1315" spans="3:11" x14ac:dyDescent="0.25">
      <c r="C1315" s="79"/>
      <c r="D1315" s="248"/>
      <c r="E1315" s="248"/>
      <c r="F1315" s="47"/>
      <c r="G1315" s="79"/>
      <c r="J1315" s="99"/>
      <c r="K1315" s="4"/>
    </row>
    <row r="1316" spans="3:11" x14ac:dyDescent="0.25">
      <c r="C1316" s="79"/>
      <c r="D1316" s="248"/>
      <c r="E1316" s="248"/>
      <c r="F1316" s="47"/>
      <c r="G1316" s="79"/>
      <c r="J1316" s="99"/>
      <c r="K1316" s="4"/>
    </row>
    <row r="1317" spans="3:11" x14ac:dyDescent="0.25">
      <c r="C1317" s="79"/>
      <c r="D1317" s="248"/>
      <c r="E1317" s="248"/>
      <c r="F1317" s="47"/>
      <c r="G1317" s="79"/>
      <c r="J1317" s="99"/>
      <c r="K1317" s="4"/>
    </row>
    <row r="1318" spans="3:11" x14ac:dyDescent="0.25">
      <c r="C1318" s="79"/>
      <c r="D1318" s="248"/>
      <c r="E1318" s="248"/>
      <c r="F1318" s="47"/>
      <c r="G1318" s="79"/>
      <c r="J1318" s="99"/>
      <c r="K1318" s="4"/>
    </row>
    <row r="1319" spans="3:11" x14ac:dyDescent="0.25">
      <c r="C1319" s="79"/>
      <c r="D1319" s="248"/>
      <c r="E1319" s="248"/>
      <c r="F1319" s="47"/>
      <c r="G1319" s="79"/>
      <c r="J1319" s="99"/>
      <c r="K1319" s="4"/>
    </row>
    <row r="1320" spans="3:11" x14ac:dyDescent="0.25">
      <c r="C1320" s="79"/>
      <c r="D1320" s="248"/>
      <c r="E1320" s="248"/>
      <c r="F1320" s="47"/>
      <c r="G1320" s="79"/>
      <c r="J1320" s="99"/>
      <c r="K1320" s="4"/>
    </row>
    <row r="1321" spans="3:11" x14ac:dyDescent="0.25">
      <c r="C1321" s="79"/>
      <c r="D1321" s="248"/>
      <c r="E1321" s="248"/>
      <c r="F1321" s="47"/>
      <c r="G1321" s="79"/>
      <c r="J1321" s="99"/>
      <c r="K1321" s="4"/>
    </row>
    <row r="1322" spans="3:11" x14ac:dyDescent="0.25">
      <c r="C1322" s="79"/>
      <c r="D1322" s="248"/>
      <c r="E1322" s="248"/>
      <c r="F1322" s="47"/>
      <c r="G1322" s="79"/>
      <c r="J1322" s="99"/>
      <c r="K1322" s="4"/>
    </row>
    <row r="1323" spans="3:11" x14ac:dyDescent="0.25">
      <c r="C1323" s="79"/>
      <c r="D1323" s="248"/>
      <c r="E1323" s="248"/>
      <c r="F1323" s="47"/>
      <c r="G1323" s="79"/>
      <c r="J1323" s="99"/>
      <c r="K1323" s="4"/>
    </row>
    <row r="1324" spans="3:11" x14ac:dyDescent="0.25">
      <c r="C1324" s="79"/>
      <c r="D1324" s="248"/>
      <c r="E1324" s="248"/>
      <c r="F1324" s="47"/>
      <c r="G1324" s="79"/>
      <c r="J1324" s="99"/>
      <c r="K1324" s="4"/>
    </row>
    <row r="1325" spans="3:11" x14ac:dyDescent="0.25">
      <c r="C1325" s="79"/>
      <c r="D1325" s="248"/>
      <c r="E1325" s="248"/>
      <c r="F1325" s="47"/>
      <c r="G1325" s="79"/>
      <c r="J1325" s="99"/>
      <c r="K1325" s="4"/>
    </row>
    <row r="1326" spans="3:11" x14ac:dyDescent="0.25">
      <c r="C1326" s="79"/>
      <c r="D1326" s="248"/>
      <c r="E1326" s="248"/>
      <c r="F1326" s="47"/>
      <c r="G1326" s="79"/>
      <c r="J1326" s="99"/>
      <c r="K1326" s="4"/>
    </row>
    <row r="1327" spans="3:11" x14ac:dyDescent="0.25">
      <c r="C1327" s="79"/>
      <c r="D1327" s="248"/>
      <c r="E1327" s="248"/>
      <c r="F1327" s="47"/>
      <c r="G1327" s="79"/>
      <c r="J1327" s="99"/>
      <c r="K1327" s="4"/>
    </row>
    <row r="1328" spans="3:11" x14ac:dyDescent="0.25">
      <c r="C1328" s="79"/>
      <c r="D1328" s="248"/>
      <c r="E1328" s="248"/>
      <c r="F1328" s="47"/>
      <c r="G1328" s="79"/>
      <c r="J1328" s="99"/>
      <c r="K1328" s="4"/>
    </row>
    <row r="1329" spans="3:11" x14ac:dyDescent="0.25">
      <c r="C1329" s="79"/>
      <c r="D1329" s="248"/>
      <c r="E1329" s="248"/>
      <c r="F1329" s="47"/>
      <c r="G1329" s="79"/>
      <c r="J1329" s="99"/>
      <c r="K1329" s="4"/>
    </row>
    <row r="1330" spans="3:11" x14ac:dyDescent="0.25">
      <c r="C1330" s="79"/>
      <c r="D1330" s="248"/>
      <c r="E1330" s="248"/>
      <c r="F1330" s="47"/>
      <c r="G1330" s="79"/>
      <c r="J1330" s="99"/>
      <c r="K1330" s="4"/>
    </row>
    <row r="1331" spans="3:11" x14ac:dyDescent="0.25">
      <c r="C1331" s="79"/>
      <c r="D1331" s="248"/>
      <c r="E1331" s="248"/>
      <c r="F1331" s="47"/>
      <c r="G1331" s="79"/>
      <c r="J1331" s="99"/>
      <c r="K1331" s="4"/>
    </row>
    <row r="1332" spans="3:11" x14ac:dyDescent="0.25">
      <c r="C1332" s="79"/>
      <c r="D1332" s="248"/>
      <c r="E1332" s="248"/>
      <c r="F1332" s="47"/>
      <c r="G1332" s="79"/>
      <c r="J1332" s="99"/>
      <c r="K1332" s="4"/>
    </row>
    <row r="1333" spans="3:11" x14ac:dyDescent="0.25">
      <c r="C1333" s="79"/>
      <c r="D1333" s="248"/>
      <c r="E1333" s="248"/>
      <c r="F1333" s="47"/>
      <c r="G1333" s="79"/>
      <c r="J1333" s="99"/>
      <c r="K1333" s="4"/>
    </row>
    <row r="1334" spans="3:11" x14ac:dyDescent="0.25">
      <c r="C1334" s="79"/>
      <c r="D1334" s="248"/>
      <c r="E1334" s="248"/>
      <c r="F1334" s="47"/>
      <c r="G1334" s="79"/>
      <c r="J1334" s="99"/>
      <c r="K1334" s="4"/>
    </row>
    <row r="1335" spans="3:11" x14ac:dyDescent="0.25">
      <c r="C1335" s="79"/>
      <c r="D1335" s="248"/>
      <c r="E1335" s="248"/>
      <c r="F1335" s="47"/>
      <c r="G1335" s="79"/>
      <c r="J1335" s="99"/>
      <c r="K1335" s="4"/>
    </row>
    <row r="1336" spans="3:11" x14ac:dyDescent="0.25">
      <c r="C1336" s="79"/>
      <c r="D1336" s="248"/>
      <c r="E1336" s="248"/>
      <c r="F1336" s="47"/>
      <c r="G1336" s="79"/>
      <c r="J1336" s="99"/>
      <c r="K1336" s="4"/>
    </row>
    <row r="1337" spans="3:11" x14ac:dyDescent="0.25">
      <c r="C1337" s="79"/>
      <c r="D1337" s="248"/>
      <c r="E1337" s="248"/>
      <c r="F1337" s="47"/>
      <c r="G1337" s="79"/>
      <c r="J1337" s="99"/>
      <c r="K1337" s="4"/>
    </row>
    <row r="1338" spans="3:11" x14ac:dyDescent="0.25">
      <c r="C1338" s="79"/>
      <c r="D1338" s="248"/>
      <c r="E1338" s="248"/>
      <c r="F1338" s="47"/>
      <c r="G1338" s="79"/>
      <c r="J1338" s="99"/>
      <c r="K1338" s="4"/>
    </row>
    <row r="1339" spans="3:11" x14ac:dyDescent="0.25">
      <c r="C1339" s="79"/>
      <c r="D1339" s="248"/>
      <c r="E1339" s="248"/>
      <c r="F1339" s="47"/>
      <c r="G1339" s="79"/>
      <c r="J1339" s="99"/>
      <c r="K1339" s="4"/>
    </row>
    <row r="1340" spans="3:11" x14ac:dyDescent="0.25">
      <c r="C1340" s="79"/>
      <c r="D1340" s="248"/>
      <c r="E1340" s="248"/>
      <c r="F1340" s="47"/>
      <c r="G1340" s="79"/>
      <c r="J1340" s="99"/>
      <c r="K1340" s="4"/>
    </row>
    <row r="1341" spans="3:11" x14ac:dyDescent="0.25">
      <c r="C1341" s="79"/>
      <c r="D1341" s="248"/>
      <c r="E1341" s="248"/>
      <c r="F1341" s="47"/>
      <c r="G1341" s="79"/>
      <c r="J1341" s="99"/>
      <c r="K1341" s="4"/>
    </row>
    <row r="1342" spans="3:11" x14ac:dyDescent="0.25">
      <c r="C1342" s="79"/>
      <c r="D1342" s="248"/>
      <c r="E1342" s="248"/>
      <c r="F1342" s="47"/>
      <c r="G1342" s="79"/>
      <c r="J1342" s="99"/>
      <c r="K1342" s="4"/>
    </row>
    <row r="1343" spans="3:11" x14ac:dyDescent="0.25">
      <c r="C1343" s="79"/>
      <c r="D1343" s="248"/>
      <c r="E1343" s="248"/>
      <c r="F1343" s="47"/>
      <c r="G1343" s="79"/>
      <c r="J1343" s="99"/>
      <c r="K1343" s="4"/>
    </row>
    <row r="1344" spans="3:11" x14ac:dyDescent="0.25">
      <c r="C1344" s="79"/>
      <c r="D1344" s="248"/>
      <c r="E1344" s="248"/>
      <c r="F1344" s="47"/>
      <c r="G1344" s="79"/>
      <c r="J1344" s="99"/>
      <c r="K1344" s="4"/>
    </row>
    <row r="1345" spans="3:11" x14ac:dyDescent="0.25">
      <c r="C1345" s="79"/>
      <c r="D1345" s="248"/>
      <c r="E1345" s="248"/>
      <c r="F1345" s="47"/>
      <c r="G1345" s="79"/>
      <c r="J1345" s="99"/>
      <c r="K1345" s="4"/>
    </row>
    <row r="1346" spans="3:11" x14ac:dyDescent="0.25">
      <c r="C1346" s="79"/>
      <c r="D1346" s="248"/>
      <c r="E1346" s="248"/>
      <c r="F1346" s="47"/>
      <c r="G1346" s="79"/>
      <c r="J1346" s="99"/>
      <c r="K1346" s="4"/>
    </row>
    <row r="1347" spans="3:11" x14ac:dyDescent="0.25">
      <c r="C1347" s="79"/>
      <c r="D1347" s="248"/>
      <c r="E1347" s="248"/>
      <c r="F1347" s="47"/>
      <c r="G1347" s="79"/>
      <c r="J1347" s="99"/>
      <c r="K1347" s="4"/>
    </row>
    <row r="1348" spans="3:11" x14ac:dyDescent="0.25">
      <c r="C1348" s="79"/>
      <c r="D1348" s="248"/>
      <c r="E1348" s="248"/>
      <c r="F1348" s="47"/>
      <c r="G1348" s="79"/>
      <c r="J1348" s="99"/>
      <c r="K1348" s="4"/>
    </row>
    <row r="1349" spans="3:11" x14ac:dyDescent="0.25">
      <c r="C1349" s="79"/>
      <c r="D1349" s="248"/>
      <c r="E1349" s="248"/>
      <c r="F1349" s="47"/>
      <c r="G1349" s="79"/>
      <c r="J1349" s="99"/>
      <c r="K1349" s="4"/>
    </row>
    <row r="1350" spans="3:11" x14ac:dyDescent="0.25">
      <c r="C1350" s="79"/>
      <c r="D1350" s="248"/>
      <c r="E1350" s="248"/>
      <c r="F1350" s="47"/>
      <c r="G1350" s="79"/>
      <c r="J1350" s="99"/>
      <c r="K1350" s="4"/>
    </row>
    <row r="1351" spans="3:11" x14ac:dyDescent="0.25">
      <c r="C1351" s="79"/>
      <c r="D1351" s="248"/>
      <c r="E1351" s="248"/>
      <c r="F1351" s="47"/>
      <c r="G1351" s="79"/>
      <c r="J1351" s="99"/>
      <c r="K1351" s="4"/>
    </row>
    <row r="1352" spans="3:11" x14ac:dyDescent="0.25">
      <c r="C1352" s="79"/>
      <c r="D1352" s="248"/>
      <c r="E1352" s="248"/>
      <c r="F1352" s="47"/>
      <c r="G1352" s="79"/>
      <c r="J1352" s="99"/>
      <c r="K1352" s="4"/>
    </row>
    <row r="1353" spans="3:11" x14ac:dyDescent="0.25">
      <c r="C1353" s="79"/>
      <c r="D1353" s="248"/>
      <c r="E1353" s="248"/>
      <c r="F1353" s="47"/>
      <c r="G1353" s="79"/>
      <c r="J1353" s="99"/>
      <c r="K1353" s="4"/>
    </row>
    <row r="1354" spans="3:11" x14ac:dyDescent="0.25">
      <c r="C1354" s="79"/>
      <c r="D1354" s="248"/>
      <c r="E1354" s="248"/>
      <c r="F1354" s="47"/>
      <c r="G1354" s="79"/>
      <c r="J1354" s="99"/>
      <c r="K1354" s="4"/>
    </row>
    <row r="1355" spans="3:11" x14ac:dyDescent="0.25">
      <c r="C1355" s="79"/>
      <c r="D1355" s="248"/>
      <c r="E1355" s="248"/>
      <c r="F1355" s="47"/>
      <c r="G1355" s="79"/>
      <c r="J1355" s="99"/>
      <c r="K1355" s="4"/>
    </row>
    <row r="1356" spans="3:11" x14ac:dyDescent="0.25">
      <c r="C1356" s="79"/>
      <c r="D1356" s="248"/>
      <c r="E1356" s="248"/>
      <c r="F1356" s="47"/>
      <c r="G1356" s="79"/>
      <c r="J1356" s="99"/>
      <c r="K1356" s="4"/>
    </row>
    <row r="1357" spans="3:11" x14ac:dyDescent="0.25">
      <c r="C1357" s="79"/>
      <c r="D1357" s="248"/>
      <c r="E1357" s="248"/>
      <c r="F1357" s="47"/>
      <c r="G1357" s="79"/>
      <c r="J1357" s="99"/>
      <c r="K1357" s="4"/>
    </row>
    <row r="1358" spans="3:11" x14ac:dyDescent="0.25">
      <c r="C1358" s="79"/>
      <c r="D1358" s="248"/>
      <c r="E1358" s="248"/>
      <c r="F1358" s="47"/>
      <c r="G1358" s="79"/>
      <c r="J1358" s="99"/>
      <c r="K1358" s="4"/>
    </row>
    <row r="1359" spans="3:11" x14ac:dyDescent="0.25">
      <c r="C1359" s="79"/>
      <c r="D1359" s="248"/>
      <c r="E1359" s="248"/>
      <c r="F1359" s="47"/>
      <c r="G1359" s="79"/>
      <c r="J1359" s="99"/>
      <c r="K1359" s="4"/>
    </row>
    <row r="1360" spans="3:11" x14ac:dyDescent="0.25">
      <c r="C1360" s="79"/>
      <c r="D1360" s="248"/>
      <c r="E1360" s="248"/>
      <c r="F1360" s="47"/>
      <c r="G1360" s="79"/>
      <c r="J1360" s="99"/>
      <c r="K1360" s="4"/>
    </row>
    <row r="1361" spans="3:11" x14ac:dyDescent="0.25">
      <c r="C1361" s="79"/>
      <c r="D1361" s="248"/>
      <c r="E1361" s="248"/>
      <c r="F1361" s="47"/>
      <c r="G1361" s="79"/>
      <c r="J1361" s="99"/>
      <c r="K1361" s="4"/>
    </row>
    <row r="1362" spans="3:11" x14ac:dyDescent="0.25">
      <c r="C1362" s="79"/>
      <c r="D1362" s="248"/>
      <c r="E1362" s="248"/>
      <c r="F1362" s="47"/>
      <c r="G1362" s="79"/>
      <c r="J1362" s="99"/>
      <c r="K1362" s="4"/>
    </row>
    <row r="1363" spans="3:11" x14ac:dyDescent="0.25">
      <c r="C1363" s="79"/>
      <c r="D1363" s="248"/>
      <c r="E1363" s="248"/>
      <c r="F1363" s="47"/>
      <c r="G1363" s="79"/>
      <c r="J1363" s="99"/>
      <c r="K1363" s="4"/>
    </row>
    <row r="1364" spans="3:11" x14ac:dyDescent="0.25">
      <c r="C1364" s="79"/>
      <c r="D1364" s="248"/>
      <c r="E1364" s="248"/>
      <c r="F1364" s="47"/>
      <c r="G1364" s="79"/>
      <c r="J1364" s="99"/>
      <c r="K1364" s="4"/>
    </row>
    <row r="1365" spans="3:11" x14ac:dyDescent="0.25">
      <c r="C1365" s="79"/>
      <c r="D1365" s="248"/>
      <c r="E1365" s="248"/>
      <c r="F1365" s="47"/>
      <c r="G1365" s="79"/>
      <c r="J1365" s="99"/>
      <c r="K1365" s="4"/>
    </row>
    <row r="1366" spans="3:11" x14ac:dyDescent="0.25">
      <c r="C1366" s="79"/>
      <c r="D1366" s="248"/>
      <c r="E1366" s="248"/>
      <c r="F1366" s="47"/>
      <c r="G1366" s="79"/>
      <c r="J1366" s="99"/>
      <c r="K1366" s="4"/>
    </row>
    <row r="1367" spans="3:11" x14ac:dyDescent="0.25">
      <c r="C1367" s="79"/>
      <c r="D1367" s="248"/>
      <c r="E1367" s="248"/>
      <c r="F1367" s="47"/>
      <c r="G1367" s="79"/>
      <c r="J1367" s="99"/>
      <c r="K1367" s="4"/>
    </row>
    <row r="1368" spans="3:11" x14ac:dyDescent="0.25">
      <c r="C1368" s="79"/>
      <c r="D1368" s="248"/>
      <c r="E1368" s="248"/>
      <c r="F1368" s="47"/>
      <c r="G1368" s="79"/>
      <c r="J1368" s="99"/>
      <c r="K1368" s="4"/>
    </row>
    <row r="1369" spans="3:11" x14ac:dyDescent="0.25">
      <c r="C1369" s="79"/>
      <c r="D1369" s="248"/>
      <c r="E1369" s="248"/>
      <c r="F1369" s="47"/>
      <c r="G1369" s="79"/>
      <c r="J1369" s="99"/>
      <c r="K1369" s="4"/>
    </row>
    <row r="1370" spans="3:11" x14ac:dyDescent="0.25">
      <c r="C1370" s="79"/>
      <c r="D1370" s="248"/>
      <c r="E1370" s="248"/>
      <c r="F1370" s="47"/>
      <c r="G1370" s="79"/>
      <c r="J1370" s="99"/>
      <c r="K1370" s="4"/>
    </row>
    <row r="1371" spans="3:11" x14ac:dyDescent="0.25">
      <c r="C1371" s="79"/>
      <c r="D1371" s="248"/>
      <c r="E1371" s="248"/>
      <c r="F1371" s="47"/>
      <c r="G1371" s="79"/>
      <c r="J1371" s="99"/>
      <c r="K1371" s="4"/>
    </row>
    <row r="1372" spans="3:11" x14ac:dyDescent="0.25">
      <c r="C1372" s="79"/>
      <c r="D1372" s="248"/>
      <c r="E1372" s="248"/>
      <c r="F1372" s="47"/>
      <c r="G1372" s="79"/>
      <c r="J1372" s="99"/>
      <c r="K1372" s="4"/>
    </row>
    <row r="1373" spans="3:11" x14ac:dyDescent="0.25">
      <c r="C1373" s="79"/>
      <c r="D1373" s="248"/>
      <c r="E1373" s="248"/>
      <c r="F1373" s="47"/>
      <c r="G1373" s="79"/>
      <c r="J1373" s="99"/>
      <c r="K1373" s="4"/>
    </row>
    <row r="1374" spans="3:11" x14ac:dyDescent="0.25">
      <c r="C1374" s="79"/>
      <c r="D1374" s="248"/>
      <c r="E1374" s="248"/>
      <c r="F1374" s="47"/>
      <c r="G1374" s="79"/>
      <c r="J1374" s="99"/>
      <c r="K1374" s="4"/>
    </row>
    <row r="1375" spans="3:11" x14ac:dyDescent="0.25">
      <c r="C1375" s="79"/>
      <c r="D1375" s="248"/>
      <c r="E1375" s="248"/>
      <c r="F1375" s="47"/>
      <c r="G1375" s="79"/>
      <c r="J1375" s="99"/>
      <c r="K1375" s="4"/>
    </row>
    <row r="1376" spans="3:11" x14ac:dyDescent="0.25">
      <c r="C1376" s="79"/>
      <c r="D1376" s="248"/>
      <c r="E1376" s="248"/>
      <c r="F1376" s="47"/>
      <c r="G1376" s="79"/>
      <c r="J1376" s="99"/>
      <c r="K1376" s="4"/>
    </row>
    <row r="1377" spans="3:11" x14ac:dyDescent="0.25">
      <c r="C1377" s="79"/>
      <c r="D1377" s="248"/>
      <c r="E1377" s="248"/>
      <c r="F1377" s="47"/>
      <c r="G1377" s="79"/>
      <c r="J1377" s="99"/>
      <c r="K1377" s="4"/>
    </row>
    <row r="1378" spans="3:11" x14ac:dyDescent="0.25">
      <c r="C1378" s="79"/>
      <c r="D1378" s="248"/>
      <c r="E1378" s="248"/>
      <c r="F1378" s="47"/>
      <c r="G1378" s="79"/>
      <c r="J1378" s="99"/>
      <c r="K1378" s="4"/>
    </row>
    <row r="1379" spans="3:11" x14ac:dyDescent="0.25">
      <c r="C1379" s="79"/>
      <c r="D1379" s="248"/>
      <c r="E1379" s="248"/>
      <c r="F1379" s="47"/>
      <c r="G1379" s="79"/>
      <c r="J1379" s="99"/>
      <c r="K1379" s="4"/>
    </row>
    <row r="1380" spans="3:11" x14ac:dyDescent="0.25">
      <c r="C1380" s="79"/>
      <c r="D1380" s="248"/>
      <c r="E1380" s="248"/>
      <c r="F1380" s="47"/>
      <c r="G1380" s="79"/>
      <c r="J1380" s="99"/>
      <c r="K1380" s="4"/>
    </row>
    <row r="1381" spans="3:11" x14ac:dyDescent="0.25">
      <c r="C1381" s="79"/>
      <c r="D1381" s="248"/>
      <c r="E1381" s="248"/>
      <c r="F1381" s="47"/>
      <c r="G1381" s="79"/>
      <c r="J1381" s="99"/>
      <c r="K1381" s="4"/>
    </row>
    <row r="1382" spans="3:11" x14ac:dyDescent="0.25">
      <c r="C1382" s="79"/>
      <c r="D1382" s="248"/>
      <c r="E1382" s="248"/>
      <c r="F1382" s="47"/>
      <c r="G1382" s="79"/>
      <c r="J1382" s="99"/>
      <c r="K1382" s="4"/>
    </row>
    <row r="1383" spans="3:11" x14ac:dyDescent="0.25">
      <c r="C1383" s="79"/>
      <c r="D1383" s="248"/>
      <c r="E1383" s="248"/>
      <c r="F1383" s="47"/>
      <c r="G1383" s="79"/>
      <c r="J1383" s="99"/>
      <c r="K1383" s="4"/>
    </row>
    <row r="1384" spans="3:11" x14ac:dyDescent="0.25">
      <c r="C1384" s="79"/>
      <c r="D1384" s="248"/>
      <c r="E1384" s="248"/>
      <c r="F1384" s="47"/>
      <c r="G1384" s="79"/>
      <c r="J1384" s="99"/>
      <c r="K1384" s="4"/>
    </row>
    <row r="1385" spans="3:11" x14ac:dyDescent="0.25">
      <c r="C1385" s="79"/>
      <c r="D1385" s="248"/>
      <c r="E1385" s="248"/>
      <c r="F1385" s="47"/>
      <c r="G1385" s="79"/>
      <c r="J1385" s="99"/>
      <c r="K1385" s="4"/>
    </row>
    <row r="1386" spans="3:11" x14ac:dyDescent="0.25">
      <c r="C1386" s="79"/>
      <c r="D1386" s="248"/>
      <c r="E1386" s="248"/>
      <c r="F1386" s="47"/>
      <c r="G1386" s="79"/>
      <c r="J1386" s="99"/>
      <c r="K1386" s="4"/>
    </row>
    <row r="1387" spans="3:11" x14ac:dyDescent="0.25">
      <c r="C1387" s="79"/>
      <c r="D1387" s="248"/>
      <c r="E1387" s="248"/>
      <c r="F1387" s="47"/>
      <c r="G1387" s="79"/>
      <c r="J1387" s="99"/>
      <c r="K1387" s="4"/>
    </row>
    <row r="1388" spans="3:11" x14ac:dyDescent="0.25">
      <c r="C1388" s="79"/>
      <c r="D1388" s="248"/>
      <c r="E1388" s="248"/>
      <c r="F1388" s="47"/>
      <c r="G1388" s="79"/>
      <c r="J1388" s="99"/>
      <c r="K1388" s="4"/>
    </row>
    <row r="1389" spans="3:11" x14ac:dyDescent="0.25">
      <c r="C1389" s="79"/>
      <c r="D1389" s="248"/>
      <c r="E1389" s="248"/>
      <c r="F1389" s="47"/>
      <c r="G1389" s="79"/>
      <c r="J1389" s="99"/>
      <c r="K1389" s="4"/>
    </row>
    <row r="1390" spans="3:11" x14ac:dyDescent="0.25">
      <c r="C1390" s="79"/>
      <c r="D1390" s="248"/>
      <c r="E1390" s="248"/>
      <c r="F1390" s="47"/>
      <c r="G1390" s="79"/>
      <c r="J1390" s="99"/>
      <c r="K1390" s="4"/>
    </row>
    <row r="1391" spans="3:11" x14ac:dyDescent="0.25">
      <c r="C1391" s="79"/>
      <c r="D1391" s="248"/>
      <c r="E1391" s="248"/>
      <c r="F1391" s="47"/>
      <c r="G1391" s="79"/>
      <c r="J1391" s="99"/>
      <c r="K1391" s="4"/>
    </row>
    <row r="1392" spans="3:11" x14ac:dyDescent="0.25">
      <c r="C1392" s="79"/>
      <c r="D1392" s="248"/>
      <c r="E1392" s="248"/>
      <c r="F1392" s="47"/>
      <c r="G1392" s="79"/>
      <c r="J1392" s="99"/>
      <c r="K1392" s="4"/>
    </row>
    <row r="1393" spans="3:11" x14ac:dyDescent="0.25">
      <c r="C1393" s="79"/>
      <c r="D1393" s="248"/>
      <c r="E1393" s="248"/>
      <c r="F1393" s="47"/>
      <c r="G1393" s="79"/>
      <c r="J1393" s="99"/>
      <c r="K1393" s="4"/>
    </row>
    <row r="1394" spans="3:11" x14ac:dyDescent="0.25">
      <c r="C1394" s="79"/>
      <c r="D1394" s="248"/>
      <c r="E1394" s="248"/>
      <c r="F1394" s="47"/>
      <c r="G1394" s="79"/>
      <c r="J1394" s="99"/>
      <c r="K1394" s="4"/>
    </row>
    <row r="1395" spans="3:11" x14ac:dyDescent="0.25">
      <c r="C1395" s="79"/>
      <c r="D1395" s="248"/>
      <c r="E1395" s="248"/>
      <c r="F1395" s="47"/>
      <c r="G1395" s="79"/>
      <c r="J1395" s="99"/>
      <c r="K1395" s="4"/>
    </row>
    <row r="1396" spans="3:11" x14ac:dyDescent="0.25">
      <c r="C1396" s="79"/>
      <c r="D1396" s="248"/>
      <c r="E1396" s="248"/>
      <c r="F1396" s="47"/>
      <c r="G1396" s="79"/>
      <c r="J1396" s="99"/>
      <c r="K1396" s="4"/>
    </row>
    <row r="1397" spans="3:11" x14ac:dyDescent="0.25">
      <c r="C1397" s="79"/>
      <c r="D1397" s="248"/>
      <c r="E1397" s="248"/>
      <c r="F1397" s="47"/>
      <c r="G1397" s="79"/>
      <c r="J1397" s="99"/>
      <c r="K1397" s="4"/>
    </row>
    <row r="1398" spans="3:11" x14ac:dyDescent="0.25">
      <c r="C1398" s="79"/>
      <c r="D1398" s="248"/>
      <c r="E1398" s="248"/>
      <c r="F1398" s="47"/>
      <c r="G1398" s="79"/>
      <c r="J1398" s="99"/>
      <c r="K1398" s="4"/>
    </row>
    <row r="1399" spans="3:11" x14ac:dyDescent="0.25">
      <c r="C1399" s="79"/>
      <c r="D1399" s="248"/>
      <c r="E1399" s="248"/>
      <c r="F1399" s="47"/>
      <c r="G1399" s="79"/>
      <c r="J1399" s="99"/>
      <c r="K1399" s="4"/>
    </row>
    <row r="1400" spans="3:11" x14ac:dyDescent="0.25">
      <c r="C1400" s="79"/>
      <c r="D1400" s="248"/>
      <c r="E1400" s="248"/>
      <c r="F1400" s="47"/>
      <c r="G1400" s="79"/>
      <c r="J1400" s="99"/>
      <c r="K1400" s="4"/>
    </row>
    <row r="1401" spans="3:11" x14ac:dyDescent="0.25">
      <c r="C1401" s="79"/>
      <c r="D1401" s="248"/>
      <c r="E1401" s="248"/>
      <c r="F1401" s="47"/>
      <c r="G1401" s="79"/>
      <c r="J1401" s="99"/>
      <c r="K1401" s="4"/>
    </row>
    <row r="1402" spans="3:11" x14ac:dyDescent="0.25">
      <c r="C1402" s="79"/>
      <c r="D1402" s="248"/>
      <c r="E1402" s="248"/>
      <c r="F1402" s="47"/>
      <c r="G1402" s="79"/>
      <c r="J1402" s="99"/>
      <c r="K1402" s="4"/>
    </row>
    <row r="1403" spans="3:11" x14ac:dyDescent="0.25">
      <c r="C1403" s="79"/>
      <c r="D1403" s="248"/>
      <c r="E1403" s="248"/>
      <c r="F1403" s="47"/>
      <c r="G1403" s="79"/>
      <c r="J1403" s="99"/>
      <c r="K1403" s="4"/>
    </row>
    <row r="1404" spans="3:11" x14ac:dyDescent="0.25">
      <c r="C1404" s="79"/>
      <c r="D1404" s="248"/>
      <c r="E1404" s="248"/>
      <c r="F1404" s="47"/>
      <c r="G1404" s="79"/>
      <c r="J1404" s="99"/>
      <c r="K1404" s="4"/>
    </row>
    <row r="1405" spans="3:11" x14ac:dyDescent="0.25">
      <c r="C1405" s="79"/>
      <c r="D1405" s="248"/>
      <c r="E1405" s="248"/>
      <c r="F1405" s="47"/>
      <c r="G1405" s="79"/>
      <c r="J1405" s="99"/>
      <c r="K1405" s="4"/>
    </row>
    <row r="1406" spans="3:11" x14ac:dyDescent="0.25">
      <c r="C1406" s="79"/>
      <c r="D1406" s="248"/>
      <c r="E1406" s="248"/>
      <c r="F1406" s="47"/>
      <c r="G1406" s="79"/>
      <c r="J1406" s="99"/>
      <c r="K1406" s="4"/>
    </row>
    <row r="1407" spans="3:11" x14ac:dyDescent="0.25">
      <c r="C1407" s="79"/>
      <c r="D1407" s="248"/>
      <c r="E1407" s="248"/>
      <c r="F1407" s="47"/>
      <c r="G1407" s="79"/>
      <c r="J1407" s="99"/>
      <c r="K1407" s="4"/>
    </row>
    <row r="1408" spans="3:11" x14ac:dyDescent="0.25">
      <c r="C1408" s="79"/>
      <c r="D1408" s="248"/>
      <c r="E1408" s="248"/>
      <c r="F1408" s="47"/>
      <c r="G1408" s="79"/>
      <c r="J1408" s="99"/>
      <c r="K1408" s="4"/>
    </row>
    <row r="1409" spans="3:11" x14ac:dyDescent="0.25">
      <c r="C1409" s="79"/>
      <c r="D1409" s="248"/>
      <c r="E1409" s="248"/>
      <c r="F1409" s="47"/>
      <c r="G1409" s="79"/>
      <c r="J1409" s="99"/>
      <c r="K1409" s="4"/>
    </row>
    <row r="1410" spans="3:11" x14ac:dyDescent="0.25">
      <c r="C1410" s="79"/>
      <c r="D1410" s="248"/>
      <c r="E1410" s="248"/>
      <c r="F1410" s="47"/>
      <c r="G1410" s="79"/>
      <c r="J1410" s="99"/>
      <c r="K1410" s="4"/>
    </row>
    <row r="1411" spans="3:11" x14ac:dyDescent="0.25">
      <c r="C1411" s="79"/>
      <c r="D1411" s="248"/>
      <c r="E1411" s="248"/>
      <c r="F1411" s="47"/>
      <c r="G1411" s="79"/>
      <c r="J1411" s="99"/>
      <c r="K1411" s="4"/>
    </row>
    <row r="1412" spans="3:11" x14ac:dyDescent="0.25">
      <c r="C1412" s="79"/>
      <c r="D1412" s="248"/>
      <c r="E1412" s="248"/>
      <c r="F1412" s="47"/>
      <c r="G1412" s="79"/>
      <c r="J1412" s="99"/>
      <c r="K1412" s="4"/>
    </row>
    <row r="1413" spans="3:11" x14ac:dyDescent="0.25">
      <c r="C1413" s="79"/>
      <c r="D1413" s="248"/>
      <c r="E1413" s="248"/>
      <c r="F1413" s="47"/>
      <c r="G1413" s="79"/>
      <c r="J1413" s="99"/>
      <c r="K1413" s="4"/>
    </row>
    <row r="1414" spans="3:11" x14ac:dyDescent="0.25">
      <c r="C1414" s="79"/>
      <c r="D1414" s="248"/>
      <c r="E1414" s="248"/>
      <c r="F1414" s="47"/>
      <c r="G1414" s="79"/>
      <c r="J1414" s="99"/>
      <c r="K1414" s="4"/>
    </row>
    <row r="1415" spans="3:11" x14ac:dyDescent="0.25">
      <c r="C1415" s="79"/>
      <c r="D1415" s="248"/>
      <c r="E1415" s="248"/>
      <c r="F1415" s="47"/>
      <c r="G1415" s="79"/>
      <c r="J1415" s="99"/>
      <c r="K1415" s="4"/>
    </row>
    <row r="1416" spans="3:11" x14ac:dyDescent="0.25">
      <c r="C1416" s="79"/>
      <c r="D1416" s="248"/>
      <c r="E1416" s="248"/>
      <c r="F1416" s="47"/>
      <c r="G1416" s="79"/>
      <c r="J1416" s="99"/>
      <c r="K1416" s="4"/>
    </row>
    <row r="1417" spans="3:11" x14ac:dyDescent="0.25">
      <c r="C1417" s="79"/>
      <c r="D1417" s="248"/>
      <c r="E1417" s="248"/>
      <c r="F1417" s="47"/>
      <c r="G1417" s="79"/>
      <c r="J1417" s="99"/>
      <c r="K1417" s="4"/>
    </row>
    <row r="1418" spans="3:11" x14ac:dyDescent="0.25">
      <c r="C1418" s="79"/>
      <c r="D1418" s="248"/>
      <c r="E1418" s="248"/>
      <c r="F1418" s="47"/>
      <c r="G1418" s="79"/>
      <c r="J1418" s="99"/>
      <c r="K1418" s="4"/>
    </row>
    <row r="1419" spans="3:11" x14ac:dyDescent="0.25">
      <c r="C1419" s="79"/>
      <c r="D1419" s="248"/>
      <c r="E1419" s="248"/>
      <c r="F1419" s="47"/>
      <c r="G1419" s="79"/>
      <c r="J1419" s="99"/>
      <c r="K1419" s="4"/>
    </row>
    <row r="1420" spans="3:11" x14ac:dyDescent="0.25">
      <c r="C1420" s="79"/>
      <c r="D1420" s="248"/>
      <c r="E1420" s="248"/>
      <c r="F1420" s="47"/>
      <c r="G1420" s="79"/>
      <c r="J1420" s="99"/>
      <c r="K1420" s="4"/>
    </row>
    <row r="1421" spans="3:11" x14ac:dyDescent="0.25">
      <c r="C1421" s="79"/>
      <c r="D1421" s="248"/>
      <c r="E1421" s="248"/>
      <c r="F1421" s="47"/>
      <c r="G1421" s="79"/>
      <c r="J1421" s="99"/>
      <c r="K1421" s="4"/>
    </row>
    <row r="1422" spans="3:11" x14ac:dyDescent="0.25">
      <c r="C1422" s="79"/>
      <c r="D1422" s="248"/>
      <c r="E1422" s="248"/>
      <c r="F1422" s="47"/>
      <c r="G1422" s="79"/>
      <c r="J1422" s="99"/>
      <c r="K1422" s="4"/>
    </row>
    <row r="1423" spans="3:11" x14ac:dyDescent="0.25">
      <c r="C1423" s="79"/>
      <c r="D1423" s="248"/>
      <c r="E1423" s="248"/>
      <c r="F1423" s="47"/>
      <c r="G1423" s="79"/>
      <c r="J1423" s="99"/>
      <c r="K1423" s="4"/>
    </row>
    <row r="1424" spans="3:11" x14ac:dyDescent="0.25">
      <c r="C1424" s="79"/>
      <c r="D1424" s="248"/>
      <c r="E1424" s="248"/>
      <c r="F1424" s="47"/>
      <c r="G1424" s="79"/>
      <c r="J1424" s="99"/>
      <c r="K1424" s="4"/>
    </row>
    <row r="1425" spans="3:11" x14ac:dyDescent="0.25">
      <c r="C1425" s="79"/>
      <c r="D1425" s="248"/>
      <c r="E1425" s="248"/>
      <c r="F1425" s="47"/>
      <c r="G1425" s="79"/>
      <c r="J1425" s="99"/>
      <c r="K1425" s="4"/>
    </row>
    <row r="1426" spans="3:11" x14ac:dyDescent="0.25">
      <c r="C1426" s="79"/>
      <c r="D1426" s="248"/>
      <c r="E1426" s="248"/>
      <c r="F1426" s="47"/>
      <c r="G1426" s="79"/>
      <c r="J1426" s="99"/>
      <c r="K1426" s="4"/>
    </row>
    <row r="1427" spans="3:11" x14ac:dyDescent="0.25">
      <c r="C1427" s="79"/>
      <c r="D1427" s="248"/>
      <c r="E1427" s="248"/>
      <c r="F1427" s="47"/>
      <c r="G1427" s="79"/>
      <c r="J1427" s="99"/>
      <c r="K1427" s="4"/>
    </row>
    <row r="1428" spans="3:11" x14ac:dyDescent="0.25">
      <c r="C1428" s="79"/>
      <c r="D1428" s="248"/>
      <c r="E1428" s="248"/>
      <c r="F1428" s="47"/>
      <c r="G1428" s="79"/>
      <c r="J1428" s="99"/>
      <c r="K1428" s="4"/>
    </row>
    <row r="1429" spans="3:11" x14ac:dyDescent="0.25">
      <c r="C1429" s="79"/>
      <c r="D1429" s="248"/>
      <c r="E1429" s="248"/>
      <c r="F1429" s="47"/>
      <c r="G1429" s="79"/>
      <c r="J1429" s="99"/>
      <c r="K1429" s="4"/>
    </row>
    <row r="1430" spans="3:11" x14ac:dyDescent="0.25">
      <c r="C1430" s="79"/>
      <c r="D1430" s="248"/>
      <c r="E1430" s="248"/>
      <c r="F1430" s="47"/>
      <c r="G1430" s="79"/>
      <c r="J1430" s="99"/>
      <c r="K1430" s="4"/>
    </row>
    <row r="1431" spans="3:11" x14ac:dyDescent="0.25">
      <c r="C1431" s="79"/>
      <c r="D1431" s="248"/>
      <c r="E1431" s="248"/>
      <c r="F1431" s="47"/>
      <c r="G1431" s="79"/>
      <c r="J1431" s="99"/>
      <c r="K1431" s="4"/>
    </row>
    <row r="1432" spans="3:11" x14ac:dyDescent="0.25">
      <c r="C1432" s="79"/>
      <c r="D1432" s="248"/>
      <c r="E1432" s="248"/>
      <c r="F1432" s="47"/>
      <c r="G1432" s="79"/>
      <c r="J1432" s="99"/>
      <c r="K1432" s="4"/>
    </row>
    <row r="1433" spans="3:11" x14ac:dyDescent="0.25">
      <c r="C1433" s="79"/>
      <c r="D1433" s="248"/>
      <c r="E1433" s="248"/>
      <c r="F1433" s="47"/>
      <c r="G1433" s="79"/>
      <c r="J1433" s="99"/>
      <c r="K1433" s="4"/>
    </row>
    <row r="1434" spans="3:11" x14ac:dyDescent="0.25">
      <c r="C1434" s="79"/>
      <c r="D1434" s="248"/>
      <c r="E1434" s="248"/>
      <c r="F1434" s="47"/>
      <c r="G1434" s="79"/>
      <c r="J1434" s="99"/>
      <c r="K1434" s="4"/>
    </row>
    <row r="1435" spans="3:11" x14ac:dyDescent="0.25">
      <c r="C1435" s="79"/>
      <c r="D1435" s="248"/>
      <c r="E1435" s="248"/>
      <c r="F1435" s="47"/>
      <c r="G1435" s="79"/>
      <c r="J1435" s="99"/>
      <c r="K1435" s="4"/>
    </row>
    <row r="1436" spans="3:11" x14ac:dyDescent="0.25">
      <c r="C1436" s="79"/>
      <c r="D1436" s="248"/>
      <c r="E1436" s="248"/>
      <c r="F1436" s="47"/>
      <c r="G1436" s="79"/>
      <c r="J1436" s="99"/>
      <c r="K1436" s="4"/>
    </row>
    <row r="1437" spans="3:11" x14ac:dyDescent="0.25">
      <c r="C1437" s="79"/>
      <c r="D1437" s="248"/>
      <c r="E1437" s="248"/>
      <c r="F1437" s="47"/>
      <c r="G1437" s="79"/>
      <c r="J1437" s="99"/>
      <c r="K1437" s="4"/>
    </row>
    <row r="1438" spans="3:11" x14ac:dyDescent="0.25">
      <c r="C1438" s="79"/>
      <c r="D1438" s="248"/>
      <c r="E1438" s="248"/>
      <c r="F1438" s="47"/>
      <c r="G1438" s="79"/>
      <c r="J1438" s="99"/>
      <c r="K1438" s="4"/>
    </row>
    <row r="1439" spans="3:11" x14ac:dyDescent="0.25">
      <c r="C1439" s="79"/>
      <c r="D1439" s="248"/>
      <c r="E1439" s="248"/>
      <c r="F1439" s="47"/>
      <c r="G1439" s="79"/>
      <c r="J1439" s="99"/>
      <c r="K1439" s="4"/>
    </row>
    <row r="1440" spans="3:11" x14ac:dyDescent="0.25">
      <c r="C1440" s="79"/>
      <c r="D1440" s="248"/>
      <c r="E1440" s="248"/>
      <c r="F1440" s="47"/>
      <c r="G1440" s="79"/>
      <c r="J1440" s="99"/>
      <c r="K1440" s="4"/>
    </row>
    <row r="1441" spans="3:11" x14ac:dyDescent="0.25">
      <c r="C1441" s="79"/>
      <c r="D1441" s="248"/>
      <c r="E1441" s="248"/>
      <c r="F1441" s="47"/>
      <c r="G1441" s="79"/>
      <c r="J1441" s="99"/>
      <c r="K1441" s="4"/>
    </row>
    <row r="1442" spans="3:11" x14ac:dyDescent="0.25">
      <c r="C1442" s="79"/>
      <c r="D1442" s="248"/>
      <c r="E1442" s="248"/>
      <c r="F1442" s="47"/>
      <c r="G1442" s="79"/>
      <c r="J1442" s="99"/>
      <c r="K1442" s="4"/>
    </row>
    <row r="1443" spans="3:11" x14ac:dyDescent="0.25">
      <c r="C1443" s="79"/>
      <c r="D1443" s="248"/>
      <c r="E1443" s="248"/>
      <c r="F1443" s="47"/>
      <c r="G1443" s="79"/>
      <c r="J1443" s="99"/>
      <c r="K1443" s="4"/>
    </row>
    <row r="1444" spans="3:11" x14ac:dyDescent="0.25">
      <c r="C1444" s="79"/>
      <c r="D1444" s="248"/>
      <c r="E1444" s="248"/>
      <c r="F1444" s="47"/>
      <c r="G1444" s="79"/>
      <c r="J1444" s="99"/>
      <c r="K1444" s="4"/>
    </row>
    <row r="1445" spans="3:11" x14ac:dyDescent="0.25">
      <c r="C1445" s="79"/>
      <c r="D1445" s="248"/>
      <c r="E1445" s="248"/>
      <c r="F1445" s="47"/>
      <c r="G1445" s="79"/>
      <c r="J1445" s="99"/>
      <c r="K1445" s="4"/>
    </row>
    <row r="1446" spans="3:11" x14ac:dyDescent="0.25">
      <c r="C1446" s="79"/>
      <c r="D1446" s="248"/>
      <c r="E1446" s="248"/>
      <c r="F1446" s="47"/>
      <c r="G1446" s="79"/>
      <c r="J1446" s="99"/>
      <c r="K1446" s="4"/>
    </row>
    <row r="1447" spans="3:11" x14ac:dyDescent="0.25">
      <c r="C1447" s="79"/>
      <c r="D1447" s="248"/>
      <c r="E1447" s="248"/>
      <c r="F1447" s="47"/>
      <c r="G1447" s="79"/>
      <c r="J1447" s="99"/>
      <c r="K1447" s="4"/>
    </row>
    <row r="1448" spans="3:11" x14ac:dyDescent="0.25">
      <c r="C1448" s="79"/>
      <c r="D1448" s="248"/>
      <c r="E1448" s="248"/>
      <c r="F1448" s="47"/>
      <c r="G1448" s="79"/>
      <c r="J1448" s="99"/>
      <c r="K1448" s="4"/>
    </row>
    <row r="1449" spans="3:11" x14ac:dyDescent="0.25">
      <c r="C1449" s="79"/>
      <c r="D1449" s="248"/>
      <c r="E1449" s="248"/>
      <c r="F1449" s="47"/>
      <c r="G1449" s="79"/>
      <c r="J1449" s="99"/>
      <c r="K1449" s="4"/>
    </row>
    <row r="1450" spans="3:11" x14ac:dyDescent="0.25">
      <c r="C1450" s="79"/>
      <c r="D1450" s="248"/>
      <c r="E1450" s="248"/>
      <c r="F1450" s="47"/>
      <c r="G1450" s="79"/>
      <c r="J1450" s="99"/>
      <c r="K1450" s="4"/>
    </row>
    <row r="1451" spans="3:11" x14ac:dyDescent="0.25">
      <c r="C1451" s="79"/>
      <c r="D1451" s="248"/>
      <c r="E1451" s="248"/>
      <c r="F1451" s="47"/>
      <c r="G1451" s="79"/>
      <c r="J1451" s="99"/>
      <c r="K1451" s="4"/>
    </row>
    <row r="1452" spans="3:11" x14ac:dyDescent="0.25">
      <c r="C1452" s="79"/>
      <c r="D1452" s="248"/>
      <c r="E1452" s="248"/>
      <c r="F1452" s="47"/>
      <c r="G1452" s="79"/>
      <c r="J1452" s="99"/>
      <c r="K1452" s="4"/>
    </row>
    <row r="1453" spans="3:11" x14ac:dyDescent="0.25">
      <c r="C1453" s="79"/>
      <c r="D1453" s="248"/>
      <c r="E1453" s="248"/>
      <c r="F1453" s="47"/>
      <c r="G1453" s="79"/>
      <c r="J1453" s="99"/>
      <c r="K1453" s="4"/>
    </row>
    <row r="1454" spans="3:11" x14ac:dyDescent="0.25">
      <c r="C1454" s="79"/>
      <c r="D1454" s="248"/>
      <c r="E1454" s="248"/>
      <c r="F1454" s="47"/>
      <c r="G1454" s="79"/>
      <c r="J1454" s="99"/>
      <c r="K1454" s="4"/>
    </row>
    <row r="1455" spans="3:11" x14ac:dyDescent="0.25">
      <c r="C1455" s="79"/>
      <c r="D1455" s="248"/>
      <c r="E1455" s="248"/>
      <c r="F1455" s="47"/>
      <c r="G1455" s="79"/>
      <c r="J1455" s="99"/>
      <c r="K1455" s="4"/>
    </row>
    <row r="1456" spans="3:11" x14ac:dyDescent="0.25">
      <c r="C1456" s="79"/>
      <c r="D1456" s="248"/>
      <c r="E1456" s="248"/>
      <c r="F1456" s="47"/>
      <c r="G1456" s="79"/>
      <c r="J1456" s="99"/>
      <c r="K1456" s="4"/>
    </row>
    <row r="1457" spans="3:11" x14ac:dyDescent="0.25">
      <c r="C1457" s="79"/>
      <c r="D1457" s="248"/>
      <c r="E1457" s="248"/>
      <c r="F1457" s="47"/>
      <c r="G1457" s="79"/>
      <c r="J1457" s="99"/>
      <c r="K1457" s="4"/>
    </row>
    <row r="1458" spans="3:11" x14ac:dyDescent="0.25">
      <c r="C1458" s="79"/>
      <c r="D1458" s="248"/>
      <c r="E1458" s="248"/>
      <c r="F1458" s="47"/>
      <c r="G1458" s="79"/>
      <c r="J1458" s="99"/>
      <c r="K1458" s="4"/>
    </row>
    <row r="1459" spans="3:11" x14ac:dyDescent="0.25">
      <c r="C1459" s="79"/>
      <c r="D1459" s="248"/>
      <c r="E1459" s="248"/>
      <c r="F1459" s="47"/>
      <c r="G1459" s="79"/>
      <c r="J1459" s="99"/>
      <c r="K1459" s="4"/>
    </row>
    <row r="1460" spans="3:11" x14ac:dyDescent="0.25">
      <c r="C1460" s="79"/>
      <c r="D1460" s="248"/>
      <c r="E1460" s="248"/>
      <c r="F1460" s="47"/>
      <c r="G1460" s="79"/>
      <c r="J1460" s="99"/>
      <c r="K1460" s="4"/>
    </row>
    <row r="1461" spans="3:11" x14ac:dyDescent="0.25">
      <c r="C1461" s="79"/>
      <c r="D1461" s="248"/>
      <c r="E1461" s="248"/>
      <c r="F1461" s="47"/>
      <c r="G1461" s="79"/>
      <c r="J1461" s="99"/>
      <c r="K1461" s="4"/>
    </row>
    <row r="1462" spans="3:11" x14ac:dyDescent="0.25">
      <c r="C1462" s="79"/>
      <c r="D1462" s="248"/>
      <c r="E1462" s="248"/>
      <c r="F1462" s="47"/>
      <c r="G1462" s="79"/>
      <c r="J1462" s="99"/>
      <c r="K1462" s="4"/>
    </row>
    <row r="1463" spans="3:11" x14ac:dyDescent="0.25">
      <c r="C1463" s="79"/>
      <c r="D1463" s="248"/>
      <c r="E1463" s="248"/>
      <c r="F1463" s="47"/>
      <c r="G1463" s="79"/>
      <c r="J1463" s="99"/>
      <c r="K1463" s="4"/>
    </row>
    <row r="1464" spans="3:11" x14ac:dyDescent="0.25">
      <c r="C1464" s="79"/>
      <c r="D1464" s="248"/>
      <c r="E1464" s="248"/>
      <c r="F1464" s="47"/>
      <c r="G1464" s="79"/>
      <c r="J1464" s="99"/>
      <c r="K1464" s="4"/>
    </row>
    <row r="1465" spans="3:11" x14ac:dyDescent="0.25">
      <c r="C1465" s="79"/>
      <c r="D1465" s="248"/>
      <c r="E1465" s="248"/>
      <c r="F1465" s="47"/>
      <c r="G1465" s="79"/>
      <c r="J1465" s="99"/>
      <c r="K1465" s="4"/>
    </row>
    <row r="1466" spans="3:11" x14ac:dyDescent="0.25">
      <c r="C1466" s="79"/>
      <c r="D1466" s="248"/>
      <c r="E1466" s="248"/>
      <c r="F1466" s="47"/>
      <c r="G1466" s="79"/>
      <c r="J1466" s="99"/>
      <c r="K1466" s="4"/>
    </row>
    <row r="1467" spans="3:11" x14ac:dyDescent="0.25">
      <c r="C1467" s="79"/>
      <c r="D1467" s="248"/>
      <c r="E1467" s="248"/>
      <c r="F1467" s="47"/>
      <c r="G1467" s="79"/>
      <c r="J1467" s="99"/>
      <c r="K1467" s="4"/>
    </row>
    <row r="1468" spans="3:11" x14ac:dyDescent="0.25">
      <c r="C1468" s="79"/>
      <c r="D1468" s="248"/>
      <c r="E1468" s="248"/>
      <c r="F1468" s="47"/>
      <c r="G1468" s="79"/>
      <c r="J1468" s="99"/>
      <c r="K1468" s="4"/>
    </row>
    <row r="1469" spans="3:11" x14ac:dyDescent="0.25">
      <c r="C1469" s="79"/>
      <c r="D1469" s="248"/>
      <c r="E1469" s="248"/>
      <c r="F1469" s="47"/>
      <c r="G1469" s="79"/>
      <c r="J1469" s="99"/>
      <c r="K1469" s="4"/>
    </row>
    <row r="1470" spans="3:11" x14ac:dyDescent="0.25">
      <c r="C1470" s="79"/>
      <c r="D1470" s="248"/>
      <c r="E1470" s="248"/>
      <c r="F1470" s="47"/>
      <c r="G1470" s="79"/>
      <c r="J1470" s="99"/>
      <c r="K1470" s="4"/>
    </row>
    <row r="1471" spans="3:11" x14ac:dyDescent="0.25">
      <c r="C1471" s="79"/>
      <c r="D1471" s="248"/>
      <c r="E1471" s="248"/>
      <c r="F1471" s="47"/>
      <c r="G1471" s="79"/>
      <c r="J1471" s="99"/>
      <c r="K1471" s="4"/>
    </row>
    <row r="1472" spans="3:11" x14ac:dyDescent="0.25">
      <c r="C1472" s="79"/>
      <c r="D1472" s="248"/>
      <c r="E1472" s="248"/>
      <c r="F1472" s="47"/>
      <c r="G1472" s="79"/>
      <c r="J1472" s="99"/>
      <c r="K1472" s="4"/>
    </row>
    <row r="1473" spans="3:11" x14ac:dyDescent="0.25">
      <c r="C1473" s="79"/>
      <c r="D1473" s="248"/>
      <c r="E1473" s="248"/>
      <c r="F1473" s="47"/>
      <c r="G1473" s="79"/>
      <c r="J1473" s="99"/>
      <c r="K1473" s="4"/>
    </row>
    <row r="1474" spans="3:11" x14ac:dyDescent="0.25">
      <c r="C1474" s="79"/>
      <c r="D1474" s="248"/>
      <c r="E1474" s="248"/>
      <c r="F1474" s="47"/>
      <c r="G1474" s="79"/>
      <c r="J1474" s="99"/>
      <c r="K1474" s="4"/>
    </row>
    <row r="1475" spans="3:11" x14ac:dyDescent="0.25">
      <c r="C1475" s="79"/>
      <c r="D1475" s="248"/>
      <c r="E1475" s="248"/>
      <c r="F1475" s="47"/>
      <c r="G1475" s="79"/>
      <c r="J1475" s="99"/>
      <c r="K1475" s="4"/>
    </row>
    <row r="1476" spans="3:11" x14ac:dyDescent="0.25">
      <c r="C1476" s="79"/>
      <c r="D1476" s="248"/>
      <c r="E1476" s="248"/>
      <c r="F1476" s="47"/>
      <c r="G1476" s="79"/>
      <c r="J1476" s="99"/>
      <c r="K1476" s="4"/>
    </row>
    <row r="1477" spans="3:11" x14ac:dyDescent="0.25">
      <c r="C1477" s="79"/>
      <c r="D1477" s="248"/>
      <c r="E1477" s="248"/>
      <c r="F1477" s="47"/>
      <c r="G1477" s="79"/>
      <c r="J1477" s="99"/>
      <c r="K1477" s="4"/>
    </row>
    <row r="1478" spans="3:11" x14ac:dyDescent="0.25">
      <c r="C1478" s="79"/>
      <c r="D1478" s="248"/>
      <c r="E1478" s="248"/>
      <c r="F1478" s="47"/>
      <c r="G1478" s="79"/>
      <c r="J1478" s="99"/>
      <c r="K1478" s="4"/>
    </row>
    <row r="1479" spans="3:11" x14ac:dyDescent="0.25">
      <c r="C1479" s="79"/>
      <c r="D1479" s="248"/>
      <c r="E1479" s="248"/>
      <c r="F1479" s="47"/>
      <c r="G1479" s="79"/>
      <c r="J1479" s="99"/>
      <c r="K1479" s="4"/>
    </row>
    <row r="1480" spans="3:11" x14ac:dyDescent="0.25">
      <c r="C1480" s="79"/>
      <c r="D1480" s="248"/>
      <c r="E1480" s="248"/>
      <c r="F1480" s="47"/>
      <c r="G1480" s="79"/>
      <c r="J1480" s="99"/>
      <c r="K1480" s="4"/>
    </row>
    <row r="1481" spans="3:11" x14ac:dyDescent="0.25">
      <c r="C1481" s="79"/>
      <c r="D1481" s="248"/>
      <c r="E1481" s="248"/>
      <c r="F1481" s="47"/>
      <c r="G1481" s="79"/>
      <c r="J1481" s="99"/>
      <c r="K1481" s="4"/>
    </row>
    <row r="1482" spans="3:11" x14ac:dyDescent="0.25">
      <c r="C1482" s="79"/>
      <c r="D1482" s="248"/>
      <c r="E1482" s="248"/>
      <c r="F1482" s="47"/>
      <c r="G1482" s="79"/>
      <c r="J1482" s="99"/>
      <c r="K1482" s="4"/>
    </row>
    <row r="1483" spans="3:11" x14ac:dyDescent="0.25">
      <c r="C1483" s="79"/>
      <c r="D1483" s="248"/>
      <c r="E1483" s="248"/>
      <c r="F1483" s="47"/>
      <c r="G1483" s="79"/>
      <c r="J1483" s="99"/>
      <c r="K1483" s="4"/>
    </row>
    <row r="1484" spans="3:11" x14ac:dyDescent="0.25">
      <c r="C1484" s="79"/>
      <c r="D1484" s="248"/>
      <c r="E1484" s="248"/>
      <c r="F1484" s="47"/>
      <c r="G1484" s="79"/>
      <c r="J1484" s="99"/>
      <c r="K1484" s="4"/>
    </row>
    <row r="1485" spans="3:11" x14ac:dyDescent="0.25">
      <c r="C1485" s="79"/>
      <c r="D1485" s="248"/>
      <c r="E1485" s="248"/>
      <c r="F1485" s="47"/>
      <c r="G1485" s="79"/>
      <c r="J1485" s="99"/>
      <c r="K1485" s="4"/>
    </row>
    <row r="1486" spans="3:11" x14ac:dyDescent="0.25">
      <c r="C1486" s="79"/>
      <c r="D1486" s="248"/>
      <c r="E1486" s="248"/>
      <c r="F1486" s="47"/>
      <c r="G1486" s="79"/>
      <c r="J1486" s="99"/>
      <c r="K1486" s="4"/>
    </row>
    <row r="1487" spans="3:11" x14ac:dyDescent="0.25">
      <c r="C1487" s="79"/>
      <c r="D1487" s="248"/>
      <c r="E1487" s="248"/>
      <c r="F1487" s="47"/>
      <c r="G1487" s="79"/>
      <c r="J1487" s="99"/>
      <c r="K1487" s="4"/>
    </row>
    <row r="1488" spans="3:11" x14ac:dyDescent="0.25">
      <c r="C1488" s="79"/>
      <c r="D1488" s="248"/>
      <c r="E1488" s="248"/>
      <c r="F1488" s="47"/>
      <c r="G1488" s="79"/>
      <c r="J1488" s="99"/>
      <c r="K1488" s="4"/>
    </row>
    <row r="1489" spans="3:11" x14ac:dyDescent="0.25">
      <c r="C1489" s="79"/>
      <c r="D1489" s="248"/>
      <c r="E1489" s="248"/>
      <c r="F1489" s="47"/>
      <c r="G1489" s="79"/>
      <c r="J1489" s="99"/>
      <c r="K1489" s="4"/>
    </row>
    <row r="1490" spans="3:11" x14ac:dyDescent="0.25">
      <c r="C1490" s="79"/>
      <c r="D1490" s="248"/>
      <c r="E1490" s="248"/>
      <c r="F1490" s="47"/>
      <c r="G1490" s="79"/>
      <c r="J1490" s="99"/>
      <c r="K1490" s="4"/>
    </row>
    <row r="1491" spans="3:11" x14ac:dyDescent="0.25">
      <c r="C1491" s="79"/>
      <c r="D1491" s="248"/>
      <c r="E1491" s="248"/>
      <c r="F1491" s="47"/>
      <c r="G1491" s="79"/>
      <c r="J1491" s="99"/>
      <c r="K1491" s="4"/>
    </row>
    <row r="1492" spans="3:11" x14ac:dyDescent="0.25">
      <c r="C1492" s="79"/>
      <c r="D1492" s="248"/>
      <c r="E1492" s="248"/>
      <c r="F1492" s="47"/>
      <c r="G1492" s="79"/>
      <c r="J1492" s="99"/>
      <c r="K1492" s="4"/>
    </row>
    <row r="1493" spans="3:11" x14ac:dyDescent="0.25">
      <c r="C1493" s="79"/>
      <c r="D1493" s="248"/>
      <c r="E1493" s="248"/>
      <c r="F1493" s="47"/>
      <c r="G1493" s="79"/>
      <c r="J1493" s="99"/>
      <c r="K1493" s="4"/>
    </row>
    <row r="1494" spans="3:11" x14ac:dyDescent="0.25">
      <c r="C1494" s="79"/>
      <c r="D1494" s="248"/>
      <c r="E1494" s="248"/>
      <c r="F1494" s="47"/>
      <c r="G1494" s="79"/>
      <c r="J1494" s="99"/>
      <c r="K1494" s="4"/>
    </row>
    <row r="1495" spans="3:11" x14ac:dyDescent="0.25">
      <c r="C1495" s="79"/>
      <c r="D1495" s="248"/>
      <c r="E1495" s="248"/>
      <c r="F1495" s="47"/>
      <c r="G1495" s="79"/>
      <c r="J1495" s="99"/>
      <c r="K1495" s="4"/>
    </row>
    <row r="1496" spans="3:11" x14ac:dyDescent="0.25">
      <c r="C1496" s="79"/>
      <c r="D1496" s="248"/>
      <c r="E1496" s="248"/>
      <c r="F1496" s="47"/>
      <c r="G1496" s="79"/>
      <c r="J1496" s="99"/>
      <c r="K1496" s="4"/>
    </row>
    <row r="1497" spans="3:11" x14ac:dyDescent="0.25">
      <c r="C1497" s="79"/>
      <c r="D1497" s="248"/>
      <c r="E1497" s="248"/>
      <c r="F1497" s="47"/>
      <c r="G1497" s="79"/>
      <c r="J1497" s="99"/>
      <c r="K1497" s="4"/>
    </row>
    <row r="1498" spans="3:11" x14ac:dyDescent="0.25">
      <c r="C1498" s="79"/>
      <c r="D1498" s="248"/>
      <c r="E1498" s="248"/>
      <c r="F1498" s="47"/>
      <c r="G1498" s="79"/>
      <c r="J1498" s="99"/>
      <c r="K1498" s="4"/>
    </row>
    <row r="1499" spans="3:11" x14ac:dyDescent="0.25">
      <c r="C1499" s="79"/>
      <c r="D1499" s="248"/>
      <c r="E1499" s="248"/>
      <c r="F1499" s="47"/>
      <c r="G1499" s="79"/>
      <c r="J1499" s="99"/>
      <c r="K1499" s="4"/>
    </row>
    <row r="1500" spans="3:11" x14ac:dyDescent="0.25">
      <c r="C1500" s="79"/>
      <c r="D1500" s="248"/>
      <c r="E1500" s="248"/>
      <c r="F1500" s="47"/>
      <c r="G1500" s="79"/>
      <c r="J1500" s="99"/>
      <c r="K1500" s="4"/>
    </row>
    <row r="1501" spans="3:11" x14ac:dyDescent="0.25">
      <c r="C1501" s="79"/>
      <c r="D1501" s="248"/>
      <c r="E1501" s="248"/>
      <c r="F1501" s="47"/>
      <c r="G1501" s="79"/>
      <c r="J1501" s="99"/>
      <c r="K1501" s="4"/>
    </row>
    <row r="1502" spans="3:11" x14ac:dyDescent="0.25">
      <c r="C1502" s="79"/>
      <c r="D1502" s="248"/>
      <c r="E1502" s="248"/>
      <c r="F1502" s="47"/>
      <c r="G1502" s="79"/>
      <c r="J1502" s="99"/>
      <c r="K1502" s="4"/>
    </row>
    <row r="1503" spans="3:11" x14ac:dyDescent="0.25">
      <c r="C1503" s="79"/>
      <c r="D1503" s="248"/>
      <c r="E1503" s="248"/>
      <c r="F1503" s="47"/>
      <c r="G1503" s="79"/>
      <c r="J1503" s="99"/>
      <c r="K1503" s="4"/>
    </row>
    <row r="1504" spans="3:11" x14ac:dyDescent="0.25">
      <c r="C1504" s="79"/>
      <c r="D1504" s="248"/>
      <c r="E1504" s="248"/>
      <c r="F1504" s="47"/>
      <c r="G1504" s="79"/>
      <c r="J1504" s="99"/>
      <c r="K1504" s="4"/>
    </row>
    <row r="1505" spans="3:11" x14ac:dyDescent="0.25">
      <c r="C1505" s="79"/>
      <c r="D1505" s="248"/>
      <c r="E1505" s="248"/>
      <c r="F1505" s="47"/>
      <c r="G1505" s="79"/>
      <c r="J1505" s="99"/>
      <c r="K1505" s="4"/>
    </row>
    <row r="1506" spans="3:11" x14ac:dyDescent="0.25">
      <c r="C1506" s="79"/>
      <c r="D1506" s="248"/>
      <c r="E1506" s="248"/>
      <c r="F1506" s="47"/>
      <c r="G1506" s="79"/>
      <c r="J1506" s="99"/>
      <c r="K1506" s="4"/>
    </row>
    <row r="1507" spans="3:11" x14ac:dyDescent="0.25">
      <c r="C1507" s="79"/>
      <c r="D1507" s="248"/>
      <c r="E1507" s="248"/>
      <c r="F1507" s="47"/>
      <c r="G1507" s="79"/>
      <c r="J1507" s="99"/>
      <c r="K1507" s="4"/>
    </row>
    <row r="1508" spans="3:11" x14ac:dyDescent="0.25">
      <c r="C1508" s="79"/>
      <c r="D1508" s="248"/>
      <c r="E1508" s="248"/>
      <c r="F1508" s="47"/>
      <c r="G1508" s="79"/>
      <c r="J1508" s="99"/>
      <c r="K1508" s="4"/>
    </row>
    <row r="1509" spans="3:11" x14ac:dyDescent="0.25">
      <c r="C1509" s="79"/>
      <c r="D1509" s="248"/>
      <c r="E1509" s="248"/>
      <c r="F1509" s="47"/>
      <c r="G1509" s="79"/>
      <c r="J1509" s="99"/>
      <c r="K1509" s="4"/>
    </row>
    <row r="1510" spans="3:11" x14ac:dyDescent="0.25">
      <c r="C1510" s="79"/>
      <c r="D1510" s="248"/>
      <c r="E1510" s="248"/>
      <c r="F1510" s="47"/>
      <c r="G1510" s="79"/>
      <c r="J1510" s="99"/>
      <c r="K1510" s="4"/>
    </row>
    <row r="1511" spans="3:11" x14ac:dyDescent="0.25">
      <c r="C1511" s="79"/>
      <c r="D1511" s="248"/>
      <c r="E1511" s="248"/>
      <c r="F1511" s="47"/>
      <c r="G1511" s="79"/>
      <c r="J1511" s="99"/>
      <c r="K1511" s="4"/>
    </row>
    <row r="1512" spans="3:11" x14ac:dyDescent="0.25">
      <c r="C1512" s="79"/>
      <c r="D1512" s="248"/>
      <c r="E1512" s="248"/>
      <c r="F1512" s="47"/>
      <c r="G1512" s="79"/>
      <c r="J1512" s="99"/>
      <c r="K1512" s="4"/>
    </row>
    <row r="1513" spans="3:11" x14ac:dyDescent="0.25">
      <c r="C1513" s="79"/>
      <c r="D1513" s="248"/>
      <c r="E1513" s="248"/>
      <c r="F1513" s="47"/>
      <c r="G1513" s="79"/>
      <c r="J1513" s="99"/>
      <c r="K1513" s="4"/>
    </row>
    <row r="1514" spans="3:11" x14ac:dyDescent="0.25">
      <c r="C1514" s="79"/>
      <c r="D1514" s="248"/>
      <c r="E1514" s="248"/>
      <c r="F1514" s="47"/>
      <c r="G1514" s="79"/>
      <c r="J1514" s="99"/>
      <c r="K1514" s="4"/>
    </row>
    <row r="1515" spans="3:11" x14ac:dyDescent="0.25">
      <c r="C1515" s="79"/>
      <c r="D1515" s="248"/>
      <c r="E1515" s="248"/>
      <c r="F1515" s="47"/>
      <c r="G1515" s="79"/>
      <c r="J1515" s="99"/>
      <c r="K1515" s="4"/>
    </row>
    <row r="1516" spans="3:11" x14ac:dyDescent="0.25">
      <c r="C1516" s="79"/>
      <c r="D1516" s="248"/>
      <c r="E1516" s="248"/>
      <c r="F1516" s="47"/>
      <c r="G1516" s="79"/>
      <c r="J1516" s="99"/>
      <c r="K1516" s="4"/>
    </row>
    <row r="1517" spans="3:11" x14ac:dyDescent="0.25">
      <c r="C1517" s="79"/>
      <c r="D1517" s="248"/>
      <c r="E1517" s="248"/>
      <c r="F1517" s="47"/>
      <c r="G1517" s="79"/>
      <c r="J1517" s="99"/>
      <c r="K1517" s="4"/>
    </row>
    <row r="1518" spans="3:11" x14ac:dyDescent="0.25">
      <c r="C1518" s="79"/>
      <c r="D1518" s="248"/>
      <c r="E1518" s="248"/>
      <c r="F1518" s="47"/>
      <c r="G1518" s="79"/>
      <c r="J1518" s="99"/>
      <c r="K1518" s="4"/>
    </row>
    <row r="1519" spans="3:11" x14ac:dyDescent="0.25">
      <c r="C1519" s="79"/>
      <c r="D1519" s="248"/>
      <c r="E1519" s="248"/>
      <c r="F1519" s="47"/>
      <c r="G1519" s="79"/>
      <c r="J1519" s="99"/>
      <c r="K1519" s="4"/>
    </row>
    <row r="1520" spans="3:11" x14ac:dyDescent="0.25">
      <c r="C1520" s="79"/>
      <c r="D1520" s="248"/>
      <c r="E1520" s="248"/>
      <c r="F1520" s="47"/>
      <c r="G1520" s="79"/>
      <c r="J1520" s="99"/>
      <c r="K1520" s="4"/>
    </row>
    <row r="1521" spans="3:11" x14ac:dyDescent="0.25">
      <c r="C1521" s="79"/>
      <c r="D1521" s="248"/>
      <c r="E1521" s="248"/>
      <c r="F1521" s="47"/>
      <c r="G1521" s="79"/>
      <c r="J1521" s="99"/>
      <c r="K1521" s="4"/>
    </row>
    <row r="1522" spans="3:11" x14ac:dyDescent="0.25">
      <c r="C1522" s="79"/>
      <c r="D1522" s="248"/>
      <c r="E1522" s="248"/>
      <c r="F1522" s="47"/>
      <c r="G1522" s="79"/>
      <c r="J1522" s="99"/>
      <c r="K1522" s="4"/>
    </row>
    <row r="1523" spans="3:11" x14ac:dyDescent="0.25">
      <c r="C1523" s="79"/>
      <c r="D1523" s="248"/>
      <c r="E1523" s="248"/>
      <c r="F1523" s="47"/>
      <c r="G1523" s="79"/>
      <c r="J1523" s="99"/>
      <c r="K1523" s="4"/>
    </row>
    <row r="1524" spans="3:11" x14ac:dyDescent="0.25">
      <c r="C1524" s="79"/>
      <c r="D1524" s="248"/>
      <c r="E1524" s="248"/>
      <c r="F1524" s="47"/>
      <c r="G1524" s="79"/>
      <c r="J1524" s="99"/>
      <c r="K1524" s="4"/>
    </row>
    <row r="1525" spans="3:11" x14ac:dyDescent="0.25">
      <c r="C1525" s="79"/>
      <c r="D1525" s="248"/>
      <c r="E1525" s="248"/>
      <c r="F1525" s="47"/>
      <c r="G1525" s="79"/>
      <c r="J1525" s="99"/>
      <c r="K1525" s="4"/>
    </row>
    <row r="1526" spans="3:11" x14ac:dyDescent="0.25">
      <c r="C1526" s="79"/>
      <c r="D1526" s="248"/>
      <c r="E1526" s="248"/>
      <c r="F1526" s="47"/>
      <c r="G1526" s="79"/>
      <c r="J1526" s="99"/>
      <c r="K1526" s="4"/>
    </row>
    <row r="1527" spans="3:11" x14ac:dyDescent="0.25">
      <c r="C1527" s="79"/>
      <c r="D1527" s="248"/>
      <c r="E1527" s="248"/>
      <c r="F1527" s="47"/>
      <c r="G1527" s="79"/>
      <c r="J1527" s="99"/>
      <c r="K1527" s="4"/>
    </row>
    <row r="1528" spans="3:11" x14ac:dyDescent="0.25">
      <c r="C1528" s="79"/>
      <c r="D1528" s="248"/>
      <c r="E1528" s="248"/>
      <c r="F1528" s="47"/>
      <c r="G1528" s="79"/>
      <c r="J1528" s="99"/>
      <c r="K1528" s="4"/>
    </row>
    <row r="1529" spans="3:11" x14ac:dyDescent="0.25">
      <c r="C1529" s="79"/>
      <c r="D1529" s="248"/>
      <c r="E1529" s="248"/>
      <c r="F1529" s="47"/>
      <c r="G1529" s="79"/>
      <c r="J1529" s="99"/>
      <c r="K1529" s="4"/>
    </row>
    <row r="1530" spans="3:11" x14ac:dyDescent="0.25">
      <c r="C1530" s="79"/>
      <c r="D1530" s="248"/>
      <c r="E1530" s="248"/>
      <c r="F1530" s="47"/>
      <c r="G1530" s="79"/>
      <c r="J1530" s="99"/>
      <c r="K1530" s="4"/>
    </row>
    <row r="1531" spans="3:11" x14ac:dyDescent="0.25">
      <c r="C1531" s="79"/>
      <c r="D1531" s="248"/>
      <c r="E1531" s="248"/>
      <c r="F1531" s="47"/>
      <c r="G1531" s="79"/>
      <c r="J1531" s="99"/>
      <c r="K1531" s="4"/>
    </row>
    <row r="1532" spans="3:11" x14ac:dyDescent="0.25">
      <c r="C1532" s="79"/>
      <c r="D1532" s="248"/>
      <c r="E1532" s="248"/>
      <c r="F1532" s="47"/>
      <c r="G1532" s="79"/>
      <c r="J1532" s="99"/>
      <c r="K1532" s="4"/>
    </row>
    <row r="1533" spans="3:11" x14ac:dyDescent="0.25">
      <c r="C1533" s="79"/>
      <c r="D1533" s="248"/>
      <c r="E1533" s="248"/>
      <c r="F1533" s="47"/>
      <c r="G1533" s="79"/>
      <c r="J1533" s="99"/>
      <c r="K1533" s="4"/>
    </row>
    <row r="1534" spans="3:11" x14ac:dyDescent="0.25">
      <c r="C1534" s="79"/>
      <c r="D1534" s="248"/>
      <c r="E1534" s="248"/>
      <c r="F1534" s="47"/>
      <c r="G1534" s="79"/>
      <c r="J1534" s="99"/>
      <c r="K1534" s="4"/>
    </row>
    <row r="1535" spans="3:11" x14ac:dyDescent="0.25">
      <c r="C1535" s="79"/>
      <c r="D1535" s="248"/>
      <c r="E1535" s="248"/>
      <c r="F1535" s="47"/>
      <c r="G1535" s="79"/>
      <c r="J1535" s="99"/>
      <c r="K1535" s="4"/>
    </row>
    <row r="1536" spans="3:11" x14ac:dyDescent="0.25">
      <c r="C1536" s="79"/>
      <c r="D1536" s="248"/>
      <c r="E1536" s="248"/>
      <c r="F1536" s="47"/>
      <c r="G1536" s="79"/>
      <c r="J1536" s="99"/>
      <c r="K1536" s="4"/>
    </row>
    <row r="1537" spans="3:11" x14ac:dyDescent="0.25">
      <c r="C1537" s="79"/>
      <c r="D1537" s="248"/>
      <c r="E1537" s="248"/>
      <c r="F1537" s="47"/>
      <c r="G1537" s="79"/>
      <c r="J1537" s="99"/>
      <c r="K1537" s="4"/>
    </row>
    <row r="1538" spans="3:11" x14ac:dyDescent="0.25">
      <c r="C1538" s="79"/>
      <c r="D1538" s="248"/>
      <c r="E1538" s="248"/>
      <c r="F1538" s="47"/>
      <c r="G1538" s="79"/>
      <c r="J1538" s="99"/>
      <c r="K1538" s="4"/>
    </row>
    <row r="1539" spans="3:11" x14ac:dyDescent="0.25">
      <c r="C1539" s="79"/>
      <c r="D1539" s="248"/>
      <c r="E1539" s="248"/>
      <c r="F1539" s="47"/>
      <c r="G1539" s="79"/>
      <c r="J1539" s="99"/>
      <c r="K1539" s="4"/>
    </row>
    <row r="1540" spans="3:11" x14ac:dyDescent="0.25">
      <c r="C1540" s="79"/>
      <c r="D1540" s="248"/>
      <c r="E1540" s="248"/>
      <c r="F1540" s="47"/>
      <c r="G1540" s="79"/>
      <c r="J1540" s="99"/>
      <c r="K1540" s="4"/>
    </row>
    <row r="1541" spans="3:11" x14ac:dyDescent="0.25">
      <c r="C1541" s="79"/>
      <c r="D1541" s="248"/>
      <c r="E1541" s="248"/>
      <c r="F1541" s="47"/>
      <c r="G1541" s="79"/>
      <c r="J1541" s="99"/>
      <c r="K1541" s="4"/>
    </row>
    <row r="1542" spans="3:11" x14ac:dyDescent="0.25">
      <c r="C1542" s="79"/>
      <c r="D1542" s="248"/>
      <c r="E1542" s="248"/>
      <c r="F1542" s="47"/>
      <c r="G1542" s="79"/>
      <c r="J1542" s="99"/>
      <c r="K1542" s="4"/>
    </row>
    <row r="1543" spans="3:11" x14ac:dyDescent="0.25">
      <c r="C1543" s="79"/>
      <c r="D1543" s="248"/>
      <c r="E1543" s="248"/>
      <c r="F1543" s="47"/>
      <c r="G1543" s="79"/>
      <c r="J1543" s="99"/>
      <c r="K1543" s="4"/>
    </row>
    <row r="1544" spans="3:11" x14ac:dyDescent="0.25">
      <c r="C1544" s="79"/>
      <c r="D1544" s="248"/>
      <c r="E1544" s="248"/>
      <c r="F1544" s="47"/>
      <c r="G1544" s="79"/>
      <c r="J1544" s="99"/>
      <c r="K1544" s="4"/>
    </row>
    <row r="1545" spans="3:11" x14ac:dyDescent="0.25">
      <c r="C1545" s="79"/>
      <c r="D1545" s="248"/>
      <c r="E1545" s="248"/>
      <c r="F1545" s="47"/>
      <c r="G1545" s="79"/>
      <c r="J1545" s="99"/>
      <c r="K1545" s="4"/>
    </row>
    <row r="1546" spans="3:11" x14ac:dyDescent="0.25">
      <c r="C1546" s="79"/>
      <c r="D1546" s="248"/>
      <c r="E1546" s="248"/>
      <c r="F1546" s="47"/>
      <c r="G1546" s="79"/>
      <c r="J1546" s="99"/>
      <c r="K1546" s="4"/>
    </row>
    <row r="1547" spans="3:11" x14ac:dyDescent="0.25">
      <c r="C1547" s="79"/>
      <c r="D1547" s="248"/>
      <c r="E1547" s="248"/>
      <c r="F1547" s="47"/>
      <c r="G1547" s="79"/>
      <c r="J1547" s="99"/>
      <c r="K1547" s="4"/>
    </row>
    <row r="1548" spans="3:11" x14ac:dyDescent="0.25">
      <c r="C1548" s="79"/>
      <c r="D1548" s="248"/>
      <c r="E1548" s="248"/>
      <c r="F1548" s="47"/>
      <c r="G1548" s="79"/>
      <c r="J1548" s="99"/>
      <c r="K1548" s="4"/>
    </row>
    <row r="1549" spans="3:11" x14ac:dyDescent="0.25">
      <c r="C1549" s="79"/>
      <c r="D1549" s="248"/>
      <c r="E1549" s="248"/>
      <c r="F1549" s="47"/>
      <c r="G1549" s="79"/>
      <c r="J1549" s="99"/>
      <c r="K1549" s="4"/>
    </row>
    <row r="1550" spans="3:11" x14ac:dyDescent="0.25">
      <c r="C1550" s="79"/>
      <c r="D1550" s="248"/>
      <c r="E1550" s="248"/>
      <c r="F1550" s="47"/>
      <c r="G1550" s="79"/>
      <c r="J1550" s="99"/>
      <c r="K1550" s="4"/>
    </row>
    <row r="1551" spans="3:11" x14ac:dyDescent="0.25">
      <c r="C1551" s="79"/>
      <c r="D1551" s="248"/>
      <c r="E1551" s="248"/>
      <c r="F1551" s="47"/>
      <c r="G1551" s="79"/>
      <c r="J1551" s="99"/>
      <c r="K1551" s="4"/>
    </row>
    <row r="1552" spans="3:11" x14ac:dyDescent="0.25">
      <c r="C1552" s="79"/>
      <c r="D1552" s="248"/>
      <c r="E1552" s="248"/>
      <c r="F1552" s="47"/>
      <c r="G1552" s="79"/>
      <c r="J1552" s="99"/>
      <c r="K1552" s="4"/>
    </row>
    <row r="1553" spans="3:11" x14ac:dyDescent="0.25">
      <c r="C1553" s="79"/>
      <c r="D1553" s="248"/>
      <c r="E1553" s="248"/>
      <c r="F1553" s="47"/>
      <c r="G1553" s="79"/>
      <c r="J1553" s="99"/>
      <c r="K1553" s="4"/>
    </row>
    <row r="1554" spans="3:11" x14ac:dyDescent="0.25">
      <c r="C1554" s="79"/>
      <c r="D1554" s="248"/>
      <c r="E1554" s="248"/>
      <c r="F1554" s="47"/>
      <c r="G1554" s="79"/>
      <c r="J1554" s="99"/>
      <c r="K1554" s="4"/>
    </row>
    <row r="1555" spans="3:11" x14ac:dyDescent="0.25">
      <c r="C1555" s="79"/>
      <c r="D1555" s="248"/>
      <c r="E1555" s="248"/>
      <c r="F1555" s="47"/>
      <c r="G1555" s="79"/>
      <c r="J1555" s="99"/>
      <c r="K1555" s="4"/>
    </row>
    <row r="1556" spans="3:11" x14ac:dyDescent="0.25">
      <c r="C1556" s="79"/>
      <c r="D1556" s="248"/>
      <c r="E1556" s="248"/>
      <c r="F1556" s="47"/>
      <c r="G1556" s="79"/>
      <c r="J1556" s="99"/>
      <c r="K1556" s="4"/>
    </row>
    <row r="1557" spans="3:11" x14ac:dyDescent="0.25">
      <c r="C1557" s="79"/>
      <c r="D1557" s="248"/>
      <c r="E1557" s="248"/>
      <c r="F1557" s="47"/>
      <c r="G1557" s="79"/>
      <c r="J1557" s="99"/>
      <c r="K1557" s="4"/>
    </row>
    <row r="1558" spans="3:11" x14ac:dyDescent="0.25">
      <c r="C1558" s="79"/>
      <c r="D1558" s="248"/>
      <c r="E1558" s="248"/>
      <c r="F1558" s="47"/>
      <c r="G1558" s="79"/>
      <c r="J1558" s="99"/>
      <c r="K1558" s="4"/>
    </row>
    <row r="1559" spans="3:11" x14ac:dyDescent="0.25">
      <c r="C1559" s="79"/>
      <c r="D1559" s="248"/>
      <c r="E1559" s="248"/>
      <c r="F1559" s="47"/>
      <c r="G1559" s="79"/>
      <c r="J1559" s="99"/>
      <c r="K1559" s="4"/>
    </row>
    <row r="1560" spans="3:11" x14ac:dyDescent="0.25">
      <c r="C1560" s="79"/>
      <c r="D1560" s="248"/>
      <c r="E1560" s="248"/>
      <c r="F1560" s="47"/>
      <c r="G1560" s="79"/>
      <c r="J1560" s="99"/>
      <c r="K1560" s="4"/>
    </row>
    <row r="1561" spans="3:11" x14ac:dyDescent="0.25">
      <c r="C1561" s="79"/>
      <c r="D1561" s="248"/>
      <c r="E1561" s="248"/>
      <c r="F1561" s="47"/>
      <c r="G1561" s="79"/>
      <c r="J1561" s="99"/>
      <c r="K1561" s="4"/>
    </row>
    <row r="1562" spans="3:11" x14ac:dyDescent="0.25">
      <c r="C1562" s="79"/>
      <c r="D1562" s="248"/>
      <c r="E1562" s="248"/>
      <c r="F1562" s="47"/>
      <c r="G1562" s="79"/>
      <c r="J1562" s="99"/>
      <c r="K1562" s="4"/>
    </row>
    <row r="1563" spans="3:11" x14ac:dyDescent="0.25">
      <c r="C1563" s="79"/>
      <c r="D1563" s="248"/>
      <c r="E1563" s="248"/>
      <c r="F1563" s="47"/>
      <c r="G1563" s="79"/>
      <c r="J1563" s="99"/>
      <c r="K1563" s="4"/>
    </row>
    <row r="1564" spans="3:11" x14ac:dyDescent="0.25">
      <c r="C1564" s="79"/>
      <c r="D1564" s="248"/>
      <c r="E1564" s="248"/>
      <c r="F1564" s="47"/>
      <c r="G1564" s="79"/>
      <c r="J1564" s="99"/>
      <c r="K1564" s="4"/>
    </row>
    <row r="1565" spans="3:11" x14ac:dyDescent="0.25">
      <c r="C1565" s="79"/>
      <c r="D1565" s="248"/>
      <c r="E1565" s="248"/>
      <c r="F1565" s="47"/>
      <c r="G1565" s="79"/>
      <c r="J1565" s="99"/>
      <c r="K1565" s="4"/>
    </row>
    <row r="1566" spans="3:11" x14ac:dyDescent="0.25">
      <c r="C1566" s="79"/>
      <c r="D1566" s="248"/>
      <c r="E1566" s="248"/>
      <c r="F1566" s="47"/>
      <c r="G1566" s="79"/>
      <c r="J1566" s="99"/>
      <c r="K1566" s="4"/>
    </row>
    <row r="1567" spans="3:11" x14ac:dyDescent="0.25">
      <c r="C1567" s="79"/>
      <c r="D1567" s="248"/>
      <c r="E1567" s="248"/>
      <c r="F1567" s="47"/>
      <c r="G1567" s="79"/>
      <c r="J1567" s="99"/>
      <c r="K1567" s="4"/>
    </row>
    <row r="1568" spans="3:11" x14ac:dyDescent="0.25">
      <c r="C1568" s="79"/>
      <c r="D1568" s="248"/>
      <c r="E1568" s="248"/>
      <c r="F1568" s="47"/>
      <c r="G1568" s="79"/>
      <c r="J1568" s="99"/>
      <c r="K1568" s="4"/>
    </row>
    <row r="1569" spans="3:11" x14ac:dyDescent="0.25">
      <c r="C1569" s="79"/>
      <c r="D1569" s="248"/>
      <c r="E1569" s="248"/>
      <c r="F1569" s="47"/>
      <c r="G1569" s="79"/>
      <c r="J1569" s="99"/>
      <c r="K1569" s="4"/>
    </row>
    <row r="1570" spans="3:11" x14ac:dyDescent="0.25">
      <c r="C1570" s="79"/>
      <c r="D1570" s="248"/>
      <c r="E1570" s="248"/>
      <c r="F1570" s="47"/>
      <c r="G1570" s="79"/>
      <c r="J1570" s="99"/>
      <c r="K1570" s="4"/>
    </row>
    <row r="1571" spans="3:11" x14ac:dyDescent="0.25">
      <c r="C1571" s="79"/>
      <c r="D1571" s="248"/>
      <c r="E1571" s="248"/>
      <c r="F1571" s="47"/>
      <c r="G1571" s="79"/>
      <c r="J1571" s="99"/>
      <c r="K1571" s="4"/>
    </row>
    <row r="1572" spans="3:11" x14ac:dyDescent="0.25">
      <c r="C1572" s="79"/>
      <c r="D1572" s="248"/>
      <c r="E1572" s="248"/>
      <c r="F1572" s="47"/>
      <c r="G1572" s="79"/>
      <c r="J1572" s="99"/>
      <c r="K1572" s="4"/>
    </row>
    <row r="1573" spans="3:11" x14ac:dyDescent="0.25">
      <c r="C1573" s="79"/>
      <c r="D1573" s="248"/>
      <c r="E1573" s="248"/>
      <c r="F1573" s="47"/>
      <c r="G1573" s="79"/>
      <c r="J1573" s="99"/>
      <c r="K1573" s="4"/>
    </row>
    <row r="1574" spans="3:11" x14ac:dyDescent="0.25">
      <c r="C1574" s="79"/>
      <c r="D1574" s="248"/>
      <c r="E1574" s="248"/>
      <c r="F1574" s="47"/>
      <c r="G1574" s="79"/>
      <c r="J1574" s="99"/>
      <c r="K1574" s="4"/>
    </row>
    <row r="1575" spans="3:11" x14ac:dyDescent="0.25">
      <c r="C1575" s="79"/>
      <c r="D1575" s="248"/>
      <c r="E1575" s="248"/>
      <c r="F1575" s="47"/>
      <c r="G1575" s="79"/>
      <c r="J1575" s="99"/>
      <c r="K1575" s="4"/>
    </row>
    <row r="1576" spans="3:11" x14ac:dyDescent="0.25">
      <c r="C1576" s="79"/>
      <c r="D1576" s="248"/>
      <c r="E1576" s="248"/>
      <c r="F1576" s="47"/>
      <c r="G1576" s="79"/>
      <c r="J1576" s="99"/>
      <c r="K1576" s="4"/>
    </row>
    <row r="1577" spans="3:11" x14ac:dyDescent="0.25">
      <c r="C1577" s="79"/>
      <c r="D1577" s="248"/>
      <c r="E1577" s="248"/>
      <c r="F1577" s="47"/>
      <c r="G1577" s="79"/>
      <c r="J1577" s="99"/>
      <c r="K1577" s="4"/>
    </row>
    <row r="1578" spans="3:11" x14ac:dyDescent="0.25">
      <c r="C1578" s="79"/>
      <c r="D1578" s="248"/>
      <c r="E1578" s="248"/>
      <c r="F1578" s="47"/>
      <c r="G1578" s="79"/>
      <c r="J1578" s="99"/>
      <c r="K1578" s="4"/>
    </row>
    <row r="1579" spans="3:11" x14ac:dyDescent="0.25">
      <c r="C1579" s="79"/>
      <c r="D1579" s="248"/>
      <c r="E1579" s="248"/>
      <c r="F1579" s="47"/>
      <c r="G1579" s="79"/>
      <c r="J1579" s="99"/>
      <c r="K1579" s="4"/>
    </row>
    <row r="1580" spans="3:11" x14ac:dyDescent="0.25">
      <c r="C1580" s="79"/>
      <c r="D1580" s="248"/>
      <c r="E1580" s="248"/>
      <c r="F1580" s="47"/>
      <c r="G1580" s="79"/>
      <c r="J1580" s="99"/>
      <c r="K1580" s="4"/>
    </row>
    <row r="1581" spans="3:11" x14ac:dyDescent="0.25">
      <c r="C1581" s="79"/>
      <c r="D1581" s="248"/>
      <c r="E1581" s="248"/>
      <c r="F1581" s="47"/>
      <c r="G1581" s="79"/>
      <c r="J1581" s="99"/>
      <c r="K1581" s="4"/>
    </row>
    <row r="1582" spans="3:11" x14ac:dyDescent="0.25">
      <c r="C1582" s="79"/>
      <c r="D1582" s="248"/>
      <c r="E1582" s="248"/>
      <c r="F1582" s="47"/>
      <c r="G1582" s="79"/>
      <c r="J1582" s="99"/>
      <c r="K1582" s="4"/>
    </row>
    <row r="1583" spans="3:11" x14ac:dyDescent="0.25">
      <c r="C1583" s="79"/>
      <c r="D1583" s="248"/>
      <c r="E1583" s="248"/>
      <c r="F1583" s="47"/>
      <c r="G1583" s="79"/>
      <c r="J1583" s="99"/>
      <c r="K1583" s="4"/>
    </row>
    <row r="1584" spans="3:11" x14ac:dyDescent="0.25">
      <c r="C1584" s="79"/>
      <c r="D1584" s="248"/>
      <c r="E1584" s="248"/>
      <c r="F1584" s="47"/>
      <c r="G1584" s="79"/>
      <c r="J1584" s="99"/>
      <c r="K1584" s="4"/>
    </row>
    <row r="1585" spans="3:11" x14ac:dyDescent="0.25">
      <c r="C1585" s="79"/>
      <c r="D1585" s="248"/>
      <c r="E1585" s="248"/>
      <c r="F1585" s="47"/>
      <c r="G1585" s="79"/>
      <c r="J1585" s="99"/>
      <c r="K1585" s="4"/>
    </row>
    <row r="1586" spans="3:11" x14ac:dyDescent="0.25">
      <c r="C1586" s="79"/>
      <c r="D1586" s="248"/>
      <c r="E1586" s="248"/>
      <c r="F1586" s="47"/>
      <c r="G1586" s="79"/>
      <c r="J1586" s="99"/>
      <c r="K1586" s="4"/>
    </row>
    <row r="1587" spans="3:11" x14ac:dyDescent="0.25">
      <c r="C1587" s="79"/>
      <c r="D1587" s="248"/>
      <c r="E1587" s="248"/>
      <c r="F1587" s="47"/>
      <c r="G1587" s="79"/>
      <c r="J1587" s="99"/>
      <c r="K1587" s="4"/>
    </row>
    <row r="1588" spans="3:11" x14ac:dyDescent="0.25">
      <c r="C1588" s="79"/>
      <c r="D1588" s="248"/>
      <c r="E1588" s="248"/>
      <c r="F1588" s="47"/>
      <c r="G1588" s="79"/>
      <c r="J1588" s="99"/>
      <c r="K1588" s="4"/>
    </row>
    <row r="1589" spans="3:11" x14ac:dyDescent="0.25">
      <c r="C1589" s="79"/>
      <c r="D1589" s="248"/>
      <c r="E1589" s="248"/>
      <c r="F1589" s="47"/>
      <c r="G1589" s="79"/>
      <c r="J1589" s="99"/>
      <c r="K1589" s="4"/>
    </row>
    <row r="1590" spans="3:11" x14ac:dyDescent="0.25">
      <c r="C1590" s="79"/>
      <c r="D1590" s="248"/>
      <c r="E1590" s="248"/>
      <c r="F1590" s="47"/>
      <c r="G1590" s="79"/>
      <c r="J1590" s="99"/>
      <c r="K1590" s="4"/>
    </row>
    <row r="1591" spans="3:11" x14ac:dyDescent="0.25">
      <c r="C1591" s="79"/>
      <c r="D1591" s="248"/>
      <c r="E1591" s="248"/>
      <c r="F1591" s="47"/>
      <c r="G1591" s="79"/>
      <c r="J1591" s="99"/>
      <c r="K1591" s="4"/>
    </row>
    <row r="1592" spans="3:11" x14ac:dyDescent="0.25">
      <c r="C1592" s="79"/>
      <c r="D1592" s="248"/>
      <c r="E1592" s="248"/>
      <c r="F1592" s="47"/>
      <c r="G1592" s="79"/>
      <c r="J1592" s="99"/>
      <c r="K1592" s="4"/>
    </row>
    <row r="1593" spans="3:11" x14ac:dyDescent="0.25">
      <c r="C1593" s="79"/>
      <c r="D1593" s="248"/>
      <c r="E1593" s="248"/>
      <c r="F1593" s="47"/>
      <c r="G1593" s="79"/>
      <c r="J1593" s="99"/>
      <c r="K1593" s="4"/>
    </row>
    <row r="1594" spans="3:11" x14ac:dyDescent="0.25">
      <c r="C1594" s="79"/>
      <c r="D1594" s="248"/>
      <c r="E1594" s="248"/>
      <c r="F1594" s="47"/>
      <c r="G1594" s="79"/>
      <c r="J1594" s="99"/>
      <c r="K1594" s="4"/>
    </row>
    <row r="1595" spans="3:11" x14ac:dyDescent="0.25">
      <c r="C1595" s="79"/>
      <c r="D1595" s="248"/>
      <c r="E1595" s="248"/>
      <c r="F1595" s="47"/>
      <c r="G1595" s="79"/>
      <c r="J1595" s="99"/>
      <c r="K1595" s="4"/>
    </row>
    <row r="1596" spans="3:11" x14ac:dyDescent="0.25">
      <c r="C1596" s="79"/>
      <c r="D1596" s="248"/>
      <c r="E1596" s="248"/>
      <c r="F1596" s="47"/>
      <c r="G1596" s="79"/>
      <c r="J1596" s="99"/>
      <c r="K1596" s="4"/>
    </row>
    <row r="1597" spans="3:11" x14ac:dyDescent="0.25">
      <c r="C1597" s="79"/>
      <c r="D1597" s="248"/>
      <c r="E1597" s="248"/>
      <c r="F1597" s="47"/>
      <c r="G1597" s="79"/>
      <c r="J1597" s="99"/>
      <c r="K1597" s="4"/>
    </row>
    <row r="1598" spans="3:11" x14ac:dyDescent="0.25">
      <c r="C1598" s="79"/>
      <c r="D1598" s="248"/>
      <c r="E1598" s="248"/>
      <c r="F1598" s="47"/>
      <c r="G1598" s="79"/>
      <c r="J1598" s="99"/>
      <c r="K1598" s="4"/>
    </row>
    <row r="1599" spans="3:11" x14ac:dyDescent="0.25">
      <c r="C1599" s="79"/>
      <c r="D1599" s="248"/>
      <c r="E1599" s="248"/>
      <c r="F1599" s="47"/>
      <c r="G1599" s="79"/>
      <c r="J1599" s="99"/>
      <c r="K1599" s="4"/>
    </row>
    <row r="1600" spans="3:11" x14ac:dyDescent="0.25">
      <c r="C1600" s="79"/>
      <c r="D1600" s="248"/>
      <c r="E1600" s="248"/>
      <c r="F1600" s="47"/>
      <c r="G1600" s="79"/>
      <c r="J1600" s="99"/>
      <c r="K1600" s="4"/>
    </row>
    <row r="1601" spans="3:11" x14ac:dyDescent="0.25">
      <c r="C1601" s="79"/>
      <c r="D1601" s="248"/>
      <c r="E1601" s="248"/>
      <c r="F1601" s="47"/>
      <c r="G1601" s="79"/>
      <c r="J1601" s="99"/>
      <c r="K1601" s="4"/>
    </row>
    <row r="1602" spans="3:11" x14ac:dyDescent="0.25">
      <c r="C1602" s="79"/>
      <c r="D1602" s="248"/>
      <c r="E1602" s="248"/>
      <c r="F1602" s="47"/>
      <c r="G1602" s="79"/>
      <c r="J1602" s="99"/>
      <c r="K1602" s="4"/>
    </row>
    <row r="1603" spans="3:11" x14ac:dyDescent="0.25">
      <c r="C1603" s="79"/>
      <c r="D1603" s="248"/>
      <c r="E1603" s="248"/>
      <c r="F1603" s="47"/>
      <c r="G1603" s="79"/>
      <c r="J1603" s="99"/>
      <c r="K1603" s="4"/>
    </row>
    <row r="1604" spans="3:11" x14ac:dyDescent="0.25">
      <c r="C1604" s="79"/>
      <c r="D1604" s="248"/>
      <c r="E1604" s="248"/>
      <c r="F1604" s="47"/>
      <c r="G1604" s="79"/>
      <c r="J1604" s="99"/>
      <c r="K1604" s="4"/>
    </row>
    <row r="1605" spans="3:11" x14ac:dyDescent="0.25">
      <c r="C1605" s="79"/>
      <c r="D1605" s="248"/>
      <c r="E1605" s="248"/>
      <c r="F1605" s="47"/>
      <c r="G1605" s="79"/>
      <c r="J1605" s="99"/>
      <c r="K1605" s="4"/>
    </row>
    <row r="1606" spans="3:11" x14ac:dyDescent="0.25">
      <c r="C1606" s="79"/>
      <c r="D1606" s="248"/>
      <c r="E1606" s="248"/>
      <c r="F1606" s="47"/>
      <c r="G1606" s="79"/>
      <c r="J1606" s="99"/>
      <c r="K1606" s="4"/>
    </row>
    <row r="1607" spans="3:11" x14ac:dyDescent="0.25">
      <c r="C1607" s="79"/>
      <c r="D1607" s="248"/>
      <c r="E1607" s="248"/>
      <c r="F1607" s="47"/>
      <c r="G1607" s="79"/>
      <c r="J1607" s="99"/>
      <c r="K1607" s="4"/>
    </row>
    <row r="1608" spans="3:11" x14ac:dyDescent="0.25">
      <c r="C1608" s="79"/>
      <c r="D1608" s="248"/>
      <c r="E1608" s="248"/>
      <c r="F1608" s="47"/>
      <c r="G1608" s="79"/>
      <c r="J1608" s="99"/>
      <c r="K1608" s="4"/>
    </row>
    <row r="1609" spans="3:11" x14ac:dyDescent="0.25">
      <c r="C1609" s="79"/>
      <c r="D1609" s="248"/>
      <c r="E1609" s="248"/>
      <c r="F1609" s="47"/>
      <c r="G1609" s="79"/>
      <c r="J1609" s="99"/>
      <c r="K1609" s="4"/>
    </row>
    <row r="1610" spans="3:11" x14ac:dyDescent="0.25">
      <c r="C1610" s="79"/>
      <c r="D1610" s="248"/>
      <c r="E1610" s="248"/>
      <c r="F1610" s="47"/>
      <c r="G1610" s="79"/>
      <c r="J1610" s="99"/>
      <c r="K1610" s="4"/>
    </row>
    <row r="1611" spans="3:11" x14ac:dyDescent="0.25">
      <c r="C1611" s="79"/>
      <c r="D1611" s="248"/>
      <c r="E1611" s="248"/>
      <c r="F1611" s="47"/>
      <c r="G1611" s="79"/>
      <c r="J1611" s="99"/>
      <c r="K1611" s="4"/>
    </row>
    <row r="1612" spans="3:11" x14ac:dyDescent="0.25">
      <c r="C1612" s="79"/>
      <c r="D1612" s="248"/>
      <c r="E1612" s="248"/>
      <c r="F1612" s="47"/>
      <c r="G1612" s="79"/>
      <c r="J1612" s="99"/>
      <c r="K1612" s="4"/>
    </row>
    <row r="1613" spans="3:11" x14ac:dyDescent="0.25">
      <c r="C1613" s="79"/>
      <c r="D1613" s="248"/>
      <c r="E1613" s="248"/>
      <c r="F1613" s="47"/>
      <c r="G1613" s="79"/>
      <c r="J1613" s="99"/>
      <c r="K1613" s="4"/>
    </row>
    <row r="1614" spans="3:11" x14ac:dyDescent="0.25">
      <c r="C1614" s="79"/>
      <c r="D1614" s="248"/>
      <c r="E1614" s="248"/>
      <c r="F1614" s="47"/>
      <c r="G1614" s="79"/>
      <c r="J1614" s="99"/>
      <c r="K1614" s="4"/>
    </row>
    <row r="1615" spans="3:11" x14ac:dyDescent="0.25">
      <c r="C1615" s="79"/>
      <c r="D1615" s="248"/>
      <c r="E1615" s="248"/>
      <c r="F1615" s="47"/>
      <c r="G1615" s="79"/>
      <c r="J1615" s="99"/>
      <c r="K1615" s="4"/>
    </row>
    <row r="1616" spans="3:11" x14ac:dyDescent="0.25">
      <c r="C1616" s="79"/>
      <c r="D1616" s="248"/>
      <c r="E1616" s="248"/>
      <c r="F1616" s="47"/>
      <c r="G1616" s="79"/>
      <c r="J1616" s="99"/>
      <c r="K1616" s="4"/>
    </row>
    <row r="1617" spans="3:11" x14ac:dyDescent="0.25">
      <c r="C1617" s="79"/>
      <c r="D1617" s="248"/>
      <c r="E1617" s="248"/>
      <c r="F1617" s="47"/>
      <c r="G1617" s="79"/>
      <c r="J1617" s="99"/>
      <c r="K1617" s="4"/>
    </row>
    <row r="1618" spans="3:11" x14ac:dyDescent="0.25">
      <c r="C1618" s="79"/>
      <c r="D1618" s="248"/>
      <c r="E1618" s="248"/>
      <c r="F1618" s="47"/>
      <c r="G1618" s="79"/>
      <c r="J1618" s="99"/>
      <c r="K1618" s="4"/>
    </row>
    <row r="1619" spans="3:11" x14ac:dyDescent="0.25">
      <c r="C1619" s="79"/>
      <c r="D1619" s="248"/>
      <c r="E1619" s="248"/>
      <c r="F1619" s="47"/>
      <c r="G1619" s="79"/>
      <c r="J1619" s="99"/>
      <c r="K1619" s="4"/>
    </row>
    <row r="1620" spans="3:11" x14ac:dyDescent="0.25">
      <c r="C1620" s="79"/>
      <c r="D1620" s="248"/>
      <c r="E1620" s="248"/>
      <c r="F1620" s="47"/>
      <c r="G1620" s="79"/>
      <c r="J1620" s="99"/>
      <c r="K1620" s="4"/>
    </row>
    <row r="1621" spans="3:11" x14ac:dyDescent="0.25">
      <c r="C1621" s="79"/>
      <c r="D1621" s="248"/>
      <c r="E1621" s="248"/>
      <c r="F1621" s="47"/>
      <c r="G1621" s="79"/>
      <c r="J1621" s="99"/>
      <c r="K1621" s="4"/>
    </row>
    <row r="1622" spans="3:11" x14ac:dyDescent="0.25">
      <c r="C1622" s="79"/>
      <c r="D1622" s="248"/>
      <c r="E1622" s="248"/>
      <c r="F1622" s="47"/>
      <c r="G1622" s="79"/>
      <c r="J1622" s="99"/>
      <c r="K1622" s="4"/>
    </row>
    <row r="1623" spans="3:11" x14ac:dyDescent="0.25">
      <c r="C1623" s="79"/>
      <c r="D1623" s="248"/>
      <c r="E1623" s="248"/>
      <c r="F1623" s="47"/>
      <c r="G1623" s="79"/>
      <c r="J1623" s="99"/>
      <c r="K1623" s="4"/>
    </row>
    <row r="1624" spans="3:11" x14ac:dyDescent="0.25">
      <c r="C1624" s="79"/>
      <c r="D1624" s="248"/>
      <c r="E1624" s="248"/>
      <c r="F1624" s="47"/>
      <c r="G1624" s="79"/>
      <c r="J1624" s="99"/>
      <c r="K1624" s="4"/>
    </row>
    <row r="1625" spans="3:11" x14ac:dyDescent="0.25">
      <c r="C1625" s="79"/>
      <c r="D1625" s="248"/>
      <c r="E1625" s="248"/>
      <c r="F1625" s="47"/>
      <c r="G1625" s="79"/>
      <c r="J1625" s="99"/>
      <c r="K1625" s="4"/>
    </row>
    <row r="1626" spans="3:11" x14ac:dyDescent="0.25">
      <c r="C1626" s="79"/>
      <c r="D1626" s="248"/>
      <c r="E1626" s="248"/>
      <c r="F1626" s="47"/>
      <c r="G1626" s="79"/>
      <c r="J1626" s="99"/>
      <c r="K1626" s="4"/>
    </row>
    <row r="1627" spans="3:11" x14ac:dyDescent="0.25">
      <c r="C1627" s="79"/>
      <c r="D1627" s="248"/>
      <c r="E1627" s="248"/>
      <c r="F1627" s="47"/>
      <c r="G1627" s="79"/>
      <c r="J1627" s="99"/>
      <c r="K1627" s="4"/>
    </row>
    <row r="1628" spans="3:11" x14ac:dyDescent="0.25">
      <c r="C1628" s="79"/>
      <c r="D1628" s="248"/>
      <c r="E1628" s="248"/>
      <c r="F1628" s="47"/>
      <c r="G1628" s="79"/>
      <c r="J1628" s="99"/>
      <c r="K1628" s="4"/>
    </row>
    <row r="1629" spans="3:11" x14ac:dyDescent="0.25">
      <c r="C1629" s="79"/>
      <c r="D1629" s="248"/>
      <c r="E1629" s="248"/>
      <c r="F1629" s="47"/>
      <c r="G1629" s="79"/>
      <c r="J1629" s="99"/>
      <c r="K1629" s="4"/>
    </row>
    <row r="1630" spans="3:11" x14ac:dyDescent="0.25">
      <c r="C1630" s="79"/>
      <c r="D1630" s="248"/>
      <c r="E1630" s="248"/>
      <c r="F1630" s="47"/>
      <c r="G1630" s="79"/>
      <c r="J1630" s="99"/>
      <c r="K1630" s="4"/>
    </row>
    <row r="1631" spans="3:11" x14ac:dyDescent="0.25">
      <c r="C1631" s="79"/>
      <c r="D1631" s="248"/>
      <c r="E1631" s="248"/>
      <c r="F1631" s="47"/>
      <c r="G1631" s="79"/>
      <c r="J1631" s="99"/>
      <c r="K1631" s="4"/>
    </row>
    <row r="1632" spans="3:11" x14ac:dyDescent="0.25">
      <c r="C1632" s="79"/>
      <c r="D1632" s="248"/>
      <c r="E1632" s="248"/>
      <c r="F1632" s="47"/>
      <c r="G1632" s="79"/>
      <c r="J1632" s="99"/>
      <c r="K1632" s="4"/>
    </row>
    <row r="1633" spans="3:11" x14ac:dyDescent="0.25">
      <c r="C1633" s="79"/>
      <c r="D1633" s="248"/>
      <c r="E1633" s="248"/>
      <c r="F1633" s="47"/>
      <c r="G1633" s="79"/>
      <c r="J1633" s="99"/>
      <c r="K1633" s="4"/>
    </row>
    <row r="1634" spans="3:11" x14ac:dyDescent="0.25">
      <c r="C1634" s="79"/>
      <c r="D1634" s="248"/>
      <c r="E1634" s="248"/>
      <c r="F1634" s="47"/>
      <c r="G1634" s="79"/>
      <c r="J1634" s="99"/>
      <c r="K1634" s="4"/>
    </row>
    <row r="1635" spans="3:11" x14ac:dyDescent="0.25">
      <c r="C1635" s="79"/>
      <c r="D1635" s="248"/>
      <c r="E1635" s="248"/>
      <c r="F1635" s="47"/>
      <c r="G1635" s="79"/>
      <c r="J1635" s="99"/>
      <c r="K1635" s="4"/>
    </row>
    <row r="1636" spans="3:11" x14ac:dyDescent="0.25">
      <c r="C1636" s="79"/>
      <c r="D1636" s="248"/>
      <c r="E1636" s="248"/>
      <c r="F1636" s="47"/>
      <c r="G1636" s="79"/>
      <c r="J1636" s="99"/>
      <c r="K1636" s="4"/>
    </row>
    <row r="1637" spans="3:11" x14ac:dyDescent="0.25">
      <c r="C1637" s="79"/>
      <c r="D1637" s="248"/>
      <c r="E1637" s="248"/>
      <c r="F1637" s="47"/>
      <c r="G1637" s="79"/>
      <c r="J1637" s="99"/>
      <c r="K1637" s="4"/>
    </row>
    <row r="1638" spans="3:11" x14ac:dyDescent="0.25">
      <c r="C1638" s="79"/>
      <c r="D1638" s="248"/>
      <c r="E1638" s="248"/>
      <c r="F1638" s="47"/>
      <c r="G1638" s="79"/>
      <c r="J1638" s="99"/>
      <c r="K1638" s="4"/>
    </row>
    <row r="1639" spans="3:11" x14ac:dyDescent="0.25">
      <c r="C1639" s="79"/>
      <c r="D1639" s="248"/>
      <c r="E1639" s="248"/>
      <c r="F1639" s="47"/>
      <c r="G1639" s="79"/>
      <c r="J1639" s="99"/>
      <c r="K1639" s="4"/>
    </row>
    <row r="1640" spans="3:11" x14ac:dyDescent="0.25">
      <c r="C1640" s="79"/>
      <c r="D1640" s="248"/>
      <c r="E1640" s="248"/>
      <c r="F1640" s="47"/>
      <c r="G1640" s="79"/>
      <c r="J1640" s="99"/>
      <c r="K1640" s="4"/>
    </row>
    <row r="1641" spans="3:11" x14ac:dyDescent="0.25">
      <c r="C1641" s="79"/>
      <c r="D1641" s="248"/>
      <c r="E1641" s="248"/>
      <c r="F1641" s="47"/>
      <c r="G1641" s="79"/>
      <c r="J1641" s="99"/>
      <c r="K1641" s="4"/>
    </row>
    <row r="1642" spans="3:11" x14ac:dyDescent="0.25">
      <c r="C1642" s="79"/>
      <c r="D1642" s="248"/>
      <c r="E1642" s="248"/>
      <c r="F1642" s="47"/>
      <c r="G1642" s="79"/>
      <c r="J1642" s="99"/>
      <c r="K1642" s="4"/>
    </row>
    <row r="1643" spans="3:11" x14ac:dyDescent="0.25">
      <c r="C1643" s="79"/>
      <c r="D1643" s="248"/>
      <c r="E1643" s="248"/>
      <c r="F1643" s="47"/>
      <c r="G1643" s="79"/>
      <c r="J1643" s="99"/>
      <c r="K1643" s="4"/>
    </row>
    <row r="1644" spans="3:11" x14ac:dyDescent="0.25">
      <c r="C1644" s="79"/>
      <c r="D1644" s="248"/>
      <c r="E1644" s="248"/>
      <c r="F1644" s="47"/>
      <c r="G1644" s="79"/>
      <c r="J1644" s="99"/>
      <c r="K1644" s="4"/>
    </row>
    <row r="1645" spans="3:11" x14ac:dyDescent="0.25">
      <c r="C1645" s="79"/>
      <c r="D1645" s="248"/>
      <c r="E1645" s="248"/>
      <c r="F1645" s="47"/>
      <c r="G1645" s="79"/>
      <c r="J1645" s="99"/>
      <c r="K1645" s="4"/>
    </row>
    <row r="1646" spans="3:11" x14ac:dyDescent="0.25">
      <c r="C1646" s="79"/>
      <c r="D1646" s="248"/>
      <c r="E1646" s="248"/>
      <c r="F1646" s="47"/>
      <c r="G1646" s="79"/>
      <c r="J1646" s="99"/>
      <c r="K1646" s="4"/>
    </row>
    <row r="1647" spans="3:11" x14ac:dyDescent="0.25">
      <c r="C1647" s="79"/>
      <c r="D1647" s="248"/>
      <c r="E1647" s="248"/>
      <c r="F1647" s="47"/>
      <c r="G1647" s="79"/>
      <c r="J1647" s="99"/>
      <c r="K1647" s="4"/>
    </row>
    <row r="1648" spans="3:11" x14ac:dyDescent="0.25">
      <c r="C1648" s="79"/>
      <c r="D1648" s="248"/>
      <c r="E1648" s="248"/>
      <c r="F1648" s="47"/>
      <c r="G1648" s="79"/>
      <c r="J1648" s="99"/>
      <c r="K1648" s="4"/>
    </row>
    <row r="1649" spans="3:11" x14ac:dyDescent="0.25">
      <c r="C1649" s="79"/>
      <c r="D1649" s="248"/>
      <c r="E1649" s="248"/>
      <c r="F1649" s="47"/>
      <c r="G1649" s="79"/>
      <c r="J1649" s="99"/>
      <c r="K1649" s="4"/>
    </row>
    <row r="1650" spans="3:11" x14ac:dyDescent="0.25">
      <c r="C1650" s="79"/>
      <c r="D1650" s="248"/>
      <c r="E1650" s="248"/>
      <c r="F1650" s="47"/>
      <c r="G1650" s="79"/>
      <c r="J1650" s="99"/>
      <c r="K1650" s="4"/>
    </row>
    <row r="1651" spans="3:11" x14ac:dyDescent="0.25">
      <c r="C1651" s="79"/>
      <c r="D1651" s="248"/>
      <c r="E1651" s="248"/>
      <c r="F1651" s="47"/>
      <c r="G1651" s="79"/>
      <c r="J1651" s="99"/>
      <c r="K1651" s="4"/>
    </row>
    <row r="1652" spans="3:11" x14ac:dyDescent="0.25">
      <c r="C1652" s="79"/>
      <c r="D1652" s="248"/>
      <c r="E1652" s="248"/>
      <c r="F1652" s="47"/>
      <c r="G1652" s="79"/>
      <c r="J1652" s="99"/>
      <c r="K1652" s="4"/>
    </row>
    <row r="1653" spans="3:11" x14ac:dyDescent="0.25">
      <c r="C1653" s="79"/>
      <c r="D1653" s="248"/>
      <c r="E1653" s="248"/>
      <c r="F1653" s="47"/>
      <c r="G1653" s="79"/>
      <c r="J1653" s="99"/>
      <c r="K1653" s="4"/>
    </row>
    <row r="1654" spans="3:11" x14ac:dyDescent="0.25">
      <c r="C1654" s="79"/>
      <c r="D1654" s="248"/>
      <c r="E1654" s="248"/>
      <c r="F1654" s="47"/>
      <c r="G1654" s="79"/>
      <c r="J1654" s="99"/>
      <c r="K1654" s="4"/>
    </row>
    <row r="1655" spans="3:11" x14ac:dyDescent="0.25">
      <c r="C1655" s="79"/>
      <c r="D1655" s="248"/>
      <c r="E1655" s="248"/>
      <c r="F1655" s="47"/>
      <c r="G1655" s="79"/>
      <c r="J1655" s="99"/>
      <c r="K1655" s="4"/>
    </row>
    <row r="1656" spans="3:11" x14ac:dyDescent="0.25">
      <c r="C1656" s="79"/>
      <c r="D1656" s="248"/>
      <c r="E1656" s="248"/>
      <c r="F1656" s="47"/>
      <c r="G1656" s="79"/>
      <c r="J1656" s="99"/>
      <c r="K1656" s="4"/>
    </row>
    <row r="1657" spans="3:11" x14ac:dyDescent="0.25">
      <c r="C1657" s="79"/>
      <c r="D1657" s="248"/>
      <c r="E1657" s="248"/>
      <c r="F1657" s="47"/>
      <c r="G1657" s="79"/>
      <c r="J1657" s="99"/>
      <c r="K1657" s="4"/>
    </row>
    <row r="1658" spans="3:11" x14ac:dyDescent="0.25">
      <c r="C1658" s="79"/>
      <c r="D1658" s="248"/>
      <c r="E1658" s="248"/>
      <c r="F1658" s="47"/>
      <c r="G1658" s="79"/>
      <c r="J1658" s="99"/>
      <c r="K1658" s="4"/>
    </row>
    <row r="1659" spans="3:11" x14ac:dyDescent="0.25">
      <c r="C1659" s="79"/>
      <c r="D1659" s="248"/>
      <c r="E1659" s="248"/>
      <c r="F1659" s="47"/>
      <c r="G1659" s="79"/>
      <c r="J1659" s="99"/>
      <c r="K1659" s="4"/>
    </row>
    <row r="1660" spans="3:11" x14ac:dyDescent="0.25">
      <c r="C1660" s="79"/>
      <c r="D1660" s="248"/>
      <c r="E1660" s="248"/>
      <c r="F1660" s="47"/>
      <c r="G1660" s="79"/>
      <c r="J1660" s="99"/>
      <c r="K1660" s="4"/>
    </row>
    <row r="1661" spans="3:11" x14ac:dyDescent="0.25">
      <c r="C1661" s="79"/>
      <c r="D1661" s="248"/>
      <c r="E1661" s="248"/>
      <c r="F1661" s="47"/>
      <c r="G1661" s="79"/>
      <c r="J1661" s="99"/>
      <c r="K1661" s="4"/>
    </row>
    <row r="1662" spans="3:11" x14ac:dyDescent="0.25">
      <c r="C1662" s="79"/>
      <c r="D1662" s="248"/>
      <c r="E1662" s="248"/>
      <c r="F1662" s="47"/>
      <c r="G1662" s="79"/>
      <c r="J1662" s="99"/>
      <c r="K1662" s="4"/>
    </row>
    <row r="1663" spans="3:11" x14ac:dyDescent="0.25">
      <c r="C1663" s="79"/>
      <c r="D1663" s="248"/>
      <c r="E1663" s="248"/>
      <c r="F1663" s="47"/>
      <c r="G1663" s="79"/>
      <c r="J1663" s="99"/>
      <c r="K1663" s="4"/>
    </row>
    <row r="1664" spans="3:11" x14ac:dyDescent="0.25">
      <c r="C1664" s="79"/>
      <c r="D1664" s="248"/>
      <c r="E1664" s="248"/>
      <c r="F1664" s="47"/>
      <c r="G1664" s="79"/>
      <c r="J1664" s="99"/>
      <c r="K1664" s="4"/>
    </row>
    <row r="1665" spans="3:11" x14ac:dyDescent="0.25">
      <c r="C1665" s="79"/>
      <c r="D1665" s="248"/>
      <c r="E1665" s="248"/>
      <c r="F1665" s="47"/>
      <c r="G1665" s="79"/>
      <c r="J1665" s="99"/>
      <c r="K1665" s="4"/>
    </row>
    <row r="1666" spans="3:11" x14ac:dyDescent="0.25">
      <c r="C1666" s="79"/>
      <c r="D1666" s="248"/>
      <c r="E1666" s="248"/>
      <c r="F1666" s="47"/>
      <c r="G1666" s="79"/>
      <c r="J1666" s="99"/>
      <c r="K1666" s="4"/>
    </row>
    <row r="1667" spans="3:11" x14ac:dyDescent="0.25">
      <c r="C1667" s="79"/>
      <c r="D1667" s="248"/>
      <c r="E1667" s="248"/>
      <c r="F1667" s="47"/>
      <c r="G1667" s="79"/>
      <c r="J1667" s="99"/>
      <c r="K1667" s="4"/>
    </row>
    <row r="1668" spans="3:11" x14ac:dyDescent="0.25">
      <c r="C1668" s="79"/>
      <c r="D1668" s="248"/>
      <c r="E1668" s="248"/>
      <c r="F1668" s="47"/>
      <c r="G1668" s="79"/>
      <c r="J1668" s="99"/>
      <c r="K1668" s="4"/>
    </row>
    <row r="1669" spans="3:11" x14ac:dyDescent="0.25">
      <c r="C1669" s="79"/>
      <c r="D1669" s="248"/>
      <c r="E1669" s="248"/>
      <c r="F1669" s="47"/>
      <c r="G1669" s="79"/>
      <c r="J1669" s="99"/>
      <c r="K1669" s="4"/>
    </row>
    <row r="1670" spans="3:11" x14ac:dyDescent="0.25">
      <c r="C1670" s="79"/>
      <c r="D1670" s="248"/>
      <c r="E1670" s="248"/>
      <c r="F1670" s="47"/>
      <c r="G1670" s="79"/>
      <c r="J1670" s="99"/>
      <c r="K1670" s="4"/>
    </row>
    <row r="1671" spans="3:11" x14ac:dyDescent="0.25">
      <c r="C1671" s="79"/>
      <c r="D1671" s="248"/>
      <c r="E1671" s="248"/>
      <c r="F1671" s="47"/>
      <c r="G1671" s="79"/>
      <c r="J1671" s="99"/>
      <c r="K1671" s="4"/>
    </row>
    <row r="1672" spans="3:11" x14ac:dyDescent="0.25">
      <c r="C1672" s="79"/>
      <c r="D1672" s="248"/>
      <c r="E1672" s="248"/>
      <c r="F1672" s="47"/>
      <c r="G1672" s="79"/>
      <c r="J1672" s="99"/>
      <c r="K1672" s="4"/>
    </row>
    <row r="1673" spans="3:11" x14ac:dyDescent="0.25">
      <c r="C1673" s="79"/>
      <c r="D1673" s="248"/>
      <c r="E1673" s="248"/>
      <c r="F1673" s="47"/>
      <c r="G1673" s="79"/>
      <c r="J1673" s="99"/>
      <c r="K1673" s="4"/>
    </row>
    <row r="1674" spans="3:11" x14ac:dyDescent="0.25">
      <c r="C1674" s="79"/>
      <c r="D1674" s="248"/>
      <c r="E1674" s="248"/>
      <c r="F1674" s="47"/>
      <c r="G1674" s="79"/>
      <c r="J1674" s="99"/>
      <c r="K1674" s="4"/>
    </row>
    <row r="1675" spans="3:11" x14ac:dyDescent="0.25">
      <c r="C1675" s="79"/>
      <c r="D1675" s="248"/>
      <c r="E1675" s="248"/>
      <c r="F1675" s="47"/>
      <c r="G1675" s="79"/>
      <c r="J1675" s="99"/>
      <c r="K1675" s="4"/>
    </row>
    <row r="1676" spans="3:11" x14ac:dyDescent="0.25">
      <c r="C1676" s="79"/>
      <c r="D1676" s="248"/>
      <c r="E1676" s="248"/>
      <c r="F1676" s="47"/>
      <c r="G1676" s="79"/>
      <c r="J1676" s="99"/>
      <c r="K1676" s="4"/>
    </row>
    <row r="1677" spans="3:11" x14ac:dyDescent="0.25">
      <c r="C1677" s="79"/>
      <c r="D1677" s="248"/>
      <c r="E1677" s="248"/>
      <c r="F1677" s="47"/>
      <c r="G1677" s="79"/>
      <c r="J1677" s="99"/>
      <c r="K1677" s="4"/>
    </row>
    <row r="1678" spans="3:11" x14ac:dyDescent="0.25">
      <c r="C1678" s="79"/>
      <c r="D1678" s="248"/>
      <c r="E1678" s="248"/>
      <c r="F1678" s="47"/>
      <c r="G1678" s="79"/>
      <c r="J1678" s="99"/>
      <c r="K1678" s="4"/>
    </row>
    <row r="1679" spans="3:11" x14ac:dyDescent="0.25">
      <c r="C1679" s="79"/>
      <c r="D1679" s="248"/>
      <c r="E1679" s="248"/>
      <c r="F1679" s="47"/>
      <c r="G1679" s="79"/>
      <c r="J1679" s="99"/>
      <c r="K1679" s="4"/>
    </row>
    <row r="1680" spans="3:11" x14ac:dyDescent="0.25">
      <c r="C1680" s="79"/>
      <c r="D1680" s="248"/>
      <c r="E1680" s="248"/>
      <c r="F1680" s="47"/>
      <c r="G1680" s="79"/>
      <c r="J1680" s="99"/>
      <c r="K1680" s="4"/>
    </row>
    <row r="1681" spans="3:11" x14ac:dyDescent="0.25">
      <c r="C1681" s="79"/>
      <c r="D1681" s="248"/>
      <c r="E1681" s="248"/>
      <c r="F1681" s="47"/>
      <c r="G1681" s="79"/>
      <c r="J1681" s="99"/>
      <c r="K1681" s="4"/>
    </row>
    <row r="1682" spans="3:11" x14ac:dyDescent="0.25">
      <c r="C1682" s="79"/>
      <c r="D1682" s="248"/>
      <c r="E1682" s="248"/>
      <c r="F1682" s="47"/>
      <c r="G1682" s="79"/>
      <c r="J1682" s="99"/>
      <c r="K1682" s="4"/>
    </row>
    <row r="1683" spans="3:11" x14ac:dyDescent="0.25">
      <c r="C1683" s="79"/>
      <c r="D1683" s="248"/>
      <c r="E1683" s="248"/>
      <c r="F1683" s="47"/>
      <c r="G1683" s="79"/>
      <c r="J1683" s="99"/>
      <c r="K1683" s="4"/>
    </row>
    <row r="1684" spans="3:11" x14ac:dyDescent="0.25">
      <c r="C1684" s="79"/>
      <c r="D1684" s="248"/>
      <c r="E1684" s="248"/>
      <c r="F1684" s="47"/>
      <c r="G1684" s="79"/>
      <c r="J1684" s="99"/>
      <c r="K1684" s="4"/>
    </row>
    <row r="1685" spans="3:11" x14ac:dyDescent="0.25">
      <c r="C1685" s="79"/>
      <c r="D1685" s="248"/>
      <c r="E1685" s="248"/>
      <c r="F1685" s="47"/>
      <c r="G1685" s="79"/>
      <c r="J1685" s="99"/>
      <c r="K1685" s="4"/>
    </row>
    <row r="1686" spans="3:11" x14ac:dyDescent="0.25">
      <c r="C1686" s="79"/>
      <c r="D1686" s="248"/>
      <c r="E1686" s="248"/>
      <c r="F1686" s="47"/>
      <c r="G1686" s="79"/>
      <c r="J1686" s="99"/>
      <c r="K1686" s="4"/>
    </row>
    <row r="1687" spans="3:11" x14ac:dyDescent="0.25">
      <c r="C1687" s="79"/>
      <c r="D1687" s="248"/>
      <c r="E1687" s="248"/>
      <c r="F1687" s="47"/>
      <c r="G1687" s="79"/>
      <c r="J1687" s="99"/>
      <c r="K1687" s="4"/>
    </row>
    <row r="1688" spans="3:11" x14ac:dyDescent="0.25">
      <c r="C1688" s="79"/>
      <c r="D1688" s="248"/>
      <c r="E1688" s="248"/>
      <c r="F1688" s="47"/>
      <c r="G1688" s="79"/>
      <c r="J1688" s="99"/>
      <c r="K1688" s="4"/>
    </row>
    <row r="1689" spans="3:11" x14ac:dyDescent="0.25">
      <c r="C1689" s="79"/>
      <c r="D1689" s="248"/>
      <c r="E1689" s="248"/>
      <c r="F1689" s="47"/>
      <c r="G1689" s="79"/>
      <c r="J1689" s="99"/>
      <c r="K1689" s="4"/>
    </row>
    <row r="1690" spans="3:11" x14ac:dyDescent="0.25">
      <c r="C1690" s="79"/>
      <c r="D1690" s="248"/>
      <c r="E1690" s="248"/>
      <c r="F1690" s="47"/>
      <c r="G1690" s="79"/>
      <c r="J1690" s="99"/>
      <c r="K1690" s="4"/>
    </row>
    <row r="1691" spans="3:11" x14ac:dyDescent="0.25">
      <c r="C1691" s="79"/>
      <c r="D1691" s="248"/>
      <c r="E1691" s="248"/>
      <c r="F1691" s="47"/>
      <c r="G1691" s="79"/>
      <c r="J1691" s="99"/>
      <c r="K1691" s="4"/>
    </row>
    <row r="1692" spans="3:11" x14ac:dyDescent="0.25">
      <c r="C1692" s="79"/>
      <c r="D1692" s="248"/>
      <c r="E1692" s="248"/>
      <c r="F1692" s="47"/>
      <c r="G1692" s="79"/>
      <c r="J1692" s="99"/>
      <c r="K1692" s="4"/>
    </row>
    <row r="1693" spans="3:11" x14ac:dyDescent="0.25">
      <c r="C1693" s="79"/>
      <c r="D1693" s="248"/>
      <c r="E1693" s="248"/>
      <c r="F1693" s="47"/>
      <c r="G1693" s="79"/>
      <c r="J1693" s="99"/>
      <c r="K1693" s="4"/>
    </row>
    <row r="1694" spans="3:11" x14ac:dyDescent="0.25">
      <c r="C1694" s="79"/>
      <c r="D1694" s="248"/>
      <c r="E1694" s="248"/>
      <c r="F1694" s="47"/>
      <c r="G1694" s="79"/>
      <c r="J1694" s="99"/>
      <c r="K1694" s="4"/>
    </row>
    <row r="1695" spans="3:11" x14ac:dyDescent="0.25">
      <c r="C1695" s="79"/>
      <c r="D1695" s="248"/>
      <c r="E1695" s="248"/>
      <c r="F1695" s="47"/>
      <c r="G1695" s="79"/>
      <c r="J1695" s="99"/>
      <c r="K1695" s="4"/>
    </row>
    <row r="1696" spans="3:11" x14ac:dyDescent="0.25">
      <c r="C1696" s="79"/>
      <c r="D1696" s="248"/>
      <c r="E1696" s="248"/>
      <c r="F1696" s="47"/>
      <c r="G1696" s="79"/>
      <c r="J1696" s="99"/>
      <c r="K1696" s="4"/>
    </row>
    <row r="1697" spans="3:11" x14ac:dyDescent="0.25">
      <c r="C1697" s="79"/>
      <c r="D1697" s="248"/>
      <c r="E1697" s="248"/>
      <c r="F1697" s="47"/>
      <c r="G1697" s="79"/>
      <c r="J1697" s="99"/>
      <c r="K1697" s="4"/>
    </row>
    <row r="1698" spans="3:11" x14ac:dyDescent="0.25">
      <c r="C1698" s="79"/>
      <c r="D1698" s="248"/>
      <c r="E1698" s="248"/>
      <c r="F1698" s="47"/>
      <c r="G1698" s="79"/>
      <c r="J1698" s="99"/>
      <c r="K1698" s="4"/>
    </row>
    <row r="1699" spans="3:11" x14ac:dyDescent="0.25">
      <c r="C1699" s="79"/>
      <c r="D1699" s="248"/>
      <c r="E1699" s="248"/>
      <c r="F1699" s="47"/>
      <c r="G1699" s="79"/>
      <c r="J1699" s="99"/>
      <c r="K1699" s="4"/>
    </row>
    <row r="1700" spans="3:11" x14ac:dyDescent="0.25">
      <c r="C1700" s="79"/>
      <c r="D1700" s="248"/>
      <c r="E1700" s="248"/>
      <c r="F1700" s="47"/>
      <c r="G1700" s="79"/>
      <c r="J1700" s="99"/>
      <c r="K1700" s="4"/>
    </row>
    <row r="1701" spans="3:11" x14ac:dyDescent="0.25">
      <c r="C1701" s="79"/>
      <c r="D1701" s="248"/>
      <c r="E1701" s="248"/>
      <c r="F1701" s="47"/>
      <c r="G1701" s="79"/>
      <c r="J1701" s="99"/>
      <c r="K1701" s="4"/>
    </row>
    <row r="1702" spans="3:11" x14ac:dyDescent="0.25">
      <c r="C1702" s="79"/>
      <c r="D1702" s="248"/>
      <c r="E1702" s="248"/>
      <c r="F1702" s="47"/>
      <c r="G1702" s="79"/>
      <c r="J1702" s="99"/>
      <c r="K1702" s="4"/>
    </row>
    <row r="1703" spans="3:11" x14ac:dyDescent="0.25">
      <c r="C1703" s="79"/>
      <c r="D1703" s="248"/>
      <c r="E1703" s="248"/>
      <c r="F1703" s="47"/>
      <c r="G1703" s="79"/>
      <c r="J1703" s="99"/>
      <c r="K1703" s="4"/>
    </row>
    <row r="1704" spans="3:11" x14ac:dyDescent="0.25">
      <c r="C1704" s="79"/>
      <c r="D1704" s="248"/>
      <c r="E1704" s="248"/>
      <c r="F1704" s="47"/>
      <c r="G1704" s="79"/>
      <c r="J1704" s="99"/>
      <c r="K1704" s="4"/>
    </row>
    <row r="1705" spans="3:11" x14ac:dyDescent="0.25">
      <c r="C1705" s="79"/>
      <c r="D1705" s="248"/>
      <c r="E1705" s="248"/>
      <c r="F1705" s="47"/>
      <c r="G1705" s="79"/>
      <c r="J1705" s="99"/>
      <c r="K1705" s="4"/>
    </row>
    <row r="1706" spans="3:11" x14ac:dyDescent="0.25">
      <c r="C1706" s="79"/>
      <c r="D1706" s="248"/>
      <c r="E1706" s="248"/>
      <c r="F1706" s="47"/>
      <c r="G1706" s="79"/>
      <c r="J1706" s="99"/>
      <c r="K1706" s="4"/>
    </row>
    <row r="1707" spans="3:11" x14ac:dyDescent="0.25">
      <c r="C1707" s="79"/>
      <c r="D1707" s="248"/>
      <c r="E1707" s="248"/>
      <c r="F1707" s="47"/>
      <c r="G1707" s="79"/>
      <c r="J1707" s="99"/>
      <c r="K1707" s="4"/>
    </row>
    <row r="1708" spans="3:11" x14ac:dyDescent="0.25">
      <c r="C1708" s="79"/>
      <c r="D1708" s="248"/>
      <c r="E1708" s="248"/>
      <c r="F1708" s="47"/>
      <c r="G1708" s="79"/>
      <c r="J1708" s="99"/>
      <c r="K1708" s="4"/>
    </row>
    <row r="1709" spans="3:11" x14ac:dyDescent="0.25">
      <c r="C1709" s="79"/>
      <c r="D1709" s="248"/>
      <c r="E1709" s="248"/>
      <c r="F1709" s="47"/>
      <c r="G1709" s="79"/>
      <c r="J1709" s="99"/>
      <c r="K1709" s="4"/>
    </row>
    <row r="1710" spans="3:11" x14ac:dyDescent="0.25">
      <c r="C1710" s="79"/>
      <c r="D1710" s="248"/>
      <c r="E1710" s="248"/>
      <c r="F1710" s="47"/>
      <c r="G1710" s="79"/>
      <c r="J1710" s="99"/>
      <c r="K1710" s="4"/>
    </row>
    <row r="1711" spans="3:11" x14ac:dyDescent="0.25">
      <c r="C1711" s="79"/>
      <c r="D1711" s="248"/>
      <c r="E1711" s="248"/>
      <c r="F1711" s="47"/>
      <c r="G1711" s="79"/>
      <c r="J1711" s="99"/>
      <c r="K1711" s="4"/>
    </row>
    <row r="1712" spans="3:11" x14ac:dyDescent="0.25">
      <c r="C1712" s="79"/>
      <c r="D1712" s="248"/>
      <c r="E1712" s="248"/>
      <c r="F1712" s="47"/>
      <c r="G1712" s="79"/>
      <c r="J1712" s="99"/>
      <c r="K1712" s="4"/>
    </row>
    <row r="1713" spans="3:11" x14ac:dyDescent="0.25">
      <c r="C1713" s="79"/>
      <c r="D1713" s="248"/>
      <c r="E1713" s="248"/>
      <c r="F1713" s="47"/>
      <c r="G1713" s="79"/>
      <c r="J1713" s="99"/>
      <c r="K1713" s="4"/>
    </row>
    <row r="1714" spans="3:11" x14ac:dyDescent="0.25">
      <c r="C1714" s="79"/>
      <c r="D1714" s="248"/>
      <c r="E1714" s="248"/>
      <c r="F1714" s="47"/>
      <c r="G1714" s="79"/>
      <c r="J1714" s="99"/>
      <c r="K1714" s="4"/>
    </row>
    <row r="1715" spans="3:11" x14ac:dyDescent="0.25">
      <c r="C1715" s="79"/>
      <c r="D1715" s="248"/>
      <c r="E1715" s="248"/>
      <c r="F1715" s="47"/>
      <c r="G1715" s="79"/>
      <c r="J1715" s="99"/>
      <c r="K1715" s="4"/>
    </row>
    <row r="1716" spans="3:11" x14ac:dyDescent="0.25">
      <c r="C1716" s="79"/>
      <c r="D1716" s="248"/>
      <c r="E1716" s="248"/>
      <c r="F1716" s="47"/>
      <c r="G1716" s="79"/>
      <c r="J1716" s="99"/>
      <c r="K1716" s="4"/>
    </row>
    <row r="1717" spans="3:11" x14ac:dyDescent="0.25">
      <c r="C1717" s="79"/>
      <c r="D1717" s="248"/>
      <c r="E1717" s="248"/>
      <c r="F1717" s="47"/>
      <c r="G1717" s="79"/>
      <c r="J1717" s="99"/>
      <c r="K1717" s="4"/>
    </row>
    <row r="1718" spans="3:11" x14ac:dyDescent="0.25">
      <c r="C1718" s="79"/>
      <c r="D1718" s="248"/>
      <c r="E1718" s="248"/>
      <c r="F1718" s="47"/>
      <c r="G1718" s="79"/>
      <c r="J1718" s="99"/>
      <c r="K1718" s="4"/>
    </row>
    <row r="1719" spans="3:11" x14ac:dyDescent="0.25">
      <c r="C1719" s="79"/>
      <c r="D1719" s="248"/>
      <c r="E1719" s="248"/>
      <c r="F1719" s="47"/>
      <c r="G1719" s="79"/>
      <c r="J1719" s="99"/>
      <c r="K1719" s="4"/>
    </row>
    <row r="1720" spans="3:11" x14ac:dyDescent="0.25">
      <c r="C1720" s="79"/>
      <c r="D1720" s="248"/>
      <c r="E1720" s="248"/>
      <c r="F1720" s="47"/>
      <c r="G1720" s="79"/>
      <c r="J1720" s="99"/>
      <c r="K1720" s="4"/>
    </row>
    <row r="1721" spans="3:11" x14ac:dyDescent="0.25">
      <c r="C1721" s="79"/>
      <c r="D1721" s="248"/>
      <c r="E1721" s="248"/>
      <c r="F1721" s="47"/>
      <c r="G1721" s="79"/>
      <c r="J1721" s="99"/>
      <c r="K1721" s="4"/>
    </row>
    <row r="1722" spans="3:11" x14ac:dyDescent="0.25">
      <c r="C1722" s="79"/>
      <c r="D1722" s="248"/>
      <c r="E1722" s="248"/>
      <c r="F1722" s="47"/>
      <c r="G1722" s="79"/>
      <c r="J1722" s="99"/>
      <c r="K1722" s="4"/>
    </row>
    <row r="1723" spans="3:11" x14ac:dyDescent="0.25">
      <c r="C1723" s="79"/>
      <c r="D1723" s="248"/>
      <c r="E1723" s="248"/>
      <c r="F1723" s="47"/>
      <c r="G1723" s="79"/>
      <c r="J1723" s="99"/>
      <c r="K1723" s="4"/>
    </row>
    <row r="1724" spans="3:11" x14ac:dyDescent="0.25">
      <c r="C1724" s="79"/>
      <c r="D1724" s="248"/>
      <c r="E1724" s="248"/>
      <c r="F1724" s="47"/>
      <c r="G1724" s="79"/>
      <c r="J1724" s="99"/>
      <c r="K1724" s="4"/>
    </row>
    <row r="1725" spans="3:11" x14ac:dyDescent="0.25">
      <c r="C1725" s="79"/>
      <c r="D1725" s="248"/>
      <c r="E1725" s="248"/>
      <c r="F1725" s="47"/>
      <c r="G1725" s="79"/>
      <c r="J1725" s="99"/>
      <c r="K1725" s="4"/>
    </row>
    <row r="1726" spans="3:11" x14ac:dyDescent="0.25">
      <c r="C1726" s="79"/>
      <c r="D1726" s="248"/>
      <c r="E1726" s="248"/>
      <c r="F1726" s="47"/>
      <c r="G1726" s="79"/>
      <c r="J1726" s="99"/>
      <c r="K1726" s="4"/>
    </row>
    <row r="1727" spans="3:11" x14ac:dyDescent="0.25">
      <c r="C1727" s="79"/>
      <c r="D1727" s="248"/>
      <c r="E1727" s="248"/>
      <c r="F1727" s="47"/>
      <c r="G1727" s="79"/>
      <c r="J1727" s="99"/>
      <c r="K1727" s="4"/>
    </row>
    <row r="1728" spans="3:11" x14ac:dyDescent="0.25">
      <c r="C1728" s="79"/>
      <c r="D1728" s="248"/>
      <c r="E1728" s="248"/>
      <c r="F1728" s="47"/>
      <c r="G1728" s="79"/>
      <c r="J1728" s="99"/>
      <c r="K1728" s="4"/>
    </row>
    <row r="1729" spans="3:11" x14ac:dyDescent="0.25">
      <c r="C1729" s="79"/>
      <c r="D1729" s="248"/>
      <c r="E1729" s="248"/>
      <c r="F1729" s="47"/>
      <c r="G1729" s="79"/>
      <c r="J1729" s="99"/>
      <c r="K1729" s="4"/>
    </row>
    <row r="1730" spans="3:11" x14ac:dyDescent="0.25">
      <c r="C1730" s="79"/>
      <c r="D1730" s="248"/>
      <c r="E1730" s="248"/>
      <c r="F1730" s="47"/>
      <c r="G1730" s="79"/>
      <c r="J1730" s="99"/>
      <c r="K1730" s="4"/>
    </row>
    <row r="1731" spans="3:11" x14ac:dyDescent="0.25">
      <c r="C1731" s="79"/>
      <c r="D1731" s="248"/>
      <c r="E1731" s="248"/>
      <c r="F1731" s="47"/>
      <c r="G1731" s="79"/>
      <c r="J1731" s="99"/>
      <c r="K1731" s="4"/>
    </row>
    <row r="1732" spans="3:11" x14ac:dyDescent="0.25">
      <c r="C1732" s="79"/>
      <c r="D1732" s="248"/>
      <c r="E1732" s="248"/>
      <c r="F1732" s="47"/>
      <c r="G1732" s="79"/>
      <c r="J1732" s="99"/>
      <c r="K1732" s="4"/>
    </row>
    <row r="1733" spans="3:11" x14ac:dyDescent="0.25">
      <c r="C1733" s="79"/>
      <c r="D1733" s="248"/>
      <c r="E1733" s="248"/>
      <c r="F1733" s="47"/>
      <c r="G1733" s="79"/>
      <c r="J1733" s="99"/>
      <c r="K1733" s="4"/>
    </row>
    <row r="1734" spans="3:11" x14ac:dyDescent="0.25">
      <c r="C1734" s="79"/>
      <c r="D1734" s="248"/>
      <c r="E1734" s="248"/>
      <c r="F1734" s="47"/>
      <c r="G1734" s="79"/>
      <c r="J1734" s="99"/>
      <c r="K1734" s="4"/>
    </row>
    <row r="1735" spans="3:11" x14ac:dyDescent="0.25">
      <c r="C1735" s="79"/>
      <c r="D1735" s="248"/>
      <c r="E1735" s="248"/>
      <c r="F1735" s="47"/>
      <c r="G1735" s="79"/>
      <c r="J1735" s="99"/>
      <c r="K1735" s="4"/>
    </row>
    <row r="1736" spans="3:11" x14ac:dyDescent="0.25">
      <c r="C1736" s="79"/>
      <c r="D1736" s="248"/>
      <c r="E1736" s="248"/>
      <c r="F1736" s="47"/>
      <c r="G1736" s="79"/>
      <c r="J1736" s="99"/>
      <c r="K1736" s="4"/>
    </row>
    <row r="1737" spans="3:11" x14ac:dyDescent="0.25">
      <c r="C1737" s="79"/>
      <c r="D1737" s="248"/>
      <c r="E1737" s="248"/>
      <c r="F1737" s="47"/>
      <c r="G1737" s="79"/>
      <c r="J1737" s="99"/>
      <c r="K1737" s="4"/>
    </row>
    <row r="1738" spans="3:11" x14ac:dyDescent="0.25">
      <c r="C1738" s="79"/>
      <c r="D1738" s="248"/>
      <c r="E1738" s="248"/>
      <c r="F1738" s="47"/>
      <c r="G1738" s="79"/>
      <c r="J1738" s="99"/>
      <c r="K1738" s="4"/>
    </row>
    <row r="1739" spans="3:11" x14ac:dyDescent="0.25">
      <c r="C1739" s="79"/>
      <c r="D1739" s="248"/>
      <c r="E1739" s="248"/>
      <c r="F1739" s="47"/>
      <c r="G1739" s="79"/>
      <c r="J1739" s="99"/>
      <c r="K1739" s="4"/>
    </row>
    <row r="1740" spans="3:11" x14ac:dyDescent="0.25">
      <c r="C1740" s="79"/>
      <c r="D1740" s="248"/>
      <c r="E1740" s="248"/>
      <c r="F1740" s="47"/>
      <c r="G1740" s="79"/>
      <c r="J1740" s="99"/>
      <c r="K1740" s="4"/>
    </row>
    <row r="1741" spans="3:11" x14ac:dyDescent="0.25">
      <c r="C1741" s="79"/>
      <c r="D1741" s="248"/>
      <c r="E1741" s="248"/>
      <c r="F1741" s="47"/>
      <c r="G1741" s="79"/>
      <c r="J1741" s="99"/>
      <c r="K1741" s="4"/>
    </row>
    <row r="1742" spans="3:11" x14ac:dyDescent="0.25">
      <c r="C1742" s="79"/>
      <c r="D1742" s="248"/>
      <c r="E1742" s="248"/>
      <c r="F1742" s="47"/>
      <c r="G1742" s="79"/>
      <c r="J1742" s="99"/>
      <c r="K1742" s="4"/>
    </row>
    <row r="1743" spans="3:11" x14ac:dyDescent="0.25">
      <c r="C1743" s="79"/>
      <c r="D1743" s="248"/>
      <c r="E1743" s="248"/>
      <c r="F1743" s="47"/>
      <c r="G1743" s="79"/>
      <c r="J1743" s="99"/>
      <c r="K1743" s="4"/>
    </row>
    <row r="1744" spans="3:11" x14ac:dyDescent="0.25">
      <c r="C1744" s="79"/>
      <c r="D1744" s="248"/>
      <c r="E1744" s="248"/>
      <c r="F1744" s="47"/>
      <c r="G1744" s="79"/>
      <c r="J1744" s="99"/>
      <c r="K1744" s="4"/>
    </row>
    <row r="1745" spans="3:11" x14ac:dyDescent="0.25">
      <c r="C1745" s="79"/>
      <c r="D1745" s="248"/>
      <c r="E1745" s="248"/>
      <c r="F1745" s="47"/>
      <c r="G1745" s="79"/>
      <c r="J1745" s="99"/>
      <c r="K1745" s="4"/>
    </row>
    <row r="1746" spans="3:11" x14ac:dyDescent="0.25">
      <c r="C1746" s="79"/>
      <c r="D1746" s="248"/>
      <c r="E1746" s="248"/>
      <c r="F1746" s="47"/>
      <c r="G1746" s="79"/>
      <c r="J1746" s="99"/>
      <c r="K1746" s="4"/>
    </row>
    <row r="1747" spans="3:11" x14ac:dyDescent="0.25">
      <c r="C1747" s="79"/>
      <c r="D1747" s="248"/>
      <c r="E1747" s="248"/>
      <c r="F1747" s="47"/>
      <c r="G1747" s="79"/>
      <c r="J1747" s="99"/>
      <c r="K1747" s="4"/>
    </row>
    <row r="1748" spans="3:11" x14ac:dyDescent="0.25">
      <c r="C1748" s="79"/>
      <c r="D1748" s="248"/>
      <c r="E1748" s="248"/>
      <c r="F1748" s="47"/>
      <c r="G1748" s="79"/>
      <c r="J1748" s="99"/>
      <c r="K1748" s="4"/>
    </row>
    <row r="1749" spans="3:11" x14ac:dyDescent="0.25">
      <c r="C1749" s="79"/>
      <c r="D1749" s="248"/>
      <c r="E1749" s="248"/>
      <c r="F1749" s="47"/>
      <c r="G1749" s="79"/>
      <c r="J1749" s="99"/>
      <c r="K1749" s="4"/>
    </row>
    <row r="1750" spans="3:11" x14ac:dyDescent="0.25">
      <c r="C1750" s="79"/>
      <c r="D1750" s="248"/>
      <c r="E1750" s="248"/>
      <c r="F1750" s="47"/>
      <c r="G1750" s="79"/>
      <c r="J1750" s="99"/>
      <c r="K1750" s="4"/>
    </row>
    <row r="1751" spans="3:11" x14ac:dyDescent="0.25">
      <c r="C1751" s="79"/>
      <c r="D1751" s="248"/>
      <c r="E1751" s="248"/>
      <c r="F1751" s="47"/>
      <c r="G1751" s="79"/>
      <c r="J1751" s="99"/>
      <c r="K1751" s="4"/>
    </row>
    <row r="1752" spans="3:11" x14ac:dyDescent="0.25">
      <c r="C1752" s="79"/>
      <c r="D1752" s="248"/>
      <c r="E1752" s="248"/>
      <c r="F1752" s="47"/>
      <c r="G1752" s="79"/>
      <c r="J1752" s="99"/>
      <c r="K1752" s="4"/>
    </row>
    <row r="1753" spans="3:11" x14ac:dyDescent="0.25">
      <c r="C1753" s="79"/>
      <c r="D1753" s="248"/>
      <c r="E1753" s="248"/>
      <c r="F1753" s="47"/>
      <c r="G1753" s="79"/>
      <c r="J1753" s="99"/>
      <c r="K1753" s="4"/>
    </row>
    <row r="1754" spans="3:11" x14ac:dyDescent="0.25">
      <c r="C1754" s="79"/>
      <c r="D1754" s="248"/>
      <c r="E1754" s="248"/>
      <c r="F1754" s="47"/>
      <c r="G1754" s="79"/>
      <c r="J1754" s="99"/>
      <c r="K1754" s="4"/>
    </row>
    <row r="1755" spans="3:11" x14ac:dyDescent="0.25">
      <c r="C1755" s="79"/>
      <c r="D1755" s="248"/>
      <c r="E1755" s="248"/>
      <c r="F1755" s="47"/>
      <c r="G1755" s="79"/>
      <c r="J1755" s="99"/>
      <c r="K1755" s="4"/>
    </row>
    <row r="1756" spans="3:11" x14ac:dyDescent="0.25">
      <c r="C1756" s="79"/>
      <c r="D1756" s="248"/>
      <c r="E1756" s="248"/>
      <c r="F1756" s="47"/>
      <c r="G1756" s="79"/>
      <c r="J1756" s="99"/>
      <c r="K1756" s="4"/>
    </row>
    <row r="1757" spans="3:11" x14ac:dyDescent="0.25">
      <c r="C1757" s="79"/>
      <c r="D1757" s="248"/>
      <c r="E1757" s="248"/>
      <c r="F1757" s="47"/>
      <c r="G1757" s="79"/>
      <c r="J1757" s="99"/>
      <c r="K1757" s="4"/>
    </row>
    <row r="1758" spans="3:11" x14ac:dyDescent="0.25">
      <c r="C1758" s="79"/>
      <c r="D1758" s="248"/>
      <c r="E1758" s="248"/>
      <c r="F1758" s="47"/>
      <c r="G1758" s="79"/>
      <c r="J1758" s="99"/>
      <c r="K1758" s="4"/>
    </row>
    <row r="1759" spans="3:11" x14ac:dyDescent="0.25">
      <c r="C1759" s="79"/>
      <c r="D1759" s="248"/>
      <c r="E1759" s="248"/>
      <c r="F1759" s="47"/>
      <c r="G1759" s="79"/>
      <c r="J1759" s="99"/>
      <c r="K1759" s="4"/>
    </row>
    <row r="1760" spans="3:11" x14ac:dyDescent="0.25">
      <c r="C1760" s="79"/>
      <c r="D1760" s="248"/>
      <c r="E1760" s="248"/>
      <c r="F1760" s="47"/>
      <c r="G1760" s="79"/>
      <c r="J1760" s="99"/>
      <c r="K1760" s="4"/>
    </row>
    <row r="1761" spans="3:11" x14ac:dyDescent="0.25">
      <c r="C1761" s="79"/>
      <c r="D1761" s="248"/>
      <c r="E1761" s="248"/>
      <c r="F1761" s="47"/>
      <c r="G1761" s="79"/>
      <c r="J1761" s="99"/>
      <c r="K1761" s="4"/>
    </row>
    <row r="1762" spans="3:11" x14ac:dyDescent="0.25">
      <c r="C1762" s="79"/>
      <c r="D1762" s="248"/>
      <c r="E1762" s="248"/>
      <c r="F1762" s="47"/>
      <c r="G1762" s="79"/>
      <c r="J1762" s="99"/>
      <c r="K1762" s="4"/>
    </row>
    <row r="1763" spans="3:11" x14ac:dyDescent="0.25">
      <c r="C1763" s="79"/>
      <c r="D1763" s="248"/>
      <c r="E1763" s="248"/>
      <c r="F1763" s="47"/>
      <c r="G1763" s="79"/>
      <c r="J1763" s="99"/>
      <c r="K1763" s="4"/>
    </row>
    <row r="1764" spans="3:11" x14ac:dyDescent="0.25">
      <c r="C1764" s="79"/>
      <c r="D1764" s="248"/>
      <c r="E1764" s="248"/>
      <c r="F1764" s="47"/>
      <c r="G1764" s="79"/>
      <c r="J1764" s="99"/>
      <c r="K1764" s="4"/>
    </row>
    <row r="1765" spans="3:11" x14ac:dyDescent="0.25">
      <c r="C1765" s="79"/>
      <c r="D1765" s="248"/>
      <c r="E1765" s="248"/>
      <c r="F1765" s="47"/>
      <c r="G1765" s="79"/>
      <c r="J1765" s="99"/>
      <c r="K1765" s="4"/>
    </row>
    <row r="1766" spans="3:11" x14ac:dyDescent="0.25">
      <c r="C1766" s="79"/>
      <c r="D1766" s="248"/>
      <c r="E1766" s="248"/>
      <c r="F1766" s="47"/>
      <c r="G1766" s="79"/>
      <c r="J1766" s="99"/>
      <c r="K1766" s="4"/>
    </row>
    <row r="1767" spans="3:11" x14ac:dyDescent="0.25">
      <c r="C1767" s="79"/>
      <c r="D1767" s="248"/>
      <c r="E1767" s="248"/>
      <c r="F1767" s="47"/>
      <c r="G1767" s="79"/>
      <c r="J1767" s="99"/>
      <c r="K1767" s="4"/>
    </row>
    <row r="1768" spans="3:11" x14ac:dyDescent="0.25">
      <c r="C1768" s="79"/>
      <c r="D1768" s="248"/>
      <c r="E1768" s="248"/>
      <c r="F1768" s="47"/>
      <c r="G1768" s="79"/>
      <c r="J1768" s="99"/>
      <c r="K1768" s="4"/>
    </row>
    <row r="1769" spans="3:11" x14ac:dyDescent="0.25">
      <c r="C1769" s="79"/>
      <c r="D1769" s="248"/>
      <c r="E1769" s="248"/>
      <c r="F1769" s="47"/>
      <c r="G1769" s="79"/>
      <c r="J1769" s="99"/>
      <c r="K1769" s="4"/>
    </row>
    <row r="1770" spans="3:11" x14ac:dyDescent="0.25">
      <c r="C1770" s="79"/>
      <c r="D1770" s="248"/>
      <c r="E1770" s="248"/>
      <c r="F1770" s="47"/>
      <c r="G1770" s="79"/>
      <c r="J1770" s="99"/>
      <c r="K1770" s="4"/>
    </row>
    <row r="1771" spans="3:11" x14ac:dyDescent="0.25">
      <c r="C1771" s="79"/>
      <c r="D1771" s="248"/>
      <c r="E1771" s="248"/>
      <c r="F1771" s="47"/>
      <c r="G1771" s="79"/>
      <c r="J1771" s="99"/>
      <c r="K1771" s="4"/>
    </row>
    <row r="1772" spans="3:11" x14ac:dyDescent="0.25">
      <c r="C1772" s="79"/>
      <c r="D1772" s="248"/>
      <c r="E1772" s="248"/>
      <c r="F1772" s="47"/>
      <c r="G1772" s="79"/>
      <c r="J1772" s="99"/>
      <c r="K1772" s="4"/>
    </row>
    <row r="1773" spans="3:11" x14ac:dyDescent="0.25">
      <c r="C1773" s="79"/>
      <c r="D1773" s="248"/>
      <c r="E1773" s="248"/>
      <c r="F1773" s="47"/>
      <c r="G1773" s="79"/>
      <c r="J1773" s="99"/>
      <c r="K1773" s="4"/>
    </row>
    <row r="1774" spans="3:11" x14ac:dyDescent="0.25">
      <c r="C1774" s="79"/>
      <c r="D1774" s="248"/>
      <c r="E1774" s="248"/>
      <c r="F1774" s="47"/>
      <c r="G1774" s="79"/>
      <c r="J1774" s="99"/>
      <c r="K1774" s="4"/>
    </row>
    <row r="1775" spans="3:11" x14ac:dyDescent="0.25">
      <c r="C1775" s="79"/>
      <c r="D1775" s="248"/>
      <c r="E1775" s="248"/>
      <c r="F1775" s="47"/>
      <c r="G1775" s="79"/>
      <c r="J1775" s="99"/>
      <c r="K1775" s="4"/>
    </row>
    <row r="1776" spans="3:11" x14ac:dyDescent="0.25">
      <c r="C1776" s="79"/>
      <c r="D1776" s="248"/>
      <c r="E1776" s="248"/>
      <c r="F1776" s="47"/>
      <c r="G1776" s="79"/>
      <c r="J1776" s="99"/>
      <c r="K1776" s="4"/>
    </row>
    <row r="1777" spans="3:11" x14ac:dyDescent="0.25">
      <c r="C1777" s="79"/>
      <c r="D1777" s="248"/>
      <c r="E1777" s="248"/>
      <c r="F1777" s="47"/>
      <c r="G1777" s="79"/>
      <c r="J1777" s="99"/>
      <c r="K1777" s="4"/>
    </row>
    <row r="1778" spans="3:11" x14ac:dyDescent="0.25">
      <c r="C1778" s="79"/>
      <c r="D1778" s="248"/>
      <c r="E1778" s="248"/>
      <c r="F1778" s="47"/>
      <c r="G1778" s="79"/>
      <c r="J1778" s="99"/>
      <c r="K1778" s="4"/>
    </row>
    <row r="1779" spans="3:11" x14ac:dyDescent="0.25">
      <c r="C1779" s="79"/>
      <c r="D1779" s="248"/>
      <c r="E1779" s="248"/>
      <c r="F1779" s="47"/>
      <c r="G1779" s="79"/>
      <c r="J1779" s="99"/>
      <c r="K1779" s="4"/>
    </row>
    <row r="1780" spans="3:11" x14ac:dyDescent="0.25">
      <c r="C1780" s="79"/>
      <c r="D1780" s="248"/>
      <c r="E1780" s="248"/>
      <c r="F1780" s="47"/>
      <c r="G1780" s="79"/>
      <c r="J1780" s="99"/>
      <c r="K1780" s="4"/>
    </row>
    <row r="1781" spans="3:11" x14ac:dyDescent="0.25">
      <c r="C1781" s="79"/>
      <c r="D1781" s="248"/>
      <c r="E1781" s="248"/>
      <c r="F1781" s="47"/>
      <c r="G1781" s="79"/>
      <c r="J1781" s="99"/>
      <c r="K1781" s="4"/>
    </row>
    <row r="1782" spans="3:11" x14ac:dyDescent="0.25">
      <c r="C1782" s="79"/>
      <c r="D1782" s="248"/>
      <c r="E1782" s="248"/>
      <c r="F1782" s="47"/>
      <c r="G1782" s="79"/>
      <c r="J1782" s="99"/>
      <c r="K1782" s="4"/>
    </row>
    <row r="1783" spans="3:11" x14ac:dyDescent="0.25">
      <c r="C1783" s="79"/>
      <c r="D1783" s="248"/>
      <c r="E1783" s="248"/>
      <c r="F1783" s="47"/>
      <c r="G1783" s="79"/>
      <c r="J1783" s="99"/>
      <c r="K1783" s="4"/>
    </row>
    <row r="1784" spans="3:11" x14ac:dyDescent="0.25">
      <c r="C1784" s="79"/>
      <c r="D1784" s="248"/>
      <c r="E1784" s="248"/>
      <c r="F1784" s="47"/>
      <c r="G1784" s="79"/>
      <c r="J1784" s="99"/>
      <c r="K1784" s="4"/>
    </row>
    <row r="1785" spans="3:11" x14ac:dyDescent="0.25">
      <c r="C1785" s="79"/>
      <c r="D1785" s="248"/>
      <c r="E1785" s="248"/>
      <c r="F1785" s="47"/>
      <c r="G1785" s="79"/>
      <c r="J1785" s="99"/>
      <c r="K1785" s="4"/>
    </row>
    <row r="1786" spans="3:11" x14ac:dyDescent="0.25">
      <c r="C1786" s="79"/>
      <c r="D1786" s="248"/>
      <c r="E1786" s="248"/>
      <c r="F1786" s="47"/>
      <c r="G1786" s="79"/>
      <c r="J1786" s="99"/>
      <c r="K1786" s="4"/>
    </row>
    <row r="1787" spans="3:11" x14ac:dyDescent="0.25">
      <c r="C1787" s="79"/>
      <c r="D1787" s="248"/>
      <c r="E1787" s="248"/>
      <c r="F1787" s="47"/>
      <c r="G1787" s="79"/>
      <c r="J1787" s="99"/>
      <c r="K1787" s="4"/>
    </row>
    <row r="1788" spans="3:11" x14ac:dyDescent="0.25">
      <c r="C1788" s="79"/>
      <c r="D1788" s="248"/>
      <c r="E1788" s="248"/>
      <c r="F1788" s="47"/>
      <c r="G1788" s="79"/>
      <c r="J1788" s="99"/>
      <c r="K1788" s="4"/>
    </row>
    <row r="1789" spans="3:11" x14ac:dyDescent="0.25">
      <c r="C1789" s="79"/>
      <c r="D1789" s="248"/>
      <c r="E1789" s="248"/>
      <c r="F1789" s="47"/>
      <c r="G1789" s="79"/>
      <c r="J1789" s="99"/>
      <c r="K1789" s="4"/>
    </row>
    <row r="1790" spans="3:11" x14ac:dyDescent="0.25">
      <c r="C1790" s="79"/>
      <c r="D1790" s="248"/>
      <c r="E1790" s="248"/>
      <c r="F1790" s="47"/>
      <c r="G1790" s="79"/>
      <c r="J1790" s="99"/>
      <c r="K1790" s="4"/>
    </row>
    <row r="1791" spans="3:11" x14ac:dyDescent="0.25">
      <c r="C1791" s="79"/>
      <c r="D1791" s="248"/>
      <c r="E1791" s="248"/>
      <c r="F1791" s="47"/>
      <c r="G1791" s="79"/>
      <c r="J1791" s="99"/>
      <c r="K1791" s="4"/>
    </row>
    <row r="1792" spans="3:11" x14ac:dyDescent="0.25">
      <c r="C1792" s="79"/>
      <c r="D1792" s="248"/>
      <c r="E1792" s="248"/>
      <c r="F1792" s="47"/>
      <c r="G1792" s="79"/>
      <c r="J1792" s="99"/>
      <c r="K1792" s="4"/>
    </row>
    <row r="1793" spans="3:11" x14ac:dyDescent="0.25">
      <c r="C1793" s="79"/>
      <c r="D1793" s="248"/>
      <c r="E1793" s="248"/>
      <c r="F1793" s="47"/>
      <c r="G1793" s="79"/>
      <c r="J1793" s="99"/>
      <c r="K1793" s="4"/>
    </row>
    <row r="1794" spans="3:11" x14ac:dyDescent="0.25">
      <c r="C1794" s="79"/>
      <c r="D1794" s="248"/>
      <c r="E1794" s="248"/>
      <c r="F1794" s="47"/>
      <c r="G1794" s="79"/>
      <c r="J1794" s="99"/>
      <c r="K1794" s="4"/>
    </row>
    <row r="1795" spans="3:11" x14ac:dyDescent="0.25">
      <c r="C1795" s="79"/>
      <c r="D1795" s="248"/>
      <c r="E1795" s="248"/>
      <c r="F1795" s="47"/>
      <c r="G1795" s="79"/>
      <c r="J1795" s="99"/>
      <c r="K1795" s="4"/>
    </row>
    <row r="1796" spans="3:11" x14ac:dyDescent="0.25">
      <c r="C1796" s="79"/>
      <c r="D1796" s="248"/>
      <c r="E1796" s="248"/>
      <c r="F1796" s="47"/>
      <c r="G1796" s="79"/>
      <c r="J1796" s="99"/>
      <c r="K1796" s="4"/>
    </row>
    <row r="1797" spans="3:11" x14ac:dyDescent="0.25">
      <c r="C1797" s="79"/>
      <c r="D1797" s="248"/>
      <c r="E1797" s="248"/>
      <c r="F1797" s="47"/>
      <c r="G1797" s="79"/>
      <c r="J1797" s="99"/>
      <c r="K1797" s="4"/>
    </row>
    <row r="1798" spans="3:11" x14ac:dyDescent="0.25">
      <c r="C1798" s="79"/>
      <c r="D1798" s="248"/>
      <c r="E1798" s="248"/>
      <c r="F1798" s="47"/>
      <c r="G1798" s="79"/>
      <c r="J1798" s="99"/>
      <c r="K1798" s="4"/>
    </row>
    <row r="1799" spans="3:11" x14ac:dyDescent="0.25">
      <c r="C1799" s="79"/>
      <c r="D1799" s="248"/>
      <c r="E1799" s="248"/>
      <c r="F1799" s="47"/>
      <c r="G1799" s="79"/>
      <c r="J1799" s="99"/>
      <c r="K1799" s="4"/>
    </row>
    <row r="1800" spans="3:11" x14ac:dyDescent="0.25">
      <c r="C1800" s="79"/>
      <c r="D1800" s="248"/>
      <c r="E1800" s="248"/>
      <c r="F1800" s="47"/>
      <c r="G1800" s="79"/>
      <c r="J1800" s="99"/>
      <c r="K1800" s="4"/>
    </row>
    <row r="1801" spans="3:11" x14ac:dyDescent="0.25">
      <c r="C1801" s="79"/>
      <c r="D1801" s="248"/>
      <c r="E1801" s="248"/>
      <c r="F1801" s="47"/>
      <c r="G1801" s="79"/>
      <c r="J1801" s="99"/>
      <c r="K1801" s="4"/>
    </row>
    <row r="1802" spans="3:11" x14ac:dyDescent="0.25">
      <c r="C1802" s="79"/>
      <c r="D1802" s="248"/>
      <c r="E1802" s="248"/>
      <c r="F1802" s="47"/>
      <c r="G1802" s="79"/>
      <c r="J1802" s="99"/>
      <c r="K1802" s="4"/>
    </row>
    <row r="1803" spans="3:11" x14ac:dyDescent="0.25">
      <c r="C1803" s="79"/>
      <c r="D1803" s="248"/>
      <c r="E1803" s="248"/>
      <c r="F1803" s="47"/>
      <c r="G1803" s="79"/>
      <c r="J1803" s="99"/>
      <c r="K1803" s="4"/>
    </row>
    <row r="1804" spans="3:11" x14ac:dyDescent="0.25">
      <c r="C1804" s="79"/>
      <c r="D1804" s="248"/>
      <c r="E1804" s="248"/>
      <c r="F1804" s="47"/>
      <c r="G1804" s="79"/>
      <c r="J1804" s="99"/>
      <c r="K1804" s="4"/>
    </row>
    <row r="1805" spans="3:11" x14ac:dyDescent="0.25">
      <c r="C1805" s="79"/>
      <c r="D1805" s="248"/>
      <c r="E1805" s="248"/>
      <c r="F1805" s="47"/>
      <c r="G1805" s="79"/>
      <c r="J1805" s="99"/>
      <c r="K1805" s="4"/>
    </row>
    <row r="1806" spans="3:11" x14ac:dyDescent="0.25">
      <c r="C1806" s="79"/>
      <c r="D1806" s="248"/>
      <c r="E1806" s="248"/>
      <c r="F1806" s="47"/>
      <c r="G1806" s="79"/>
      <c r="J1806" s="99"/>
      <c r="K1806" s="4"/>
    </row>
    <row r="1807" spans="3:11" x14ac:dyDescent="0.25">
      <c r="C1807" s="79"/>
      <c r="D1807" s="248"/>
      <c r="E1807" s="248"/>
      <c r="F1807" s="47"/>
      <c r="G1807" s="79"/>
      <c r="J1807" s="99"/>
      <c r="K1807" s="4"/>
    </row>
    <row r="1808" spans="3:11" x14ac:dyDescent="0.25">
      <c r="C1808" s="79"/>
      <c r="D1808" s="248"/>
      <c r="E1808" s="248"/>
      <c r="F1808" s="47"/>
      <c r="G1808" s="79"/>
      <c r="J1808" s="99"/>
      <c r="K1808" s="4"/>
    </row>
    <row r="1809" spans="3:11" x14ac:dyDescent="0.25">
      <c r="C1809" s="79"/>
      <c r="D1809" s="248"/>
      <c r="E1809" s="248"/>
      <c r="F1809" s="47"/>
      <c r="G1809" s="79"/>
      <c r="J1809" s="99"/>
      <c r="K1809" s="4"/>
    </row>
    <row r="1810" spans="3:11" x14ac:dyDescent="0.25">
      <c r="C1810" s="79"/>
      <c r="D1810" s="248"/>
      <c r="E1810" s="248"/>
      <c r="F1810" s="47"/>
      <c r="G1810" s="79"/>
      <c r="J1810" s="99"/>
      <c r="K1810" s="4"/>
    </row>
    <row r="1811" spans="3:11" x14ac:dyDescent="0.25">
      <c r="C1811" s="79"/>
      <c r="D1811" s="248"/>
      <c r="E1811" s="248"/>
      <c r="F1811" s="47"/>
      <c r="G1811" s="79"/>
      <c r="J1811" s="99"/>
      <c r="K1811" s="4"/>
    </row>
    <row r="1812" spans="3:11" x14ac:dyDescent="0.25">
      <c r="C1812" s="79"/>
      <c r="D1812" s="248"/>
      <c r="E1812" s="248"/>
      <c r="F1812" s="47"/>
      <c r="G1812" s="79"/>
      <c r="J1812" s="99"/>
      <c r="K1812" s="4"/>
    </row>
    <row r="1813" spans="3:11" x14ac:dyDescent="0.25">
      <c r="C1813" s="79"/>
      <c r="D1813" s="248"/>
      <c r="E1813" s="248"/>
      <c r="F1813" s="47"/>
      <c r="G1813" s="79"/>
      <c r="J1813" s="99"/>
      <c r="K1813" s="4"/>
    </row>
    <row r="1814" spans="3:11" x14ac:dyDescent="0.25">
      <c r="C1814" s="79"/>
      <c r="D1814" s="248"/>
      <c r="E1814" s="248"/>
      <c r="F1814" s="47"/>
      <c r="G1814" s="79"/>
      <c r="J1814" s="99"/>
      <c r="K1814" s="4"/>
    </row>
    <row r="1815" spans="3:11" x14ac:dyDescent="0.25">
      <c r="C1815" s="79"/>
      <c r="D1815" s="248"/>
      <c r="E1815" s="248"/>
      <c r="F1815" s="47"/>
      <c r="G1815" s="79"/>
      <c r="J1815" s="99"/>
      <c r="K1815" s="4"/>
    </row>
    <row r="1816" spans="3:11" x14ac:dyDescent="0.25">
      <c r="C1816" s="79"/>
      <c r="D1816" s="248"/>
      <c r="E1816" s="248"/>
      <c r="F1816" s="47"/>
      <c r="G1816" s="79"/>
      <c r="J1816" s="99"/>
      <c r="K1816" s="4"/>
    </row>
    <row r="1817" spans="3:11" x14ac:dyDescent="0.25">
      <c r="C1817" s="79"/>
      <c r="D1817" s="248"/>
      <c r="E1817" s="248"/>
      <c r="F1817" s="47"/>
      <c r="G1817" s="79"/>
      <c r="J1817" s="99"/>
      <c r="K1817" s="4"/>
    </row>
    <row r="1818" spans="3:11" x14ac:dyDescent="0.25">
      <c r="C1818" s="79"/>
      <c r="D1818" s="248"/>
      <c r="E1818" s="248"/>
      <c r="F1818" s="47"/>
      <c r="G1818" s="79"/>
      <c r="J1818" s="99"/>
      <c r="K1818" s="4"/>
    </row>
    <row r="1819" spans="3:11" x14ac:dyDescent="0.25">
      <c r="C1819" s="79"/>
      <c r="D1819" s="248"/>
      <c r="E1819" s="248"/>
      <c r="F1819" s="47"/>
      <c r="G1819" s="79"/>
      <c r="J1819" s="99"/>
      <c r="K1819" s="4"/>
    </row>
    <row r="1820" spans="3:11" x14ac:dyDescent="0.25">
      <c r="C1820" s="79"/>
      <c r="D1820" s="248"/>
      <c r="E1820" s="248"/>
      <c r="F1820" s="47"/>
      <c r="G1820" s="79"/>
      <c r="J1820" s="99"/>
      <c r="K1820" s="4"/>
    </row>
    <row r="1821" spans="3:11" x14ac:dyDescent="0.25">
      <c r="C1821" s="79"/>
      <c r="D1821" s="248"/>
      <c r="E1821" s="248"/>
      <c r="F1821" s="47"/>
      <c r="G1821" s="79"/>
      <c r="J1821" s="99"/>
      <c r="K1821" s="4"/>
    </row>
    <row r="1822" spans="3:11" x14ac:dyDescent="0.25">
      <c r="C1822" s="79"/>
      <c r="D1822" s="248"/>
      <c r="E1822" s="248"/>
      <c r="F1822" s="47"/>
      <c r="G1822" s="79"/>
      <c r="J1822" s="99"/>
      <c r="K1822" s="4"/>
    </row>
    <row r="1823" spans="3:11" x14ac:dyDescent="0.25">
      <c r="C1823" s="79"/>
      <c r="D1823" s="248"/>
      <c r="E1823" s="248"/>
      <c r="F1823" s="47"/>
      <c r="G1823" s="79"/>
      <c r="J1823" s="99"/>
      <c r="K1823" s="4"/>
    </row>
    <row r="1824" spans="3:11" x14ac:dyDescent="0.25">
      <c r="C1824" s="79"/>
      <c r="D1824" s="248"/>
      <c r="E1824" s="248"/>
      <c r="F1824" s="47"/>
      <c r="G1824" s="79"/>
      <c r="J1824" s="99"/>
      <c r="K1824" s="4"/>
    </row>
    <row r="1825" spans="3:11" x14ac:dyDescent="0.25">
      <c r="C1825" s="79"/>
      <c r="D1825" s="248"/>
      <c r="E1825" s="248"/>
      <c r="F1825" s="47"/>
      <c r="G1825" s="79"/>
      <c r="J1825" s="99"/>
      <c r="K1825" s="4"/>
    </row>
    <row r="1826" spans="3:11" x14ac:dyDescent="0.25">
      <c r="C1826" s="79"/>
      <c r="D1826" s="248"/>
      <c r="E1826" s="248"/>
      <c r="F1826" s="47"/>
      <c r="G1826" s="79"/>
      <c r="J1826" s="99"/>
      <c r="K1826" s="4"/>
    </row>
    <row r="1827" spans="3:11" x14ac:dyDescent="0.25">
      <c r="C1827" s="79"/>
      <c r="D1827" s="248"/>
      <c r="E1827" s="248"/>
      <c r="F1827" s="47"/>
      <c r="G1827" s="79"/>
      <c r="J1827" s="99"/>
      <c r="K1827" s="4"/>
    </row>
    <row r="1828" spans="3:11" x14ac:dyDescent="0.25">
      <c r="C1828" s="79"/>
      <c r="D1828" s="248"/>
      <c r="E1828" s="248"/>
      <c r="F1828" s="47"/>
      <c r="G1828" s="79"/>
      <c r="J1828" s="99"/>
      <c r="K1828" s="4"/>
    </row>
    <row r="1829" spans="3:11" x14ac:dyDescent="0.25">
      <c r="C1829" s="79"/>
      <c r="D1829" s="248"/>
      <c r="E1829" s="248"/>
      <c r="F1829" s="47"/>
      <c r="G1829" s="79"/>
      <c r="J1829" s="99"/>
      <c r="K1829" s="4"/>
    </row>
    <row r="1830" spans="3:11" x14ac:dyDescent="0.25">
      <c r="C1830" s="79"/>
      <c r="D1830" s="248"/>
      <c r="E1830" s="248"/>
      <c r="F1830" s="47"/>
      <c r="G1830" s="79"/>
      <c r="J1830" s="99"/>
      <c r="K1830" s="4"/>
    </row>
    <row r="1831" spans="3:11" x14ac:dyDescent="0.25">
      <c r="C1831" s="79"/>
      <c r="D1831" s="248"/>
      <c r="E1831" s="248"/>
      <c r="F1831" s="47"/>
      <c r="G1831" s="79"/>
      <c r="J1831" s="99"/>
      <c r="K1831" s="4"/>
    </row>
    <row r="1832" spans="3:11" x14ac:dyDescent="0.25">
      <c r="C1832" s="79"/>
      <c r="D1832" s="248"/>
      <c r="E1832" s="248"/>
      <c r="F1832" s="47"/>
      <c r="G1832" s="79"/>
      <c r="J1832" s="99"/>
      <c r="K1832" s="4"/>
    </row>
    <row r="1833" spans="3:11" x14ac:dyDescent="0.25">
      <c r="C1833" s="79"/>
      <c r="D1833" s="248"/>
      <c r="E1833" s="248"/>
      <c r="F1833" s="47"/>
      <c r="G1833" s="79"/>
      <c r="J1833" s="99"/>
      <c r="K1833" s="4"/>
    </row>
    <row r="1834" spans="3:11" x14ac:dyDescent="0.25">
      <c r="C1834" s="79"/>
      <c r="D1834" s="248"/>
      <c r="E1834" s="248"/>
      <c r="F1834" s="47"/>
      <c r="G1834" s="79"/>
      <c r="J1834" s="99"/>
      <c r="K1834" s="4"/>
    </row>
    <row r="1835" spans="3:11" x14ac:dyDescent="0.25">
      <c r="C1835" s="79"/>
      <c r="D1835" s="248"/>
      <c r="E1835" s="248"/>
      <c r="F1835" s="47"/>
      <c r="G1835" s="79"/>
      <c r="J1835" s="99"/>
      <c r="K1835" s="4"/>
    </row>
    <row r="1836" spans="3:11" x14ac:dyDescent="0.25">
      <c r="C1836" s="79"/>
      <c r="D1836" s="248"/>
      <c r="E1836" s="248"/>
      <c r="F1836" s="47"/>
      <c r="G1836" s="79"/>
      <c r="J1836" s="99"/>
      <c r="K1836" s="4"/>
    </row>
    <row r="1837" spans="3:11" x14ac:dyDescent="0.25">
      <c r="C1837" s="79"/>
      <c r="D1837" s="248"/>
      <c r="E1837" s="248"/>
      <c r="F1837" s="47"/>
      <c r="G1837" s="79"/>
      <c r="J1837" s="99"/>
      <c r="K1837" s="4"/>
    </row>
    <row r="1838" spans="3:11" x14ac:dyDescent="0.25">
      <c r="C1838" s="79"/>
      <c r="D1838" s="248"/>
      <c r="E1838" s="248"/>
      <c r="F1838" s="47"/>
      <c r="G1838" s="79"/>
      <c r="J1838" s="99"/>
      <c r="K1838" s="4"/>
    </row>
    <row r="1839" spans="3:11" x14ac:dyDescent="0.25">
      <c r="C1839" s="79"/>
      <c r="D1839" s="248"/>
      <c r="E1839" s="248"/>
      <c r="F1839" s="47"/>
      <c r="G1839" s="79"/>
      <c r="J1839" s="99"/>
      <c r="K1839" s="4"/>
    </row>
    <row r="1840" spans="3:11" x14ac:dyDescent="0.25">
      <c r="C1840" s="79"/>
      <c r="D1840" s="248"/>
      <c r="E1840" s="248"/>
      <c r="F1840" s="47"/>
      <c r="G1840" s="79"/>
      <c r="J1840" s="99"/>
      <c r="K1840" s="4"/>
    </row>
    <row r="1841" spans="3:11" x14ac:dyDescent="0.25">
      <c r="C1841" s="79"/>
      <c r="D1841" s="248"/>
      <c r="E1841" s="248"/>
      <c r="F1841" s="47"/>
      <c r="G1841" s="79"/>
      <c r="J1841" s="99"/>
      <c r="K1841" s="4"/>
    </row>
    <row r="1842" spans="3:11" x14ac:dyDescent="0.25">
      <c r="C1842" s="79"/>
      <c r="D1842" s="248"/>
      <c r="E1842" s="248"/>
      <c r="F1842" s="47"/>
      <c r="G1842" s="79"/>
      <c r="J1842" s="99"/>
      <c r="K1842" s="4"/>
    </row>
    <row r="1843" spans="3:11" x14ac:dyDescent="0.25">
      <c r="C1843" s="79"/>
      <c r="D1843" s="248"/>
      <c r="E1843" s="248"/>
      <c r="F1843" s="47"/>
      <c r="G1843" s="79"/>
      <c r="J1843" s="99"/>
      <c r="K1843" s="4"/>
    </row>
    <row r="1844" spans="3:11" x14ac:dyDescent="0.25">
      <c r="C1844" s="79"/>
      <c r="D1844" s="248"/>
      <c r="E1844" s="248"/>
      <c r="F1844" s="47"/>
      <c r="G1844" s="79"/>
      <c r="J1844" s="99"/>
      <c r="K1844" s="4"/>
    </row>
    <row r="1845" spans="3:11" x14ac:dyDescent="0.25">
      <c r="C1845" s="79"/>
      <c r="D1845" s="248"/>
      <c r="E1845" s="248"/>
      <c r="F1845" s="47"/>
      <c r="G1845" s="79"/>
      <c r="J1845" s="99"/>
      <c r="K1845" s="4"/>
    </row>
    <row r="1846" spans="3:11" x14ac:dyDescent="0.25">
      <c r="C1846" s="79"/>
      <c r="D1846" s="248"/>
      <c r="E1846" s="248"/>
      <c r="F1846" s="47"/>
      <c r="G1846" s="79"/>
      <c r="J1846" s="99"/>
      <c r="K1846" s="4"/>
    </row>
    <row r="1847" spans="3:11" x14ac:dyDescent="0.25">
      <c r="C1847" s="79"/>
      <c r="D1847" s="248"/>
      <c r="E1847" s="248"/>
      <c r="F1847" s="47"/>
      <c r="G1847" s="79"/>
      <c r="J1847" s="99"/>
      <c r="K1847" s="4"/>
    </row>
    <row r="1848" spans="3:11" x14ac:dyDescent="0.25">
      <c r="C1848" s="79"/>
      <c r="D1848" s="248"/>
      <c r="E1848" s="248"/>
      <c r="F1848" s="47"/>
      <c r="G1848" s="79"/>
      <c r="J1848" s="99"/>
      <c r="K1848" s="4"/>
    </row>
    <row r="1849" spans="3:11" x14ac:dyDescent="0.25">
      <c r="C1849" s="79"/>
      <c r="D1849" s="248"/>
      <c r="E1849" s="248"/>
      <c r="F1849" s="47"/>
      <c r="G1849" s="79"/>
      <c r="J1849" s="99"/>
      <c r="K1849" s="4"/>
    </row>
    <row r="1850" spans="3:11" x14ac:dyDescent="0.25">
      <c r="C1850" s="79"/>
      <c r="D1850" s="248"/>
      <c r="E1850" s="248"/>
      <c r="F1850" s="47"/>
      <c r="G1850" s="79"/>
      <c r="J1850" s="99"/>
      <c r="K1850" s="4"/>
    </row>
    <row r="1851" spans="3:11" x14ac:dyDescent="0.25">
      <c r="C1851" s="79"/>
      <c r="D1851" s="248"/>
      <c r="E1851" s="248"/>
      <c r="F1851" s="47"/>
      <c r="G1851" s="79"/>
      <c r="J1851" s="99"/>
      <c r="K1851" s="4"/>
    </row>
    <row r="1852" spans="3:11" x14ac:dyDescent="0.25">
      <c r="C1852" s="79"/>
      <c r="D1852" s="248"/>
      <c r="E1852" s="248"/>
      <c r="F1852" s="47"/>
      <c r="G1852" s="79"/>
      <c r="J1852" s="99"/>
      <c r="K1852" s="4"/>
    </row>
    <row r="1853" spans="3:11" x14ac:dyDescent="0.25">
      <c r="C1853" s="79"/>
      <c r="D1853" s="248"/>
      <c r="E1853" s="248"/>
      <c r="F1853" s="47"/>
      <c r="G1853" s="79"/>
      <c r="J1853" s="99"/>
      <c r="K1853" s="4"/>
    </row>
    <row r="1854" spans="3:11" x14ac:dyDescent="0.25">
      <c r="C1854" s="79"/>
      <c r="D1854" s="248"/>
      <c r="E1854" s="248"/>
      <c r="F1854" s="47"/>
      <c r="G1854" s="79"/>
      <c r="J1854" s="99"/>
      <c r="K1854" s="4"/>
    </row>
    <row r="1855" spans="3:11" x14ac:dyDescent="0.25">
      <c r="C1855" s="79"/>
      <c r="D1855" s="248"/>
      <c r="E1855" s="248"/>
      <c r="F1855" s="47"/>
      <c r="G1855" s="79"/>
      <c r="J1855" s="99"/>
      <c r="K1855" s="4"/>
    </row>
    <row r="1856" spans="3:11" x14ac:dyDescent="0.25">
      <c r="C1856" s="79"/>
      <c r="D1856" s="248"/>
      <c r="E1856" s="248"/>
      <c r="F1856" s="47"/>
      <c r="G1856" s="79"/>
      <c r="J1856" s="99"/>
      <c r="K1856" s="4"/>
    </row>
    <row r="1857" spans="3:11" x14ac:dyDescent="0.25">
      <c r="C1857" s="79"/>
      <c r="D1857" s="248"/>
      <c r="E1857" s="248"/>
      <c r="F1857" s="47"/>
      <c r="G1857" s="79"/>
      <c r="J1857" s="99"/>
      <c r="K1857" s="4"/>
    </row>
    <row r="1858" spans="3:11" x14ac:dyDescent="0.25">
      <c r="C1858" s="79"/>
      <c r="D1858" s="248"/>
      <c r="E1858" s="248"/>
      <c r="F1858" s="47"/>
      <c r="G1858" s="79"/>
      <c r="J1858" s="99"/>
      <c r="K1858" s="4"/>
    </row>
    <row r="1859" spans="3:11" x14ac:dyDescent="0.25">
      <c r="C1859" s="79"/>
      <c r="D1859" s="248"/>
      <c r="E1859" s="248"/>
      <c r="F1859" s="47"/>
      <c r="G1859" s="79"/>
      <c r="J1859" s="99"/>
      <c r="K1859" s="4"/>
    </row>
    <row r="1860" spans="3:11" x14ac:dyDescent="0.25">
      <c r="C1860" s="79"/>
      <c r="D1860" s="248"/>
      <c r="E1860" s="248"/>
      <c r="F1860" s="47"/>
      <c r="G1860" s="79"/>
      <c r="J1860" s="99"/>
      <c r="K1860" s="4"/>
    </row>
    <row r="1861" spans="3:11" x14ac:dyDescent="0.25">
      <c r="C1861" s="79"/>
      <c r="D1861" s="248"/>
      <c r="E1861" s="248"/>
      <c r="F1861" s="47"/>
      <c r="G1861" s="79"/>
      <c r="J1861" s="99"/>
      <c r="K1861" s="4"/>
    </row>
    <row r="1862" spans="3:11" x14ac:dyDescent="0.25">
      <c r="C1862" s="79"/>
      <c r="D1862" s="248"/>
      <c r="E1862" s="248"/>
      <c r="F1862" s="47"/>
      <c r="G1862" s="79"/>
      <c r="J1862" s="99"/>
      <c r="K1862" s="4"/>
    </row>
    <row r="1863" spans="3:11" x14ac:dyDescent="0.25">
      <c r="C1863" s="79"/>
      <c r="D1863" s="248"/>
      <c r="E1863" s="248"/>
      <c r="F1863" s="47"/>
      <c r="G1863" s="79"/>
      <c r="J1863" s="99"/>
      <c r="K1863" s="4"/>
    </row>
    <row r="1864" spans="3:11" x14ac:dyDescent="0.25">
      <c r="C1864" s="79"/>
      <c r="D1864" s="248"/>
      <c r="E1864" s="248"/>
      <c r="F1864" s="47"/>
      <c r="G1864" s="79"/>
      <c r="J1864" s="99"/>
      <c r="K1864" s="4"/>
    </row>
    <row r="1865" spans="3:11" x14ac:dyDescent="0.25">
      <c r="C1865" s="79"/>
      <c r="D1865" s="248"/>
      <c r="E1865" s="248"/>
      <c r="F1865" s="47"/>
      <c r="G1865" s="79"/>
      <c r="J1865" s="99"/>
      <c r="K1865" s="4"/>
    </row>
    <row r="1866" spans="3:11" x14ac:dyDescent="0.25">
      <c r="C1866" s="79"/>
      <c r="D1866" s="248"/>
      <c r="E1866" s="248"/>
      <c r="F1866" s="47"/>
      <c r="G1866" s="79"/>
      <c r="J1866" s="99"/>
      <c r="K1866" s="4"/>
    </row>
    <row r="1867" spans="3:11" x14ac:dyDescent="0.25">
      <c r="C1867" s="79"/>
      <c r="D1867" s="248"/>
      <c r="E1867" s="248"/>
      <c r="F1867" s="47"/>
      <c r="G1867" s="79"/>
      <c r="J1867" s="99"/>
      <c r="K1867" s="4"/>
    </row>
    <row r="1868" spans="3:11" x14ac:dyDescent="0.25">
      <c r="C1868" s="79"/>
      <c r="D1868" s="248"/>
      <c r="E1868" s="248"/>
      <c r="F1868" s="47"/>
      <c r="G1868" s="79"/>
      <c r="J1868" s="99"/>
      <c r="K1868" s="4"/>
    </row>
    <row r="1869" spans="3:11" x14ac:dyDescent="0.25">
      <c r="C1869" s="79"/>
      <c r="D1869" s="248"/>
      <c r="E1869" s="248"/>
      <c r="F1869" s="47"/>
      <c r="G1869" s="79"/>
      <c r="J1869" s="99"/>
      <c r="K1869" s="4"/>
    </row>
    <row r="1870" spans="3:11" x14ac:dyDescent="0.25">
      <c r="C1870" s="79"/>
      <c r="D1870" s="248"/>
      <c r="E1870" s="248"/>
      <c r="F1870" s="47"/>
      <c r="G1870" s="79"/>
      <c r="J1870" s="99"/>
      <c r="K1870" s="4"/>
    </row>
    <row r="1871" spans="3:11" x14ac:dyDescent="0.25">
      <c r="C1871" s="79"/>
      <c r="D1871" s="248"/>
      <c r="E1871" s="248"/>
      <c r="F1871" s="47"/>
      <c r="G1871" s="79"/>
      <c r="J1871" s="99"/>
      <c r="K1871" s="4"/>
    </row>
    <row r="1872" spans="3:11" x14ac:dyDescent="0.25">
      <c r="C1872" s="79"/>
      <c r="D1872" s="248"/>
      <c r="E1872" s="248"/>
      <c r="F1872" s="47"/>
      <c r="G1872" s="79"/>
      <c r="J1872" s="99"/>
      <c r="K1872" s="4"/>
    </row>
    <row r="1873" spans="3:11" x14ac:dyDescent="0.25">
      <c r="C1873" s="79"/>
      <c r="D1873" s="248"/>
      <c r="E1873" s="248"/>
      <c r="F1873" s="47"/>
      <c r="G1873" s="79"/>
      <c r="J1873" s="99"/>
      <c r="K1873" s="4"/>
    </row>
    <row r="1874" spans="3:11" x14ac:dyDescent="0.25">
      <c r="C1874" s="79"/>
      <c r="D1874" s="248"/>
      <c r="E1874" s="248"/>
      <c r="F1874" s="47"/>
      <c r="G1874" s="79"/>
      <c r="J1874" s="99"/>
      <c r="K1874" s="4"/>
    </row>
    <row r="1875" spans="3:11" x14ac:dyDescent="0.25">
      <c r="C1875" s="79"/>
      <c r="D1875" s="248"/>
      <c r="E1875" s="248"/>
      <c r="F1875" s="47"/>
      <c r="G1875" s="79"/>
      <c r="J1875" s="99"/>
      <c r="K1875" s="4"/>
    </row>
    <row r="1876" spans="3:11" x14ac:dyDescent="0.25">
      <c r="C1876" s="79"/>
      <c r="D1876" s="248"/>
      <c r="E1876" s="248"/>
      <c r="F1876" s="47"/>
      <c r="G1876" s="79"/>
      <c r="J1876" s="99"/>
      <c r="K1876" s="4"/>
    </row>
    <row r="1877" spans="3:11" x14ac:dyDescent="0.25">
      <c r="C1877" s="79"/>
      <c r="D1877" s="248"/>
      <c r="E1877" s="248"/>
      <c r="F1877" s="47"/>
      <c r="G1877" s="79"/>
      <c r="J1877" s="99"/>
      <c r="K1877" s="4"/>
    </row>
    <row r="1878" spans="3:11" x14ac:dyDescent="0.25">
      <c r="C1878" s="79"/>
      <c r="D1878" s="248"/>
      <c r="E1878" s="248"/>
      <c r="F1878" s="47"/>
      <c r="G1878" s="79"/>
      <c r="J1878" s="99"/>
      <c r="K1878" s="4"/>
    </row>
    <row r="1879" spans="3:11" x14ac:dyDescent="0.25">
      <c r="C1879" s="79"/>
      <c r="D1879" s="248"/>
      <c r="E1879" s="248"/>
      <c r="F1879" s="47"/>
      <c r="G1879" s="79"/>
      <c r="J1879" s="99"/>
      <c r="K1879" s="4"/>
    </row>
    <row r="1880" spans="3:11" x14ac:dyDescent="0.25">
      <c r="C1880" s="79"/>
      <c r="D1880" s="248"/>
      <c r="E1880" s="248"/>
      <c r="F1880" s="47"/>
      <c r="G1880" s="79"/>
      <c r="J1880" s="99"/>
      <c r="K1880" s="4"/>
    </row>
    <row r="1881" spans="3:11" x14ac:dyDescent="0.25">
      <c r="C1881" s="79"/>
      <c r="D1881" s="248"/>
      <c r="E1881" s="248"/>
      <c r="F1881" s="47"/>
      <c r="G1881" s="79"/>
      <c r="J1881" s="99"/>
      <c r="K1881" s="4"/>
    </row>
    <row r="1882" spans="3:11" x14ac:dyDescent="0.25">
      <c r="C1882" s="79"/>
      <c r="D1882" s="248"/>
      <c r="E1882" s="248"/>
      <c r="F1882" s="47"/>
      <c r="G1882" s="79"/>
      <c r="J1882" s="99"/>
      <c r="K1882" s="4"/>
    </row>
    <row r="1883" spans="3:11" x14ac:dyDescent="0.25">
      <c r="C1883" s="79"/>
      <c r="D1883" s="248"/>
      <c r="E1883" s="248"/>
      <c r="F1883" s="47"/>
      <c r="G1883" s="79"/>
      <c r="J1883" s="99"/>
      <c r="K1883" s="4"/>
    </row>
    <row r="1884" spans="3:11" x14ac:dyDescent="0.25">
      <c r="C1884" s="79"/>
      <c r="D1884" s="248"/>
      <c r="E1884" s="248"/>
      <c r="F1884" s="47"/>
      <c r="G1884" s="79"/>
      <c r="J1884" s="99"/>
      <c r="K1884" s="4"/>
    </row>
    <row r="1885" spans="3:11" x14ac:dyDescent="0.25">
      <c r="C1885" s="79"/>
      <c r="D1885" s="248"/>
      <c r="E1885" s="248"/>
      <c r="F1885" s="47"/>
      <c r="G1885" s="79"/>
      <c r="J1885" s="99"/>
      <c r="K1885" s="4"/>
    </row>
    <row r="1886" spans="3:11" x14ac:dyDescent="0.25">
      <c r="C1886" s="79"/>
      <c r="D1886" s="248"/>
      <c r="E1886" s="248"/>
      <c r="F1886" s="47"/>
      <c r="G1886" s="79"/>
      <c r="J1886" s="99"/>
      <c r="K1886" s="4"/>
    </row>
    <row r="1887" spans="3:11" x14ac:dyDescent="0.25">
      <c r="C1887" s="79"/>
      <c r="D1887" s="248"/>
      <c r="E1887" s="248"/>
      <c r="F1887" s="47"/>
      <c r="G1887" s="79"/>
      <c r="J1887" s="99"/>
      <c r="K1887" s="4"/>
    </row>
    <row r="1888" spans="3:11" x14ac:dyDescent="0.25">
      <c r="C1888" s="79"/>
      <c r="D1888" s="248"/>
      <c r="E1888" s="248"/>
      <c r="F1888" s="47"/>
      <c r="G1888" s="79"/>
      <c r="J1888" s="99"/>
      <c r="K1888" s="4"/>
    </row>
    <row r="1889" spans="3:11" x14ac:dyDescent="0.25">
      <c r="C1889" s="79"/>
      <c r="D1889" s="248"/>
      <c r="E1889" s="248"/>
      <c r="F1889" s="47"/>
      <c r="G1889" s="79"/>
      <c r="J1889" s="99"/>
      <c r="K1889" s="4"/>
    </row>
    <row r="1890" spans="3:11" x14ac:dyDescent="0.25">
      <c r="C1890" s="79"/>
      <c r="D1890" s="248"/>
      <c r="E1890" s="248"/>
      <c r="F1890" s="47"/>
      <c r="G1890" s="79"/>
      <c r="J1890" s="99"/>
      <c r="K1890" s="4"/>
    </row>
    <row r="1891" spans="3:11" x14ac:dyDescent="0.25">
      <c r="C1891" s="79"/>
      <c r="D1891" s="248"/>
      <c r="E1891" s="248"/>
      <c r="F1891" s="47"/>
      <c r="G1891" s="79"/>
      <c r="J1891" s="99"/>
      <c r="K1891" s="4"/>
    </row>
    <row r="1892" spans="3:11" x14ac:dyDescent="0.25">
      <c r="C1892" s="79"/>
      <c r="D1892" s="248"/>
      <c r="E1892" s="248"/>
      <c r="F1892" s="47"/>
      <c r="G1892" s="79"/>
      <c r="J1892" s="99"/>
      <c r="K1892" s="4"/>
    </row>
    <row r="1893" spans="3:11" x14ac:dyDescent="0.25">
      <c r="C1893" s="79"/>
      <c r="D1893" s="248"/>
      <c r="E1893" s="248"/>
      <c r="F1893" s="47"/>
      <c r="G1893" s="79"/>
      <c r="J1893" s="99"/>
      <c r="K1893" s="4"/>
    </row>
    <row r="1894" spans="3:11" x14ac:dyDescent="0.25">
      <c r="C1894" s="79"/>
      <c r="D1894" s="248"/>
      <c r="E1894" s="248"/>
      <c r="F1894" s="47"/>
      <c r="G1894" s="79"/>
      <c r="J1894" s="99"/>
      <c r="K1894" s="4"/>
    </row>
    <row r="1895" spans="3:11" x14ac:dyDescent="0.25">
      <c r="C1895" s="79"/>
      <c r="D1895" s="248"/>
      <c r="E1895" s="248"/>
      <c r="F1895" s="47"/>
      <c r="G1895" s="79"/>
      <c r="J1895" s="99"/>
      <c r="K1895" s="4"/>
    </row>
    <row r="1896" spans="3:11" x14ac:dyDescent="0.25">
      <c r="C1896" s="79"/>
      <c r="D1896" s="248"/>
      <c r="E1896" s="248"/>
      <c r="F1896" s="47"/>
      <c r="G1896" s="79"/>
      <c r="J1896" s="99"/>
      <c r="K1896" s="4"/>
    </row>
    <row r="1897" spans="3:11" x14ac:dyDescent="0.25">
      <c r="C1897" s="79"/>
      <c r="D1897" s="248"/>
      <c r="E1897" s="248"/>
      <c r="F1897" s="47"/>
      <c r="G1897" s="79"/>
      <c r="J1897" s="99"/>
      <c r="K1897" s="4"/>
    </row>
    <row r="1898" spans="3:11" x14ac:dyDescent="0.25">
      <c r="C1898" s="79"/>
      <c r="D1898" s="248"/>
      <c r="E1898" s="248"/>
      <c r="F1898" s="47"/>
      <c r="G1898" s="79"/>
      <c r="J1898" s="99"/>
      <c r="K1898" s="4"/>
    </row>
    <row r="1899" spans="3:11" x14ac:dyDescent="0.25">
      <c r="C1899" s="79"/>
      <c r="D1899" s="248"/>
      <c r="E1899" s="248"/>
      <c r="F1899" s="47"/>
      <c r="G1899" s="79"/>
      <c r="J1899" s="99"/>
      <c r="K1899" s="4"/>
    </row>
    <row r="1900" spans="3:11" x14ac:dyDescent="0.25">
      <c r="C1900" s="79"/>
      <c r="D1900" s="248"/>
      <c r="E1900" s="248"/>
      <c r="F1900" s="47"/>
      <c r="G1900" s="79"/>
      <c r="J1900" s="99"/>
      <c r="K1900" s="4"/>
    </row>
    <row r="1901" spans="3:11" x14ac:dyDescent="0.25">
      <c r="C1901" s="79"/>
      <c r="D1901" s="248"/>
      <c r="E1901" s="248"/>
      <c r="F1901" s="47"/>
      <c r="G1901" s="79"/>
      <c r="J1901" s="99"/>
      <c r="K1901" s="4"/>
    </row>
    <row r="1902" spans="3:11" x14ac:dyDescent="0.25">
      <c r="C1902" s="79"/>
      <c r="D1902" s="248"/>
      <c r="E1902" s="248"/>
      <c r="F1902" s="47"/>
      <c r="G1902" s="79"/>
      <c r="J1902" s="99"/>
      <c r="K1902" s="4"/>
    </row>
    <row r="1903" spans="3:11" x14ac:dyDescent="0.25">
      <c r="C1903" s="79"/>
      <c r="D1903" s="248"/>
      <c r="E1903" s="248"/>
      <c r="F1903" s="47"/>
      <c r="G1903" s="79"/>
      <c r="J1903" s="99"/>
      <c r="K1903" s="4"/>
    </row>
    <row r="1904" spans="3:11" x14ac:dyDescent="0.25">
      <c r="C1904" s="79"/>
      <c r="D1904" s="248"/>
      <c r="E1904" s="248"/>
      <c r="F1904" s="47"/>
      <c r="G1904" s="79"/>
      <c r="J1904" s="99"/>
      <c r="K1904" s="4"/>
    </row>
    <row r="1905" spans="3:11" x14ac:dyDescent="0.25">
      <c r="C1905" s="79"/>
      <c r="D1905" s="248"/>
      <c r="E1905" s="248"/>
      <c r="F1905" s="47"/>
      <c r="G1905" s="79"/>
      <c r="J1905" s="99"/>
      <c r="K1905" s="4"/>
    </row>
    <row r="1906" spans="3:11" x14ac:dyDescent="0.25">
      <c r="C1906" s="79"/>
      <c r="D1906" s="248"/>
      <c r="E1906" s="248"/>
      <c r="F1906" s="47"/>
      <c r="G1906" s="79"/>
      <c r="J1906" s="99"/>
      <c r="K1906" s="4"/>
    </row>
    <row r="1907" spans="3:11" x14ac:dyDescent="0.25">
      <c r="C1907" s="79"/>
      <c r="D1907" s="248"/>
      <c r="E1907" s="248"/>
      <c r="F1907" s="47"/>
      <c r="G1907" s="79"/>
      <c r="J1907" s="99"/>
      <c r="K1907" s="4"/>
    </row>
    <row r="1908" spans="3:11" x14ac:dyDescent="0.25">
      <c r="C1908" s="79"/>
      <c r="D1908" s="248"/>
      <c r="E1908" s="248"/>
      <c r="F1908" s="47"/>
      <c r="G1908" s="79"/>
      <c r="J1908" s="99"/>
      <c r="K1908" s="4"/>
    </row>
    <row r="1909" spans="3:11" x14ac:dyDescent="0.25">
      <c r="C1909" s="79"/>
      <c r="D1909" s="248"/>
      <c r="E1909" s="248"/>
      <c r="F1909" s="47"/>
      <c r="G1909" s="79"/>
      <c r="J1909" s="99"/>
      <c r="K1909" s="4"/>
    </row>
    <row r="1910" spans="3:11" x14ac:dyDescent="0.25">
      <c r="C1910" s="79"/>
      <c r="D1910" s="248"/>
      <c r="E1910" s="248"/>
      <c r="F1910" s="47"/>
      <c r="G1910" s="79"/>
      <c r="J1910" s="99"/>
      <c r="K1910" s="4"/>
    </row>
    <row r="1911" spans="3:11" x14ac:dyDescent="0.25">
      <c r="C1911" s="79"/>
      <c r="D1911" s="248"/>
      <c r="E1911" s="248"/>
      <c r="F1911" s="47"/>
      <c r="G1911" s="79"/>
      <c r="J1911" s="99"/>
      <c r="K1911" s="4"/>
    </row>
    <row r="1912" spans="3:11" x14ac:dyDescent="0.25">
      <c r="C1912" s="79"/>
      <c r="D1912" s="248"/>
      <c r="E1912" s="248"/>
      <c r="F1912" s="47"/>
      <c r="G1912" s="79"/>
      <c r="J1912" s="99"/>
      <c r="K1912" s="4"/>
    </row>
    <row r="1913" spans="3:11" x14ac:dyDescent="0.25">
      <c r="C1913" s="79"/>
      <c r="D1913" s="248"/>
      <c r="E1913" s="248"/>
      <c r="F1913" s="47"/>
      <c r="G1913" s="79"/>
      <c r="J1913" s="99"/>
      <c r="K1913" s="4"/>
    </row>
    <row r="1914" spans="3:11" x14ac:dyDescent="0.25">
      <c r="C1914" s="79"/>
      <c r="D1914" s="248"/>
      <c r="E1914" s="248"/>
      <c r="F1914" s="47"/>
      <c r="G1914" s="79"/>
      <c r="J1914" s="99"/>
      <c r="K1914" s="4"/>
    </row>
    <row r="1915" spans="3:11" x14ac:dyDescent="0.25">
      <c r="C1915" s="79"/>
      <c r="D1915" s="248"/>
      <c r="E1915" s="248"/>
      <c r="F1915" s="47"/>
      <c r="G1915" s="79"/>
      <c r="J1915" s="99"/>
      <c r="K1915" s="4"/>
    </row>
    <row r="1916" spans="3:11" x14ac:dyDescent="0.25">
      <c r="C1916" s="79"/>
      <c r="D1916" s="248"/>
      <c r="E1916" s="248"/>
      <c r="F1916" s="47"/>
      <c r="G1916" s="79"/>
      <c r="J1916" s="99"/>
      <c r="K1916" s="4"/>
    </row>
    <row r="1917" spans="3:11" x14ac:dyDescent="0.25">
      <c r="C1917" s="79"/>
      <c r="D1917" s="248"/>
      <c r="E1917" s="248"/>
      <c r="F1917" s="47"/>
      <c r="G1917" s="79"/>
      <c r="J1917" s="99"/>
      <c r="K1917" s="4"/>
    </row>
    <row r="1918" spans="3:11" x14ac:dyDescent="0.25">
      <c r="C1918" s="79"/>
      <c r="D1918" s="248"/>
      <c r="E1918" s="248"/>
      <c r="F1918" s="47"/>
      <c r="G1918" s="79"/>
      <c r="J1918" s="99"/>
      <c r="K1918" s="4"/>
    </row>
    <row r="1919" spans="3:11" x14ac:dyDescent="0.25">
      <c r="C1919" s="79"/>
      <c r="D1919" s="248"/>
      <c r="E1919" s="248"/>
      <c r="F1919" s="47"/>
      <c r="G1919" s="79"/>
      <c r="J1919" s="99"/>
      <c r="K1919" s="4"/>
    </row>
    <row r="1920" spans="3:11" x14ac:dyDescent="0.25">
      <c r="C1920" s="79"/>
      <c r="D1920" s="248"/>
      <c r="E1920" s="248"/>
      <c r="F1920" s="47"/>
      <c r="G1920" s="79"/>
      <c r="J1920" s="99"/>
      <c r="K1920" s="4"/>
    </row>
    <row r="1921" spans="3:11" x14ac:dyDescent="0.25">
      <c r="C1921" s="79"/>
      <c r="D1921" s="248"/>
      <c r="E1921" s="248"/>
      <c r="F1921" s="47"/>
      <c r="G1921" s="79"/>
      <c r="J1921" s="99"/>
      <c r="K1921" s="4"/>
    </row>
    <row r="1922" spans="3:11" x14ac:dyDescent="0.25">
      <c r="C1922" s="79"/>
      <c r="D1922" s="248"/>
      <c r="E1922" s="248"/>
      <c r="F1922" s="47"/>
      <c r="G1922" s="79"/>
      <c r="J1922" s="99"/>
      <c r="K1922" s="4"/>
    </row>
    <row r="1923" spans="3:11" x14ac:dyDescent="0.25">
      <c r="C1923" s="79"/>
      <c r="D1923" s="248"/>
      <c r="E1923" s="248"/>
      <c r="F1923" s="47"/>
      <c r="G1923" s="79"/>
      <c r="J1923" s="99"/>
      <c r="K1923" s="4"/>
    </row>
    <row r="1924" spans="3:11" x14ac:dyDescent="0.25">
      <c r="C1924" s="79"/>
      <c r="D1924" s="248"/>
      <c r="E1924" s="248"/>
      <c r="F1924" s="47"/>
      <c r="G1924" s="79"/>
      <c r="J1924" s="99"/>
      <c r="K1924" s="4"/>
    </row>
    <row r="1925" spans="3:11" x14ac:dyDescent="0.25">
      <c r="C1925" s="79"/>
      <c r="D1925" s="248"/>
      <c r="E1925" s="248"/>
      <c r="F1925" s="47"/>
      <c r="G1925" s="79"/>
      <c r="J1925" s="99"/>
      <c r="K1925" s="4"/>
    </row>
    <row r="1926" spans="3:11" x14ac:dyDescent="0.25">
      <c r="C1926" s="79"/>
      <c r="D1926" s="248"/>
      <c r="E1926" s="248"/>
      <c r="F1926" s="47"/>
      <c r="G1926" s="79"/>
      <c r="J1926" s="99"/>
      <c r="K1926" s="4"/>
    </row>
    <row r="1927" spans="3:11" x14ac:dyDescent="0.25">
      <c r="C1927" s="79"/>
      <c r="D1927" s="248"/>
      <c r="E1927" s="248"/>
      <c r="F1927" s="47"/>
      <c r="G1927" s="79"/>
      <c r="J1927" s="99"/>
      <c r="K1927" s="4"/>
    </row>
    <row r="1928" spans="3:11" x14ac:dyDescent="0.25">
      <c r="C1928" s="79"/>
      <c r="D1928" s="248"/>
      <c r="E1928" s="248"/>
      <c r="F1928" s="47"/>
      <c r="G1928" s="79"/>
      <c r="J1928" s="99"/>
      <c r="K1928" s="4"/>
    </row>
    <row r="1929" spans="3:11" x14ac:dyDescent="0.25">
      <c r="C1929" s="79"/>
      <c r="D1929" s="248"/>
      <c r="E1929" s="248"/>
      <c r="F1929" s="47"/>
      <c r="G1929" s="79"/>
      <c r="J1929" s="99"/>
      <c r="K1929" s="4"/>
    </row>
    <row r="1930" spans="3:11" x14ac:dyDescent="0.25">
      <c r="C1930" s="79"/>
      <c r="D1930" s="248"/>
      <c r="E1930" s="248"/>
      <c r="F1930" s="47"/>
      <c r="G1930" s="79"/>
      <c r="J1930" s="99"/>
      <c r="K1930" s="4"/>
    </row>
    <row r="1931" spans="3:11" x14ac:dyDescent="0.25">
      <c r="C1931" s="79"/>
      <c r="D1931" s="248"/>
      <c r="E1931" s="248"/>
      <c r="F1931" s="47"/>
      <c r="G1931" s="79"/>
      <c r="J1931" s="99"/>
      <c r="K1931" s="4"/>
    </row>
    <row r="1932" spans="3:11" x14ac:dyDescent="0.25">
      <c r="C1932" s="79"/>
      <c r="D1932" s="248"/>
      <c r="E1932" s="248"/>
      <c r="F1932" s="47"/>
      <c r="G1932" s="79"/>
      <c r="J1932" s="99"/>
      <c r="K1932" s="4"/>
    </row>
    <row r="1933" spans="3:11" x14ac:dyDescent="0.25">
      <c r="C1933" s="79"/>
      <c r="D1933" s="248"/>
      <c r="E1933" s="248"/>
      <c r="F1933" s="47"/>
      <c r="G1933" s="79"/>
      <c r="J1933" s="99"/>
      <c r="K1933" s="4"/>
    </row>
    <row r="1934" spans="3:11" x14ac:dyDescent="0.25">
      <c r="C1934" s="79"/>
      <c r="D1934" s="248"/>
      <c r="E1934" s="248"/>
      <c r="F1934" s="47"/>
      <c r="G1934" s="79"/>
      <c r="J1934" s="99"/>
      <c r="K1934" s="4"/>
    </row>
    <row r="1935" spans="3:11" x14ac:dyDescent="0.25">
      <c r="C1935" s="79"/>
      <c r="D1935" s="248"/>
      <c r="E1935" s="248"/>
      <c r="F1935" s="47"/>
      <c r="G1935" s="79"/>
      <c r="J1935" s="99"/>
      <c r="K1935" s="4"/>
    </row>
    <row r="1936" spans="3:11" x14ac:dyDescent="0.25">
      <c r="C1936" s="79"/>
      <c r="D1936" s="248"/>
      <c r="E1936" s="248"/>
      <c r="F1936" s="47"/>
      <c r="G1936" s="79"/>
      <c r="J1936" s="99"/>
      <c r="K1936" s="4"/>
    </row>
    <row r="1937" spans="3:11" x14ac:dyDescent="0.25">
      <c r="C1937" s="79"/>
      <c r="D1937" s="248"/>
      <c r="E1937" s="248"/>
      <c r="F1937" s="47"/>
      <c r="G1937" s="79"/>
      <c r="J1937" s="99"/>
      <c r="K1937" s="4"/>
    </row>
    <row r="1938" spans="3:11" x14ac:dyDescent="0.25">
      <c r="C1938" s="79"/>
      <c r="D1938" s="248"/>
      <c r="E1938" s="248"/>
      <c r="F1938" s="47"/>
      <c r="G1938" s="79"/>
      <c r="J1938" s="99"/>
      <c r="K1938" s="4"/>
    </row>
    <row r="1939" spans="3:11" x14ac:dyDescent="0.25">
      <c r="C1939" s="79"/>
      <c r="D1939" s="248"/>
      <c r="E1939" s="248"/>
      <c r="F1939" s="47"/>
      <c r="G1939" s="79"/>
      <c r="J1939" s="99"/>
      <c r="K1939" s="4"/>
    </row>
    <row r="1940" spans="3:11" x14ac:dyDescent="0.25">
      <c r="C1940" s="79"/>
      <c r="D1940" s="248"/>
      <c r="E1940" s="248"/>
      <c r="F1940" s="47"/>
      <c r="G1940" s="79"/>
      <c r="J1940" s="99"/>
      <c r="K1940" s="4"/>
    </row>
    <row r="1941" spans="3:11" x14ac:dyDescent="0.25">
      <c r="C1941" s="79"/>
      <c r="D1941" s="248"/>
      <c r="E1941" s="248"/>
      <c r="F1941" s="47"/>
      <c r="G1941" s="79"/>
      <c r="J1941" s="99"/>
      <c r="K1941" s="4"/>
    </row>
    <row r="1942" spans="3:11" x14ac:dyDescent="0.25">
      <c r="C1942" s="79"/>
      <c r="D1942" s="248"/>
      <c r="E1942" s="248"/>
      <c r="F1942" s="47"/>
      <c r="G1942" s="79"/>
      <c r="J1942" s="99"/>
      <c r="K1942" s="4"/>
    </row>
    <row r="1943" spans="3:11" x14ac:dyDescent="0.25">
      <c r="C1943" s="79"/>
      <c r="D1943" s="248"/>
      <c r="E1943" s="248"/>
      <c r="F1943" s="47"/>
      <c r="G1943" s="79"/>
      <c r="J1943" s="99"/>
      <c r="K1943" s="4"/>
    </row>
    <row r="1944" spans="3:11" x14ac:dyDescent="0.25">
      <c r="C1944" s="79"/>
      <c r="D1944" s="248"/>
      <c r="E1944" s="248"/>
      <c r="F1944" s="47"/>
      <c r="G1944" s="79"/>
      <c r="J1944" s="99"/>
      <c r="K1944" s="4"/>
    </row>
    <row r="1945" spans="3:11" x14ac:dyDescent="0.25">
      <c r="C1945" s="79"/>
      <c r="D1945" s="248"/>
      <c r="E1945" s="248"/>
      <c r="F1945" s="47"/>
      <c r="G1945" s="79"/>
      <c r="J1945" s="99"/>
      <c r="K1945" s="4"/>
    </row>
    <row r="1946" spans="3:11" x14ac:dyDescent="0.25">
      <c r="C1946" s="79"/>
      <c r="D1946" s="248"/>
      <c r="E1946" s="248"/>
      <c r="F1946" s="47"/>
      <c r="G1946" s="79"/>
      <c r="J1946" s="99"/>
      <c r="K1946" s="4"/>
    </row>
    <row r="1947" spans="3:11" x14ac:dyDescent="0.25">
      <c r="C1947" s="79"/>
      <c r="D1947" s="248"/>
      <c r="E1947" s="248"/>
      <c r="F1947" s="47"/>
      <c r="G1947" s="79"/>
      <c r="J1947" s="99"/>
      <c r="K1947" s="4"/>
    </row>
    <row r="1948" spans="3:11" x14ac:dyDescent="0.25">
      <c r="C1948" s="79"/>
      <c r="D1948" s="248"/>
      <c r="E1948" s="248"/>
      <c r="F1948" s="47"/>
      <c r="G1948" s="79"/>
      <c r="J1948" s="99"/>
      <c r="K1948" s="4"/>
    </row>
    <row r="1949" spans="3:11" x14ac:dyDescent="0.25">
      <c r="C1949" s="79"/>
      <c r="D1949" s="248"/>
      <c r="E1949" s="248"/>
      <c r="F1949" s="47"/>
      <c r="G1949" s="79"/>
      <c r="J1949" s="99"/>
      <c r="K1949" s="4"/>
    </row>
    <row r="1950" spans="3:11" x14ac:dyDescent="0.25">
      <c r="C1950" s="79"/>
      <c r="D1950" s="248"/>
      <c r="E1950" s="248"/>
      <c r="F1950" s="47"/>
      <c r="G1950" s="79"/>
      <c r="J1950" s="99"/>
      <c r="K1950" s="4"/>
    </row>
    <row r="1951" spans="3:11" x14ac:dyDescent="0.25">
      <c r="C1951" s="79"/>
      <c r="D1951" s="248"/>
      <c r="E1951" s="248"/>
      <c r="F1951" s="47"/>
      <c r="G1951" s="79"/>
      <c r="J1951" s="99"/>
      <c r="K1951" s="4"/>
    </row>
    <row r="1952" spans="3:11" x14ac:dyDescent="0.25">
      <c r="C1952" s="79"/>
      <c r="D1952" s="248"/>
      <c r="E1952" s="248"/>
      <c r="F1952" s="47"/>
      <c r="G1952" s="79"/>
      <c r="J1952" s="99"/>
      <c r="K1952" s="4"/>
    </row>
    <row r="1953" spans="3:11" x14ac:dyDescent="0.25">
      <c r="C1953" s="79"/>
      <c r="D1953" s="248"/>
      <c r="E1953" s="248"/>
      <c r="F1953" s="47"/>
      <c r="G1953" s="79"/>
      <c r="J1953" s="99"/>
      <c r="K1953" s="4"/>
    </row>
    <row r="1954" spans="3:11" x14ac:dyDescent="0.25">
      <c r="C1954" s="79"/>
      <c r="D1954" s="248"/>
      <c r="E1954" s="248"/>
      <c r="F1954" s="47"/>
      <c r="G1954" s="79"/>
      <c r="J1954" s="99"/>
      <c r="K1954" s="4"/>
    </row>
    <row r="1955" spans="3:11" x14ac:dyDescent="0.25">
      <c r="C1955" s="79"/>
      <c r="D1955" s="248"/>
      <c r="E1955" s="248"/>
      <c r="F1955" s="47"/>
      <c r="G1955" s="79"/>
      <c r="J1955" s="99"/>
      <c r="K1955" s="4"/>
    </row>
    <row r="1956" spans="3:11" x14ac:dyDescent="0.25">
      <c r="C1956" s="79"/>
      <c r="D1956" s="248"/>
      <c r="E1956" s="248"/>
      <c r="F1956" s="47"/>
      <c r="G1956" s="79"/>
      <c r="J1956" s="99"/>
      <c r="K1956" s="4"/>
    </row>
    <row r="1957" spans="3:11" x14ac:dyDescent="0.25">
      <c r="C1957" s="79"/>
      <c r="D1957" s="248"/>
      <c r="E1957" s="248"/>
      <c r="F1957" s="47"/>
      <c r="G1957" s="79"/>
      <c r="J1957" s="99"/>
      <c r="K1957" s="4"/>
    </row>
    <row r="1958" spans="3:11" x14ac:dyDescent="0.25">
      <c r="C1958" s="79"/>
      <c r="D1958" s="248"/>
      <c r="E1958" s="248"/>
      <c r="F1958" s="47"/>
      <c r="G1958" s="79"/>
      <c r="J1958" s="99"/>
      <c r="K1958" s="4"/>
    </row>
    <row r="1959" spans="3:11" x14ac:dyDescent="0.25">
      <c r="C1959" s="79"/>
      <c r="D1959" s="248"/>
      <c r="E1959" s="248"/>
      <c r="F1959" s="47"/>
      <c r="G1959" s="79"/>
      <c r="J1959" s="99"/>
      <c r="K1959" s="4"/>
    </row>
    <row r="1960" spans="3:11" x14ac:dyDescent="0.25">
      <c r="C1960" s="79"/>
      <c r="D1960" s="248"/>
      <c r="E1960" s="248"/>
      <c r="F1960" s="47"/>
      <c r="G1960" s="79"/>
      <c r="J1960" s="99"/>
      <c r="K1960" s="4"/>
    </row>
    <row r="1961" spans="3:11" x14ac:dyDescent="0.25">
      <c r="C1961" s="79"/>
      <c r="D1961" s="248"/>
      <c r="E1961" s="248"/>
      <c r="F1961" s="47"/>
      <c r="G1961" s="79"/>
      <c r="J1961" s="99"/>
      <c r="K1961" s="4"/>
    </row>
    <row r="1962" spans="3:11" x14ac:dyDescent="0.25">
      <c r="C1962" s="79"/>
      <c r="D1962" s="248"/>
      <c r="E1962" s="248"/>
      <c r="F1962" s="47"/>
      <c r="G1962" s="79"/>
      <c r="J1962" s="99"/>
      <c r="K1962" s="4"/>
    </row>
    <row r="1963" spans="3:11" x14ac:dyDescent="0.25">
      <c r="C1963" s="79"/>
      <c r="D1963" s="248"/>
      <c r="E1963" s="248"/>
      <c r="F1963" s="47"/>
      <c r="G1963" s="79"/>
      <c r="J1963" s="99"/>
      <c r="K1963" s="4"/>
    </row>
    <row r="1964" spans="3:11" x14ac:dyDescent="0.25">
      <c r="C1964" s="79"/>
      <c r="D1964" s="248"/>
      <c r="E1964" s="248"/>
      <c r="F1964" s="47"/>
      <c r="G1964" s="79"/>
      <c r="J1964" s="99"/>
      <c r="K1964" s="4"/>
    </row>
    <row r="1965" spans="3:11" x14ac:dyDescent="0.25">
      <c r="C1965" s="79"/>
      <c r="D1965" s="248"/>
      <c r="E1965" s="248"/>
      <c r="F1965" s="47"/>
      <c r="G1965" s="79"/>
      <c r="J1965" s="99"/>
      <c r="K1965" s="4"/>
    </row>
    <row r="1966" spans="3:11" x14ac:dyDescent="0.25">
      <c r="C1966" s="79"/>
      <c r="D1966" s="248"/>
      <c r="E1966" s="248"/>
      <c r="F1966" s="47"/>
      <c r="G1966" s="79"/>
      <c r="J1966" s="99"/>
      <c r="K1966" s="4"/>
    </row>
    <row r="1967" spans="3:11" x14ac:dyDescent="0.25">
      <c r="C1967" s="79"/>
      <c r="D1967" s="248"/>
      <c r="E1967" s="248"/>
      <c r="F1967" s="47"/>
      <c r="G1967" s="79"/>
      <c r="J1967" s="99"/>
      <c r="K1967" s="4"/>
    </row>
    <row r="1968" spans="3:11" x14ac:dyDescent="0.25">
      <c r="C1968" s="79"/>
      <c r="D1968" s="248"/>
      <c r="E1968" s="248"/>
      <c r="F1968" s="47"/>
      <c r="G1968" s="79"/>
      <c r="J1968" s="99"/>
      <c r="K1968" s="4"/>
    </row>
    <row r="1969" spans="3:11" x14ac:dyDescent="0.25">
      <c r="C1969" s="79"/>
      <c r="D1969" s="248"/>
      <c r="E1969" s="248"/>
      <c r="F1969" s="47"/>
      <c r="G1969" s="79"/>
      <c r="J1969" s="99"/>
      <c r="K1969" s="4"/>
    </row>
    <row r="1970" spans="3:11" x14ac:dyDescent="0.25">
      <c r="C1970" s="79"/>
      <c r="D1970" s="248"/>
      <c r="E1970" s="248"/>
      <c r="F1970" s="47"/>
      <c r="G1970" s="79"/>
      <c r="J1970" s="99"/>
      <c r="K1970" s="4"/>
    </row>
    <row r="1971" spans="3:11" x14ac:dyDescent="0.25">
      <c r="C1971" s="79"/>
      <c r="D1971" s="248"/>
      <c r="E1971" s="248"/>
      <c r="F1971" s="47"/>
      <c r="G1971" s="79"/>
      <c r="J1971" s="99"/>
      <c r="K1971" s="4"/>
    </row>
    <row r="1972" spans="3:11" x14ac:dyDescent="0.25">
      <c r="C1972" s="79"/>
      <c r="D1972" s="248"/>
      <c r="E1972" s="248"/>
      <c r="F1972" s="47"/>
      <c r="G1972" s="79"/>
      <c r="J1972" s="99"/>
      <c r="K1972" s="4"/>
    </row>
    <row r="1973" spans="3:11" x14ac:dyDescent="0.25">
      <c r="C1973" s="79"/>
      <c r="D1973" s="248"/>
      <c r="E1973" s="248"/>
      <c r="F1973" s="47"/>
      <c r="G1973" s="79"/>
      <c r="J1973" s="99"/>
      <c r="K1973" s="4"/>
    </row>
    <row r="1974" spans="3:11" x14ac:dyDescent="0.25">
      <c r="C1974" s="79"/>
      <c r="D1974" s="248"/>
      <c r="E1974" s="248"/>
      <c r="F1974" s="47"/>
      <c r="G1974" s="79"/>
      <c r="J1974" s="99"/>
      <c r="K1974" s="4"/>
    </row>
    <row r="1975" spans="3:11" x14ac:dyDescent="0.25">
      <c r="C1975" s="79"/>
      <c r="D1975" s="248"/>
      <c r="E1975" s="248"/>
      <c r="F1975" s="47"/>
      <c r="G1975" s="79"/>
      <c r="J1975" s="99"/>
      <c r="K1975" s="4"/>
    </row>
    <row r="1976" spans="3:11" x14ac:dyDescent="0.25">
      <c r="C1976" s="79"/>
      <c r="D1976" s="248"/>
      <c r="E1976" s="248"/>
      <c r="F1976" s="47"/>
      <c r="G1976" s="79"/>
      <c r="J1976" s="99"/>
      <c r="K1976" s="4"/>
    </row>
    <row r="1977" spans="3:11" x14ac:dyDescent="0.25">
      <c r="C1977" s="79"/>
      <c r="D1977" s="248"/>
      <c r="E1977" s="248"/>
      <c r="F1977" s="47"/>
      <c r="G1977" s="79"/>
      <c r="J1977" s="99"/>
      <c r="K1977" s="4"/>
    </row>
    <row r="1978" spans="3:11" x14ac:dyDescent="0.25">
      <c r="C1978" s="79"/>
      <c r="D1978" s="248"/>
      <c r="E1978" s="248"/>
      <c r="F1978" s="47"/>
      <c r="G1978" s="79"/>
      <c r="J1978" s="99"/>
      <c r="K1978" s="4"/>
    </row>
    <row r="1979" spans="3:11" x14ac:dyDescent="0.25">
      <c r="C1979" s="79"/>
      <c r="D1979" s="248"/>
      <c r="E1979" s="248"/>
      <c r="F1979" s="47"/>
      <c r="G1979" s="79"/>
      <c r="J1979" s="99"/>
      <c r="K1979" s="4"/>
    </row>
    <row r="1980" spans="3:11" x14ac:dyDescent="0.25">
      <c r="C1980" s="79"/>
      <c r="D1980" s="248"/>
      <c r="E1980" s="248"/>
      <c r="F1980" s="47"/>
      <c r="G1980" s="79"/>
      <c r="J1980" s="99"/>
      <c r="K1980" s="4"/>
    </row>
    <row r="1981" spans="3:11" x14ac:dyDescent="0.25">
      <c r="C1981" s="79"/>
      <c r="D1981" s="248"/>
      <c r="E1981" s="248"/>
      <c r="F1981" s="47"/>
      <c r="G1981" s="79"/>
      <c r="J1981" s="99"/>
      <c r="K1981" s="4"/>
    </row>
    <row r="1982" spans="3:11" x14ac:dyDescent="0.25">
      <c r="C1982" s="79"/>
      <c r="D1982" s="248"/>
      <c r="E1982" s="248"/>
      <c r="F1982" s="47"/>
      <c r="G1982" s="79"/>
      <c r="J1982" s="99"/>
      <c r="K1982" s="4"/>
    </row>
    <row r="1983" spans="3:11" x14ac:dyDescent="0.25">
      <c r="C1983" s="79"/>
      <c r="D1983" s="248"/>
      <c r="E1983" s="248"/>
      <c r="F1983" s="47"/>
      <c r="G1983" s="79"/>
      <c r="J1983" s="99"/>
      <c r="K1983" s="4"/>
    </row>
    <row r="1984" spans="3:11" x14ac:dyDescent="0.25">
      <c r="C1984" s="79"/>
      <c r="D1984" s="248"/>
      <c r="E1984" s="248"/>
      <c r="F1984" s="47"/>
      <c r="G1984" s="79"/>
      <c r="J1984" s="99"/>
      <c r="K1984" s="4"/>
    </row>
    <row r="1985" spans="3:11" x14ac:dyDescent="0.25">
      <c r="C1985" s="79"/>
      <c r="D1985" s="248"/>
      <c r="E1985" s="248"/>
      <c r="F1985" s="47"/>
      <c r="G1985" s="79"/>
      <c r="J1985" s="99"/>
      <c r="K1985" s="4"/>
    </row>
    <row r="1986" spans="3:11" x14ac:dyDescent="0.25">
      <c r="C1986" s="79"/>
      <c r="D1986" s="248"/>
      <c r="E1986" s="248"/>
      <c r="F1986" s="47"/>
      <c r="G1986" s="79"/>
      <c r="J1986" s="99"/>
      <c r="K1986" s="4"/>
    </row>
    <row r="1987" spans="3:11" x14ac:dyDescent="0.25">
      <c r="C1987" s="79"/>
      <c r="D1987" s="248"/>
      <c r="E1987" s="248"/>
      <c r="F1987" s="47"/>
      <c r="G1987" s="79"/>
      <c r="J1987" s="99"/>
      <c r="K1987" s="4"/>
    </row>
    <row r="1988" spans="3:11" x14ac:dyDescent="0.25">
      <c r="C1988" s="79"/>
      <c r="D1988" s="248"/>
      <c r="E1988" s="248"/>
      <c r="F1988" s="47"/>
      <c r="G1988" s="79"/>
      <c r="J1988" s="99"/>
      <c r="K1988" s="4"/>
    </row>
    <row r="1989" spans="3:11" x14ac:dyDescent="0.25">
      <c r="C1989" s="79"/>
      <c r="D1989" s="248"/>
      <c r="E1989" s="248"/>
      <c r="F1989" s="47"/>
      <c r="G1989" s="79"/>
      <c r="J1989" s="99"/>
      <c r="K1989" s="4"/>
    </row>
    <row r="1990" spans="3:11" x14ac:dyDescent="0.25">
      <c r="C1990" s="79"/>
      <c r="D1990" s="248"/>
      <c r="E1990" s="248"/>
      <c r="F1990" s="47"/>
      <c r="G1990" s="79"/>
      <c r="J1990" s="99"/>
      <c r="K1990" s="4"/>
    </row>
    <row r="1991" spans="3:11" x14ac:dyDescent="0.25">
      <c r="C1991" s="79"/>
      <c r="D1991" s="248"/>
      <c r="E1991" s="248"/>
      <c r="F1991" s="47"/>
      <c r="G1991" s="79"/>
      <c r="J1991" s="99"/>
      <c r="K1991" s="4"/>
    </row>
    <row r="1992" spans="3:11" x14ac:dyDescent="0.25">
      <c r="C1992" s="79"/>
      <c r="D1992" s="248"/>
      <c r="E1992" s="248"/>
      <c r="F1992" s="47"/>
      <c r="G1992" s="79"/>
      <c r="J1992" s="99"/>
      <c r="K1992" s="4"/>
    </row>
    <row r="1993" spans="3:11" x14ac:dyDescent="0.25">
      <c r="C1993" s="79"/>
      <c r="D1993" s="248"/>
      <c r="E1993" s="248"/>
      <c r="F1993" s="47"/>
      <c r="G1993" s="79"/>
      <c r="J1993" s="99"/>
      <c r="K1993" s="4"/>
    </row>
    <row r="1994" spans="3:11" x14ac:dyDescent="0.25">
      <c r="C1994" s="79"/>
      <c r="D1994" s="248"/>
      <c r="E1994" s="248"/>
      <c r="F1994" s="47"/>
      <c r="G1994" s="79"/>
      <c r="J1994" s="99"/>
      <c r="K1994" s="4"/>
    </row>
    <row r="1995" spans="3:11" x14ac:dyDescent="0.25">
      <c r="C1995" s="79"/>
      <c r="D1995" s="248"/>
      <c r="E1995" s="248"/>
      <c r="F1995" s="47"/>
      <c r="G1995" s="79"/>
      <c r="J1995" s="99"/>
      <c r="K1995" s="4"/>
    </row>
    <row r="1996" spans="3:11" x14ac:dyDescent="0.25">
      <c r="C1996" s="79"/>
      <c r="D1996" s="248"/>
      <c r="E1996" s="248"/>
      <c r="F1996" s="47"/>
      <c r="G1996" s="79"/>
      <c r="J1996" s="99"/>
      <c r="K1996" s="4"/>
    </row>
    <row r="1997" spans="3:11" x14ac:dyDescent="0.25">
      <c r="C1997" s="79"/>
      <c r="D1997" s="248"/>
      <c r="E1997" s="248"/>
      <c r="F1997" s="47"/>
      <c r="G1997" s="79"/>
      <c r="J1997" s="99"/>
      <c r="K1997" s="4"/>
    </row>
    <row r="1998" spans="3:11" x14ac:dyDescent="0.25">
      <c r="C1998" s="79"/>
      <c r="D1998" s="248"/>
      <c r="E1998" s="248"/>
      <c r="F1998" s="47"/>
      <c r="G1998" s="79"/>
      <c r="J1998" s="99"/>
      <c r="K1998" s="4"/>
    </row>
    <row r="1999" spans="3:11" x14ac:dyDescent="0.25">
      <c r="C1999" s="79"/>
      <c r="D1999" s="248"/>
      <c r="E1999" s="248"/>
      <c r="F1999" s="47"/>
      <c r="G1999" s="79"/>
      <c r="J1999" s="99"/>
      <c r="K1999" s="4"/>
    </row>
    <row r="2000" spans="3:11" x14ac:dyDescent="0.25">
      <c r="C2000" s="79"/>
      <c r="D2000" s="248"/>
      <c r="E2000" s="248"/>
      <c r="F2000" s="47"/>
      <c r="G2000" s="79"/>
      <c r="J2000" s="99"/>
      <c r="K2000" s="4"/>
    </row>
    <row r="2001" spans="3:11" x14ac:dyDescent="0.25">
      <c r="C2001" s="79"/>
      <c r="D2001" s="248"/>
      <c r="E2001" s="248"/>
      <c r="F2001" s="47"/>
      <c r="G2001" s="79"/>
      <c r="J2001" s="99"/>
      <c r="K2001" s="4"/>
    </row>
    <row r="2002" spans="3:11" x14ac:dyDescent="0.25">
      <c r="C2002" s="79"/>
      <c r="D2002" s="248"/>
      <c r="E2002" s="248"/>
      <c r="F2002" s="47"/>
      <c r="G2002" s="79"/>
      <c r="J2002" s="99"/>
      <c r="K2002" s="4"/>
    </row>
    <row r="2003" spans="3:11" x14ac:dyDescent="0.25">
      <c r="C2003" s="79"/>
      <c r="D2003" s="248"/>
      <c r="E2003" s="248"/>
      <c r="F2003" s="47"/>
      <c r="G2003" s="79"/>
      <c r="J2003" s="99"/>
      <c r="K2003" s="4"/>
    </row>
    <row r="2004" spans="3:11" x14ac:dyDescent="0.25">
      <c r="C2004" s="79"/>
      <c r="D2004" s="248"/>
      <c r="E2004" s="248"/>
      <c r="F2004" s="47"/>
      <c r="G2004" s="79"/>
      <c r="J2004" s="99"/>
      <c r="K2004" s="4"/>
    </row>
    <row r="2005" spans="3:11" x14ac:dyDescent="0.25">
      <c r="C2005" s="79"/>
      <c r="D2005" s="248"/>
      <c r="E2005" s="248"/>
      <c r="F2005" s="47"/>
      <c r="G2005" s="79"/>
      <c r="J2005" s="99"/>
      <c r="K2005" s="4"/>
    </row>
    <row r="2006" spans="3:11" x14ac:dyDescent="0.25">
      <c r="C2006" s="79"/>
      <c r="D2006" s="248"/>
      <c r="E2006" s="248"/>
      <c r="F2006" s="47"/>
      <c r="G2006" s="79"/>
      <c r="J2006" s="99"/>
      <c r="K2006" s="4"/>
    </row>
    <row r="2007" spans="3:11" x14ac:dyDescent="0.25">
      <c r="C2007" s="79"/>
      <c r="D2007" s="248"/>
      <c r="E2007" s="248"/>
      <c r="F2007" s="47"/>
      <c r="G2007" s="79"/>
      <c r="J2007" s="99"/>
      <c r="K2007" s="4"/>
    </row>
    <row r="2008" spans="3:11" x14ac:dyDescent="0.25">
      <c r="C2008" s="79"/>
      <c r="D2008" s="248"/>
      <c r="E2008" s="248"/>
      <c r="F2008" s="47"/>
      <c r="G2008" s="79"/>
      <c r="J2008" s="99"/>
      <c r="K2008" s="4"/>
    </row>
    <row r="2009" spans="3:11" x14ac:dyDescent="0.25">
      <c r="C2009" s="79"/>
      <c r="D2009" s="248"/>
      <c r="E2009" s="248"/>
      <c r="F2009" s="47"/>
      <c r="G2009" s="79"/>
      <c r="J2009" s="99"/>
      <c r="K2009" s="4"/>
    </row>
    <row r="2010" spans="3:11" x14ac:dyDescent="0.25">
      <c r="C2010" s="79"/>
      <c r="D2010" s="248"/>
      <c r="E2010" s="248"/>
      <c r="F2010" s="47"/>
      <c r="G2010" s="79"/>
      <c r="J2010" s="99"/>
      <c r="K2010" s="4"/>
    </row>
    <row r="2011" spans="3:11" x14ac:dyDescent="0.25">
      <c r="C2011" s="79"/>
      <c r="D2011" s="248"/>
      <c r="E2011" s="248"/>
      <c r="F2011" s="47"/>
      <c r="G2011" s="79"/>
      <c r="J2011" s="99"/>
      <c r="K2011" s="4"/>
    </row>
    <row r="2012" spans="3:11" x14ac:dyDescent="0.25">
      <c r="C2012" s="79"/>
      <c r="D2012" s="248"/>
      <c r="E2012" s="248"/>
      <c r="F2012" s="47"/>
      <c r="G2012" s="79"/>
      <c r="J2012" s="99"/>
      <c r="K2012" s="4"/>
    </row>
    <row r="2013" spans="3:11" x14ac:dyDescent="0.25">
      <c r="C2013" s="79"/>
      <c r="D2013" s="248"/>
      <c r="E2013" s="248"/>
      <c r="F2013" s="47"/>
      <c r="G2013" s="79"/>
      <c r="J2013" s="99"/>
      <c r="K2013" s="4"/>
    </row>
    <row r="2014" spans="3:11" x14ac:dyDescent="0.25">
      <c r="C2014" s="79"/>
      <c r="D2014" s="248"/>
      <c r="E2014" s="248"/>
      <c r="F2014" s="47"/>
      <c r="G2014" s="79"/>
      <c r="J2014" s="99"/>
      <c r="K2014" s="4"/>
    </row>
    <row r="2015" spans="3:11" x14ac:dyDescent="0.25">
      <c r="C2015" s="79"/>
      <c r="D2015" s="248"/>
      <c r="E2015" s="248"/>
      <c r="F2015" s="47"/>
      <c r="G2015" s="79"/>
      <c r="J2015" s="99"/>
      <c r="K2015" s="4"/>
    </row>
    <row r="2016" spans="3:11" x14ac:dyDescent="0.25">
      <c r="C2016" s="79"/>
      <c r="D2016" s="248"/>
      <c r="E2016" s="248"/>
      <c r="F2016" s="47"/>
      <c r="G2016" s="79"/>
      <c r="J2016" s="99"/>
      <c r="K2016" s="4"/>
    </row>
    <row r="2017" spans="3:11" x14ac:dyDescent="0.25">
      <c r="C2017" s="79"/>
      <c r="D2017" s="248"/>
      <c r="E2017" s="248"/>
      <c r="F2017" s="47"/>
      <c r="G2017" s="79"/>
      <c r="J2017" s="99"/>
      <c r="K2017" s="4"/>
    </row>
    <row r="2018" spans="3:11" x14ac:dyDescent="0.25">
      <c r="C2018" s="79"/>
      <c r="D2018" s="248"/>
      <c r="E2018" s="248"/>
      <c r="F2018" s="47"/>
      <c r="G2018" s="79"/>
      <c r="J2018" s="99"/>
      <c r="K2018" s="4"/>
    </row>
    <row r="2019" spans="3:11" x14ac:dyDescent="0.25">
      <c r="C2019" s="79"/>
      <c r="D2019" s="248"/>
      <c r="E2019" s="248"/>
      <c r="F2019" s="47"/>
      <c r="G2019" s="79"/>
      <c r="J2019" s="99"/>
      <c r="K2019" s="4"/>
    </row>
    <row r="2020" spans="3:11" x14ac:dyDescent="0.25">
      <c r="C2020" s="79"/>
      <c r="D2020" s="248"/>
      <c r="E2020" s="248"/>
      <c r="F2020" s="47"/>
      <c r="G2020" s="79"/>
      <c r="J2020" s="99"/>
      <c r="K2020" s="4"/>
    </row>
    <row r="2021" spans="3:11" x14ac:dyDescent="0.25">
      <c r="C2021" s="79"/>
      <c r="D2021" s="248"/>
      <c r="E2021" s="248"/>
      <c r="F2021" s="47"/>
      <c r="G2021" s="79"/>
      <c r="J2021" s="99"/>
      <c r="K2021" s="4"/>
    </row>
    <row r="2022" spans="3:11" x14ac:dyDescent="0.25">
      <c r="C2022" s="79"/>
      <c r="D2022" s="248"/>
      <c r="E2022" s="248"/>
      <c r="F2022" s="47"/>
      <c r="G2022" s="79"/>
      <c r="J2022" s="99"/>
      <c r="K2022" s="4"/>
    </row>
    <row r="2023" spans="3:11" x14ac:dyDescent="0.25">
      <c r="C2023" s="79"/>
      <c r="D2023" s="248"/>
      <c r="E2023" s="248"/>
      <c r="F2023" s="47"/>
      <c r="G2023" s="79"/>
      <c r="J2023" s="99"/>
      <c r="K2023" s="4"/>
    </row>
    <row r="2024" spans="3:11" x14ac:dyDescent="0.25">
      <c r="C2024" s="79"/>
      <c r="D2024" s="248"/>
      <c r="E2024" s="248"/>
      <c r="F2024" s="47"/>
      <c r="G2024" s="79"/>
      <c r="J2024" s="99"/>
      <c r="K2024" s="4"/>
    </row>
    <row r="2025" spans="3:11" x14ac:dyDescent="0.25">
      <c r="C2025" s="79"/>
      <c r="D2025" s="248"/>
      <c r="E2025" s="248"/>
      <c r="F2025" s="47"/>
      <c r="G2025" s="79"/>
      <c r="J2025" s="99"/>
      <c r="K2025" s="4"/>
    </row>
    <row r="2026" spans="3:11" x14ac:dyDescent="0.25">
      <c r="C2026" s="79"/>
      <c r="D2026" s="248"/>
      <c r="E2026" s="248"/>
      <c r="F2026" s="47"/>
      <c r="G2026" s="79"/>
      <c r="J2026" s="99"/>
      <c r="K2026" s="4"/>
    </row>
    <row r="2027" spans="3:11" x14ac:dyDescent="0.25">
      <c r="C2027" s="79"/>
      <c r="D2027" s="248"/>
      <c r="E2027" s="248"/>
      <c r="F2027" s="47"/>
      <c r="G2027" s="79"/>
      <c r="J2027" s="99"/>
      <c r="K2027" s="4"/>
    </row>
    <row r="2028" spans="3:11" x14ac:dyDescent="0.25">
      <c r="C2028" s="79"/>
      <c r="D2028" s="248"/>
      <c r="E2028" s="248"/>
      <c r="F2028" s="47"/>
      <c r="G2028" s="79"/>
      <c r="J2028" s="99"/>
      <c r="K2028" s="4"/>
    </row>
    <row r="2029" spans="3:11" x14ac:dyDescent="0.25">
      <c r="C2029" s="79"/>
      <c r="D2029" s="248"/>
      <c r="E2029" s="248"/>
      <c r="F2029" s="47"/>
      <c r="G2029" s="79"/>
      <c r="J2029" s="99"/>
      <c r="K2029" s="4"/>
    </row>
    <row r="2030" spans="3:11" x14ac:dyDescent="0.25">
      <c r="C2030" s="79"/>
      <c r="D2030" s="248"/>
      <c r="E2030" s="248"/>
      <c r="F2030" s="47"/>
      <c r="G2030" s="79"/>
      <c r="J2030" s="99"/>
      <c r="K2030" s="4"/>
    </row>
    <row r="2031" spans="3:11" x14ac:dyDescent="0.25">
      <c r="C2031" s="79"/>
      <c r="D2031" s="248"/>
      <c r="E2031" s="248"/>
      <c r="F2031" s="47"/>
      <c r="G2031" s="79"/>
      <c r="J2031" s="99"/>
      <c r="K2031" s="4"/>
    </row>
    <row r="2032" spans="3:11" x14ac:dyDescent="0.25">
      <c r="C2032" s="79"/>
      <c r="D2032" s="248"/>
      <c r="E2032" s="248"/>
      <c r="F2032" s="47"/>
      <c r="G2032" s="79"/>
      <c r="J2032" s="99"/>
      <c r="K2032" s="4"/>
    </row>
    <row r="2033" spans="3:11" x14ac:dyDescent="0.25">
      <c r="C2033" s="79"/>
      <c r="D2033" s="248"/>
      <c r="E2033" s="248"/>
      <c r="F2033" s="47"/>
      <c r="G2033" s="79"/>
      <c r="J2033" s="99"/>
      <c r="K2033" s="4"/>
    </row>
    <row r="2034" spans="3:11" x14ac:dyDescent="0.25">
      <c r="C2034" s="79"/>
      <c r="D2034" s="248"/>
      <c r="E2034" s="248"/>
      <c r="F2034" s="47"/>
      <c r="G2034" s="79"/>
      <c r="J2034" s="99"/>
      <c r="K2034" s="4"/>
    </row>
    <row r="2035" spans="3:11" x14ac:dyDescent="0.25">
      <c r="C2035" s="79"/>
      <c r="D2035" s="248"/>
      <c r="E2035" s="248"/>
      <c r="F2035" s="47"/>
      <c r="G2035" s="79"/>
      <c r="J2035" s="99"/>
      <c r="K2035" s="4"/>
    </row>
    <row r="2036" spans="3:11" x14ac:dyDescent="0.25">
      <c r="C2036" s="79"/>
      <c r="D2036" s="248"/>
      <c r="E2036" s="248"/>
      <c r="F2036" s="47"/>
      <c r="G2036" s="79"/>
      <c r="J2036" s="99"/>
      <c r="K2036" s="4"/>
    </row>
    <row r="2037" spans="3:11" x14ac:dyDescent="0.25">
      <c r="C2037" s="79"/>
      <c r="D2037" s="248"/>
      <c r="E2037" s="248"/>
      <c r="F2037" s="47"/>
      <c r="G2037" s="79"/>
      <c r="J2037" s="99"/>
      <c r="K2037" s="4"/>
    </row>
    <row r="2038" spans="3:11" x14ac:dyDescent="0.25">
      <c r="C2038" s="79"/>
      <c r="D2038" s="248"/>
      <c r="E2038" s="248"/>
      <c r="F2038" s="47"/>
      <c r="G2038" s="79"/>
      <c r="J2038" s="99"/>
      <c r="K2038" s="4"/>
    </row>
    <row r="2039" spans="3:11" x14ac:dyDescent="0.25">
      <c r="C2039" s="79"/>
      <c r="D2039" s="248"/>
      <c r="E2039" s="248"/>
      <c r="F2039" s="47"/>
      <c r="G2039" s="79"/>
      <c r="J2039" s="99"/>
      <c r="K2039" s="4"/>
    </row>
    <row r="2040" spans="3:11" x14ac:dyDescent="0.25">
      <c r="C2040" s="79"/>
      <c r="D2040" s="248"/>
      <c r="E2040" s="248"/>
      <c r="F2040" s="47"/>
      <c r="G2040" s="79"/>
      <c r="J2040" s="99"/>
      <c r="K2040" s="4"/>
    </row>
    <row r="2041" spans="3:11" x14ac:dyDescent="0.25">
      <c r="C2041" s="79"/>
      <c r="D2041" s="248"/>
      <c r="E2041" s="248"/>
      <c r="F2041" s="47"/>
      <c r="G2041" s="79"/>
      <c r="J2041" s="99"/>
      <c r="K2041" s="4"/>
    </row>
    <row r="2042" spans="3:11" x14ac:dyDescent="0.25">
      <c r="C2042" s="79"/>
      <c r="D2042" s="248"/>
      <c r="E2042" s="248"/>
      <c r="F2042" s="47"/>
      <c r="G2042" s="79"/>
      <c r="J2042" s="99"/>
      <c r="K2042" s="4"/>
    </row>
    <row r="2043" spans="3:11" x14ac:dyDescent="0.25">
      <c r="C2043" s="79"/>
      <c r="D2043" s="248"/>
      <c r="E2043" s="248"/>
      <c r="F2043" s="47"/>
      <c r="G2043" s="79"/>
      <c r="J2043" s="99"/>
      <c r="K2043" s="4"/>
    </row>
    <row r="2044" spans="3:11" x14ac:dyDescent="0.25">
      <c r="C2044" s="79"/>
      <c r="D2044" s="248"/>
      <c r="E2044" s="248"/>
      <c r="F2044" s="47"/>
      <c r="G2044" s="79"/>
      <c r="J2044" s="99"/>
      <c r="K2044" s="4"/>
    </row>
    <row r="2045" spans="3:11" x14ac:dyDescent="0.25">
      <c r="C2045" s="79"/>
      <c r="D2045" s="248"/>
      <c r="E2045" s="248"/>
      <c r="F2045" s="47"/>
      <c r="G2045" s="79"/>
      <c r="J2045" s="99"/>
      <c r="K2045" s="4"/>
    </row>
    <row r="2046" spans="3:11" x14ac:dyDescent="0.25">
      <c r="C2046" s="79"/>
      <c r="D2046" s="248"/>
      <c r="E2046" s="248"/>
      <c r="F2046" s="47"/>
      <c r="G2046" s="79"/>
      <c r="J2046" s="99"/>
      <c r="K2046" s="4"/>
    </row>
    <row r="2047" spans="3:11" x14ac:dyDescent="0.25">
      <c r="C2047" s="79"/>
      <c r="D2047" s="248"/>
      <c r="E2047" s="248"/>
      <c r="F2047" s="47"/>
      <c r="G2047" s="79"/>
      <c r="J2047" s="99"/>
      <c r="K2047" s="4"/>
    </row>
    <row r="2048" spans="3:11" x14ac:dyDescent="0.25">
      <c r="C2048" s="79"/>
      <c r="D2048" s="248"/>
      <c r="E2048" s="248"/>
      <c r="F2048" s="47"/>
      <c r="G2048" s="79"/>
      <c r="J2048" s="99"/>
      <c r="K2048" s="4"/>
    </row>
    <row r="2049" spans="3:11" x14ac:dyDescent="0.25">
      <c r="C2049" s="79"/>
      <c r="D2049" s="248"/>
      <c r="E2049" s="248"/>
      <c r="F2049" s="47"/>
      <c r="G2049" s="79"/>
      <c r="J2049" s="99"/>
      <c r="K2049" s="4"/>
    </row>
    <row r="2050" spans="3:11" x14ac:dyDescent="0.25">
      <c r="C2050" s="79"/>
      <c r="D2050" s="248"/>
      <c r="E2050" s="248"/>
      <c r="F2050" s="47"/>
      <c r="G2050" s="79"/>
      <c r="J2050" s="99"/>
      <c r="K2050" s="4"/>
    </row>
    <row r="2051" spans="3:11" x14ac:dyDescent="0.25">
      <c r="C2051" s="79"/>
      <c r="D2051" s="248"/>
      <c r="E2051" s="248"/>
      <c r="F2051" s="47"/>
      <c r="G2051" s="79"/>
      <c r="J2051" s="99"/>
      <c r="K2051" s="4"/>
    </row>
    <row r="2052" spans="3:11" x14ac:dyDescent="0.25">
      <c r="C2052" s="79"/>
      <c r="D2052" s="248"/>
      <c r="E2052" s="248"/>
      <c r="F2052" s="47"/>
      <c r="G2052" s="79"/>
      <c r="J2052" s="99"/>
      <c r="K2052" s="4"/>
    </row>
    <row r="2053" spans="3:11" x14ac:dyDescent="0.25">
      <c r="C2053" s="79"/>
      <c r="D2053" s="248"/>
      <c r="E2053" s="248"/>
      <c r="F2053" s="47"/>
      <c r="G2053" s="79"/>
      <c r="J2053" s="99"/>
      <c r="K2053" s="4"/>
    </row>
    <row r="2054" spans="3:11" x14ac:dyDescent="0.25">
      <c r="C2054" s="79"/>
      <c r="D2054" s="248"/>
      <c r="E2054" s="248"/>
      <c r="F2054" s="47"/>
      <c r="G2054" s="79"/>
      <c r="J2054" s="99"/>
      <c r="K2054" s="4"/>
    </row>
    <row r="2055" spans="3:11" x14ac:dyDescent="0.25">
      <c r="C2055" s="79"/>
      <c r="D2055" s="248"/>
      <c r="E2055" s="248"/>
      <c r="F2055" s="47"/>
      <c r="G2055" s="79"/>
      <c r="J2055" s="99"/>
      <c r="K2055" s="4"/>
    </row>
    <row r="2056" spans="3:11" x14ac:dyDescent="0.25">
      <c r="C2056" s="79"/>
      <c r="D2056" s="248"/>
      <c r="E2056" s="248"/>
      <c r="F2056" s="47"/>
      <c r="G2056" s="79"/>
      <c r="J2056" s="99"/>
      <c r="K2056" s="4"/>
    </row>
    <row r="2057" spans="3:11" x14ac:dyDescent="0.25">
      <c r="C2057" s="79"/>
      <c r="D2057" s="248"/>
      <c r="E2057" s="248"/>
      <c r="F2057" s="47"/>
      <c r="G2057" s="79"/>
      <c r="J2057" s="99"/>
      <c r="K2057" s="4"/>
    </row>
    <row r="2058" spans="3:11" x14ac:dyDescent="0.25">
      <c r="C2058" s="79"/>
      <c r="D2058" s="248"/>
      <c r="E2058" s="248"/>
      <c r="F2058" s="47"/>
      <c r="G2058" s="79"/>
      <c r="J2058" s="99"/>
      <c r="K2058" s="4"/>
    </row>
    <row r="2059" spans="3:11" x14ac:dyDescent="0.25">
      <c r="C2059" s="79"/>
      <c r="D2059" s="248"/>
      <c r="E2059" s="248"/>
      <c r="F2059" s="47"/>
      <c r="G2059" s="79"/>
      <c r="J2059" s="99"/>
      <c r="K2059" s="4"/>
    </row>
    <row r="2060" spans="3:11" x14ac:dyDescent="0.25">
      <c r="C2060" s="79"/>
      <c r="D2060" s="248"/>
      <c r="E2060" s="248"/>
      <c r="F2060" s="47"/>
      <c r="G2060" s="79"/>
      <c r="J2060" s="99"/>
      <c r="K2060" s="4"/>
    </row>
    <row r="2061" spans="3:11" x14ac:dyDescent="0.25">
      <c r="C2061" s="79"/>
      <c r="D2061" s="248"/>
      <c r="E2061" s="248"/>
      <c r="F2061" s="47"/>
      <c r="G2061" s="79"/>
      <c r="J2061" s="99"/>
      <c r="K2061" s="4"/>
    </row>
    <row r="2062" spans="3:11" x14ac:dyDescent="0.25">
      <c r="C2062" s="79"/>
      <c r="D2062" s="248"/>
      <c r="E2062" s="248"/>
      <c r="F2062" s="47"/>
      <c r="G2062" s="79"/>
      <c r="J2062" s="99"/>
      <c r="K2062" s="4"/>
    </row>
    <row r="2063" spans="3:11" x14ac:dyDescent="0.25">
      <c r="C2063" s="79"/>
      <c r="D2063" s="248"/>
      <c r="E2063" s="248"/>
      <c r="F2063" s="47"/>
      <c r="G2063" s="79"/>
      <c r="J2063" s="99"/>
      <c r="K2063" s="4"/>
    </row>
    <row r="2064" spans="3:11" x14ac:dyDescent="0.25">
      <c r="C2064" s="79"/>
      <c r="D2064" s="248"/>
      <c r="E2064" s="248"/>
      <c r="F2064" s="47"/>
      <c r="G2064" s="79"/>
      <c r="J2064" s="99"/>
      <c r="K2064" s="4"/>
    </row>
    <row r="2065" spans="3:11" x14ac:dyDescent="0.25">
      <c r="C2065" s="79"/>
      <c r="D2065" s="248"/>
      <c r="E2065" s="248"/>
      <c r="F2065" s="47"/>
      <c r="G2065" s="79"/>
      <c r="J2065" s="99"/>
      <c r="K2065" s="4"/>
    </row>
    <row r="2066" spans="3:11" x14ac:dyDescent="0.25">
      <c r="C2066" s="79"/>
      <c r="D2066" s="248"/>
      <c r="E2066" s="248"/>
      <c r="F2066" s="47"/>
      <c r="G2066" s="79"/>
      <c r="J2066" s="99"/>
      <c r="K2066" s="4"/>
    </row>
    <row r="2067" spans="3:11" x14ac:dyDescent="0.25">
      <c r="C2067" s="79"/>
      <c r="D2067" s="248"/>
      <c r="E2067" s="248"/>
      <c r="F2067" s="47"/>
      <c r="G2067" s="79"/>
      <c r="J2067" s="99"/>
      <c r="K2067" s="4"/>
    </row>
    <row r="2068" spans="3:11" x14ac:dyDescent="0.25">
      <c r="C2068" s="79"/>
      <c r="D2068" s="248"/>
      <c r="E2068" s="248"/>
      <c r="F2068" s="47"/>
      <c r="G2068" s="79"/>
      <c r="J2068" s="99"/>
      <c r="K2068" s="4"/>
    </row>
    <row r="2069" spans="3:11" x14ac:dyDescent="0.25">
      <c r="C2069" s="79"/>
      <c r="D2069" s="248"/>
      <c r="E2069" s="248"/>
      <c r="F2069" s="47"/>
      <c r="G2069" s="79"/>
      <c r="J2069" s="99"/>
      <c r="K2069" s="4"/>
    </row>
    <row r="2070" spans="3:11" x14ac:dyDescent="0.25">
      <c r="C2070" s="79"/>
      <c r="D2070" s="248"/>
      <c r="E2070" s="248"/>
      <c r="F2070" s="47"/>
      <c r="G2070" s="79"/>
      <c r="J2070" s="99"/>
      <c r="K2070" s="4"/>
    </row>
    <row r="2071" spans="3:11" x14ac:dyDescent="0.25">
      <c r="C2071" s="79"/>
      <c r="D2071" s="248"/>
      <c r="E2071" s="248"/>
      <c r="F2071" s="47"/>
      <c r="G2071" s="79"/>
      <c r="J2071" s="99"/>
      <c r="K2071" s="4"/>
    </row>
    <row r="2072" spans="3:11" x14ac:dyDescent="0.25">
      <c r="C2072" s="79"/>
      <c r="D2072" s="248"/>
      <c r="E2072" s="248"/>
      <c r="F2072" s="47"/>
      <c r="G2072" s="79"/>
      <c r="J2072" s="99"/>
      <c r="K2072" s="4"/>
    </row>
    <row r="2073" spans="3:11" x14ac:dyDescent="0.25">
      <c r="C2073" s="79"/>
      <c r="D2073" s="248"/>
      <c r="E2073" s="248"/>
      <c r="F2073" s="47"/>
      <c r="G2073" s="79"/>
      <c r="J2073" s="99"/>
      <c r="K2073" s="4"/>
    </row>
    <row r="2074" spans="3:11" x14ac:dyDescent="0.25">
      <c r="C2074" s="79"/>
      <c r="D2074" s="248"/>
      <c r="E2074" s="248"/>
      <c r="F2074" s="47"/>
      <c r="G2074" s="79"/>
      <c r="J2074" s="99"/>
      <c r="K2074" s="4"/>
    </row>
    <row r="2075" spans="3:11" x14ac:dyDescent="0.25">
      <c r="C2075" s="79"/>
      <c r="D2075" s="248"/>
      <c r="E2075" s="248"/>
      <c r="F2075" s="47"/>
      <c r="G2075" s="79"/>
      <c r="J2075" s="99"/>
      <c r="K2075" s="4"/>
    </row>
    <row r="2076" spans="3:11" x14ac:dyDescent="0.25">
      <c r="C2076" s="79"/>
      <c r="D2076" s="248"/>
      <c r="E2076" s="248"/>
      <c r="F2076" s="47"/>
      <c r="G2076" s="79"/>
      <c r="J2076" s="99"/>
      <c r="K2076" s="4"/>
    </row>
    <row r="2077" spans="3:11" x14ac:dyDescent="0.25">
      <c r="C2077" s="79"/>
      <c r="D2077" s="248"/>
      <c r="E2077" s="248"/>
      <c r="F2077" s="47"/>
      <c r="G2077" s="79"/>
      <c r="J2077" s="99"/>
      <c r="K2077" s="4"/>
    </row>
    <row r="2078" spans="3:11" x14ac:dyDescent="0.25">
      <c r="C2078" s="79"/>
      <c r="D2078" s="248"/>
      <c r="E2078" s="248"/>
      <c r="F2078" s="47"/>
      <c r="G2078" s="79"/>
      <c r="J2078" s="99"/>
      <c r="K2078" s="4"/>
    </row>
    <row r="2079" spans="3:11" x14ac:dyDescent="0.25">
      <c r="C2079" s="79"/>
      <c r="D2079" s="248"/>
      <c r="E2079" s="248"/>
      <c r="F2079" s="47"/>
      <c r="G2079" s="79"/>
      <c r="J2079" s="99"/>
      <c r="K2079" s="4"/>
    </row>
    <row r="2080" spans="3:11" x14ac:dyDescent="0.25">
      <c r="C2080" s="79"/>
      <c r="D2080" s="248"/>
      <c r="E2080" s="248"/>
      <c r="F2080" s="47"/>
      <c r="G2080" s="79"/>
      <c r="J2080" s="99"/>
      <c r="K2080" s="4"/>
    </row>
    <row r="2081" spans="3:11" x14ac:dyDescent="0.25">
      <c r="C2081" s="79"/>
      <c r="D2081" s="248"/>
      <c r="E2081" s="248"/>
      <c r="F2081" s="47"/>
      <c r="G2081" s="79"/>
      <c r="J2081" s="99"/>
      <c r="K2081" s="4"/>
    </row>
    <row r="2082" spans="3:11" x14ac:dyDescent="0.25">
      <c r="C2082" s="79"/>
      <c r="D2082" s="248"/>
      <c r="E2082" s="248"/>
      <c r="F2082" s="47"/>
      <c r="G2082" s="79"/>
      <c r="J2082" s="99"/>
      <c r="K2082" s="4"/>
    </row>
    <row r="2083" spans="3:11" x14ac:dyDescent="0.25">
      <c r="C2083" s="79"/>
      <c r="D2083" s="248"/>
      <c r="E2083" s="248"/>
      <c r="F2083" s="47"/>
      <c r="G2083" s="79"/>
      <c r="J2083" s="99"/>
      <c r="K2083" s="4"/>
    </row>
    <row r="2084" spans="3:11" x14ac:dyDescent="0.25">
      <c r="C2084" s="79"/>
      <c r="D2084" s="248"/>
      <c r="E2084" s="248"/>
      <c r="F2084" s="47"/>
      <c r="G2084" s="79"/>
      <c r="J2084" s="99"/>
      <c r="K2084" s="4"/>
    </row>
    <row r="2085" spans="3:11" x14ac:dyDescent="0.25">
      <c r="C2085" s="79"/>
      <c r="D2085" s="248"/>
      <c r="E2085" s="248"/>
      <c r="F2085" s="47"/>
      <c r="G2085" s="79"/>
      <c r="J2085" s="99"/>
      <c r="K2085" s="4"/>
    </row>
    <row r="2086" spans="3:11" x14ac:dyDescent="0.25">
      <c r="C2086" s="79"/>
      <c r="D2086" s="248"/>
      <c r="E2086" s="248"/>
      <c r="F2086" s="47"/>
      <c r="G2086" s="79"/>
      <c r="J2086" s="99"/>
      <c r="K2086" s="4"/>
    </row>
    <row r="2087" spans="3:11" x14ac:dyDescent="0.25">
      <c r="C2087" s="79"/>
      <c r="D2087" s="248"/>
      <c r="E2087" s="248"/>
      <c r="F2087" s="47"/>
      <c r="G2087" s="79"/>
      <c r="J2087" s="99"/>
      <c r="K2087" s="4"/>
    </row>
    <row r="2088" spans="3:11" x14ac:dyDescent="0.25">
      <c r="C2088" s="79"/>
      <c r="D2088" s="248"/>
      <c r="E2088" s="248"/>
      <c r="F2088" s="47"/>
      <c r="G2088" s="79"/>
      <c r="J2088" s="99"/>
      <c r="K2088" s="4"/>
    </row>
    <row r="2089" spans="3:11" x14ac:dyDescent="0.25">
      <c r="C2089" s="79"/>
      <c r="D2089" s="248"/>
      <c r="E2089" s="248"/>
      <c r="F2089" s="47"/>
      <c r="G2089" s="79"/>
      <c r="J2089" s="99"/>
      <c r="K2089" s="4"/>
    </row>
    <row r="2090" spans="3:11" x14ac:dyDescent="0.25">
      <c r="C2090" s="79"/>
      <c r="D2090" s="248"/>
      <c r="E2090" s="248"/>
      <c r="F2090" s="47"/>
      <c r="G2090" s="79"/>
      <c r="J2090" s="99"/>
      <c r="K2090" s="4"/>
    </row>
    <row r="2091" spans="3:11" x14ac:dyDescent="0.25">
      <c r="C2091" s="79"/>
      <c r="D2091" s="248"/>
      <c r="E2091" s="248"/>
      <c r="F2091" s="47"/>
      <c r="G2091" s="79"/>
      <c r="J2091" s="99"/>
      <c r="K2091" s="4"/>
    </row>
    <row r="2092" spans="3:11" x14ac:dyDescent="0.25">
      <c r="C2092" s="79"/>
      <c r="D2092" s="248"/>
      <c r="E2092" s="248"/>
      <c r="F2092" s="47"/>
      <c r="G2092" s="79"/>
      <c r="J2092" s="99"/>
      <c r="K2092" s="4"/>
    </row>
    <row r="2093" spans="3:11" x14ac:dyDescent="0.25">
      <c r="C2093" s="79"/>
      <c r="D2093" s="248"/>
      <c r="E2093" s="248"/>
      <c r="F2093" s="47"/>
      <c r="G2093" s="79"/>
      <c r="J2093" s="99"/>
      <c r="K2093" s="4"/>
    </row>
    <row r="2094" spans="3:11" x14ac:dyDescent="0.25">
      <c r="C2094" s="79"/>
      <c r="D2094" s="248"/>
      <c r="E2094" s="248"/>
      <c r="F2094" s="47"/>
      <c r="G2094" s="79"/>
      <c r="J2094" s="99"/>
      <c r="K2094" s="4"/>
    </row>
    <row r="2095" spans="3:11" x14ac:dyDescent="0.25">
      <c r="C2095" s="79"/>
      <c r="D2095" s="248"/>
      <c r="E2095" s="248"/>
      <c r="F2095" s="47"/>
      <c r="G2095" s="79"/>
      <c r="J2095" s="99"/>
      <c r="K2095" s="4"/>
    </row>
    <row r="2096" spans="3:11" x14ac:dyDescent="0.25">
      <c r="C2096" s="79"/>
      <c r="D2096" s="248"/>
      <c r="E2096" s="248"/>
      <c r="F2096" s="47"/>
      <c r="G2096" s="79"/>
      <c r="J2096" s="99"/>
      <c r="K2096" s="4"/>
    </row>
    <row r="2097" spans="3:11" x14ac:dyDescent="0.25">
      <c r="C2097" s="79"/>
      <c r="D2097" s="248"/>
      <c r="E2097" s="248"/>
      <c r="F2097" s="47"/>
      <c r="G2097" s="79"/>
      <c r="J2097" s="99"/>
      <c r="K2097" s="4"/>
    </row>
    <row r="2098" spans="3:11" x14ac:dyDescent="0.25">
      <c r="C2098" s="79"/>
      <c r="D2098" s="248"/>
      <c r="E2098" s="248"/>
      <c r="F2098" s="47"/>
      <c r="G2098" s="79"/>
      <c r="J2098" s="99"/>
      <c r="K2098" s="4"/>
    </row>
    <row r="2099" spans="3:11" x14ac:dyDescent="0.25">
      <c r="C2099" s="79"/>
      <c r="D2099" s="248"/>
      <c r="E2099" s="248"/>
      <c r="F2099" s="47"/>
      <c r="G2099" s="79"/>
      <c r="J2099" s="99"/>
      <c r="K2099" s="4"/>
    </row>
    <row r="2100" spans="3:11" x14ac:dyDescent="0.25">
      <c r="C2100" s="79"/>
      <c r="D2100" s="248"/>
      <c r="E2100" s="248"/>
      <c r="F2100" s="47"/>
      <c r="G2100" s="79"/>
      <c r="J2100" s="99"/>
      <c r="K2100" s="4"/>
    </row>
    <row r="2101" spans="3:11" x14ac:dyDescent="0.25">
      <c r="C2101" s="79"/>
      <c r="D2101" s="248"/>
      <c r="E2101" s="248"/>
      <c r="F2101" s="47"/>
      <c r="G2101" s="79"/>
      <c r="J2101" s="99"/>
      <c r="K2101" s="4"/>
    </row>
    <row r="2102" spans="3:11" x14ac:dyDescent="0.25">
      <c r="C2102" s="79"/>
      <c r="D2102" s="248"/>
      <c r="E2102" s="248"/>
      <c r="F2102" s="47"/>
      <c r="G2102" s="79"/>
      <c r="J2102" s="99"/>
      <c r="K2102" s="4"/>
    </row>
    <row r="2103" spans="3:11" x14ac:dyDescent="0.25">
      <c r="C2103" s="79"/>
      <c r="D2103" s="248"/>
      <c r="E2103" s="248"/>
      <c r="F2103" s="47"/>
      <c r="G2103" s="79"/>
      <c r="J2103" s="99"/>
      <c r="K2103" s="4"/>
    </row>
    <row r="2104" spans="3:11" x14ac:dyDescent="0.25">
      <c r="C2104" s="79"/>
      <c r="D2104" s="248"/>
      <c r="E2104" s="248"/>
      <c r="F2104" s="47"/>
      <c r="G2104" s="79"/>
      <c r="J2104" s="99"/>
      <c r="K2104" s="4"/>
    </row>
    <row r="2105" spans="3:11" x14ac:dyDescent="0.25">
      <c r="C2105" s="79"/>
      <c r="D2105" s="248"/>
      <c r="E2105" s="248"/>
      <c r="F2105" s="47"/>
      <c r="G2105" s="79"/>
      <c r="J2105" s="99"/>
      <c r="K2105" s="4"/>
    </row>
    <row r="2106" spans="3:11" x14ac:dyDescent="0.25">
      <c r="C2106" s="79"/>
      <c r="D2106" s="248"/>
      <c r="E2106" s="248"/>
      <c r="F2106" s="47"/>
      <c r="G2106" s="79"/>
      <c r="J2106" s="99"/>
      <c r="K2106" s="4"/>
    </row>
    <row r="2107" spans="3:11" x14ac:dyDescent="0.25">
      <c r="C2107" s="79"/>
      <c r="D2107" s="248"/>
      <c r="E2107" s="248"/>
      <c r="F2107" s="47"/>
      <c r="G2107" s="79"/>
      <c r="J2107" s="99"/>
      <c r="K2107" s="4"/>
    </row>
    <row r="2108" spans="3:11" x14ac:dyDescent="0.25">
      <c r="C2108" s="79"/>
      <c r="D2108" s="248"/>
      <c r="E2108" s="248"/>
      <c r="F2108" s="47"/>
      <c r="G2108" s="79"/>
      <c r="J2108" s="99"/>
      <c r="K2108" s="4"/>
    </row>
    <row r="2109" spans="3:11" x14ac:dyDescent="0.25">
      <c r="C2109" s="79"/>
      <c r="D2109" s="248"/>
      <c r="E2109" s="248"/>
      <c r="F2109" s="47"/>
      <c r="G2109" s="79"/>
      <c r="J2109" s="99"/>
      <c r="K2109" s="4"/>
    </row>
    <row r="2110" spans="3:11" x14ac:dyDescent="0.25">
      <c r="C2110" s="79"/>
      <c r="D2110" s="248"/>
      <c r="E2110" s="248"/>
      <c r="F2110" s="47"/>
      <c r="G2110" s="79"/>
      <c r="J2110" s="99"/>
      <c r="K2110" s="4"/>
    </row>
    <row r="2111" spans="3:11" x14ac:dyDescent="0.25">
      <c r="C2111" s="79"/>
      <c r="D2111" s="248"/>
      <c r="E2111" s="248"/>
      <c r="F2111" s="47"/>
      <c r="G2111" s="79"/>
      <c r="J2111" s="99"/>
      <c r="K2111" s="4"/>
    </row>
    <row r="2112" spans="3:11" x14ac:dyDescent="0.25">
      <c r="C2112" s="79"/>
      <c r="D2112" s="248"/>
      <c r="E2112" s="248"/>
      <c r="F2112" s="47"/>
      <c r="G2112" s="79"/>
      <c r="J2112" s="99"/>
      <c r="K2112" s="4"/>
    </row>
    <row r="2113" spans="3:11" x14ac:dyDescent="0.25">
      <c r="C2113" s="79"/>
      <c r="D2113" s="248"/>
      <c r="E2113" s="248"/>
      <c r="F2113" s="47"/>
      <c r="G2113" s="79"/>
      <c r="J2113" s="99"/>
      <c r="K2113" s="4"/>
    </row>
    <row r="2114" spans="3:11" x14ac:dyDescent="0.25">
      <c r="C2114" s="79"/>
      <c r="D2114" s="248"/>
      <c r="E2114" s="248"/>
      <c r="F2114" s="47"/>
      <c r="G2114" s="79"/>
      <c r="J2114" s="99"/>
      <c r="K2114" s="4"/>
    </row>
    <row r="2115" spans="3:11" x14ac:dyDescent="0.25">
      <c r="C2115" s="79"/>
      <c r="D2115" s="248"/>
      <c r="E2115" s="248"/>
      <c r="F2115" s="47"/>
      <c r="G2115" s="79"/>
      <c r="J2115" s="99"/>
      <c r="K2115" s="4"/>
    </row>
    <row r="2116" spans="3:11" x14ac:dyDescent="0.25">
      <c r="C2116" s="79"/>
      <c r="D2116" s="248"/>
      <c r="E2116" s="248"/>
      <c r="F2116" s="47"/>
      <c r="G2116" s="79"/>
      <c r="J2116" s="99"/>
      <c r="K2116" s="4"/>
    </row>
    <row r="2117" spans="3:11" x14ac:dyDescent="0.25">
      <c r="C2117" s="79"/>
      <c r="D2117" s="248"/>
      <c r="E2117" s="248"/>
      <c r="F2117" s="47"/>
      <c r="G2117" s="79"/>
      <c r="J2117" s="99"/>
      <c r="K2117" s="4"/>
    </row>
    <row r="2118" spans="3:11" x14ac:dyDescent="0.25">
      <c r="C2118" s="79"/>
      <c r="D2118" s="248"/>
      <c r="E2118" s="248"/>
      <c r="F2118" s="47"/>
      <c r="G2118" s="79"/>
      <c r="J2118" s="99"/>
      <c r="K2118" s="4"/>
    </row>
    <row r="2119" spans="3:11" x14ac:dyDescent="0.25">
      <c r="C2119" s="79"/>
      <c r="D2119" s="248"/>
      <c r="E2119" s="248"/>
      <c r="F2119" s="47"/>
      <c r="G2119" s="79"/>
      <c r="J2119" s="99"/>
      <c r="K2119" s="4"/>
    </row>
    <row r="2120" spans="3:11" x14ac:dyDescent="0.25">
      <c r="C2120" s="79"/>
      <c r="D2120" s="248"/>
      <c r="E2120" s="248"/>
      <c r="F2120" s="47"/>
      <c r="G2120" s="79"/>
      <c r="J2120" s="99"/>
      <c r="K2120" s="4"/>
    </row>
    <row r="2121" spans="3:11" x14ac:dyDescent="0.25">
      <c r="C2121" s="79"/>
      <c r="D2121" s="248"/>
      <c r="E2121" s="248"/>
      <c r="F2121" s="47"/>
      <c r="G2121" s="79"/>
      <c r="J2121" s="99"/>
      <c r="K2121" s="4"/>
    </row>
    <row r="2122" spans="3:11" x14ac:dyDescent="0.25">
      <c r="C2122" s="79"/>
      <c r="D2122" s="248"/>
      <c r="E2122" s="248"/>
      <c r="F2122" s="47"/>
      <c r="G2122" s="79"/>
      <c r="J2122" s="99"/>
      <c r="K2122" s="4"/>
    </row>
    <row r="2123" spans="3:11" x14ac:dyDescent="0.25">
      <c r="C2123" s="79"/>
      <c r="D2123" s="248"/>
      <c r="E2123" s="248"/>
      <c r="F2123" s="47"/>
      <c r="G2123" s="79"/>
      <c r="J2123" s="99"/>
      <c r="K2123" s="4"/>
    </row>
    <row r="2124" spans="3:11" x14ac:dyDescent="0.25">
      <c r="C2124" s="79"/>
      <c r="D2124" s="248"/>
      <c r="E2124" s="248"/>
      <c r="F2124" s="47"/>
      <c r="G2124" s="79"/>
      <c r="J2124" s="99"/>
      <c r="K2124" s="4"/>
    </row>
    <row r="2125" spans="3:11" x14ac:dyDescent="0.25">
      <c r="C2125" s="79"/>
      <c r="D2125" s="248"/>
      <c r="E2125" s="248"/>
      <c r="F2125" s="47"/>
      <c r="G2125" s="79"/>
      <c r="J2125" s="99"/>
      <c r="K2125" s="4"/>
    </row>
    <row r="2126" spans="3:11" x14ac:dyDescent="0.25">
      <c r="C2126" s="79"/>
      <c r="D2126" s="248"/>
      <c r="E2126" s="248"/>
      <c r="F2126" s="47"/>
      <c r="G2126" s="79"/>
      <c r="J2126" s="99"/>
      <c r="K2126" s="4"/>
    </row>
    <row r="2127" spans="3:11" x14ac:dyDescent="0.25">
      <c r="C2127" s="79"/>
      <c r="D2127" s="248"/>
      <c r="E2127" s="248"/>
      <c r="F2127" s="47"/>
      <c r="G2127" s="79"/>
      <c r="J2127" s="99"/>
      <c r="K2127" s="4"/>
    </row>
    <row r="2128" spans="3:11" x14ac:dyDescent="0.25">
      <c r="C2128" s="79"/>
      <c r="D2128" s="248"/>
      <c r="E2128" s="248"/>
      <c r="F2128" s="47"/>
      <c r="G2128" s="79"/>
      <c r="J2128" s="99"/>
      <c r="K2128" s="4"/>
    </row>
    <row r="2129" spans="3:11" x14ac:dyDescent="0.25">
      <c r="C2129" s="79"/>
      <c r="D2129" s="248"/>
      <c r="E2129" s="248"/>
      <c r="F2129" s="47"/>
      <c r="G2129" s="79"/>
      <c r="J2129" s="99"/>
      <c r="K2129" s="4"/>
    </row>
    <row r="2130" spans="3:11" x14ac:dyDescent="0.25">
      <c r="C2130" s="79"/>
      <c r="D2130" s="248"/>
      <c r="E2130" s="248"/>
      <c r="F2130" s="47"/>
      <c r="G2130" s="79"/>
      <c r="J2130" s="99"/>
      <c r="K2130" s="4"/>
    </row>
    <row r="2131" spans="3:11" x14ac:dyDescent="0.25">
      <c r="C2131" s="79"/>
      <c r="D2131" s="248"/>
      <c r="E2131" s="248"/>
      <c r="F2131" s="47"/>
      <c r="G2131" s="79"/>
      <c r="J2131" s="99"/>
      <c r="K2131" s="4"/>
    </row>
    <row r="2132" spans="3:11" x14ac:dyDescent="0.25">
      <c r="C2132" s="79"/>
      <c r="D2132" s="248"/>
      <c r="E2132" s="248"/>
      <c r="F2132" s="47"/>
      <c r="G2132" s="79"/>
      <c r="J2132" s="99"/>
      <c r="K2132" s="4"/>
    </row>
    <row r="2133" spans="3:11" x14ac:dyDescent="0.25">
      <c r="C2133" s="79"/>
      <c r="D2133" s="248"/>
      <c r="E2133" s="248"/>
      <c r="F2133" s="47"/>
      <c r="G2133" s="79"/>
      <c r="J2133" s="99"/>
      <c r="K2133" s="4"/>
    </row>
    <row r="2134" spans="3:11" x14ac:dyDescent="0.25">
      <c r="C2134" s="79"/>
      <c r="D2134" s="248"/>
      <c r="E2134" s="248"/>
      <c r="F2134" s="47"/>
      <c r="G2134" s="79"/>
      <c r="J2134" s="99"/>
      <c r="K2134" s="4"/>
    </row>
    <row r="2135" spans="3:11" x14ac:dyDescent="0.25">
      <c r="C2135" s="79"/>
      <c r="D2135" s="248"/>
      <c r="E2135" s="248"/>
      <c r="F2135" s="47"/>
      <c r="G2135" s="79"/>
      <c r="J2135" s="99"/>
      <c r="K2135" s="4"/>
    </row>
    <row r="2136" spans="3:11" x14ac:dyDescent="0.25">
      <c r="C2136" s="79"/>
      <c r="D2136" s="248"/>
      <c r="E2136" s="248"/>
      <c r="F2136" s="47"/>
      <c r="G2136" s="79"/>
      <c r="J2136" s="99"/>
      <c r="K2136" s="4"/>
    </row>
    <row r="2137" spans="3:11" x14ac:dyDescent="0.25">
      <c r="C2137" s="79"/>
      <c r="D2137" s="248"/>
      <c r="E2137" s="248"/>
      <c r="F2137" s="47"/>
      <c r="G2137" s="79"/>
      <c r="J2137" s="99"/>
      <c r="K2137" s="4"/>
    </row>
    <row r="2138" spans="3:11" x14ac:dyDescent="0.25">
      <c r="C2138" s="79"/>
      <c r="D2138" s="248"/>
      <c r="E2138" s="248"/>
      <c r="F2138" s="47"/>
      <c r="G2138" s="79"/>
      <c r="J2138" s="99"/>
      <c r="K2138" s="4"/>
    </row>
    <row r="2139" spans="3:11" x14ac:dyDescent="0.25">
      <c r="C2139" s="79"/>
      <c r="D2139" s="248"/>
      <c r="E2139" s="248"/>
      <c r="F2139" s="47"/>
      <c r="G2139" s="79"/>
      <c r="J2139" s="99"/>
      <c r="K2139" s="4"/>
    </row>
    <row r="2140" spans="3:11" x14ac:dyDescent="0.25">
      <c r="C2140" s="79"/>
      <c r="D2140" s="248"/>
      <c r="E2140" s="248"/>
      <c r="F2140" s="47"/>
      <c r="G2140" s="79"/>
      <c r="J2140" s="99"/>
      <c r="K2140" s="4"/>
    </row>
    <row r="2141" spans="3:11" x14ac:dyDescent="0.25">
      <c r="C2141" s="79"/>
      <c r="D2141" s="248"/>
      <c r="E2141" s="248"/>
      <c r="F2141" s="47"/>
      <c r="G2141" s="79"/>
      <c r="J2141" s="99"/>
      <c r="K2141" s="4"/>
    </row>
    <row r="2142" spans="3:11" x14ac:dyDescent="0.25">
      <c r="C2142" s="79"/>
      <c r="D2142" s="248"/>
      <c r="E2142" s="248"/>
      <c r="F2142" s="47"/>
      <c r="G2142" s="79"/>
      <c r="J2142" s="99"/>
      <c r="K2142" s="4"/>
    </row>
    <row r="2143" spans="3:11" x14ac:dyDescent="0.25">
      <c r="C2143" s="79"/>
      <c r="D2143" s="248"/>
      <c r="E2143" s="248"/>
      <c r="F2143" s="47"/>
      <c r="G2143" s="79"/>
      <c r="J2143" s="99"/>
      <c r="K2143" s="4"/>
    </row>
    <row r="2144" spans="3:11" x14ac:dyDescent="0.25">
      <c r="C2144" s="79"/>
      <c r="D2144" s="248"/>
      <c r="E2144" s="248"/>
      <c r="F2144" s="47"/>
      <c r="G2144" s="79"/>
      <c r="J2144" s="99"/>
      <c r="K2144" s="4"/>
    </row>
    <row r="2145" spans="3:11" x14ac:dyDescent="0.25">
      <c r="C2145" s="79"/>
      <c r="D2145" s="248"/>
      <c r="E2145" s="248"/>
      <c r="F2145" s="47"/>
      <c r="G2145" s="79"/>
      <c r="J2145" s="99"/>
      <c r="K2145" s="4"/>
    </row>
    <row r="2146" spans="3:11" x14ac:dyDescent="0.25">
      <c r="C2146" s="79"/>
      <c r="D2146" s="248"/>
      <c r="E2146" s="248"/>
      <c r="F2146" s="47"/>
      <c r="G2146" s="79"/>
      <c r="J2146" s="99"/>
      <c r="K2146" s="4"/>
    </row>
    <row r="2147" spans="3:11" x14ac:dyDescent="0.25">
      <c r="C2147" s="79"/>
      <c r="D2147" s="248"/>
      <c r="E2147" s="248"/>
      <c r="F2147" s="47"/>
      <c r="G2147" s="79"/>
      <c r="J2147" s="99"/>
      <c r="K2147" s="4"/>
    </row>
    <row r="2148" spans="3:11" x14ac:dyDescent="0.25">
      <c r="C2148" s="79"/>
      <c r="D2148" s="248"/>
      <c r="E2148" s="248"/>
      <c r="F2148" s="47"/>
      <c r="G2148" s="79"/>
      <c r="J2148" s="99"/>
      <c r="K2148" s="4"/>
    </row>
    <row r="2149" spans="3:11" x14ac:dyDescent="0.25">
      <c r="C2149" s="79"/>
      <c r="D2149" s="248"/>
      <c r="E2149" s="248"/>
      <c r="F2149" s="47"/>
      <c r="G2149" s="79"/>
      <c r="J2149" s="99"/>
      <c r="K2149" s="4"/>
    </row>
    <row r="2150" spans="3:11" x14ac:dyDescent="0.25">
      <c r="C2150" s="79"/>
      <c r="D2150" s="248"/>
      <c r="E2150" s="248"/>
      <c r="F2150" s="47"/>
      <c r="G2150" s="79"/>
      <c r="J2150" s="99"/>
      <c r="K2150" s="4"/>
    </row>
    <row r="2151" spans="3:11" x14ac:dyDescent="0.25">
      <c r="C2151" s="79"/>
      <c r="D2151" s="248"/>
      <c r="E2151" s="248"/>
      <c r="F2151" s="47"/>
      <c r="G2151" s="79"/>
      <c r="J2151" s="99"/>
      <c r="K2151" s="4"/>
    </row>
    <row r="2152" spans="3:11" x14ac:dyDescent="0.25">
      <c r="C2152" s="79"/>
      <c r="D2152" s="248"/>
      <c r="E2152" s="248"/>
      <c r="F2152" s="47"/>
      <c r="G2152" s="79"/>
      <c r="J2152" s="99"/>
      <c r="K2152" s="4"/>
    </row>
    <row r="2153" spans="3:11" x14ac:dyDescent="0.25">
      <c r="C2153" s="79"/>
      <c r="D2153" s="248"/>
      <c r="E2153" s="248"/>
      <c r="F2153" s="47"/>
      <c r="G2153" s="79"/>
      <c r="J2153" s="99"/>
      <c r="K2153" s="4"/>
    </row>
    <row r="2154" spans="3:11" x14ac:dyDescent="0.25">
      <c r="C2154" s="79"/>
      <c r="D2154" s="248"/>
      <c r="E2154" s="248"/>
      <c r="F2154" s="47"/>
      <c r="G2154" s="79"/>
      <c r="J2154" s="99"/>
      <c r="K2154" s="4"/>
    </row>
    <row r="2155" spans="3:11" x14ac:dyDescent="0.25">
      <c r="C2155" s="79"/>
      <c r="D2155" s="248"/>
      <c r="E2155" s="248"/>
      <c r="F2155" s="47"/>
      <c r="G2155" s="79"/>
      <c r="J2155" s="99"/>
      <c r="K2155" s="4"/>
    </row>
    <row r="2156" spans="3:11" x14ac:dyDescent="0.25">
      <c r="C2156" s="79"/>
      <c r="D2156" s="248"/>
      <c r="E2156" s="248"/>
      <c r="F2156" s="47"/>
      <c r="G2156" s="79"/>
      <c r="J2156" s="99"/>
      <c r="K2156" s="4"/>
    </row>
    <row r="2157" spans="3:11" x14ac:dyDescent="0.25">
      <c r="C2157" s="79"/>
      <c r="D2157" s="248"/>
      <c r="E2157" s="248"/>
      <c r="F2157" s="47"/>
      <c r="G2157" s="79"/>
      <c r="J2157" s="99"/>
      <c r="K2157" s="4"/>
    </row>
    <row r="2158" spans="3:11" x14ac:dyDescent="0.25">
      <c r="C2158" s="79"/>
      <c r="D2158" s="248"/>
      <c r="E2158" s="248"/>
      <c r="F2158" s="47"/>
      <c r="G2158" s="79"/>
      <c r="J2158" s="99"/>
      <c r="K2158" s="4"/>
    </row>
    <row r="2159" spans="3:11" x14ac:dyDescent="0.25">
      <c r="C2159" s="79"/>
      <c r="D2159" s="248"/>
      <c r="E2159" s="248"/>
      <c r="F2159" s="47"/>
      <c r="G2159" s="79"/>
      <c r="J2159" s="99"/>
      <c r="K2159" s="4"/>
    </row>
    <row r="2160" spans="3:11" x14ac:dyDescent="0.25">
      <c r="C2160" s="79"/>
      <c r="D2160" s="248"/>
      <c r="E2160" s="248"/>
      <c r="F2160" s="47"/>
      <c r="G2160" s="79"/>
      <c r="J2160" s="99"/>
      <c r="K2160" s="4"/>
    </row>
    <row r="2161" spans="3:11" x14ac:dyDescent="0.25">
      <c r="C2161" s="79"/>
      <c r="D2161" s="248"/>
      <c r="E2161" s="248"/>
      <c r="F2161" s="47"/>
      <c r="G2161" s="79"/>
      <c r="J2161" s="99"/>
      <c r="K2161" s="4"/>
    </row>
    <row r="2162" spans="3:11" x14ac:dyDescent="0.25">
      <c r="C2162" s="79"/>
      <c r="D2162" s="248"/>
      <c r="E2162" s="248"/>
      <c r="F2162" s="47"/>
      <c r="G2162" s="79"/>
      <c r="J2162" s="99"/>
      <c r="K2162" s="4"/>
    </row>
    <row r="2163" spans="3:11" x14ac:dyDescent="0.25">
      <c r="C2163" s="79"/>
      <c r="D2163" s="248"/>
      <c r="E2163" s="248"/>
      <c r="F2163" s="47"/>
      <c r="G2163" s="79"/>
      <c r="J2163" s="99"/>
      <c r="K2163" s="4"/>
    </row>
    <row r="2164" spans="3:11" x14ac:dyDescent="0.25">
      <c r="C2164" s="79"/>
      <c r="D2164" s="248"/>
      <c r="E2164" s="248"/>
      <c r="F2164" s="47"/>
      <c r="G2164" s="79"/>
      <c r="J2164" s="99"/>
      <c r="K2164" s="4"/>
    </row>
    <row r="2165" spans="3:11" x14ac:dyDescent="0.25">
      <c r="C2165" s="79"/>
      <c r="D2165" s="248"/>
      <c r="E2165" s="248"/>
      <c r="F2165" s="47"/>
      <c r="G2165" s="79"/>
      <c r="J2165" s="99"/>
      <c r="K2165" s="4"/>
    </row>
    <row r="2166" spans="3:11" x14ac:dyDescent="0.25">
      <c r="C2166" s="79"/>
      <c r="D2166" s="248"/>
      <c r="E2166" s="248"/>
      <c r="F2166" s="47"/>
      <c r="G2166" s="79"/>
      <c r="J2166" s="99"/>
      <c r="K2166" s="4"/>
    </row>
    <row r="2167" spans="3:11" x14ac:dyDescent="0.25">
      <c r="C2167" s="79"/>
      <c r="D2167" s="248"/>
      <c r="E2167" s="248"/>
      <c r="F2167" s="47"/>
      <c r="G2167" s="79"/>
      <c r="J2167" s="99"/>
      <c r="K2167" s="4"/>
    </row>
    <row r="2168" spans="3:11" x14ac:dyDescent="0.25">
      <c r="C2168" s="79"/>
      <c r="D2168" s="248"/>
      <c r="E2168" s="248"/>
      <c r="F2168" s="47"/>
      <c r="G2168" s="79"/>
      <c r="J2168" s="99"/>
      <c r="K2168" s="4"/>
    </row>
    <row r="2169" spans="3:11" x14ac:dyDescent="0.25">
      <c r="C2169" s="79"/>
      <c r="D2169" s="248"/>
      <c r="E2169" s="248"/>
      <c r="F2169" s="47"/>
      <c r="G2169" s="79"/>
      <c r="J2169" s="99"/>
      <c r="K2169" s="4"/>
    </row>
    <row r="2170" spans="3:11" x14ac:dyDescent="0.25">
      <c r="C2170" s="79"/>
      <c r="D2170" s="248"/>
      <c r="E2170" s="248"/>
      <c r="F2170" s="47"/>
      <c r="G2170" s="79"/>
      <c r="J2170" s="99"/>
      <c r="K2170" s="4"/>
    </row>
    <row r="2171" spans="3:11" x14ac:dyDescent="0.25">
      <c r="C2171" s="79"/>
      <c r="D2171" s="248"/>
      <c r="E2171" s="248"/>
      <c r="F2171" s="47"/>
      <c r="G2171" s="79"/>
      <c r="J2171" s="99"/>
      <c r="K2171" s="4"/>
    </row>
    <row r="2172" spans="3:11" x14ac:dyDescent="0.25">
      <c r="C2172" s="79"/>
      <c r="D2172" s="248"/>
      <c r="E2172" s="248"/>
      <c r="F2172" s="47"/>
      <c r="G2172" s="79"/>
      <c r="J2172" s="99"/>
      <c r="K2172" s="4"/>
    </row>
    <row r="2173" spans="3:11" x14ac:dyDescent="0.25">
      <c r="C2173" s="79"/>
      <c r="D2173" s="248"/>
      <c r="E2173" s="248"/>
      <c r="F2173" s="47"/>
      <c r="G2173" s="79"/>
      <c r="J2173" s="99"/>
      <c r="K2173" s="4"/>
    </row>
    <row r="2174" spans="3:11" x14ac:dyDescent="0.25">
      <c r="C2174" s="79"/>
      <c r="D2174" s="248"/>
      <c r="E2174" s="248"/>
      <c r="F2174" s="47"/>
      <c r="G2174" s="79"/>
      <c r="J2174" s="99"/>
      <c r="K2174" s="4"/>
    </row>
    <row r="2175" spans="3:11" x14ac:dyDescent="0.25">
      <c r="C2175" s="79"/>
      <c r="D2175" s="248"/>
      <c r="E2175" s="248"/>
      <c r="F2175" s="47"/>
      <c r="G2175" s="79"/>
      <c r="J2175" s="99"/>
      <c r="K2175" s="4"/>
    </row>
    <row r="2176" spans="3:11" x14ac:dyDescent="0.25">
      <c r="C2176" s="79"/>
      <c r="D2176" s="248"/>
      <c r="E2176" s="248"/>
      <c r="F2176" s="47"/>
      <c r="G2176" s="79"/>
      <c r="J2176" s="99"/>
      <c r="K2176" s="4"/>
    </row>
    <row r="2177" spans="3:11" x14ac:dyDescent="0.25">
      <c r="C2177" s="79"/>
      <c r="D2177" s="248"/>
      <c r="E2177" s="248"/>
      <c r="F2177" s="47"/>
      <c r="G2177" s="79"/>
      <c r="J2177" s="99"/>
      <c r="K2177" s="4"/>
    </row>
    <row r="2178" spans="3:11" x14ac:dyDescent="0.25">
      <c r="C2178" s="79"/>
      <c r="D2178" s="248"/>
      <c r="E2178" s="248"/>
      <c r="F2178" s="47"/>
      <c r="G2178" s="79"/>
      <c r="J2178" s="99"/>
      <c r="K2178" s="4"/>
    </row>
    <row r="2179" spans="3:11" x14ac:dyDescent="0.25">
      <c r="C2179" s="79"/>
      <c r="D2179" s="248"/>
      <c r="E2179" s="248"/>
      <c r="F2179" s="47"/>
      <c r="G2179" s="79"/>
      <c r="J2179" s="99"/>
      <c r="K2179" s="4"/>
    </row>
    <row r="2180" spans="3:11" x14ac:dyDescent="0.25">
      <c r="C2180" s="79"/>
      <c r="D2180" s="248"/>
      <c r="E2180" s="248"/>
      <c r="F2180" s="47"/>
      <c r="G2180" s="79"/>
      <c r="J2180" s="99"/>
      <c r="K2180" s="4"/>
    </row>
    <row r="2181" spans="3:11" x14ac:dyDescent="0.25">
      <c r="C2181" s="79"/>
      <c r="D2181" s="248"/>
      <c r="E2181" s="248"/>
      <c r="F2181" s="47"/>
      <c r="G2181" s="79"/>
      <c r="J2181" s="99"/>
      <c r="K2181" s="4"/>
    </row>
    <row r="2182" spans="3:11" x14ac:dyDescent="0.25">
      <c r="C2182" s="79"/>
      <c r="D2182" s="248"/>
      <c r="E2182" s="248"/>
      <c r="F2182" s="47"/>
      <c r="G2182" s="79"/>
      <c r="J2182" s="99"/>
      <c r="K2182" s="4"/>
    </row>
    <row r="2183" spans="3:11" x14ac:dyDescent="0.25">
      <c r="C2183" s="79"/>
      <c r="D2183" s="248"/>
      <c r="E2183" s="248"/>
      <c r="F2183" s="47"/>
      <c r="G2183" s="79"/>
      <c r="J2183" s="99"/>
      <c r="K2183" s="4"/>
    </row>
    <row r="2184" spans="3:11" x14ac:dyDescent="0.25">
      <c r="C2184" s="79"/>
      <c r="D2184" s="248"/>
      <c r="E2184" s="248"/>
      <c r="F2184" s="47"/>
      <c r="G2184" s="79"/>
      <c r="J2184" s="99"/>
      <c r="K2184" s="4"/>
    </row>
    <row r="2185" spans="3:11" x14ac:dyDescent="0.25">
      <c r="C2185" s="79"/>
      <c r="D2185" s="248"/>
      <c r="E2185" s="248"/>
      <c r="F2185" s="47"/>
      <c r="G2185" s="79"/>
      <c r="J2185" s="99"/>
      <c r="K2185" s="4"/>
    </row>
    <row r="2186" spans="3:11" x14ac:dyDescent="0.25">
      <c r="C2186" s="79"/>
      <c r="D2186" s="248"/>
      <c r="E2186" s="248"/>
      <c r="F2186" s="47"/>
      <c r="G2186" s="79"/>
      <c r="J2186" s="99"/>
      <c r="K2186" s="4"/>
    </row>
    <row r="2187" spans="3:11" x14ac:dyDescent="0.25">
      <c r="C2187" s="79"/>
      <c r="D2187" s="248"/>
      <c r="E2187" s="248"/>
      <c r="F2187" s="47"/>
      <c r="G2187" s="79"/>
      <c r="J2187" s="99"/>
      <c r="K2187" s="4"/>
    </row>
    <row r="2188" spans="3:11" x14ac:dyDescent="0.25">
      <c r="C2188" s="79"/>
      <c r="D2188" s="248"/>
      <c r="E2188" s="248"/>
      <c r="F2188" s="47"/>
      <c r="G2188" s="79"/>
      <c r="J2188" s="99"/>
      <c r="K2188" s="4"/>
    </row>
    <row r="2189" spans="3:11" x14ac:dyDescent="0.25">
      <c r="C2189" s="79"/>
      <c r="D2189" s="248"/>
      <c r="E2189" s="248"/>
      <c r="F2189" s="47"/>
      <c r="G2189" s="79"/>
      <c r="J2189" s="99"/>
      <c r="K2189" s="4"/>
    </row>
    <row r="2190" spans="3:11" x14ac:dyDescent="0.25">
      <c r="C2190" s="79"/>
      <c r="D2190" s="248"/>
      <c r="E2190" s="248"/>
      <c r="F2190" s="47"/>
      <c r="G2190" s="79"/>
      <c r="J2190" s="99"/>
      <c r="K2190" s="4"/>
    </row>
    <row r="2191" spans="3:11" x14ac:dyDescent="0.25">
      <c r="C2191" s="79"/>
      <c r="D2191" s="248"/>
      <c r="E2191" s="248"/>
      <c r="F2191" s="47"/>
      <c r="G2191" s="79"/>
      <c r="J2191" s="99"/>
      <c r="K2191" s="4"/>
    </row>
    <row r="2192" spans="3:11" x14ac:dyDescent="0.25">
      <c r="C2192" s="79"/>
      <c r="D2192" s="248"/>
      <c r="E2192" s="248"/>
      <c r="F2192" s="47"/>
      <c r="G2192" s="79"/>
      <c r="J2192" s="99"/>
      <c r="K2192" s="4"/>
    </row>
    <row r="2193" spans="3:11" x14ac:dyDescent="0.25">
      <c r="C2193" s="79"/>
      <c r="D2193" s="248"/>
      <c r="E2193" s="248"/>
      <c r="F2193" s="47"/>
      <c r="G2193" s="79"/>
      <c r="J2193" s="99"/>
      <c r="K2193" s="4"/>
    </row>
    <row r="2194" spans="3:11" x14ac:dyDescent="0.25">
      <c r="C2194" s="79"/>
      <c r="D2194" s="248"/>
      <c r="E2194" s="248"/>
      <c r="F2194" s="47"/>
      <c r="G2194" s="79"/>
      <c r="J2194" s="99"/>
      <c r="K2194" s="4"/>
    </row>
    <row r="2195" spans="3:11" x14ac:dyDescent="0.25">
      <c r="C2195" s="79"/>
      <c r="D2195" s="248"/>
      <c r="E2195" s="248"/>
      <c r="F2195" s="47"/>
      <c r="G2195" s="79"/>
      <c r="J2195" s="99"/>
      <c r="K2195" s="4"/>
    </row>
    <row r="2196" spans="3:11" x14ac:dyDescent="0.25">
      <c r="C2196" s="79"/>
      <c r="D2196" s="248"/>
      <c r="E2196" s="248"/>
      <c r="F2196" s="47"/>
      <c r="G2196" s="79"/>
      <c r="J2196" s="99"/>
      <c r="K2196" s="4"/>
    </row>
    <row r="2197" spans="3:11" x14ac:dyDescent="0.25">
      <c r="C2197" s="79"/>
      <c r="D2197" s="248"/>
      <c r="E2197" s="248"/>
      <c r="F2197" s="47"/>
      <c r="G2197" s="79"/>
      <c r="J2197" s="99"/>
      <c r="K2197" s="4"/>
    </row>
    <row r="2198" spans="3:11" x14ac:dyDescent="0.25">
      <c r="C2198" s="79"/>
      <c r="D2198" s="248"/>
      <c r="E2198" s="248"/>
      <c r="F2198" s="47"/>
      <c r="G2198" s="79"/>
      <c r="J2198" s="99"/>
      <c r="K2198" s="4"/>
    </row>
    <row r="2199" spans="3:11" x14ac:dyDescent="0.25">
      <c r="C2199" s="79"/>
      <c r="D2199" s="248"/>
      <c r="E2199" s="248"/>
      <c r="F2199" s="47"/>
      <c r="G2199" s="79"/>
      <c r="J2199" s="99"/>
      <c r="K2199" s="4"/>
    </row>
    <row r="2200" spans="3:11" x14ac:dyDescent="0.25">
      <c r="C2200" s="79"/>
      <c r="D2200" s="248"/>
      <c r="E2200" s="248"/>
      <c r="F2200" s="47"/>
      <c r="G2200" s="79"/>
      <c r="J2200" s="99"/>
      <c r="K2200" s="4"/>
    </row>
    <row r="2201" spans="3:11" x14ac:dyDescent="0.25">
      <c r="C2201" s="79"/>
      <c r="D2201" s="248"/>
      <c r="E2201" s="248"/>
      <c r="F2201" s="47"/>
      <c r="G2201" s="79"/>
      <c r="J2201" s="99"/>
      <c r="K2201" s="4"/>
    </row>
    <row r="2202" spans="3:11" x14ac:dyDescent="0.25">
      <c r="C2202" s="79"/>
      <c r="D2202" s="248"/>
      <c r="E2202" s="248"/>
      <c r="F2202" s="47"/>
      <c r="G2202" s="79"/>
      <c r="J2202" s="99"/>
      <c r="K2202" s="4"/>
    </row>
    <row r="2203" spans="3:11" x14ac:dyDescent="0.25">
      <c r="C2203" s="79"/>
      <c r="D2203" s="248"/>
      <c r="E2203" s="248"/>
      <c r="F2203" s="47"/>
      <c r="G2203" s="79"/>
      <c r="J2203" s="99"/>
      <c r="K2203" s="4"/>
    </row>
    <row r="2204" spans="3:11" x14ac:dyDescent="0.25">
      <c r="C2204" s="79"/>
      <c r="D2204" s="248"/>
      <c r="E2204" s="248"/>
      <c r="F2204" s="47"/>
      <c r="G2204" s="79"/>
      <c r="J2204" s="99"/>
      <c r="K2204" s="4"/>
    </row>
    <row r="2205" spans="3:11" x14ac:dyDescent="0.25">
      <c r="C2205" s="79"/>
      <c r="D2205" s="248"/>
      <c r="E2205" s="248"/>
      <c r="F2205" s="47"/>
      <c r="G2205" s="79"/>
      <c r="J2205" s="99"/>
      <c r="K2205" s="4"/>
    </row>
    <row r="2206" spans="3:11" x14ac:dyDescent="0.25">
      <c r="C2206" s="79"/>
      <c r="D2206" s="248"/>
      <c r="E2206" s="248"/>
      <c r="F2206" s="47"/>
      <c r="G2206" s="79"/>
      <c r="J2206" s="99"/>
      <c r="K2206" s="4"/>
    </row>
    <row r="2207" spans="3:11" x14ac:dyDescent="0.25">
      <c r="C2207" s="79"/>
      <c r="D2207" s="248"/>
      <c r="E2207" s="248"/>
      <c r="F2207" s="47"/>
      <c r="G2207" s="79"/>
      <c r="J2207" s="99"/>
      <c r="K2207" s="4"/>
    </row>
    <row r="2208" spans="3:11" x14ac:dyDescent="0.25">
      <c r="C2208" s="79"/>
      <c r="D2208" s="248"/>
      <c r="E2208" s="248"/>
      <c r="F2208" s="47"/>
      <c r="G2208" s="79"/>
      <c r="J2208" s="99"/>
      <c r="K2208" s="4"/>
    </row>
    <row r="2209" spans="3:11" x14ac:dyDescent="0.25">
      <c r="C2209" s="79"/>
      <c r="D2209" s="248"/>
      <c r="E2209" s="248"/>
      <c r="F2209" s="47"/>
      <c r="G2209" s="79"/>
      <c r="J2209" s="99"/>
      <c r="K2209" s="4"/>
    </row>
    <row r="2210" spans="3:11" x14ac:dyDescent="0.25">
      <c r="C2210" s="79"/>
      <c r="D2210" s="248"/>
      <c r="E2210" s="248"/>
      <c r="F2210" s="47"/>
      <c r="G2210" s="79"/>
      <c r="J2210" s="99"/>
      <c r="K2210" s="4"/>
    </row>
    <row r="2211" spans="3:11" x14ac:dyDescent="0.25">
      <c r="C2211" s="79"/>
      <c r="D2211" s="248"/>
      <c r="E2211" s="248"/>
      <c r="F2211" s="47"/>
      <c r="G2211" s="79"/>
      <c r="J2211" s="99"/>
      <c r="K2211" s="4"/>
    </row>
    <row r="2212" spans="3:11" x14ac:dyDescent="0.25">
      <c r="C2212" s="79"/>
      <c r="D2212" s="248"/>
      <c r="E2212" s="248"/>
      <c r="F2212" s="47"/>
      <c r="G2212" s="79"/>
      <c r="J2212" s="99"/>
      <c r="K2212" s="4"/>
    </row>
    <row r="2213" spans="3:11" x14ac:dyDescent="0.25">
      <c r="C2213" s="79"/>
      <c r="D2213" s="248"/>
      <c r="E2213" s="248"/>
      <c r="F2213" s="47"/>
      <c r="G2213" s="79"/>
      <c r="J2213" s="99"/>
      <c r="K2213" s="4"/>
    </row>
    <row r="2214" spans="3:11" x14ac:dyDescent="0.25">
      <c r="C2214" s="79"/>
      <c r="D2214" s="248"/>
      <c r="E2214" s="248"/>
      <c r="F2214" s="47"/>
      <c r="G2214" s="79"/>
      <c r="J2214" s="99"/>
      <c r="K2214" s="4"/>
    </row>
    <row r="2215" spans="3:11" x14ac:dyDescent="0.25">
      <c r="C2215" s="79"/>
      <c r="D2215" s="248"/>
      <c r="E2215" s="248"/>
      <c r="F2215" s="47"/>
      <c r="G2215" s="79"/>
      <c r="J2215" s="99"/>
      <c r="K2215" s="4"/>
    </row>
    <row r="2216" spans="3:11" x14ac:dyDescent="0.25">
      <c r="C2216" s="79"/>
      <c r="D2216" s="248"/>
      <c r="E2216" s="248"/>
      <c r="F2216" s="47"/>
      <c r="G2216" s="79"/>
      <c r="J2216" s="99"/>
      <c r="K2216" s="4"/>
    </row>
    <row r="2217" spans="3:11" x14ac:dyDescent="0.25">
      <c r="C2217" s="79"/>
      <c r="D2217" s="248"/>
      <c r="E2217" s="248"/>
      <c r="F2217" s="47"/>
      <c r="G2217" s="79"/>
      <c r="J2217" s="99"/>
      <c r="K2217" s="4"/>
    </row>
    <row r="2218" spans="3:11" x14ac:dyDescent="0.25">
      <c r="C2218" s="79"/>
      <c r="D2218" s="248"/>
      <c r="E2218" s="248"/>
      <c r="F2218" s="47"/>
      <c r="G2218" s="79"/>
      <c r="J2218" s="99"/>
      <c r="K2218" s="4"/>
    </row>
    <row r="2219" spans="3:11" x14ac:dyDescent="0.25">
      <c r="C2219" s="79"/>
      <c r="D2219" s="248"/>
      <c r="E2219" s="248"/>
      <c r="F2219" s="47"/>
      <c r="G2219" s="79"/>
      <c r="J2219" s="99"/>
      <c r="K2219" s="4"/>
    </row>
    <row r="2220" spans="3:11" x14ac:dyDescent="0.25">
      <c r="C2220" s="79"/>
      <c r="D2220" s="248"/>
      <c r="E2220" s="248"/>
      <c r="F2220" s="47"/>
      <c r="G2220" s="79"/>
      <c r="J2220" s="99"/>
      <c r="K2220" s="4"/>
    </row>
    <row r="2221" spans="3:11" x14ac:dyDescent="0.25">
      <c r="C2221" s="79"/>
      <c r="D2221" s="248"/>
      <c r="E2221" s="248"/>
      <c r="F2221" s="47"/>
      <c r="G2221" s="79"/>
      <c r="J2221" s="99"/>
      <c r="K2221" s="4"/>
    </row>
    <row r="2222" spans="3:11" x14ac:dyDescent="0.25">
      <c r="C2222" s="79"/>
      <c r="D2222" s="248"/>
      <c r="E2222" s="248"/>
      <c r="F2222" s="47"/>
      <c r="G2222" s="79"/>
      <c r="J2222" s="99"/>
      <c r="K2222" s="4"/>
    </row>
    <row r="2223" spans="3:11" x14ac:dyDescent="0.25">
      <c r="C2223" s="79"/>
      <c r="D2223" s="248"/>
      <c r="E2223" s="248"/>
      <c r="F2223" s="47"/>
      <c r="G2223" s="79"/>
      <c r="J2223" s="99"/>
      <c r="K2223" s="4"/>
    </row>
    <row r="2224" spans="3:11" x14ac:dyDescent="0.25">
      <c r="C2224" s="79"/>
      <c r="D2224" s="248"/>
      <c r="E2224" s="248"/>
      <c r="F2224" s="47"/>
      <c r="G2224" s="79"/>
      <c r="J2224" s="99"/>
      <c r="K2224" s="4"/>
    </row>
    <row r="2225" spans="3:11" x14ac:dyDescent="0.25">
      <c r="C2225" s="79"/>
      <c r="D2225" s="248"/>
      <c r="E2225" s="248"/>
      <c r="F2225" s="47"/>
      <c r="G2225" s="79"/>
      <c r="J2225" s="99"/>
      <c r="K2225" s="4"/>
    </row>
    <row r="2226" spans="3:11" x14ac:dyDescent="0.25">
      <c r="C2226" s="79"/>
      <c r="D2226" s="248"/>
      <c r="E2226" s="248"/>
      <c r="F2226" s="47"/>
      <c r="G2226" s="79"/>
      <c r="J2226" s="99"/>
      <c r="K2226" s="4"/>
    </row>
    <row r="2227" spans="3:11" x14ac:dyDescent="0.25">
      <c r="C2227" s="79"/>
      <c r="D2227" s="248"/>
      <c r="E2227" s="248"/>
      <c r="F2227" s="47"/>
      <c r="G2227" s="79"/>
      <c r="J2227" s="99"/>
      <c r="K2227" s="4"/>
    </row>
    <row r="2228" spans="3:11" x14ac:dyDescent="0.25">
      <c r="C2228" s="79"/>
      <c r="D2228" s="248"/>
      <c r="E2228" s="248"/>
      <c r="F2228" s="47"/>
      <c r="G2228" s="79"/>
      <c r="J2228" s="99"/>
      <c r="K2228" s="4"/>
    </row>
    <row r="2229" spans="3:11" x14ac:dyDescent="0.25">
      <c r="C2229" s="79"/>
      <c r="D2229" s="248"/>
      <c r="E2229" s="248"/>
      <c r="F2229" s="47"/>
      <c r="G2229" s="79"/>
      <c r="J2229" s="99"/>
      <c r="K2229" s="4"/>
    </row>
    <row r="2230" spans="3:11" x14ac:dyDescent="0.25">
      <c r="C2230" s="79"/>
      <c r="D2230" s="248"/>
      <c r="E2230" s="248"/>
      <c r="F2230" s="47"/>
      <c r="G2230" s="79"/>
      <c r="J2230" s="99"/>
      <c r="K2230" s="4"/>
    </row>
    <row r="2231" spans="3:11" x14ac:dyDescent="0.25">
      <c r="C2231" s="79"/>
      <c r="D2231" s="248"/>
      <c r="E2231" s="248"/>
      <c r="F2231" s="47"/>
      <c r="G2231" s="79"/>
      <c r="J2231" s="99"/>
      <c r="K2231" s="4"/>
    </row>
    <row r="2232" spans="3:11" x14ac:dyDescent="0.25">
      <c r="C2232" s="79"/>
      <c r="D2232" s="248"/>
      <c r="E2232" s="248"/>
      <c r="F2232" s="47"/>
      <c r="G2232" s="79"/>
      <c r="J2232" s="99"/>
      <c r="K2232" s="4"/>
    </row>
    <row r="2233" spans="3:11" x14ac:dyDescent="0.25">
      <c r="C2233" s="79"/>
      <c r="D2233" s="248"/>
      <c r="E2233" s="248"/>
      <c r="F2233" s="47"/>
      <c r="G2233" s="79"/>
      <c r="J2233" s="99"/>
      <c r="K2233" s="4"/>
    </row>
    <row r="2234" spans="3:11" x14ac:dyDescent="0.25">
      <c r="C2234" s="79"/>
      <c r="D2234" s="248"/>
      <c r="E2234" s="248"/>
      <c r="F2234" s="47"/>
      <c r="G2234" s="79"/>
      <c r="J2234" s="99"/>
      <c r="K2234" s="4"/>
    </row>
    <row r="2235" spans="3:11" x14ac:dyDescent="0.25">
      <c r="C2235" s="79"/>
      <c r="D2235" s="248"/>
      <c r="E2235" s="248"/>
      <c r="F2235" s="47"/>
      <c r="G2235" s="79"/>
      <c r="J2235" s="99"/>
      <c r="K2235" s="4"/>
    </row>
    <row r="2236" spans="3:11" x14ac:dyDescent="0.25">
      <c r="C2236" s="79"/>
      <c r="D2236" s="248"/>
      <c r="E2236" s="248"/>
      <c r="F2236" s="47"/>
      <c r="G2236" s="79"/>
      <c r="J2236" s="99"/>
      <c r="K2236" s="4"/>
    </row>
    <row r="2237" spans="3:11" x14ac:dyDescent="0.25">
      <c r="C2237" s="79"/>
      <c r="D2237" s="248"/>
      <c r="E2237" s="248"/>
      <c r="F2237" s="47"/>
      <c r="G2237" s="79"/>
      <c r="J2237" s="99"/>
      <c r="K2237" s="4"/>
    </row>
    <row r="2238" spans="3:11" x14ac:dyDescent="0.25">
      <c r="C2238" s="79"/>
      <c r="D2238" s="248"/>
      <c r="E2238" s="248"/>
      <c r="F2238" s="47"/>
      <c r="G2238" s="79"/>
      <c r="J2238" s="99"/>
      <c r="K2238" s="4"/>
    </row>
    <row r="2239" spans="3:11" x14ac:dyDescent="0.25">
      <c r="C2239" s="79"/>
      <c r="D2239" s="248"/>
      <c r="E2239" s="248"/>
      <c r="F2239" s="47"/>
      <c r="G2239" s="79"/>
      <c r="J2239" s="99"/>
      <c r="K2239" s="4"/>
    </row>
    <row r="2240" spans="3:11" x14ac:dyDescent="0.25">
      <c r="C2240" s="79"/>
      <c r="D2240" s="248"/>
      <c r="E2240" s="248"/>
      <c r="F2240" s="47"/>
      <c r="G2240" s="79"/>
      <c r="J2240" s="99"/>
      <c r="K2240" s="4"/>
    </row>
    <row r="2241" spans="3:11" x14ac:dyDescent="0.25">
      <c r="C2241" s="79"/>
      <c r="D2241" s="248"/>
      <c r="E2241" s="248"/>
      <c r="F2241" s="47"/>
      <c r="G2241" s="79"/>
      <c r="J2241" s="99"/>
      <c r="K2241" s="4"/>
    </row>
    <row r="2242" spans="3:11" x14ac:dyDescent="0.25">
      <c r="C2242" s="79"/>
      <c r="D2242" s="248"/>
      <c r="E2242" s="248"/>
      <c r="F2242" s="47"/>
      <c r="G2242" s="79"/>
      <c r="J2242" s="99"/>
      <c r="K2242" s="4"/>
    </row>
    <row r="2243" spans="3:11" x14ac:dyDescent="0.25">
      <c r="C2243" s="79"/>
      <c r="D2243" s="248"/>
      <c r="E2243" s="248"/>
      <c r="F2243" s="47"/>
      <c r="G2243" s="79"/>
      <c r="J2243" s="99"/>
      <c r="K2243" s="4"/>
    </row>
    <row r="2244" spans="3:11" x14ac:dyDescent="0.25">
      <c r="C2244" s="79"/>
      <c r="D2244" s="248"/>
      <c r="E2244" s="248"/>
      <c r="F2244" s="47"/>
      <c r="G2244" s="79"/>
      <c r="J2244" s="99"/>
      <c r="K2244" s="4"/>
    </row>
    <row r="2245" spans="3:11" x14ac:dyDescent="0.25">
      <c r="C2245" s="79"/>
      <c r="D2245" s="248"/>
      <c r="E2245" s="248"/>
      <c r="F2245" s="47"/>
      <c r="G2245" s="79"/>
      <c r="J2245" s="99"/>
      <c r="K2245" s="4"/>
    </row>
    <row r="2246" spans="3:11" x14ac:dyDescent="0.25">
      <c r="C2246" s="79"/>
      <c r="D2246" s="248"/>
      <c r="E2246" s="248"/>
      <c r="F2246" s="47"/>
      <c r="G2246" s="79"/>
      <c r="J2246" s="99"/>
      <c r="K2246" s="4"/>
    </row>
    <row r="2247" spans="3:11" x14ac:dyDescent="0.25">
      <c r="C2247" s="79"/>
      <c r="D2247" s="248"/>
      <c r="E2247" s="248"/>
      <c r="F2247" s="47"/>
      <c r="G2247" s="79"/>
      <c r="J2247" s="99"/>
      <c r="K2247" s="4"/>
    </row>
    <row r="2248" spans="3:11" x14ac:dyDescent="0.25">
      <c r="C2248" s="79"/>
      <c r="D2248" s="248"/>
      <c r="E2248" s="248"/>
      <c r="F2248" s="47"/>
      <c r="G2248" s="79"/>
      <c r="J2248" s="99"/>
      <c r="K2248" s="4"/>
    </row>
    <row r="2249" spans="3:11" x14ac:dyDescent="0.25">
      <c r="C2249" s="79"/>
      <c r="D2249" s="248"/>
      <c r="E2249" s="248"/>
      <c r="F2249" s="47"/>
      <c r="G2249" s="79"/>
      <c r="J2249" s="99"/>
      <c r="K2249" s="4"/>
    </row>
    <row r="2250" spans="3:11" x14ac:dyDescent="0.25">
      <c r="C2250" s="79"/>
      <c r="D2250" s="248"/>
      <c r="E2250" s="248"/>
      <c r="F2250" s="47"/>
      <c r="G2250" s="79"/>
      <c r="J2250" s="99"/>
      <c r="K2250" s="4"/>
    </row>
    <row r="2251" spans="3:11" x14ac:dyDescent="0.25">
      <c r="C2251" s="79"/>
      <c r="D2251" s="248"/>
      <c r="E2251" s="248"/>
      <c r="F2251" s="47"/>
      <c r="G2251" s="79"/>
      <c r="J2251" s="99"/>
      <c r="K2251" s="4"/>
    </row>
    <row r="2252" spans="3:11" x14ac:dyDescent="0.25">
      <c r="C2252" s="79"/>
      <c r="D2252" s="248"/>
      <c r="E2252" s="248"/>
      <c r="F2252" s="47"/>
      <c r="G2252" s="79"/>
      <c r="J2252" s="99"/>
      <c r="K2252" s="4"/>
    </row>
    <row r="2253" spans="3:11" x14ac:dyDescent="0.25">
      <c r="C2253" s="79"/>
      <c r="D2253" s="248"/>
      <c r="E2253" s="248"/>
      <c r="F2253" s="47"/>
      <c r="G2253" s="79"/>
      <c r="J2253" s="99"/>
      <c r="K2253" s="4"/>
    </row>
    <row r="2254" spans="3:11" x14ac:dyDescent="0.25">
      <c r="C2254" s="79"/>
      <c r="D2254" s="248"/>
      <c r="E2254" s="248"/>
      <c r="F2254" s="47"/>
      <c r="G2254" s="79"/>
      <c r="J2254" s="99"/>
      <c r="K2254" s="4"/>
    </row>
    <row r="2255" spans="3:11" x14ac:dyDescent="0.25">
      <c r="C2255" s="79"/>
      <c r="D2255" s="248"/>
      <c r="E2255" s="248"/>
      <c r="F2255" s="47"/>
      <c r="G2255" s="79"/>
      <c r="J2255" s="99"/>
      <c r="K2255" s="4"/>
    </row>
    <row r="2256" spans="3:11" x14ac:dyDescent="0.25">
      <c r="C2256" s="79"/>
      <c r="D2256" s="248"/>
      <c r="E2256" s="248"/>
      <c r="F2256" s="47"/>
      <c r="G2256" s="79"/>
      <c r="J2256" s="99"/>
      <c r="K2256" s="4"/>
    </row>
    <row r="2257" spans="3:11" x14ac:dyDescent="0.25">
      <c r="C2257" s="79"/>
      <c r="D2257" s="248"/>
      <c r="E2257" s="248"/>
      <c r="F2257" s="47"/>
      <c r="G2257" s="79"/>
      <c r="J2257" s="99"/>
      <c r="K2257" s="4"/>
    </row>
    <row r="2258" spans="3:11" x14ac:dyDescent="0.25">
      <c r="C2258" s="79"/>
      <c r="D2258" s="248"/>
      <c r="E2258" s="248"/>
      <c r="F2258" s="47"/>
      <c r="G2258" s="79"/>
      <c r="J2258" s="99"/>
      <c r="K2258" s="4"/>
    </row>
    <row r="2259" spans="3:11" x14ac:dyDescent="0.25">
      <c r="C2259" s="79"/>
      <c r="D2259" s="248"/>
      <c r="E2259" s="248"/>
      <c r="F2259" s="47"/>
      <c r="G2259" s="79"/>
      <c r="J2259" s="99"/>
      <c r="K2259" s="4"/>
    </row>
    <row r="2260" spans="3:11" x14ac:dyDescent="0.25">
      <c r="C2260" s="79"/>
      <c r="D2260" s="248"/>
      <c r="E2260" s="248"/>
      <c r="F2260" s="47"/>
      <c r="G2260" s="79"/>
      <c r="J2260" s="99"/>
      <c r="K2260" s="4"/>
    </row>
    <row r="2261" spans="3:11" x14ac:dyDescent="0.25">
      <c r="C2261" s="79"/>
      <c r="D2261" s="248"/>
      <c r="E2261" s="248"/>
      <c r="F2261" s="47"/>
      <c r="G2261" s="79"/>
      <c r="J2261" s="99"/>
      <c r="K2261" s="4"/>
    </row>
    <row r="2262" spans="3:11" x14ac:dyDescent="0.25">
      <c r="C2262" s="79"/>
      <c r="D2262" s="248"/>
      <c r="E2262" s="248"/>
      <c r="F2262" s="47"/>
      <c r="G2262" s="79"/>
      <c r="J2262" s="99"/>
      <c r="K2262" s="4"/>
    </row>
    <row r="2263" spans="3:11" x14ac:dyDescent="0.25">
      <c r="C2263" s="79"/>
      <c r="D2263" s="248"/>
      <c r="E2263" s="248"/>
      <c r="F2263" s="47"/>
      <c r="G2263" s="79"/>
      <c r="J2263" s="99"/>
      <c r="K2263" s="4"/>
    </row>
    <row r="2264" spans="3:11" x14ac:dyDescent="0.25">
      <c r="C2264" s="79"/>
      <c r="D2264" s="248"/>
      <c r="E2264" s="248"/>
      <c r="F2264" s="47"/>
      <c r="G2264" s="79"/>
      <c r="J2264" s="99"/>
      <c r="K2264" s="4"/>
    </row>
    <row r="2265" spans="3:11" x14ac:dyDescent="0.25">
      <c r="C2265" s="79"/>
      <c r="D2265" s="248"/>
      <c r="E2265" s="248"/>
      <c r="F2265" s="47"/>
      <c r="G2265" s="79"/>
      <c r="J2265" s="99"/>
      <c r="K2265" s="4"/>
    </row>
    <row r="2266" spans="3:11" x14ac:dyDescent="0.25">
      <c r="C2266" s="79"/>
      <c r="D2266" s="248"/>
      <c r="E2266" s="248"/>
      <c r="F2266" s="47"/>
      <c r="G2266" s="79"/>
      <c r="J2266" s="99"/>
      <c r="K2266" s="4"/>
    </row>
    <row r="2267" spans="3:11" x14ac:dyDescent="0.25">
      <c r="C2267" s="79"/>
      <c r="D2267" s="248"/>
      <c r="E2267" s="248"/>
      <c r="F2267" s="47"/>
      <c r="G2267" s="79"/>
      <c r="J2267" s="99"/>
      <c r="K2267" s="4"/>
    </row>
    <row r="2268" spans="3:11" x14ac:dyDescent="0.25">
      <c r="C2268" s="79"/>
      <c r="D2268" s="248"/>
      <c r="E2268" s="248"/>
      <c r="F2268" s="47"/>
      <c r="G2268" s="79"/>
      <c r="J2268" s="99"/>
      <c r="K2268" s="4"/>
    </row>
    <row r="2269" spans="3:11" x14ac:dyDescent="0.25">
      <c r="C2269" s="79"/>
      <c r="D2269" s="248"/>
      <c r="E2269" s="248"/>
      <c r="F2269" s="47"/>
      <c r="G2269" s="79"/>
      <c r="J2269" s="99"/>
      <c r="K2269" s="4"/>
    </row>
    <row r="2270" spans="3:11" x14ac:dyDescent="0.25">
      <c r="C2270" s="79"/>
      <c r="D2270" s="248"/>
      <c r="E2270" s="248"/>
      <c r="F2270" s="47"/>
      <c r="G2270" s="79"/>
      <c r="J2270" s="99"/>
      <c r="K2270" s="4"/>
    </row>
    <row r="2271" spans="3:11" x14ac:dyDescent="0.25">
      <c r="C2271" s="79"/>
      <c r="D2271" s="248"/>
      <c r="E2271" s="248"/>
      <c r="F2271" s="47"/>
      <c r="G2271" s="79"/>
      <c r="J2271" s="99"/>
      <c r="K2271" s="4"/>
    </row>
    <row r="2272" spans="3:11" x14ac:dyDescent="0.25">
      <c r="C2272" s="79"/>
      <c r="D2272" s="248"/>
      <c r="E2272" s="248"/>
      <c r="F2272" s="47"/>
      <c r="G2272" s="79"/>
      <c r="J2272" s="99"/>
      <c r="K2272" s="4"/>
    </row>
    <row r="2273" spans="3:11" x14ac:dyDescent="0.25">
      <c r="C2273" s="79"/>
      <c r="D2273" s="248"/>
      <c r="E2273" s="248"/>
      <c r="F2273" s="47"/>
      <c r="G2273" s="79"/>
      <c r="J2273" s="99"/>
      <c r="K2273" s="4"/>
    </row>
    <row r="2274" spans="3:11" x14ac:dyDescent="0.25">
      <c r="C2274" s="79"/>
      <c r="D2274" s="248"/>
      <c r="E2274" s="248"/>
      <c r="F2274" s="47"/>
      <c r="G2274" s="79"/>
      <c r="J2274" s="99"/>
      <c r="K2274" s="4"/>
    </row>
    <row r="2275" spans="3:11" x14ac:dyDescent="0.25">
      <c r="C2275" s="79"/>
      <c r="D2275" s="248"/>
      <c r="E2275" s="248"/>
      <c r="F2275" s="47"/>
      <c r="G2275" s="79"/>
      <c r="J2275" s="99"/>
      <c r="K2275" s="4"/>
    </row>
    <row r="2276" spans="3:11" x14ac:dyDescent="0.25">
      <c r="C2276" s="79"/>
      <c r="D2276" s="248"/>
      <c r="E2276" s="248"/>
      <c r="F2276" s="47"/>
      <c r="G2276" s="79"/>
      <c r="J2276" s="99"/>
      <c r="K2276" s="4"/>
    </row>
    <row r="2277" spans="3:11" x14ac:dyDescent="0.25">
      <c r="C2277" s="79"/>
      <c r="D2277" s="248"/>
      <c r="E2277" s="248"/>
      <c r="F2277" s="47"/>
      <c r="G2277" s="79"/>
      <c r="J2277" s="99"/>
      <c r="K2277" s="4"/>
    </row>
    <row r="2278" spans="3:11" x14ac:dyDescent="0.25">
      <c r="C2278" s="79"/>
      <c r="D2278" s="248"/>
      <c r="E2278" s="248"/>
      <c r="F2278" s="47"/>
      <c r="G2278" s="79"/>
      <c r="J2278" s="99"/>
      <c r="K2278" s="4"/>
    </row>
    <row r="2279" spans="3:11" x14ac:dyDescent="0.25">
      <c r="C2279" s="79"/>
      <c r="D2279" s="248"/>
      <c r="E2279" s="248"/>
      <c r="F2279" s="47"/>
      <c r="G2279" s="79"/>
      <c r="J2279" s="99"/>
      <c r="K2279" s="4"/>
    </row>
    <row r="2280" spans="3:11" x14ac:dyDescent="0.25">
      <c r="C2280" s="79"/>
      <c r="D2280" s="248"/>
      <c r="E2280" s="248"/>
      <c r="F2280" s="47"/>
      <c r="G2280" s="79"/>
      <c r="J2280" s="99"/>
      <c r="K2280" s="4"/>
    </row>
    <row r="2281" spans="3:11" x14ac:dyDescent="0.25">
      <c r="C2281" s="79"/>
      <c r="D2281" s="248"/>
      <c r="E2281" s="248"/>
      <c r="F2281" s="47"/>
      <c r="G2281" s="79"/>
      <c r="J2281" s="99"/>
      <c r="K2281" s="4"/>
    </row>
    <row r="2282" spans="3:11" x14ac:dyDescent="0.25">
      <c r="C2282" s="79"/>
      <c r="D2282" s="248"/>
      <c r="E2282" s="248"/>
      <c r="F2282" s="47"/>
      <c r="G2282" s="79"/>
      <c r="J2282" s="99"/>
      <c r="K2282" s="4"/>
    </row>
    <row r="2283" spans="3:11" x14ac:dyDescent="0.25">
      <c r="C2283" s="79"/>
      <c r="D2283" s="248"/>
      <c r="E2283" s="248"/>
      <c r="F2283" s="47"/>
      <c r="G2283" s="79"/>
      <c r="J2283" s="99"/>
      <c r="K2283" s="4"/>
    </row>
    <row r="2284" spans="3:11" x14ac:dyDescent="0.25">
      <c r="C2284" s="79"/>
      <c r="D2284" s="248"/>
      <c r="E2284" s="248"/>
      <c r="F2284" s="47"/>
      <c r="G2284" s="79"/>
      <c r="J2284" s="99"/>
      <c r="K2284" s="4"/>
    </row>
    <row r="2285" spans="3:11" x14ac:dyDescent="0.25">
      <c r="C2285" s="79"/>
      <c r="D2285" s="248"/>
      <c r="E2285" s="248"/>
      <c r="F2285" s="47"/>
      <c r="G2285" s="79"/>
      <c r="J2285" s="99"/>
      <c r="K2285" s="4"/>
    </row>
    <row r="2286" spans="3:11" x14ac:dyDescent="0.25">
      <c r="C2286" s="79"/>
      <c r="D2286" s="248"/>
      <c r="E2286" s="248"/>
      <c r="F2286" s="47"/>
      <c r="G2286" s="79"/>
      <c r="J2286" s="99"/>
      <c r="K2286" s="4"/>
    </row>
    <row r="2287" spans="3:11" x14ac:dyDescent="0.25">
      <c r="C2287" s="79"/>
      <c r="D2287" s="248"/>
      <c r="E2287" s="248"/>
      <c r="F2287" s="47"/>
      <c r="G2287" s="79"/>
      <c r="J2287" s="99"/>
      <c r="K2287" s="4"/>
    </row>
    <row r="2288" spans="3:11" x14ac:dyDescent="0.25">
      <c r="C2288" s="79"/>
      <c r="D2288" s="248"/>
      <c r="E2288" s="248"/>
      <c r="F2288" s="47"/>
      <c r="G2288" s="79"/>
      <c r="J2288" s="99"/>
      <c r="K2288" s="4"/>
    </row>
    <row r="2289" spans="3:11" x14ac:dyDescent="0.25">
      <c r="C2289" s="79"/>
      <c r="D2289" s="248"/>
      <c r="E2289" s="248"/>
      <c r="F2289" s="47"/>
      <c r="G2289" s="79"/>
      <c r="J2289" s="99"/>
      <c r="K2289" s="4"/>
    </row>
    <row r="2290" spans="3:11" x14ac:dyDescent="0.25">
      <c r="C2290" s="79"/>
      <c r="D2290" s="248"/>
      <c r="E2290" s="248"/>
      <c r="F2290" s="47"/>
      <c r="G2290" s="79"/>
      <c r="J2290" s="99"/>
      <c r="K2290" s="4"/>
    </row>
    <row r="2291" spans="3:11" x14ac:dyDescent="0.25">
      <c r="C2291" s="79"/>
      <c r="D2291" s="248"/>
      <c r="E2291" s="248"/>
      <c r="F2291" s="47"/>
      <c r="G2291" s="79"/>
      <c r="J2291" s="99"/>
      <c r="K2291" s="4"/>
    </row>
    <row r="2292" spans="3:11" x14ac:dyDescent="0.25">
      <c r="C2292" s="79"/>
      <c r="D2292" s="248"/>
      <c r="E2292" s="248"/>
      <c r="F2292" s="47"/>
      <c r="G2292" s="79"/>
      <c r="J2292" s="99"/>
      <c r="K2292" s="4"/>
    </row>
    <row r="2293" spans="3:11" x14ac:dyDescent="0.25">
      <c r="C2293" s="79"/>
      <c r="D2293" s="248"/>
      <c r="E2293" s="248"/>
      <c r="F2293" s="47"/>
      <c r="G2293" s="79"/>
      <c r="J2293" s="99"/>
      <c r="K2293" s="4"/>
    </row>
    <row r="2294" spans="3:11" x14ac:dyDescent="0.25">
      <c r="C2294" s="79"/>
      <c r="D2294" s="248"/>
      <c r="E2294" s="248"/>
      <c r="F2294" s="47"/>
      <c r="G2294" s="79"/>
      <c r="J2294" s="99"/>
      <c r="K2294" s="4"/>
    </row>
    <row r="2295" spans="3:11" x14ac:dyDescent="0.25">
      <c r="C2295" s="79"/>
      <c r="D2295" s="248"/>
      <c r="E2295" s="248"/>
      <c r="F2295" s="47"/>
      <c r="G2295" s="79"/>
      <c r="J2295" s="99"/>
      <c r="K2295" s="4"/>
    </row>
    <row r="2296" spans="3:11" x14ac:dyDescent="0.25">
      <c r="C2296" s="79"/>
      <c r="D2296" s="248"/>
      <c r="E2296" s="248"/>
      <c r="F2296" s="47"/>
      <c r="G2296" s="79"/>
      <c r="J2296" s="99"/>
      <c r="K2296" s="4"/>
    </row>
    <row r="2297" spans="3:11" x14ac:dyDescent="0.25">
      <c r="C2297" s="79"/>
      <c r="D2297" s="248"/>
      <c r="E2297" s="248"/>
      <c r="F2297" s="47"/>
      <c r="G2297" s="79"/>
      <c r="J2297" s="99"/>
      <c r="K2297" s="4"/>
    </row>
    <row r="2298" spans="3:11" x14ac:dyDescent="0.25">
      <c r="C2298" s="79"/>
      <c r="D2298" s="248"/>
      <c r="E2298" s="248"/>
      <c r="F2298" s="47"/>
      <c r="G2298" s="79"/>
      <c r="J2298" s="99"/>
      <c r="K2298" s="4"/>
    </row>
    <row r="2299" spans="3:11" x14ac:dyDescent="0.25">
      <c r="C2299" s="79"/>
      <c r="D2299" s="248"/>
      <c r="E2299" s="248"/>
      <c r="F2299" s="47"/>
      <c r="G2299" s="79"/>
      <c r="J2299" s="99"/>
      <c r="K2299" s="4"/>
    </row>
    <row r="2300" spans="3:11" x14ac:dyDescent="0.25">
      <c r="C2300" s="79"/>
      <c r="D2300" s="248"/>
      <c r="E2300" s="248"/>
      <c r="F2300" s="47"/>
      <c r="G2300" s="79"/>
      <c r="J2300" s="99"/>
      <c r="K2300" s="4"/>
    </row>
    <row r="2301" spans="3:11" x14ac:dyDescent="0.25">
      <c r="C2301" s="79"/>
      <c r="D2301" s="248"/>
      <c r="E2301" s="248"/>
      <c r="F2301" s="47"/>
      <c r="G2301" s="79"/>
      <c r="J2301" s="99"/>
      <c r="K2301" s="4"/>
    </row>
    <row r="2302" spans="3:11" x14ac:dyDescent="0.25">
      <c r="C2302" s="79"/>
      <c r="D2302" s="248"/>
      <c r="E2302" s="248"/>
      <c r="F2302" s="47"/>
      <c r="G2302" s="79"/>
      <c r="J2302" s="99"/>
      <c r="K2302" s="4"/>
    </row>
    <row r="2303" spans="3:11" x14ac:dyDescent="0.25">
      <c r="C2303" s="79"/>
      <c r="D2303" s="248"/>
      <c r="E2303" s="248"/>
      <c r="F2303" s="47"/>
      <c r="G2303" s="79"/>
      <c r="J2303" s="99"/>
      <c r="K2303" s="4"/>
    </row>
    <row r="2304" spans="3:11" x14ac:dyDescent="0.25">
      <c r="C2304" s="79"/>
      <c r="D2304" s="248"/>
      <c r="E2304" s="248"/>
      <c r="F2304" s="47"/>
      <c r="G2304" s="79"/>
      <c r="J2304" s="99"/>
      <c r="K2304" s="4"/>
    </row>
    <row r="2305" spans="3:11" x14ac:dyDescent="0.25">
      <c r="C2305" s="79"/>
      <c r="D2305" s="248"/>
      <c r="E2305" s="248"/>
      <c r="F2305" s="47"/>
      <c r="G2305" s="79"/>
      <c r="J2305" s="99"/>
      <c r="K2305" s="4"/>
    </row>
    <row r="2306" spans="3:11" x14ac:dyDescent="0.25">
      <c r="C2306" s="79"/>
      <c r="D2306" s="248"/>
      <c r="E2306" s="248"/>
      <c r="F2306" s="47"/>
      <c r="G2306" s="79"/>
      <c r="J2306" s="99"/>
      <c r="K2306" s="4"/>
    </row>
    <row r="2307" spans="3:11" x14ac:dyDescent="0.25">
      <c r="C2307" s="79"/>
      <c r="D2307" s="248"/>
      <c r="E2307" s="248"/>
      <c r="F2307" s="47"/>
      <c r="G2307" s="79"/>
      <c r="J2307" s="99"/>
      <c r="K2307" s="4"/>
    </row>
    <row r="2308" spans="3:11" x14ac:dyDescent="0.25">
      <c r="C2308" s="79"/>
      <c r="D2308" s="248"/>
      <c r="E2308" s="248"/>
      <c r="F2308" s="47"/>
      <c r="G2308" s="79"/>
      <c r="J2308" s="99"/>
      <c r="K2308" s="4"/>
    </row>
    <row r="2309" spans="3:11" x14ac:dyDescent="0.25">
      <c r="C2309" s="79"/>
      <c r="D2309" s="248"/>
      <c r="E2309" s="248"/>
      <c r="F2309" s="47"/>
      <c r="G2309" s="79"/>
      <c r="J2309" s="99"/>
      <c r="K2309" s="4"/>
    </row>
    <row r="2310" spans="3:11" x14ac:dyDescent="0.25">
      <c r="C2310" s="79"/>
      <c r="D2310" s="248"/>
      <c r="E2310" s="248"/>
      <c r="F2310" s="47"/>
      <c r="G2310" s="79"/>
      <c r="J2310" s="99"/>
      <c r="K2310" s="4"/>
    </row>
    <row r="2311" spans="3:11" x14ac:dyDescent="0.25">
      <c r="C2311" s="79"/>
      <c r="D2311" s="248"/>
      <c r="E2311" s="248"/>
      <c r="F2311" s="47"/>
      <c r="G2311" s="79"/>
      <c r="J2311" s="99"/>
      <c r="K2311" s="4"/>
    </row>
    <row r="2312" spans="3:11" x14ac:dyDescent="0.25">
      <c r="C2312" s="79"/>
      <c r="D2312" s="248"/>
      <c r="E2312" s="248"/>
      <c r="F2312" s="47"/>
      <c r="G2312" s="79"/>
      <c r="J2312" s="99"/>
      <c r="K2312" s="4"/>
    </row>
    <row r="2313" spans="3:11" x14ac:dyDescent="0.25">
      <c r="C2313" s="79"/>
      <c r="D2313" s="248"/>
      <c r="E2313" s="248"/>
      <c r="F2313" s="47"/>
      <c r="G2313" s="79"/>
      <c r="J2313" s="99"/>
      <c r="K2313" s="4"/>
    </row>
    <row r="2314" spans="3:11" x14ac:dyDescent="0.25">
      <c r="C2314" s="79"/>
      <c r="D2314" s="248"/>
      <c r="E2314" s="248"/>
      <c r="F2314" s="47"/>
      <c r="G2314" s="79"/>
      <c r="J2314" s="99"/>
      <c r="K2314" s="4"/>
    </row>
    <row r="2315" spans="3:11" x14ac:dyDescent="0.25">
      <c r="C2315" s="79"/>
      <c r="D2315" s="248"/>
      <c r="E2315" s="248"/>
      <c r="F2315" s="47"/>
      <c r="G2315" s="79"/>
      <c r="J2315" s="99"/>
      <c r="K2315" s="4"/>
    </row>
    <row r="2316" spans="3:11" x14ac:dyDescent="0.25">
      <c r="C2316" s="79"/>
      <c r="D2316" s="248"/>
      <c r="E2316" s="248"/>
      <c r="F2316" s="47"/>
      <c r="G2316" s="79"/>
      <c r="J2316" s="99"/>
      <c r="K2316" s="4"/>
    </row>
    <row r="2317" spans="3:11" x14ac:dyDescent="0.25">
      <c r="C2317" s="79"/>
      <c r="D2317" s="248"/>
      <c r="E2317" s="248"/>
      <c r="F2317" s="47"/>
      <c r="G2317" s="79"/>
      <c r="J2317" s="99"/>
      <c r="K2317" s="4"/>
    </row>
    <row r="2318" spans="3:11" x14ac:dyDescent="0.25">
      <c r="C2318" s="79"/>
      <c r="D2318" s="248"/>
      <c r="E2318" s="248"/>
      <c r="F2318" s="47"/>
      <c r="G2318" s="79"/>
      <c r="J2318" s="99"/>
      <c r="K2318" s="4"/>
    </row>
    <row r="2319" spans="3:11" x14ac:dyDescent="0.25">
      <c r="C2319" s="79"/>
      <c r="D2319" s="248"/>
      <c r="E2319" s="248"/>
      <c r="F2319" s="47"/>
      <c r="G2319" s="79"/>
      <c r="J2319" s="99"/>
      <c r="K2319" s="4"/>
    </row>
    <row r="2320" spans="3:11" x14ac:dyDescent="0.25">
      <c r="C2320" s="79"/>
      <c r="D2320" s="248"/>
      <c r="E2320" s="248"/>
      <c r="F2320" s="47"/>
      <c r="G2320" s="79"/>
      <c r="J2320" s="99"/>
      <c r="K2320" s="4"/>
    </row>
    <row r="2321" spans="3:11" x14ac:dyDescent="0.25">
      <c r="C2321" s="79"/>
      <c r="D2321" s="248"/>
      <c r="E2321" s="248"/>
      <c r="F2321" s="47"/>
      <c r="G2321" s="79"/>
      <c r="J2321" s="99"/>
      <c r="K2321" s="4"/>
    </row>
    <row r="2322" spans="3:11" x14ac:dyDescent="0.25">
      <c r="C2322" s="79"/>
      <c r="D2322" s="248"/>
      <c r="E2322" s="248"/>
      <c r="F2322" s="47"/>
      <c r="G2322" s="79"/>
      <c r="J2322" s="99"/>
      <c r="K2322" s="4"/>
    </row>
    <row r="2323" spans="3:11" x14ac:dyDescent="0.25">
      <c r="C2323" s="79"/>
      <c r="D2323" s="248"/>
      <c r="E2323" s="248"/>
      <c r="F2323" s="47"/>
      <c r="G2323" s="79"/>
      <c r="J2323" s="99"/>
      <c r="K2323" s="4"/>
    </row>
    <row r="2324" spans="3:11" x14ac:dyDescent="0.25">
      <c r="C2324" s="79"/>
      <c r="D2324" s="248"/>
      <c r="E2324" s="248"/>
      <c r="F2324" s="47"/>
      <c r="G2324" s="79"/>
      <c r="J2324" s="99"/>
      <c r="K2324" s="4"/>
    </row>
    <row r="2325" spans="3:11" x14ac:dyDescent="0.25">
      <c r="C2325" s="79"/>
      <c r="D2325" s="248"/>
      <c r="E2325" s="248"/>
      <c r="F2325" s="47"/>
      <c r="G2325" s="79"/>
      <c r="J2325" s="99"/>
      <c r="K2325" s="4"/>
    </row>
    <row r="2326" spans="3:11" x14ac:dyDescent="0.25">
      <c r="C2326" s="79"/>
      <c r="D2326" s="248"/>
      <c r="E2326" s="248"/>
      <c r="F2326" s="47"/>
      <c r="G2326" s="79"/>
      <c r="J2326" s="99"/>
      <c r="K2326" s="4"/>
    </row>
    <row r="2327" spans="3:11" x14ac:dyDescent="0.25">
      <c r="C2327" s="79"/>
      <c r="D2327" s="248"/>
      <c r="E2327" s="248"/>
      <c r="F2327" s="47"/>
      <c r="G2327" s="79"/>
      <c r="J2327" s="99"/>
      <c r="K2327" s="4"/>
    </row>
    <row r="2328" spans="3:11" x14ac:dyDescent="0.25">
      <c r="C2328" s="79"/>
      <c r="D2328" s="248"/>
      <c r="E2328" s="248"/>
      <c r="F2328" s="47"/>
      <c r="G2328" s="79"/>
      <c r="J2328" s="99"/>
      <c r="K2328" s="4"/>
    </row>
    <row r="2329" spans="3:11" x14ac:dyDescent="0.25">
      <c r="C2329" s="79"/>
      <c r="D2329" s="248"/>
      <c r="E2329" s="248"/>
      <c r="F2329" s="47"/>
      <c r="G2329" s="79"/>
      <c r="J2329" s="99"/>
      <c r="K2329" s="4"/>
    </row>
    <row r="2330" spans="3:11" x14ac:dyDescent="0.25">
      <c r="C2330" s="79"/>
      <c r="D2330" s="248"/>
      <c r="E2330" s="248"/>
      <c r="F2330" s="47"/>
      <c r="G2330" s="79"/>
      <c r="J2330" s="99"/>
      <c r="K2330" s="4"/>
    </row>
    <row r="2331" spans="3:11" x14ac:dyDescent="0.25">
      <c r="C2331" s="79"/>
      <c r="D2331" s="248"/>
      <c r="E2331" s="248"/>
      <c r="F2331" s="47"/>
      <c r="G2331" s="79"/>
      <c r="J2331" s="99"/>
      <c r="K2331" s="4"/>
    </row>
    <row r="2332" spans="3:11" x14ac:dyDescent="0.25">
      <c r="C2332" s="79"/>
      <c r="D2332" s="248"/>
      <c r="E2332" s="248"/>
      <c r="F2332" s="47"/>
      <c r="G2332" s="79"/>
      <c r="J2332" s="99"/>
      <c r="K2332" s="4"/>
    </row>
    <row r="2333" spans="3:11" x14ac:dyDescent="0.25">
      <c r="C2333" s="79"/>
      <c r="D2333" s="248"/>
      <c r="E2333" s="248"/>
      <c r="F2333" s="47"/>
      <c r="G2333" s="79"/>
      <c r="J2333" s="99"/>
      <c r="K2333" s="4"/>
    </row>
    <row r="2334" spans="3:11" x14ac:dyDescent="0.25">
      <c r="C2334" s="79"/>
      <c r="D2334" s="248"/>
      <c r="E2334" s="248"/>
      <c r="F2334" s="47"/>
      <c r="G2334" s="79"/>
      <c r="J2334" s="99"/>
      <c r="K2334" s="4"/>
    </row>
    <row r="2335" spans="3:11" x14ac:dyDescent="0.25">
      <c r="C2335" s="79"/>
      <c r="D2335" s="248"/>
      <c r="E2335" s="248"/>
      <c r="F2335" s="47"/>
      <c r="G2335" s="79"/>
      <c r="J2335" s="99"/>
      <c r="K2335" s="4"/>
    </row>
    <row r="2336" spans="3:11" x14ac:dyDescent="0.25">
      <c r="C2336" s="79"/>
      <c r="D2336" s="248"/>
      <c r="E2336" s="248"/>
      <c r="F2336" s="47"/>
      <c r="G2336" s="79"/>
      <c r="J2336" s="99"/>
      <c r="K2336" s="4"/>
    </row>
    <row r="2337" spans="3:11" x14ac:dyDescent="0.25">
      <c r="C2337" s="79"/>
      <c r="D2337" s="248"/>
      <c r="E2337" s="248"/>
      <c r="F2337" s="47"/>
      <c r="G2337" s="79"/>
      <c r="J2337" s="99"/>
      <c r="K2337" s="4"/>
    </row>
    <row r="2338" spans="3:11" x14ac:dyDescent="0.25">
      <c r="C2338" s="79"/>
      <c r="D2338" s="248"/>
      <c r="E2338" s="248"/>
      <c r="F2338" s="47"/>
      <c r="G2338" s="79"/>
      <c r="J2338" s="99"/>
      <c r="K2338" s="4"/>
    </row>
    <row r="2339" spans="3:11" x14ac:dyDescent="0.25">
      <c r="C2339" s="79"/>
      <c r="D2339" s="248"/>
      <c r="E2339" s="248"/>
      <c r="F2339" s="47"/>
      <c r="G2339" s="79"/>
      <c r="J2339" s="99"/>
      <c r="K2339" s="4"/>
    </row>
    <row r="2340" spans="3:11" x14ac:dyDescent="0.25">
      <c r="C2340" s="79"/>
      <c r="D2340" s="248"/>
      <c r="E2340" s="248"/>
      <c r="F2340" s="47"/>
      <c r="G2340" s="79"/>
      <c r="J2340" s="99"/>
      <c r="K2340" s="4"/>
    </row>
    <row r="2341" spans="3:11" x14ac:dyDescent="0.25">
      <c r="C2341" s="79"/>
      <c r="D2341" s="248"/>
      <c r="E2341" s="248"/>
      <c r="F2341" s="47"/>
      <c r="G2341" s="79"/>
      <c r="J2341" s="99"/>
      <c r="K2341" s="4"/>
    </row>
    <row r="2342" spans="3:11" x14ac:dyDescent="0.25">
      <c r="C2342" s="79"/>
      <c r="D2342" s="248"/>
      <c r="E2342" s="248"/>
      <c r="F2342" s="47"/>
      <c r="G2342" s="79"/>
      <c r="J2342" s="99"/>
      <c r="K2342" s="4"/>
    </row>
    <row r="2343" spans="3:11" x14ac:dyDescent="0.25">
      <c r="C2343" s="79"/>
      <c r="D2343" s="248"/>
      <c r="E2343" s="248"/>
      <c r="F2343" s="47"/>
      <c r="G2343" s="79"/>
      <c r="J2343" s="99"/>
      <c r="K2343" s="4"/>
    </row>
    <row r="2344" spans="3:11" x14ac:dyDescent="0.25">
      <c r="C2344" s="79"/>
      <c r="D2344" s="248"/>
      <c r="E2344" s="248"/>
      <c r="F2344" s="47"/>
      <c r="G2344" s="79"/>
      <c r="J2344" s="99"/>
      <c r="K2344" s="4"/>
    </row>
    <row r="2345" spans="3:11" x14ac:dyDescent="0.25">
      <c r="C2345" s="79"/>
      <c r="D2345" s="248"/>
      <c r="E2345" s="248"/>
      <c r="F2345" s="47"/>
      <c r="G2345" s="79"/>
      <c r="J2345" s="99"/>
      <c r="K2345" s="4"/>
    </row>
    <row r="2346" spans="3:11" x14ac:dyDescent="0.25">
      <c r="C2346" s="79"/>
      <c r="D2346" s="248"/>
      <c r="E2346" s="248"/>
      <c r="F2346" s="47"/>
      <c r="G2346" s="79"/>
      <c r="J2346" s="99"/>
      <c r="K2346" s="4"/>
    </row>
    <row r="2347" spans="3:11" x14ac:dyDescent="0.25">
      <c r="C2347" s="79"/>
      <c r="D2347" s="248"/>
      <c r="E2347" s="248"/>
      <c r="F2347" s="47"/>
      <c r="G2347" s="79"/>
      <c r="J2347" s="99"/>
      <c r="K2347" s="4"/>
    </row>
    <row r="2348" spans="3:11" x14ac:dyDescent="0.25">
      <c r="C2348" s="79"/>
      <c r="D2348" s="248"/>
      <c r="E2348" s="248"/>
      <c r="F2348" s="47"/>
      <c r="G2348" s="79"/>
      <c r="J2348" s="99"/>
      <c r="K2348" s="4"/>
    </row>
    <row r="2349" spans="3:11" x14ac:dyDescent="0.25">
      <c r="C2349" s="79"/>
      <c r="D2349" s="248"/>
      <c r="E2349" s="248"/>
      <c r="F2349" s="47"/>
      <c r="G2349" s="79"/>
      <c r="J2349" s="99"/>
      <c r="K2349" s="4"/>
    </row>
    <row r="2350" spans="3:11" x14ac:dyDescent="0.25">
      <c r="C2350" s="79"/>
      <c r="D2350" s="248"/>
      <c r="E2350" s="248"/>
      <c r="F2350" s="47"/>
      <c r="G2350" s="79"/>
      <c r="J2350" s="99"/>
      <c r="K2350" s="4"/>
    </row>
    <row r="2351" spans="3:11" x14ac:dyDescent="0.25">
      <c r="C2351" s="79"/>
      <c r="D2351" s="248"/>
      <c r="E2351" s="248"/>
      <c r="F2351" s="47"/>
      <c r="G2351" s="79"/>
      <c r="J2351" s="99"/>
      <c r="K2351" s="4"/>
    </row>
    <row r="2352" spans="3:11" x14ac:dyDescent="0.25">
      <c r="C2352" s="79"/>
      <c r="D2352" s="248"/>
      <c r="E2352" s="248"/>
      <c r="F2352" s="47"/>
      <c r="G2352" s="79"/>
      <c r="J2352" s="99"/>
      <c r="K2352" s="4"/>
    </row>
    <row r="2353" spans="3:11" x14ac:dyDescent="0.25">
      <c r="C2353" s="79"/>
      <c r="D2353" s="248"/>
      <c r="E2353" s="248"/>
      <c r="F2353" s="47"/>
      <c r="G2353" s="79"/>
      <c r="J2353" s="99"/>
      <c r="K2353" s="4"/>
    </row>
    <row r="2354" spans="3:11" x14ac:dyDescent="0.25">
      <c r="C2354" s="79"/>
      <c r="D2354" s="248"/>
      <c r="E2354" s="248"/>
      <c r="F2354" s="47"/>
      <c r="G2354" s="79"/>
      <c r="J2354" s="99"/>
      <c r="K2354" s="4"/>
    </row>
    <row r="2355" spans="3:11" x14ac:dyDescent="0.25">
      <c r="C2355" s="79"/>
      <c r="D2355" s="248"/>
      <c r="E2355" s="248"/>
      <c r="F2355" s="47"/>
      <c r="G2355" s="79"/>
      <c r="J2355" s="99"/>
      <c r="K2355" s="4"/>
    </row>
    <row r="2356" spans="3:11" x14ac:dyDescent="0.25">
      <c r="C2356" s="79"/>
      <c r="D2356" s="248"/>
      <c r="E2356" s="248"/>
      <c r="F2356" s="47"/>
      <c r="G2356" s="79"/>
      <c r="J2356" s="99"/>
      <c r="K2356" s="4"/>
    </row>
    <row r="2357" spans="3:11" x14ac:dyDescent="0.25">
      <c r="C2357" s="79"/>
      <c r="D2357" s="248"/>
      <c r="E2357" s="248"/>
      <c r="F2357" s="47"/>
      <c r="G2357" s="79"/>
      <c r="J2357" s="99"/>
      <c r="K2357" s="4"/>
    </row>
    <row r="2358" spans="3:11" x14ac:dyDescent="0.25">
      <c r="C2358" s="79"/>
      <c r="D2358" s="248"/>
      <c r="E2358" s="248"/>
      <c r="F2358" s="47"/>
      <c r="G2358" s="79"/>
      <c r="J2358" s="99"/>
      <c r="K2358" s="4"/>
    </row>
    <row r="2359" spans="3:11" x14ac:dyDescent="0.25">
      <c r="C2359" s="79"/>
      <c r="D2359" s="248"/>
      <c r="E2359" s="248"/>
      <c r="F2359" s="47"/>
      <c r="G2359" s="79"/>
      <c r="J2359" s="99"/>
      <c r="K2359" s="4"/>
    </row>
    <row r="2360" spans="3:11" x14ac:dyDescent="0.25">
      <c r="C2360" s="79"/>
      <c r="D2360" s="248"/>
      <c r="E2360" s="248"/>
      <c r="F2360" s="47"/>
      <c r="G2360" s="79"/>
      <c r="J2360" s="99"/>
      <c r="K2360" s="4"/>
    </row>
    <row r="2361" spans="3:11" x14ac:dyDescent="0.25">
      <c r="C2361" s="79"/>
      <c r="D2361" s="248"/>
      <c r="E2361" s="248"/>
      <c r="F2361" s="47"/>
      <c r="G2361" s="79"/>
      <c r="J2361" s="99"/>
      <c r="K2361" s="4"/>
    </row>
    <row r="2362" spans="3:11" x14ac:dyDescent="0.25">
      <c r="C2362" s="79"/>
      <c r="D2362" s="248"/>
      <c r="E2362" s="248"/>
      <c r="F2362" s="47"/>
      <c r="G2362" s="79"/>
      <c r="J2362" s="99"/>
      <c r="K2362" s="4"/>
    </row>
    <row r="2363" spans="3:11" x14ac:dyDescent="0.25">
      <c r="C2363" s="79"/>
      <c r="D2363" s="248"/>
      <c r="E2363" s="248"/>
      <c r="F2363" s="47"/>
      <c r="G2363" s="79"/>
      <c r="J2363" s="99"/>
      <c r="K2363" s="4"/>
    </row>
    <row r="2364" spans="3:11" x14ac:dyDescent="0.25">
      <c r="C2364" s="79"/>
      <c r="D2364" s="248"/>
      <c r="E2364" s="248"/>
      <c r="F2364" s="47"/>
      <c r="G2364" s="79"/>
      <c r="J2364" s="99"/>
      <c r="K2364" s="4"/>
    </row>
    <row r="2365" spans="3:11" x14ac:dyDescent="0.25">
      <c r="C2365" s="79"/>
      <c r="D2365" s="248"/>
      <c r="E2365" s="248"/>
      <c r="F2365" s="47"/>
      <c r="G2365" s="79"/>
      <c r="J2365" s="99"/>
      <c r="K2365" s="4"/>
    </row>
    <row r="2366" spans="3:11" x14ac:dyDescent="0.25">
      <c r="C2366" s="79"/>
      <c r="D2366" s="248"/>
      <c r="E2366" s="248"/>
      <c r="F2366" s="47"/>
      <c r="G2366" s="79"/>
      <c r="J2366" s="99"/>
      <c r="K2366" s="4"/>
    </row>
    <row r="2367" spans="3:11" x14ac:dyDescent="0.25">
      <c r="C2367" s="79"/>
      <c r="D2367" s="248"/>
      <c r="E2367" s="248"/>
      <c r="F2367" s="47"/>
      <c r="G2367" s="79"/>
      <c r="J2367" s="99"/>
      <c r="K2367" s="4"/>
    </row>
    <row r="2368" spans="3:11" x14ac:dyDescent="0.25">
      <c r="C2368" s="79"/>
      <c r="D2368" s="248"/>
      <c r="E2368" s="248"/>
      <c r="F2368" s="47"/>
      <c r="G2368" s="79"/>
      <c r="J2368" s="99"/>
      <c r="K2368" s="4"/>
    </row>
    <row r="2369" spans="3:11" x14ac:dyDescent="0.25">
      <c r="C2369" s="79"/>
      <c r="D2369" s="248"/>
      <c r="E2369" s="248"/>
      <c r="F2369" s="47"/>
      <c r="G2369" s="79"/>
      <c r="J2369" s="99"/>
      <c r="K2369" s="4"/>
    </row>
    <row r="2370" spans="3:11" x14ac:dyDescent="0.25">
      <c r="C2370" s="79"/>
      <c r="D2370" s="248"/>
      <c r="E2370" s="248"/>
      <c r="F2370" s="47"/>
      <c r="G2370" s="79"/>
      <c r="J2370" s="99"/>
      <c r="K2370" s="4"/>
    </row>
    <row r="2371" spans="3:11" x14ac:dyDescent="0.25">
      <c r="C2371" s="79"/>
      <c r="D2371" s="248"/>
      <c r="E2371" s="248"/>
      <c r="F2371" s="47"/>
      <c r="G2371" s="79"/>
      <c r="J2371" s="99"/>
      <c r="K2371" s="4"/>
    </row>
    <row r="2372" spans="3:11" x14ac:dyDescent="0.25">
      <c r="C2372" s="79"/>
      <c r="D2372" s="248"/>
      <c r="E2372" s="248"/>
      <c r="F2372" s="47"/>
      <c r="G2372" s="79"/>
      <c r="J2372" s="99"/>
      <c r="K2372" s="4"/>
    </row>
    <row r="2373" spans="3:11" x14ac:dyDescent="0.25">
      <c r="C2373" s="79"/>
      <c r="D2373" s="248"/>
      <c r="E2373" s="248"/>
      <c r="F2373" s="47"/>
      <c r="G2373" s="79"/>
      <c r="J2373" s="99"/>
      <c r="K2373" s="4"/>
    </row>
    <row r="2374" spans="3:11" x14ac:dyDescent="0.25">
      <c r="C2374" s="79"/>
      <c r="D2374" s="248"/>
      <c r="E2374" s="248"/>
      <c r="F2374" s="47"/>
      <c r="G2374" s="79"/>
      <c r="J2374" s="99"/>
      <c r="K2374" s="4"/>
    </row>
    <row r="2375" spans="3:11" x14ac:dyDescent="0.25">
      <c r="C2375" s="79"/>
      <c r="D2375" s="248"/>
      <c r="E2375" s="248"/>
      <c r="F2375" s="47"/>
      <c r="G2375" s="79"/>
      <c r="J2375" s="99"/>
      <c r="K2375" s="4"/>
    </row>
    <row r="2376" spans="3:11" x14ac:dyDescent="0.25">
      <c r="C2376" s="79"/>
      <c r="D2376" s="248"/>
      <c r="E2376" s="248"/>
      <c r="F2376" s="47"/>
      <c r="G2376" s="79"/>
      <c r="J2376" s="99"/>
      <c r="K2376" s="4"/>
    </row>
    <row r="2377" spans="3:11" x14ac:dyDescent="0.25">
      <c r="C2377" s="79"/>
      <c r="D2377" s="248"/>
      <c r="E2377" s="248"/>
      <c r="F2377" s="47"/>
      <c r="G2377" s="79"/>
      <c r="J2377" s="99"/>
      <c r="K2377" s="4"/>
    </row>
    <row r="2378" spans="3:11" x14ac:dyDescent="0.25">
      <c r="C2378" s="79"/>
      <c r="D2378" s="248"/>
      <c r="E2378" s="248"/>
      <c r="F2378" s="47"/>
      <c r="G2378" s="79"/>
      <c r="J2378" s="99"/>
      <c r="K2378" s="4"/>
    </row>
    <row r="2379" spans="3:11" x14ac:dyDescent="0.25">
      <c r="C2379" s="79"/>
      <c r="D2379" s="248"/>
      <c r="E2379" s="248"/>
      <c r="F2379" s="47"/>
      <c r="G2379" s="79"/>
      <c r="J2379" s="99"/>
      <c r="K2379" s="4"/>
    </row>
    <row r="2380" spans="3:11" x14ac:dyDescent="0.25">
      <c r="C2380" s="79"/>
      <c r="D2380" s="248"/>
      <c r="E2380" s="248"/>
      <c r="F2380" s="47"/>
      <c r="G2380" s="79"/>
      <c r="J2380" s="99"/>
      <c r="K2380" s="4"/>
    </row>
    <row r="2381" spans="3:11" x14ac:dyDescent="0.25">
      <c r="C2381" s="79"/>
      <c r="D2381" s="248"/>
      <c r="E2381" s="248"/>
      <c r="F2381" s="47"/>
      <c r="G2381" s="79"/>
      <c r="J2381" s="99"/>
      <c r="K2381" s="4"/>
    </row>
    <row r="2382" spans="3:11" x14ac:dyDescent="0.25">
      <c r="C2382" s="79"/>
      <c r="D2382" s="248"/>
      <c r="E2382" s="248"/>
      <c r="F2382" s="47"/>
      <c r="G2382" s="79"/>
      <c r="J2382" s="99"/>
      <c r="K2382" s="4"/>
    </row>
    <row r="2383" spans="3:11" x14ac:dyDescent="0.25">
      <c r="C2383" s="79"/>
      <c r="D2383" s="248"/>
      <c r="E2383" s="248"/>
      <c r="F2383" s="47"/>
      <c r="G2383" s="79"/>
      <c r="J2383" s="99"/>
      <c r="K2383" s="4"/>
    </row>
    <row r="2384" spans="3:11" x14ac:dyDescent="0.25">
      <c r="C2384" s="79"/>
      <c r="D2384" s="248"/>
      <c r="E2384" s="248"/>
      <c r="F2384" s="47"/>
      <c r="G2384" s="79"/>
      <c r="J2384" s="99"/>
      <c r="K2384" s="4"/>
    </row>
    <row r="2385" spans="3:11" x14ac:dyDescent="0.25">
      <c r="C2385" s="79"/>
      <c r="D2385" s="248"/>
      <c r="E2385" s="248"/>
      <c r="F2385" s="47"/>
      <c r="G2385" s="79"/>
      <c r="J2385" s="99"/>
      <c r="K2385" s="4"/>
    </row>
    <row r="2386" spans="3:11" x14ac:dyDescent="0.25">
      <c r="C2386" s="79"/>
      <c r="D2386" s="248"/>
      <c r="E2386" s="248"/>
      <c r="F2386" s="47"/>
      <c r="G2386" s="79"/>
      <c r="J2386" s="99"/>
      <c r="K2386" s="4"/>
    </row>
    <row r="2387" spans="3:11" x14ac:dyDescent="0.25">
      <c r="C2387" s="79"/>
      <c r="D2387" s="248"/>
      <c r="E2387" s="248"/>
      <c r="F2387" s="47"/>
      <c r="G2387" s="79"/>
      <c r="J2387" s="99"/>
      <c r="K2387" s="4"/>
    </row>
    <row r="2388" spans="3:11" x14ac:dyDescent="0.25">
      <c r="C2388" s="79"/>
      <c r="D2388" s="248"/>
      <c r="E2388" s="248"/>
      <c r="F2388" s="47"/>
      <c r="G2388" s="79"/>
      <c r="J2388" s="99"/>
      <c r="K2388" s="4"/>
    </row>
    <row r="2389" spans="3:11" x14ac:dyDescent="0.25">
      <c r="C2389" s="79"/>
      <c r="D2389" s="248"/>
      <c r="E2389" s="248"/>
      <c r="F2389" s="47"/>
      <c r="G2389" s="79"/>
      <c r="J2389" s="99"/>
      <c r="K2389" s="4"/>
    </row>
    <row r="2390" spans="3:11" x14ac:dyDescent="0.25">
      <c r="C2390" s="79"/>
      <c r="D2390" s="248"/>
      <c r="E2390" s="248"/>
      <c r="F2390" s="47"/>
      <c r="G2390" s="79"/>
      <c r="J2390" s="99"/>
      <c r="K2390" s="4"/>
    </row>
    <row r="2391" spans="3:11" x14ac:dyDescent="0.25">
      <c r="C2391" s="79"/>
      <c r="D2391" s="248"/>
      <c r="E2391" s="248"/>
      <c r="F2391" s="47"/>
      <c r="G2391" s="79"/>
      <c r="J2391" s="99"/>
      <c r="K2391" s="4"/>
    </row>
    <row r="2392" spans="3:11" x14ac:dyDescent="0.25">
      <c r="C2392" s="79"/>
      <c r="D2392" s="248"/>
      <c r="E2392" s="248"/>
      <c r="F2392" s="47"/>
      <c r="G2392" s="79"/>
      <c r="J2392" s="99"/>
      <c r="K2392" s="4"/>
    </row>
    <row r="2393" spans="3:11" x14ac:dyDescent="0.25">
      <c r="C2393" s="79"/>
      <c r="D2393" s="248"/>
      <c r="E2393" s="248"/>
      <c r="F2393" s="47"/>
      <c r="G2393" s="79"/>
      <c r="J2393" s="99"/>
      <c r="K2393" s="4"/>
    </row>
    <row r="2394" spans="3:11" x14ac:dyDescent="0.25">
      <c r="C2394" s="79"/>
      <c r="D2394" s="248"/>
      <c r="E2394" s="248"/>
      <c r="F2394" s="47"/>
      <c r="G2394" s="79"/>
      <c r="J2394" s="99"/>
      <c r="K2394" s="4"/>
    </row>
    <row r="2395" spans="3:11" x14ac:dyDescent="0.25">
      <c r="C2395" s="79"/>
      <c r="D2395" s="248"/>
      <c r="E2395" s="248"/>
      <c r="F2395" s="47"/>
      <c r="G2395" s="79"/>
      <c r="J2395" s="99"/>
      <c r="K2395" s="4"/>
    </row>
    <row r="2396" spans="3:11" x14ac:dyDescent="0.25">
      <c r="C2396" s="79"/>
      <c r="D2396" s="248"/>
      <c r="E2396" s="248"/>
      <c r="F2396" s="47"/>
      <c r="G2396" s="79"/>
      <c r="J2396" s="99"/>
      <c r="K2396" s="4"/>
    </row>
    <row r="2397" spans="3:11" x14ac:dyDescent="0.25">
      <c r="C2397" s="79"/>
      <c r="D2397" s="248"/>
      <c r="E2397" s="248"/>
      <c r="F2397" s="47"/>
      <c r="G2397" s="79"/>
      <c r="J2397" s="99"/>
      <c r="K2397" s="4"/>
    </row>
    <row r="2398" spans="3:11" x14ac:dyDescent="0.25">
      <c r="C2398" s="79"/>
      <c r="D2398" s="248"/>
      <c r="E2398" s="248"/>
      <c r="F2398" s="47"/>
      <c r="G2398" s="79"/>
      <c r="J2398" s="99"/>
      <c r="K2398" s="4"/>
    </row>
    <row r="2399" spans="3:11" x14ac:dyDescent="0.25">
      <c r="C2399" s="79"/>
      <c r="D2399" s="248"/>
      <c r="E2399" s="248"/>
      <c r="F2399" s="47"/>
      <c r="G2399" s="79"/>
      <c r="J2399" s="99"/>
      <c r="K2399" s="4"/>
    </row>
    <row r="2400" spans="3:11" x14ac:dyDescent="0.25">
      <c r="C2400" s="79"/>
      <c r="D2400" s="248"/>
      <c r="E2400" s="248"/>
      <c r="F2400" s="47"/>
      <c r="G2400" s="79"/>
      <c r="J2400" s="99"/>
      <c r="K2400" s="4"/>
    </row>
    <row r="2401" spans="3:11" x14ac:dyDescent="0.25">
      <c r="C2401" s="79"/>
      <c r="D2401" s="248"/>
      <c r="E2401" s="248"/>
      <c r="F2401" s="47"/>
      <c r="G2401" s="79"/>
      <c r="J2401" s="99"/>
      <c r="K2401" s="4"/>
    </row>
    <row r="2402" spans="3:11" x14ac:dyDescent="0.25">
      <c r="C2402" s="79"/>
      <c r="D2402" s="248"/>
      <c r="E2402" s="248"/>
      <c r="F2402" s="47"/>
      <c r="G2402" s="79"/>
      <c r="J2402" s="99"/>
      <c r="K2402" s="4"/>
    </row>
    <row r="2403" spans="3:11" x14ac:dyDescent="0.25">
      <c r="C2403" s="79"/>
      <c r="D2403" s="248"/>
      <c r="E2403" s="248"/>
      <c r="F2403" s="47"/>
      <c r="G2403" s="79"/>
      <c r="J2403" s="99"/>
      <c r="K2403" s="4"/>
    </row>
    <row r="2404" spans="3:11" x14ac:dyDescent="0.25">
      <c r="C2404" s="79"/>
      <c r="D2404" s="248"/>
      <c r="E2404" s="248"/>
      <c r="F2404" s="47"/>
      <c r="G2404" s="79"/>
      <c r="J2404" s="99"/>
      <c r="K2404" s="4"/>
    </row>
    <row r="2405" spans="3:11" x14ac:dyDescent="0.25">
      <c r="C2405" s="79"/>
      <c r="D2405" s="248"/>
      <c r="E2405" s="248"/>
      <c r="F2405" s="47"/>
      <c r="G2405" s="79"/>
      <c r="J2405" s="99"/>
      <c r="K2405" s="4"/>
    </row>
    <row r="2406" spans="3:11" x14ac:dyDescent="0.25">
      <c r="C2406" s="79"/>
      <c r="D2406" s="248"/>
      <c r="E2406" s="248"/>
      <c r="F2406" s="47"/>
      <c r="G2406" s="79"/>
      <c r="J2406" s="99"/>
      <c r="K2406" s="4"/>
    </row>
    <row r="2407" spans="3:11" x14ac:dyDescent="0.25">
      <c r="C2407" s="79"/>
      <c r="D2407" s="248"/>
      <c r="E2407" s="248"/>
      <c r="F2407" s="47"/>
      <c r="G2407" s="79"/>
      <c r="J2407" s="99"/>
      <c r="K2407" s="4"/>
    </row>
    <row r="2408" spans="3:11" x14ac:dyDescent="0.25">
      <c r="C2408" s="79"/>
      <c r="D2408" s="248"/>
      <c r="E2408" s="248"/>
      <c r="F2408" s="47"/>
      <c r="G2408" s="79"/>
      <c r="J2408" s="99"/>
      <c r="K2408" s="4"/>
    </row>
    <row r="2409" spans="3:11" x14ac:dyDescent="0.25">
      <c r="C2409" s="79"/>
      <c r="D2409" s="248"/>
      <c r="E2409" s="248"/>
      <c r="F2409" s="47"/>
      <c r="G2409" s="79"/>
      <c r="J2409" s="99"/>
      <c r="K2409" s="4"/>
    </row>
    <row r="2410" spans="3:11" x14ac:dyDescent="0.25">
      <c r="C2410" s="79"/>
      <c r="D2410" s="248"/>
      <c r="E2410" s="248"/>
      <c r="F2410" s="47"/>
      <c r="G2410" s="79"/>
      <c r="J2410" s="99"/>
      <c r="K2410" s="4"/>
    </row>
    <row r="2411" spans="3:11" x14ac:dyDescent="0.25">
      <c r="C2411" s="79"/>
      <c r="D2411" s="248"/>
      <c r="E2411" s="248"/>
      <c r="F2411" s="47"/>
      <c r="G2411" s="79"/>
      <c r="J2411" s="99"/>
      <c r="K2411" s="4"/>
    </row>
    <row r="2412" spans="3:11" x14ac:dyDescent="0.25">
      <c r="C2412" s="79"/>
      <c r="D2412" s="248"/>
      <c r="E2412" s="248"/>
      <c r="F2412" s="47"/>
      <c r="G2412" s="79"/>
      <c r="J2412" s="99"/>
      <c r="K2412" s="4"/>
    </row>
    <row r="2413" spans="3:11" x14ac:dyDescent="0.25">
      <c r="C2413" s="79"/>
      <c r="D2413" s="248"/>
      <c r="E2413" s="248"/>
      <c r="F2413" s="47"/>
      <c r="G2413" s="79"/>
      <c r="J2413" s="99"/>
      <c r="K2413" s="4"/>
    </row>
    <row r="2414" spans="3:11" x14ac:dyDescent="0.25">
      <c r="C2414" s="79"/>
      <c r="D2414" s="248"/>
      <c r="E2414" s="248"/>
      <c r="F2414" s="47"/>
      <c r="G2414" s="79"/>
      <c r="J2414" s="99"/>
      <c r="K2414" s="4"/>
    </row>
    <row r="2415" spans="3:11" x14ac:dyDescent="0.25">
      <c r="C2415" s="79"/>
      <c r="D2415" s="248"/>
      <c r="E2415" s="248"/>
      <c r="F2415" s="47"/>
      <c r="G2415" s="79"/>
      <c r="J2415" s="99"/>
      <c r="K2415" s="4"/>
    </row>
    <row r="2416" spans="3:11" x14ac:dyDescent="0.25">
      <c r="C2416" s="79"/>
      <c r="D2416" s="248"/>
      <c r="E2416" s="248"/>
      <c r="F2416" s="47"/>
      <c r="G2416" s="79"/>
      <c r="J2416" s="99"/>
      <c r="K2416" s="4"/>
    </row>
    <row r="2417" spans="3:11" x14ac:dyDescent="0.25">
      <c r="C2417" s="79"/>
      <c r="D2417" s="248"/>
      <c r="E2417" s="248"/>
      <c r="F2417" s="47"/>
      <c r="G2417" s="79"/>
      <c r="J2417" s="99"/>
      <c r="K2417" s="4"/>
    </row>
    <row r="2418" spans="3:11" x14ac:dyDescent="0.25">
      <c r="C2418" s="79"/>
      <c r="D2418" s="248"/>
      <c r="E2418" s="248"/>
      <c r="F2418" s="47"/>
      <c r="G2418" s="79"/>
      <c r="J2418" s="99"/>
      <c r="K2418" s="4"/>
    </row>
    <row r="2419" spans="3:11" x14ac:dyDescent="0.25">
      <c r="C2419" s="79"/>
      <c r="D2419" s="248"/>
      <c r="E2419" s="248"/>
      <c r="F2419" s="47"/>
      <c r="G2419" s="79"/>
      <c r="J2419" s="99"/>
      <c r="K2419" s="4"/>
    </row>
    <row r="2420" spans="3:11" x14ac:dyDescent="0.25">
      <c r="C2420" s="79"/>
      <c r="D2420" s="248"/>
      <c r="E2420" s="248"/>
      <c r="F2420" s="47"/>
      <c r="G2420" s="79"/>
      <c r="J2420" s="99"/>
      <c r="K2420" s="4"/>
    </row>
    <row r="2421" spans="3:11" x14ac:dyDescent="0.25">
      <c r="C2421" s="79"/>
      <c r="D2421" s="248"/>
      <c r="E2421" s="248"/>
      <c r="F2421" s="47"/>
      <c r="G2421" s="79"/>
      <c r="J2421" s="99"/>
      <c r="K2421" s="4"/>
    </row>
    <row r="2422" spans="3:11" x14ac:dyDescent="0.25">
      <c r="C2422" s="79"/>
      <c r="D2422" s="248"/>
      <c r="E2422" s="248"/>
      <c r="F2422" s="47"/>
      <c r="G2422" s="79"/>
      <c r="J2422" s="99"/>
      <c r="K2422" s="4"/>
    </row>
    <row r="2423" spans="3:11" x14ac:dyDescent="0.25">
      <c r="C2423" s="79"/>
      <c r="D2423" s="248"/>
      <c r="E2423" s="248"/>
      <c r="F2423" s="47"/>
      <c r="G2423" s="79"/>
      <c r="J2423" s="99"/>
      <c r="K2423" s="4"/>
    </row>
    <row r="2424" spans="3:11" x14ac:dyDescent="0.25">
      <c r="C2424" s="79"/>
      <c r="D2424" s="248"/>
      <c r="E2424" s="248"/>
      <c r="F2424" s="47"/>
      <c r="G2424" s="79"/>
      <c r="J2424" s="99"/>
      <c r="K2424" s="4"/>
    </row>
    <row r="2425" spans="3:11" x14ac:dyDescent="0.25">
      <c r="C2425" s="79"/>
      <c r="D2425" s="248"/>
      <c r="E2425" s="248"/>
      <c r="F2425" s="47"/>
      <c r="G2425" s="79"/>
      <c r="J2425" s="99"/>
      <c r="K2425" s="4"/>
    </row>
    <row r="2426" spans="3:11" x14ac:dyDescent="0.25">
      <c r="C2426" s="79"/>
      <c r="D2426" s="248"/>
      <c r="E2426" s="248"/>
      <c r="F2426" s="47"/>
      <c r="G2426" s="79"/>
      <c r="J2426" s="99"/>
      <c r="K2426" s="4"/>
    </row>
    <row r="2427" spans="3:11" x14ac:dyDescent="0.25">
      <c r="C2427" s="79"/>
      <c r="D2427" s="248"/>
      <c r="E2427" s="248"/>
      <c r="F2427" s="47"/>
      <c r="G2427" s="79"/>
      <c r="J2427" s="99"/>
      <c r="K2427" s="4"/>
    </row>
    <row r="2428" spans="3:11" x14ac:dyDescent="0.25">
      <c r="C2428" s="79"/>
      <c r="D2428" s="248"/>
      <c r="E2428" s="248"/>
      <c r="F2428" s="47"/>
      <c r="G2428" s="79"/>
      <c r="J2428" s="99"/>
      <c r="K2428" s="4"/>
    </row>
    <row r="2429" spans="3:11" x14ac:dyDescent="0.25">
      <c r="C2429" s="79"/>
      <c r="D2429" s="248"/>
      <c r="E2429" s="248"/>
      <c r="F2429" s="47"/>
      <c r="G2429" s="79"/>
      <c r="J2429" s="99"/>
      <c r="K2429" s="4"/>
    </row>
    <row r="2430" spans="3:11" x14ac:dyDescent="0.25">
      <c r="C2430" s="79"/>
      <c r="D2430" s="248"/>
      <c r="E2430" s="248"/>
      <c r="F2430" s="47"/>
      <c r="G2430" s="79"/>
      <c r="J2430" s="99"/>
      <c r="K2430" s="4"/>
    </row>
    <row r="2431" spans="3:11" x14ac:dyDescent="0.25">
      <c r="C2431" s="79"/>
      <c r="D2431" s="248"/>
      <c r="E2431" s="248"/>
      <c r="F2431" s="47"/>
      <c r="G2431" s="79"/>
      <c r="J2431" s="99"/>
      <c r="K2431" s="4"/>
    </row>
    <row r="2432" spans="3:11" x14ac:dyDescent="0.25">
      <c r="C2432" s="79"/>
      <c r="D2432" s="248"/>
      <c r="E2432" s="248"/>
      <c r="F2432" s="47"/>
      <c r="G2432" s="79"/>
      <c r="J2432" s="99"/>
      <c r="K2432" s="4"/>
    </row>
    <row r="2433" spans="3:11" x14ac:dyDescent="0.25">
      <c r="C2433" s="79"/>
      <c r="D2433" s="248"/>
      <c r="E2433" s="248"/>
      <c r="F2433" s="47"/>
      <c r="G2433" s="79"/>
      <c r="J2433" s="99"/>
      <c r="K2433" s="4"/>
    </row>
    <row r="2434" spans="3:11" x14ac:dyDescent="0.25">
      <c r="C2434" s="79"/>
      <c r="D2434" s="248"/>
      <c r="E2434" s="248"/>
      <c r="F2434" s="47"/>
      <c r="G2434" s="79"/>
      <c r="J2434" s="99"/>
      <c r="K2434" s="4"/>
    </row>
    <row r="2435" spans="3:11" x14ac:dyDescent="0.25">
      <c r="C2435" s="79"/>
      <c r="D2435" s="248"/>
      <c r="E2435" s="248"/>
      <c r="F2435" s="47"/>
      <c r="G2435" s="79"/>
      <c r="J2435" s="99"/>
      <c r="K2435" s="4"/>
    </row>
    <row r="2436" spans="3:11" x14ac:dyDescent="0.25">
      <c r="C2436" s="79"/>
      <c r="D2436" s="248"/>
      <c r="E2436" s="248"/>
      <c r="F2436" s="47"/>
      <c r="G2436" s="79"/>
      <c r="J2436" s="99"/>
      <c r="K2436" s="4"/>
    </row>
    <row r="2437" spans="3:11" x14ac:dyDescent="0.25">
      <c r="C2437" s="79"/>
      <c r="D2437" s="248"/>
      <c r="E2437" s="248"/>
      <c r="F2437" s="47"/>
      <c r="G2437" s="79"/>
      <c r="J2437" s="99"/>
      <c r="K2437" s="4"/>
    </row>
    <row r="2438" spans="3:11" x14ac:dyDescent="0.25">
      <c r="C2438" s="79"/>
      <c r="D2438" s="248"/>
      <c r="E2438" s="248"/>
      <c r="F2438" s="47"/>
      <c r="G2438" s="79"/>
      <c r="J2438" s="99"/>
      <c r="K2438" s="4"/>
    </row>
    <row r="2439" spans="3:11" x14ac:dyDescent="0.25">
      <c r="C2439" s="79"/>
      <c r="D2439" s="248"/>
      <c r="E2439" s="248"/>
      <c r="F2439" s="47"/>
      <c r="G2439" s="79"/>
      <c r="J2439" s="99"/>
      <c r="K2439" s="4"/>
    </row>
    <row r="2440" spans="3:11" x14ac:dyDescent="0.25">
      <c r="C2440" s="79"/>
      <c r="D2440" s="248"/>
      <c r="E2440" s="248"/>
      <c r="F2440" s="47"/>
      <c r="G2440" s="79"/>
      <c r="J2440" s="99"/>
      <c r="K2440" s="4"/>
    </row>
    <row r="2441" spans="3:11" x14ac:dyDescent="0.25">
      <c r="C2441" s="79"/>
      <c r="D2441" s="248"/>
      <c r="E2441" s="248"/>
      <c r="F2441" s="47"/>
      <c r="G2441" s="79"/>
      <c r="J2441" s="99"/>
      <c r="K2441" s="4"/>
    </row>
    <row r="2442" spans="3:11" x14ac:dyDescent="0.25">
      <c r="C2442" s="79"/>
      <c r="D2442" s="248"/>
      <c r="E2442" s="248"/>
      <c r="F2442" s="47"/>
      <c r="G2442" s="79"/>
      <c r="J2442" s="99"/>
      <c r="K2442" s="4"/>
    </row>
    <row r="2443" spans="3:11" x14ac:dyDescent="0.25">
      <c r="C2443" s="79"/>
      <c r="D2443" s="248"/>
      <c r="E2443" s="248"/>
      <c r="F2443" s="47"/>
      <c r="G2443" s="79"/>
      <c r="J2443" s="99"/>
      <c r="K2443" s="4"/>
    </row>
    <row r="2444" spans="3:11" x14ac:dyDescent="0.25">
      <c r="C2444" s="79"/>
      <c r="D2444" s="248"/>
      <c r="E2444" s="248"/>
      <c r="F2444" s="47"/>
      <c r="G2444" s="79"/>
      <c r="J2444" s="99"/>
      <c r="K2444" s="4"/>
    </row>
    <row r="2445" spans="3:11" x14ac:dyDescent="0.25">
      <c r="C2445" s="79"/>
      <c r="D2445" s="248"/>
      <c r="E2445" s="248"/>
      <c r="F2445" s="47"/>
      <c r="G2445" s="79"/>
      <c r="J2445" s="99"/>
      <c r="K2445" s="4"/>
    </row>
    <row r="2446" spans="3:11" x14ac:dyDescent="0.25">
      <c r="C2446" s="79"/>
      <c r="D2446" s="248"/>
      <c r="E2446" s="248"/>
      <c r="F2446" s="47"/>
      <c r="G2446" s="79"/>
      <c r="J2446" s="99"/>
      <c r="K2446" s="4"/>
    </row>
    <row r="2447" spans="3:11" x14ac:dyDescent="0.25">
      <c r="C2447" s="79"/>
      <c r="D2447" s="248"/>
      <c r="E2447" s="248"/>
      <c r="F2447" s="47"/>
      <c r="G2447" s="79"/>
      <c r="J2447" s="99"/>
      <c r="K2447" s="4"/>
    </row>
    <row r="2448" spans="3:11" x14ac:dyDescent="0.25">
      <c r="C2448" s="79"/>
      <c r="D2448" s="248"/>
      <c r="E2448" s="248"/>
      <c r="F2448" s="47"/>
      <c r="G2448" s="79"/>
      <c r="J2448" s="99"/>
      <c r="K2448" s="4"/>
    </row>
    <row r="2449" spans="3:11" x14ac:dyDescent="0.25">
      <c r="C2449" s="79"/>
      <c r="D2449" s="248"/>
      <c r="E2449" s="248"/>
      <c r="F2449" s="47"/>
      <c r="G2449" s="79"/>
      <c r="J2449" s="99"/>
      <c r="K2449" s="4"/>
    </row>
    <row r="2450" spans="3:11" x14ac:dyDescent="0.25">
      <c r="C2450" s="79"/>
      <c r="D2450" s="248"/>
      <c r="E2450" s="248"/>
      <c r="F2450" s="47"/>
      <c r="G2450" s="79"/>
      <c r="J2450" s="99"/>
      <c r="K2450" s="4"/>
    </row>
    <row r="2451" spans="3:11" x14ac:dyDescent="0.25">
      <c r="C2451" s="79"/>
      <c r="D2451" s="248"/>
      <c r="E2451" s="248"/>
      <c r="F2451" s="47"/>
      <c r="G2451" s="79"/>
      <c r="J2451" s="99"/>
      <c r="K2451" s="4"/>
    </row>
    <row r="2452" spans="3:11" x14ac:dyDescent="0.25">
      <c r="C2452" s="79"/>
      <c r="D2452" s="248"/>
      <c r="E2452" s="248"/>
      <c r="F2452" s="47"/>
      <c r="G2452" s="79"/>
      <c r="J2452" s="99"/>
      <c r="K2452" s="4"/>
    </row>
    <row r="2453" spans="3:11" x14ac:dyDescent="0.25">
      <c r="C2453" s="79"/>
      <c r="D2453" s="248"/>
      <c r="E2453" s="248"/>
      <c r="F2453" s="47"/>
      <c r="G2453" s="79"/>
      <c r="J2453" s="99"/>
      <c r="K2453" s="4"/>
    </row>
    <row r="2454" spans="3:11" x14ac:dyDescent="0.25">
      <c r="C2454" s="79"/>
      <c r="D2454" s="248"/>
      <c r="E2454" s="248"/>
      <c r="F2454" s="47"/>
      <c r="G2454" s="79"/>
      <c r="J2454" s="99"/>
      <c r="K2454" s="4"/>
    </row>
    <row r="2455" spans="3:11" x14ac:dyDescent="0.25">
      <c r="C2455" s="79"/>
      <c r="D2455" s="248"/>
      <c r="E2455" s="248"/>
      <c r="F2455" s="47"/>
      <c r="G2455" s="79"/>
      <c r="J2455" s="99"/>
      <c r="K2455" s="4"/>
    </row>
    <row r="2456" spans="3:11" x14ac:dyDescent="0.25">
      <c r="C2456" s="79"/>
      <c r="D2456" s="248"/>
      <c r="E2456" s="248"/>
      <c r="F2456" s="47"/>
      <c r="G2456" s="79"/>
      <c r="J2456" s="99"/>
      <c r="K2456" s="4"/>
    </row>
    <row r="2457" spans="3:11" x14ac:dyDescent="0.25">
      <c r="C2457" s="79"/>
      <c r="D2457" s="248"/>
      <c r="E2457" s="248"/>
      <c r="F2457" s="47"/>
      <c r="G2457" s="79"/>
      <c r="J2457" s="99"/>
      <c r="K2457" s="4"/>
    </row>
    <row r="2458" spans="3:11" x14ac:dyDescent="0.25">
      <c r="C2458" s="79"/>
      <c r="D2458" s="248"/>
      <c r="E2458" s="248"/>
      <c r="F2458" s="47"/>
      <c r="G2458" s="79"/>
      <c r="J2458" s="99"/>
      <c r="K2458" s="4"/>
    </row>
    <row r="2459" spans="3:11" x14ac:dyDescent="0.25">
      <c r="C2459" s="79"/>
      <c r="D2459" s="248"/>
      <c r="E2459" s="248"/>
      <c r="F2459" s="47"/>
      <c r="G2459" s="79"/>
      <c r="J2459" s="99"/>
      <c r="K2459" s="4"/>
    </row>
    <row r="2460" spans="3:11" x14ac:dyDescent="0.25">
      <c r="C2460" s="79"/>
      <c r="D2460" s="248"/>
      <c r="E2460" s="248"/>
      <c r="F2460" s="47"/>
      <c r="G2460" s="79"/>
      <c r="J2460" s="99"/>
      <c r="K2460" s="4"/>
    </row>
    <row r="2461" spans="3:11" x14ac:dyDescent="0.25">
      <c r="C2461" s="79"/>
      <c r="D2461" s="248"/>
      <c r="E2461" s="248"/>
      <c r="F2461" s="47"/>
      <c r="G2461" s="79"/>
      <c r="J2461" s="99"/>
      <c r="K2461" s="4"/>
    </row>
    <row r="2462" spans="3:11" x14ac:dyDescent="0.25">
      <c r="C2462" s="79"/>
      <c r="D2462" s="248"/>
      <c r="E2462" s="248"/>
      <c r="F2462" s="47"/>
      <c r="G2462" s="79"/>
      <c r="J2462" s="99"/>
      <c r="K2462" s="4"/>
    </row>
    <row r="2463" spans="3:11" x14ac:dyDescent="0.25">
      <c r="C2463" s="79"/>
      <c r="D2463" s="248"/>
      <c r="E2463" s="248"/>
      <c r="F2463" s="47"/>
      <c r="G2463" s="79"/>
      <c r="J2463" s="99"/>
      <c r="K2463" s="4"/>
    </row>
    <row r="2464" spans="3:11" x14ac:dyDescent="0.25">
      <c r="C2464" s="79"/>
      <c r="D2464" s="248"/>
      <c r="E2464" s="248"/>
      <c r="F2464" s="47"/>
      <c r="G2464" s="79"/>
      <c r="J2464" s="99"/>
      <c r="K2464" s="4"/>
    </row>
    <row r="2465" spans="3:11" x14ac:dyDescent="0.25">
      <c r="C2465" s="79"/>
      <c r="D2465" s="248"/>
      <c r="E2465" s="248"/>
      <c r="F2465" s="47"/>
      <c r="G2465" s="79"/>
      <c r="J2465" s="99"/>
      <c r="K2465" s="4"/>
    </row>
    <row r="2466" spans="3:11" x14ac:dyDescent="0.25">
      <c r="C2466" s="79"/>
      <c r="D2466" s="248"/>
      <c r="E2466" s="248"/>
      <c r="F2466" s="47"/>
      <c r="G2466" s="79"/>
      <c r="J2466" s="99"/>
      <c r="K2466" s="4"/>
    </row>
    <row r="2467" spans="3:11" x14ac:dyDescent="0.25">
      <c r="C2467" s="79"/>
      <c r="D2467" s="248"/>
      <c r="E2467" s="248"/>
      <c r="F2467" s="47"/>
      <c r="G2467" s="79"/>
      <c r="J2467" s="99"/>
      <c r="K2467" s="4"/>
    </row>
    <row r="2468" spans="3:11" x14ac:dyDescent="0.25">
      <c r="C2468" s="79"/>
      <c r="D2468" s="248"/>
      <c r="E2468" s="248"/>
      <c r="F2468" s="47"/>
      <c r="G2468" s="79"/>
      <c r="J2468" s="99"/>
      <c r="K2468" s="4"/>
    </row>
    <row r="2469" spans="3:11" x14ac:dyDescent="0.25">
      <c r="C2469" s="79"/>
      <c r="D2469" s="248"/>
      <c r="E2469" s="248"/>
      <c r="F2469" s="47"/>
      <c r="G2469" s="79"/>
      <c r="J2469" s="99"/>
      <c r="K2469" s="4"/>
    </row>
    <row r="2470" spans="3:11" x14ac:dyDescent="0.25">
      <c r="C2470" s="79"/>
      <c r="D2470" s="248"/>
      <c r="E2470" s="248"/>
      <c r="F2470" s="47"/>
      <c r="G2470" s="79"/>
      <c r="J2470" s="99"/>
      <c r="K2470" s="4"/>
    </row>
    <row r="2471" spans="3:11" x14ac:dyDescent="0.25">
      <c r="C2471" s="79"/>
      <c r="D2471" s="248"/>
      <c r="E2471" s="248"/>
      <c r="F2471" s="47"/>
      <c r="G2471" s="79"/>
      <c r="J2471" s="99"/>
      <c r="K2471" s="4"/>
    </row>
    <row r="2472" spans="3:11" x14ac:dyDescent="0.25">
      <c r="C2472" s="79"/>
      <c r="D2472" s="248"/>
      <c r="E2472" s="248"/>
      <c r="F2472" s="47"/>
      <c r="G2472" s="79"/>
      <c r="J2472" s="99"/>
      <c r="K2472" s="4"/>
    </row>
    <row r="2473" spans="3:11" x14ac:dyDescent="0.25">
      <c r="C2473" s="79"/>
      <c r="D2473" s="248"/>
      <c r="E2473" s="248"/>
      <c r="F2473" s="47"/>
      <c r="G2473" s="79"/>
      <c r="J2473" s="99"/>
      <c r="K2473" s="4"/>
    </row>
    <row r="2474" spans="3:11" x14ac:dyDescent="0.25">
      <c r="C2474" s="79"/>
      <c r="D2474" s="248"/>
      <c r="E2474" s="248"/>
      <c r="F2474" s="47"/>
      <c r="G2474" s="79"/>
      <c r="J2474" s="99"/>
      <c r="K2474" s="4"/>
    </row>
    <row r="2475" spans="3:11" x14ac:dyDescent="0.25">
      <c r="C2475" s="79"/>
      <c r="D2475" s="248"/>
      <c r="E2475" s="248"/>
      <c r="F2475" s="47"/>
      <c r="G2475" s="79"/>
      <c r="J2475" s="99"/>
      <c r="K2475" s="4"/>
    </row>
    <row r="2476" spans="3:11" x14ac:dyDescent="0.25">
      <c r="C2476" s="79"/>
      <c r="D2476" s="248"/>
      <c r="E2476" s="248"/>
      <c r="F2476" s="47"/>
      <c r="G2476" s="79"/>
      <c r="J2476" s="99"/>
      <c r="K2476" s="4"/>
    </row>
    <row r="2477" spans="3:11" x14ac:dyDescent="0.25">
      <c r="C2477" s="79"/>
      <c r="D2477" s="248"/>
      <c r="E2477" s="248"/>
      <c r="F2477" s="47"/>
      <c r="G2477" s="79"/>
      <c r="J2477" s="99"/>
      <c r="K2477" s="4"/>
    </row>
    <row r="2478" spans="3:11" x14ac:dyDescent="0.25">
      <c r="C2478" s="79"/>
      <c r="D2478" s="248"/>
      <c r="E2478" s="248"/>
      <c r="F2478" s="47"/>
      <c r="G2478" s="79"/>
      <c r="J2478" s="99"/>
      <c r="K2478" s="4"/>
    </row>
    <row r="2479" spans="3:11" x14ac:dyDescent="0.25">
      <c r="C2479" s="79"/>
      <c r="D2479" s="248"/>
      <c r="E2479" s="248"/>
      <c r="F2479" s="47"/>
      <c r="G2479" s="79"/>
      <c r="J2479" s="99"/>
      <c r="K2479" s="4"/>
    </row>
    <row r="2480" spans="3:11" x14ac:dyDescent="0.25">
      <c r="C2480" s="79"/>
      <c r="D2480" s="248"/>
      <c r="E2480" s="248"/>
      <c r="F2480" s="47"/>
      <c r="G2480" s="79"/>
      <c r="J2480" s="99"/>
      <c r="K2480" s="4"/>
    </row>
    <row r="2481" spans="3:11" x14ac:dyDescent="0.25">
      <c r="C2481" s="79"/>
      <c r="D2481" s="248"/>
      <c r="E2481" s="248"/>
      <c r="F2481" s="47"/>
      <c r="G2481" s="79"/>
      <c r="J2481" s="99"/>
      <c r="K2481" s="4"/>
    </row>
    <row r="2482" spans="3:11" x14ac:dyDescent="0.25">
      <c r="C2482" s="79"/>
      <c r="D2482" s="248"/>
      <c r="E2482" s="248"/>
      <c r="F2482" s="47"/>
      <c r="G2482" s="79"/>
      <c r="J2482" s="99"/>
      <c r="K2482" s="4"/>
    </row>
    <row r="2483" spans="3:11" x14ac:dyDescent="0.25">
      <c r="C2483" s="79"/>
      <c r="D2483" s="248"/>
      <c r="E2483" s="248"/>
      <c r="F2483" s="47"/>
      <c r="G2483" s="79"/>
      <c r="J2483" s="99"/>
      <c r="K2483" s="4"/>
    </row>
    <row r="2484" spans="3:11" x14ac:dyDescent="0.25">
      <c r="C2484" s="79"/>
      <c r="D2484" s="248"/>
      <c r="E2484" s="248"/>
      <c r="F2484" s="47"/>
      <c r="G2484" s="79"/>
      <c r="J2484" s="99"/>
      <c r="K2484" s="4"/>
    </row>
    <row r="2485" spans="3:11" x14ac:dyDescent="0.25">
      <c r="C2485" s="79"/>
      <c r="D2485" s="248"/>
      <c r="E2485" s="248"/>
      <c r="F2485" s="47"/>
      <c r="G2485" s="79"/>
      <c r="J2485" s="99"/>
      <c r="K2485" s="4"/>
    </row>
    <row r="2486" spans="3:11" x14ac:dyDescent="0.25">
      <c r="C2486" s="79"/>
      <c r="D2486" s="248"/>
      <c r="E2486" s="248"/>
      <c r="F2486" s="47"/>
      <c r="G2486" s="79"/>
      <c r="J2486" s="99"/>
      <c r="K2486" s="4"/>
    </row>
    <row r="2487" spans="3:11" x14ac:dyDescent="0.25">
      <c r="C2487" s="79"/>
      <c r="D2487" s="248"/>
      <c r="E2487" s="248"/>
      <c r="F2487" s="47"/>
      <c r="G2487" s="79"/>
      <c r="J2487" s="99"/>
      <c r="K2487" s="4"/>
    </row>
    <row r="2488" spans="3:11" x14ac:dyDescent="0.25">
      <c r="C2488" s="79"/>
      <c r="D2488" s="248"/>
      <c r="E2488" s="248"/>
      <c r="F2488" s="47"/>
      <c r="G2488" s="79"/>
      <c r="J2488" s="99"/>
      <c r="K2488" s="4"/>
    </row>
    <row r="2489" spans="3:11" x14ac:dyDescent="0.25">
      <c r="C2489" s="79"/>
      <c r="D2489" s="248"/>
      <c r="E2489" s="248"/>
      <c r="F2489" s="47"/>
      <c r="G2489" s="79"/>
      <c r="J2489" s="99"/>
      <c r="K2489" s="4"/>
    </row>
    <row r="2490" spans="3:11" x14ac:dyDescent="0.25">
      <c r="C2490" s="79"/>
      <c r="D2490" s="248"/>
      <c r="E2490" s="248"/>
      <c r="F2490" s="47"/>
      <c r="G2490" s="79"/>
      <c r="J2490" s="99"/>
      <c r="K2490" s="4"/>
    </row>
    <row r="2491" spans="3:11" x14ac:dyDescent="0.25">
      <c r="C2491" s="79"/>
      <c r="D2491" s="248"/>
      <c r="E2491" s="248"/>
      <c r="F2491" s="47"/>
      <c r="G2491" s="79"/>
      <c r="J2491" s="99"/>
      <c r="K2491" s="4"/>
    </row>
    <row r="2492" spans="3:11" x14ac:dyDescent="0.25">
      <c r="C2492" s="79"/>
      <c r="D2492" s="248"/>
      <c r="E2492" s="248"/>
      <c r="F2492" s="47"/>
      <c r="G2492" s="79"/>
      <c r="J2492" s="99"/>
      <c r="K2492" s="4"/>
    </row>
    <row r="2493" spans="3:11" x14ac:dyDescent="0.25">
      <c r="C2493" s="79"/>
      <c r="D2493" s="248"/>
      <c r="E2493" s="248"/>
      <c r="F2493" s="47"/>
      <c r="G2493" s="79"/>
      <c r="J2493" s="99"/>
      <c r="K2493" s="4"/>
    </row>
    <row r="2494" spans="3:11" x14ac:dyDescent="0.25">
      <c r="C2494" s="79"/>
      <c r="D2494" s="248"/>
      <c r="E2494" s="248"/>
      <c r="F2494" s="47"/>
      <c r="G2494" s="79"/>
      <c r="J2494" s="99"/>
      <c r="K2494" s="4"/>
    </row>
    <row r="2495" spans="3:11" x14ac:dyDescent="0.25">
      <c r="C2495" s="79"/>
      <c r="D2495" s="248"/>
      <c r="E2495" s="248"/>
      <c r="F2495" s="47"/>
      <c r="G2495" s="79"/>
      <c r="J2495" s="99"/>
      <c r="K2495" s="4"/>
    </row>
    <row r="2496" spans="3:11" x14ac:dyDescent="0.25">
      <c r="C2496" s="79"/>
      <c r="D2496" s="248"/>
      <c r="E2496" s="248"/>
      <c r="F2496" s="47"/>
      <c r="G2496" s="79"/>
      <c r="J2496" s="99"/>
      <c r="K2496" s="4"/>
    </row>
    <row r="2497" spans="3:11" x14ac:dyDescent="0.25">
      <c r="C2497" s="79"/>
      <c r="D2497" s="248"/>
      <c r="E2497" s="248"/>
      <c r="F2497" s="47"/>
      <c r="G2497" s="79"/>
      <c r="J2497" s="99"/>
      <c r="K2497" s="4"/>
    </row>
    <row r="2498" spans="3:11" x14ac:dyDescent="0.25">
      <c r="C2498" s="79"/>
      <c r="D2498" s="248"/>
      <c r="E2498" s="248"/>
      <c r="F2498" s="47"/>
      <c r="G2498" s="79"/>
      <c r="J2498" s="99"/>
      <c r="K2498" s="4"/>
    </row>
    <row r="2499" spans="3:11" x14ac:dyDescent="0.25">
      <c r="C2499" s="79"/>
      <c r="D2499" s="248"/>
      <c r="E2499" s="248"/>
      <c r="F2499" s="47"/>
      <c r="G2499" s="79"/>
      <c r="J2499" s="99"/>
      <c r="K2499" s="4"/>
    </row>
    <row r="2500" spans="3:11" x14ac:dyDescent="0.25">
      <c r="C2500" s="79"/>
      <c r="D2500" s="248"/>
      <c r="E2500" s="248"/>
      <c r="F2500" s="47"/>
      <c r="G2500" s="79"/>
      <c r="J2500" s="99"/>
      <c r="K2500" s="4"/>
    </row>
    <row r="2501" spans="3:11" x14ac:dyDescent="0.25">
      <c r="C2501" s="79"/>
      <c r="D2501" s="248"/>
      <c r="E2501" s="248"/>
      <c r="F2501" s="47"/>
      <c r="G2501" s="79"/>
      <c r="J2501" s="99"/>
      <c r="K2501" s="4"/>
    </row>
    <row r="2502" spans="3:11" x14ac:dyDescent="0.25">
      <c r="C2502" s="79"/>
      <c r="D2502" s="248"/>
      <c r="E2502" s="248"/>
      <c r="F2502" s="47"/>
      <c r="G2502" s="79"/>
      <c r="J2502" s="99"/>
      <c r="K2502" s="4"/>
    </row>
    <row r="2503" spans="3:11" x14ac:dyDescent="0.25">
      <c r="C2503" s="79"/>
      <c r="D2503" s="248"/>
      <c r="E2503" s="248"/>
      <c r="F2503" s="47"/>
      <c r="G2503" s="79"/>
      <c r="J2503" s="99"/>
      <c r="K2503" s="4"/>
    </row>
    <row r="2504" spans="3:11" x14ac:dyDescent="0.25">
      <c r="C2504" s="79"/>
      <c r="D2504" s="248"/>
      <c r="E2504" s="248"/>
      <c r="F2504" s="47"/>
      <c r="G2504" s="79"/>
      <c r="J2504" s="99"/>
      <c r="K2504" s="4"/>
    </row>
    <row r="2505" spans="3:11" x14ac:dyDescent="0.25">
      <c r="C2505" s="79"/>
      <c r="D2505" s="248"/>
      <c r="E2505" s="248"/>
      <c r="F2505" s="47"/>
      <c r="G2505" s="79"/>
      <c r="J2505" s="99"/>
      <c r="K2505" s="4"/>
    </row>
    <row r="2506" spans="3:11" x14ac:dyDescent="0.25">
      <c r="C2506" s="79"/>
      <c r="D2506" s="248"/>
      <c r="E2506" s="248"/>
      <c r="F2506" s="47"/>
      <c r="G2506" s="79"/>
      <c r="J2506" s="99"/>
      <c r="K2506" s="4"/>
    </row>
    <row r="2507" spans="3:11" x14ac:dyDescent="0.25">
      <c r="C2507" s="79"/>
      <c r="D2507" s="248"/>
      <c r="E2507" s="248"/>
      <c r="F2507" s="47"/>
      <c r="G2507" s="79"/>
      <c r="J2507" s="99"/>
      <c r="K2507" s="4"/>
    </row>
    <row r="2508" spans="3:11" x14ac:dyDescent="0.25">
      <c r="C2508" s="79"/>
      <c r="D2508" s="248"/>
      <c r="E2508" s="248"/>
      <c r="F2508" s="47"/>
      <c r="G2508" s="79"/>
      <c r="J2508" s="99"/>
      <c r="K2508" s="4"/>
    </row>
    <row r="2509" spans="3:11" x14ac:dyDescent="0.25">
      <c r="C2509" s="79"/>
      <c r="D2509" s="248"/>
      <c r="E2509" s="248"/>
      <c r="F2509" s="47"/>
      <c r="G2509" s="79"/>
      <c r="J2509" s="99"/>
      <c r="K2509" s="4"/>
    </row>
    <row r="2510" spans="3:11" x14ac:dyDescent="0.25">
      <c r="C2510" s="79"/>
      <c r="D2510" s="248"/>
      <c r="E2510" s="248"/>
      <c r="F2510" s="47"/>
      <c r="G2510" s="79"/>
      <c r="J2510" s="99"/>
      <c r="K2510" s="4"/>
    </row>
    <row r="2511" spans="3:11" x14ac:dyDescent="0.25">
      <c r="C2511" s="79"/>
      <c r="D2511" s="248"/>
      <c r="E2511" s="248"/>
      <c r="F2511" s="47"/>
      <c r="G2511" s="79"/>
      <c r="J2511" s="99"/>
      <c r="K2511" s="4"/>
    </row>
    <row r="2512" spans="3:11" x14ac:dyDescent="0.25">
      <c r="C2512" s="79"/>
      <c r="D2512" s="248"/>
      <c r="E2512" s="248"/>
      <c r="F2512" s="47"/>
      <c r="G2512" s="79"/>
      <c r="J2512" s="99"/>
      <c r="K2512" s="4"/>
    </row>
    <row r="2513" spans="3:11" x14ac:dyDescent="0.25">
      <c r="C2513" s="79"/>
      <c r="D2513" s="248"/>
      <c r="E2513" s="248"/>
      <c r="F2513" s="47"/>
      <c r="G2513" s="79"/>
      <c r="J2513" s="99"/>
      <c r="K2513" s="4"/>
    </row>
    <row r="2514" spans="3:11" x14ac:dyDescent="0.25">
      <c r="C2514" s="79"/>
      <c r="D2514" s="248"/>
      <c r="E2514" s="248"/>
      <c r="F2514" s="47"/>
      <c r="G2514" s="79"/>
      <c r="J2514" s="99"/>
      <c r="K2514" s="4"/>
    </row>
    <row r="2515" spans="3:11" x14ac:dyDescent="0.25">
      <c r="C2515" s="79"/>
      <c r="D2515" s="248"/>
      <c r="E2515" s="248"/>
      <c r="F2515" s="47"/>
      <c r="G2515" s="79"/>
      <c r="J2515" s="99"/>
      <c r="K2515" s="4"/>
    </row>
    <row r="2516" spans="3:11" x14ac:dyDescent="0.25">
      <c r="C2516" s="79"/>
      <c r="D2516" s="248"/>
      <c r="E2516" s="248"/>
      <c r="F2516" s="47"/>
      <c r="G2516" s="79"/>
      <c r="J2516" s="99"/>
      <c r="K2516" s="4"/>
    </row>
    <row r="2517" spans="3:11" x14ac:dyDescent="0.25">
      <c r="C2517" s="79"/>
      <c r="D2517" s="248"/>
      <c r="E2517" s="248"/>
      <c r="F2517" s="47"/>
      <c r="G2517" s="79"/>
      <c r="J2517" s="99"/>
      <c r="K2517" s="4"/>
    </row>
    <row r="2518" spans="3:11" x14ac:dyDescent="0.25">
      <c r="C2518" s="79"/>
      <c r="D2518" s="248"/>
      <c r="E2518" s="248"/>
      <c r="F2518" s="47"/>
      <c r="G2518" s="79"/>
      <c r="J2518" s="99"/>
      <c r="K2518" s="4"/>
    </row>
    <row r="2519" spans="3:11" x14ac:dyDescent="0.25">
      <c r="C2519" s="79"/>
      <c r="D2519" s="248"/>
      <c r="E2519" s="248"/>
      <c r="F2519" s="47"/>
      <c r="G2519" s="79"/>
      <c r="J2519" s="99"/>
      <c r="K2519" s="4"/>
    </row>
    <row r="2520" spans="3:11" x14ac:dyDescent="0.25">
      <c r="C2520" s="79"/>
      <c r="D2520" s="248"/>
      <c r="E2520" s="248"/>
      <c r="F2520" s="47"/>
      <c r="G2520" s="79"/>
      <c r="J2520" s="99"/>
      <c r="K2520" s="4"/>
    </row>
    <row r="2521" spans="3:11" x14ac:dyDescent="0.25">
      <c r="C2521" s="79"/>
      <c r="D2521" s="248"/>
      <c r="E2521" s="248"/>
      <c r="F2521" s="47"/>
      <c r="G2521" s="79"/>
      <c r="J2521" s="99"/>
      <c r="K2521" s="4"/>
    </row>
    <row r="2522" spans="3:11" x14ac:dyDescent="0.25">
      <c r="C2522" s="79"/>
      <c r="D2522" s="248"/>
      <c r="E2522" s="248"/>
      <c r="F2522" s="47"/>
      <c r="G2522" s="79"/>
      <c r="J2522" s="99"/>
      <c r="K2522" s="4"/>
    </row>
    <row r="2523" spans="3:11" x14ac:dyDescent="0.25">
      <c r="C2523" s="79"/>
      <c r="D2523" s="248"/>
      <c r="E2523" s="248"/>
      <c r="F2523" s="47"/>
      <c r="G2523" s="79"/>
      <c r="J2523" s="99"/>
      <c r="K2523" s="4"/>
    </row>
    <row r="2524" spans="3:11" x14ac:dyDescent="0.25">
      <c r="C2524" s="79"/>
      <c r="D2524" s="248"/>
      <c r="E2524" s="248"/>
      <c r="F2524" s="47"/>
      <c r="G2524" s="79"/>
      <c r="J2524" s="99"/>
      <c r="K2524" s="4"/>
    </row>
    <row r="2525" spans="3:11" x14ac:dyDescent="0.25">
      <c r="C2525" s="79"/>
      <c r="D2525" s="248"/>
      <c r="E2525" s="248"/>
      <c r="F2525" s="47"/>
      <c r="G2525" s="79"/>
      <c r="J2525" s="99"/>
      <c r="K2525" s="4"/>
    </row>
    <row r="2526" spans="3:11" x14ac:dyDescent="0.25">
      <c r="C2526" s="79"/>
      <c r="D2526" s="248"/>
      <c r="E2526" s="248"/>
      <c r="F2526" s="47"/>
      <c r="G2526" s="79"/>
      <c r="J2526" s="99"/>
      <c r="K2526" s="4"/>
    </row>
    <row r="2527" spans="3:11" x14ac:dyDescent="0.25">
      <c r="C2527" s="79"/>
      <c r="D2527" s="248"/>
      <c r="E2527" s="248"/>
      <c r="F2527" s="47"/>
      <c r="G2527" s="79"/>
      <c r="J2527" s="99"/>
      <c r="K2527" s="4"/>
    </row>
    <row r="2528" spans="3:11" x14ac:dyDescent="0.25">
      <c r="C2528" s="79"/>
      <c r="D2528" s="248"/>
      <c r="E2528" s="248"/>
      <c r="F2528" s="47"/>
      <c r="G2528" s="79"/>
      <c r="J2528" s="99"/>
      <c r="K2528" s="4"/>
    </row>
    <row r="2529" spans="3:11" x14ac:dyDescent="0.25">
      <c r="C2529" s="79"/>
      <c r="D2529" s="248"/>
      <c r="E2529" s="248"/>
      <c r="F2529" s="47"/>
      <c r="G2529" s="79"/>
      <c r="J2529" s="99"/>
      <c r="K2529" s="4"/>
    </row>
    <row r="2530" spans="3:11" x14ac:dyDescent="0.25">
      <c r="C2530" s="79"/>
      <c r="D2530" s="248"/>
      <c r="E2530" s="248"/>
      <c r="F2530" s="47"/>
      <c r="G2530" s="79"/>
      <c r="J2530" s="99"/>
      <c r="K2530" s="4"/>
    </row>
    <row r="2531" spans="3:11" x14ac:dyDescent="0.25">
      <c r="C2531" s="79"/>
      <c r="D2531" s="248"/>
      <c r="E2531" s="248"/>
      <c r="F2531" s="47"/>
      <c r="G2531" s="79"/>
      <c r="J2531" s="99"/>
      <c r="K2531" s="4"/>
    </row>
    <row r="2532" spans="3:11" x14ac:dyDescent="0.25">
      <c r="C2532" s="79"/>
      <c r="D2532" s="248"/>
      <c r="E2532" s="248"/>
      <c r="F2532" s="47"/>
      <c r="G2532" s="79"/>
      <c r="J2532" s="99"/>
      <c r="K2532" s="4"/>
    </row>
    <row r="2533" spans="3:11" x14ac:dyDescent="0.25">
      <c r="C2533" s="79"/>
      <c r="D2533" s="248"/>
      <c r="E2533" s="248"/>
      <c r="F2533" s="47"/>
      <c r="G2533" s="79"/>
      <c r="J2533" s="99"/>
      <c r="K2533" s="4"/>
    </row>
    <row r="2534" spans="3:11" x14ac:dyDescent="0.25">
      <c r="C2534" s="79"/>
      <c r="D2534" s="248"/>
      <c r="E2534" s="248"/>
      <c r="F2534" s="47"/>
      <c r="G2534" s="79"/>
      <c r="J2534" s="99"/>
      <c r="K2534" s="4"/>
    </row>
    <row r="2535" spans="3:11" x14ac:dyDescent="0.25">
      <c r="C2535" s="79"/>
      <c r="D2535" s="248"/>
      <c r="E2535" s="248"/>
      <c r="F2535" s="47"/>
      <c r="G2535" s="79"/>
      <c r="J2535" s="99"/>
      <c r="K2535" s="4"/>
    </row>
    <row r="2536" spans="3:11" x14ac:dyDescent="0.25">
      <c r="C2536" s="79"/>
      <c r="D2536" s="248"/>
      <c r="E2536" s="248"/>
      <c r="F2536" s="47"/>
      <c r="G2536" s="79"/>
      <c r="J2536" s="99"/>
      <c r="K2536" s="4"/>
    </row>
    <row r="2537" spans="3:11" x14ac:dyDescent="0.25">
      <c r="C2537" s="79"/>
      <c r="D2537" s="248"/>
      <c r="E2537" s="248"/>
      <c r="F2537" s="47"/>
      <c r="G2537" s="79"/>
      <c r="J2537" s="99"/>
      <c r="K2537" s="4"/>
    </row>
    <row r="2538" spans="3:11" x14ac:dyDescent="0.25">
      <c r="C2538" s="79"/>
      <c r="D2538" s="248"/>
      <c r="E2538" s="248"/>
      <c r="F2538" s="47"/>
      <c r="G2538" s="79"/>
      <c r="J2538" s="99"/>
      <c r="K2538" s="4"/>
    </row>
    <row r="2539" spans="3:11" x14ac:dyDescent="0.25">
      <c r="C2539" s="79"/>
      <c r="D2539" s="248"/>
      <c r="E2539" s="248"/>
      <c r="F2539" s="47"/>
      <c r="G2539" s="79"/>
      <c r="J2539" s="99"/>
      <c r="K2539" s="4"/>
    </row>
    <row r="2540" spans="3:11" x14ac:dyDescent="0.25">
      <c r="C2540" s="79"/>
      <c r="D2540" s="248"/>
      <c r="E2540" s="248"/>
      <c r="F2540" s="47"/>
      <c r="G2540" s="79"/>
      <c r="J2540" s="99"/>
      <c r="K2540" s="4"/>
    </row>
    <row r="2541" spans="3:11" x14ac:dyDescent="0.25">
      <c r="C2541" s="79"/>
      <c r="D2541" s="248"/>
      <c r="E2541" s="248"/>
      <c r="F2541" s="47"/>
      <c r="G2541" s="79"/>
      <c r="J2541" s="99"/>
      <c r="K2541" s="4"/>
    </row>
    <row r="2542" spans="3:11" x14ac:dyDescent="0.25">
      <c r="C2542" s="79"/>
      <c r="D2542" s="248"/>
      <c r="E2542" s="248"/>
      <c r="F2542" s="47"/>
      <c r="G2542" s="79"/>
      <c r="J2542" s="99"/>
      <c r="K2542" s="4"/>
    </row>
    <row r="2543" spans="3:11" x14ac:dyDescent="0.25">
      <c r="C2543" s="79"/>
      <c r="D2543" s="248"/>
      <c r="E2543" s="248"/>
      <c r="F2543" s="47"/>
      <c r="G2543" s="79"/>
      <c r="J2543" s="99"/>
      <c r="K2543" s="4"/>
    </row>
    <row r="2544" spans="3:11" x14ac:dyDescent="0.25">
      <c r="C2544" s="79"/>
      <c r="D2544" s="248"/>
      <c r="E2544" s="248"/>
      <c r="F2544" s="47"/>
      <c r="G2544" s="79"/>
      <c r="J2544" s="99"/>
      <c r="K2544" s="4"/>
    </row>
    <row r="2545" spans="3:11" x14ac:dyDescent="0.25">
      <c r="C2545" s="79"/>
      <c r="D2545" s="248"/>
      <c r="E2545" s="248"/>
      <c r="F2545" s="47"/>
      <c r="G2545" s="79"/>
      <c r="J2545" s="99"/>
      <c r="K2545" s="4"/>
    </row>
    <row r="2546" spans="3:11" x14ac:dyDescent="0.25">
      <c r="C2546" s="79"/>
      <c r="D2546" s="248"/>
      <c r="E2546" s="248"/>
      <c r="F2546" s="47"/>
      <c r="G2546" s="79"/>
      <c r="J2546" s="99"/>
      <c r="K2546" s="4"/>
    </row>
    <row r="2547" spans="3:11" x14ac:dyDescent="0.25">
      <c r="C2547" s="79"/>
      <c r="D2547" s="248"/>
      <c r="E2547" s="248"/>
      <c r="F2547" s="47"/>
      <c r="G2547" s="79"/>
      <c r="J2547" s="99"/>
      <c r="K2547" s="4"/>
    </row>
    <row r="2548" spans="3:11" x14ac:dyDescent="0.25">
      <c r="C2548" s="79"/>
      <c r="D2548" s="248"/>
      <c r="E2548" s="248"/>
      <c r="F2548" s="47"/>
      <c r="G2548" s="79"/>
      <c r="J2548" s="99"/>
      <c r="K2548" s="4"/>
    </row>
    <row r="2549" spans="3:11" x14ac:dyDescent="0.25">
      <c r="C2549" s="79"/>
      <c r="D2549" s="248"/>
      <c r="E2549" s="248"/>
      <c r="F2549" s="47"/>
      <c r="G2549" s="79"/>
      <c r="J2549" s="99"/>
      <c r="K2549" s="4"/>
    </row>
    <row r="2550" spans="3:11" x14ac:dyDescent="0.25">
      <c r="C2550" s="79"/>
      <c r="D2550" s="248"/>
      <c r="E2550" s="248"/>
      <c r="F2550" s="47"/>
      <c r="G2550" s="79"/>
      <c r="J2550" s="99"/>
      <c r="K2550" s="4"/>
    </row>
    <row r="2551" spans="3:11" x14ac:dyDescent="0.25">
      <c r="C2551" s="79"/>
      <c r="D2551" s="248"/>
      <c r="E2551" s="248"/>
      <c r="F2551" s="47"/>
      <c r="G2551" s="79"/>
      <c r="J2551" s="99"/>
      <c r="K2551" s="4"/>
    </row>
    <row r="2552" spans="3:11" x14ac:dyDescent="0.25">
      <c r="C2552" s="79"/>
      <c r="D2552" s="248"/>
      <c r="E2552" s="248"/>
      <c r="F2552" s="47"/>
      <c r="G2552" s="79"/>
      <c r="J2552" s="99"/>
      <c r="K2552" s="4"/>
    </row>
    <row r="2553" spans="3:11" x14ac:dyDescent="0.25">
      <c r="C2553" s="79"/>
      <c r="D2553" s="248"/>
      <c r="E2553" s="248"/>
      <c r="F2553" s="47"/>
      <c r="G2553" s="79"/>
      <c r="J2553" s="99"/>
      <c r="K2553" s="4"/>
    </row>
    <row r="2554" spans="3:11" x14ac:dyDescent="0.25">
      <c r="C2554" s="79"/>
      <c r="D2554" s="248"/>
      <c r="E2554" s="248"/>
      <c r="F2554" s="47"/>
      <c r="G2554" s="79"/>
      <c r="J2554" s="99"/>
      <c r="K2554" s="4"/>
    </row>
    <row r="2555" spans="3:11" x14ac:dyDescent="0.25">
      <c r="C2555" s="79"/>
      <c r="D2555" s="248"/>
      <c r="E2555" s="248"/>
      <c r="F2555" s="47"/>
      <c r="G2555" s="79"/>
      <c r="J2555" s="99"/>
      <c r="K2555" s="4"/>
    </row>
    <row r="2556" spans="3:11" x14ac:dyDescent="0.25">
      <c r="C2556" s="79"/>
      <c r="D2556" s="248"/>
      <c r="E2556" s="248"/>
      <c r="F2556" s="47"/>
      <c r="G2556" s="79"/>
      <c r="J2556" s="99"/>
      <c r="K2556" s="4"/>
    </row>
    <row r="2557" spans="3:11" x14ac:dyDescent="0.25">
      <c r="C2557" s="79"/>
      <c r="D2557" s="248"/>
      <c r="E2557" s="248"/>
      <c r="F2557" s="47"/>
      <c r="G2557" s="79"/>
      <c r="J2557" s="99"/>
      <c r="K2557" s="4"/>
    </row>
    <row r="2558" spans="3:11" x14ac:dyDescent="0.25">
      <c r="C2558" s="79"/>
      <c r="D2558" s="248"/>
      <c r="E2558" s="248"/>
      <c r="F2558" s="47"/>
      <c r="G2558" s="79"/>
      <c r="J2558" s="99"/>
      <c r="K2558" s="4"/>
    </row>
    <row r="2559" spans="3:11" x14ac:dyDescent="0.25">
      <c r="C2559" s="79"/>
      <c r="D2559" s="248"/>
      <c r="E2559" s="248"/>
      <c r="F2559" s="47"/>
      <c r="G2559" s="79"/>
      <c r="J2559" s="99"/>
      <c r="K2559" s="4"/>
    </row>
    <row r="2560" spans="3:11" x14ac:dyDescent="0.25">
      <c r="C2560" s="79"/>
      <c r="D2560" s="248"/>
      <c r="E2560" s="248"/>
      <c r="F2560" s="47"/>
      <c r="G2560" s="79"/>
      <c r="J2560" s="99"/>
      <c r="K2560" s="4"/>
    </row>
    <row r="2561" spans="3:11" x14ac:dyDescent="0.25">
      <c r="C2561" s="79"/>
      <c r="D2561" s="248"/>
      <c r="E2561" s="248"/>
      <c r="F2561" s="47"/>
      <c r="G2561" s="79"/>
      <c r="J2561" s="99"/>
      <c r="K2561" s="4"/>
    </row>
    <row r="2562" spans="3:11" x14ac:dyDescent="0.25">
      <c r="C2562" s="79"/>
      <c r="D2562" s="248"/>
      <c r="E2562" s="248"/>
      <c r="F2562" s="47"/>
      <c r="G2562" s="79"/>
      <c r="J2562" s="99"/>
      <c r="K2562" s="4"/>
    </row>
    <row r="2563" spans="3:11" x14ac:dyDescent="0.25">
      <c r="C2563" s="79"/>
      <c r="D2563" s="248"/>
      <c r="E2563" s="248"/>
      <c r="F2563" s="47"/>
      <c r="G2563" s="79"/>
      <c r="J2563" s="99"/>
      <c r="K2563" s="4"/>
    </row>
    <row r="2564" spans="3:11" x14ac:dyDescent="0.25">
      <c r="C2564" s="79"/>
      <c r="D2564" s="248"/>
      <c r="E2564" s="248"/>
      <c r="F2564" s="47"/>
      <c r="G2564" s="79"/>
      <c r="J2564" s="99"/>
      <c r="K2564" s="4"/>
    </row>
    <row r="2565" spans="3:11" x14ac:dyDescent="0.25">
      <c r="C2565" s="79"/>
      <c r="D2565" s="248"/>
      <c r="E2565" s="248"/>
      <c r="F2565" s="47"/>
      <c r="G2565" s="79"/>
      <c r="J2565" s="99"/>
      <c r="K2565" s="4"/>
    </row>
    <row r="2566" spans="3:11" x14ac:dyDescent="0.25">
      <c r="C2566" s="79"/>
      <c r="D2566" s="248"/>
      <c r="E2566" s="248"/>
      <c r="F2566" s="47"/>
      <c r="G2566" s="79"/>
      <c r="J2566" s="99"/>
      <c r="K2566" s="4"/>
    </row>
    <row r="2567" spans="3:11" x14ac:dyDescent="0.25">
      <c r="C2567" s="79"/>
      <c r="D2567" s="248"/>
      <c r="E2567" s="248"/>
      <c r="F2567" s="47"/>
      <c r="G2567" s="79"/>
      <c r="J2567" s="99"/>
      <c r="K2567" s="4"/>
    </row>
    <row r="2568" spans="3:11" x14ac:dyDescent="0.25">
      <c r="C2568" s="79"/>
      <c r="D2568" s="248"/>
      <c r="E2568" s="248"/>
      <c r="F2568" s="47"/>
      <c r="G2568" s="79"/>
      <c r="J2568" s="99"/>
      <c r="K2568" s="4"/>
    </row>
    <row r="2569" spans="3:11" x14ac:dyDescent="0.25">
      <c r="C2569" s="79"/>
      <c r="D2569" s="248"/>
      <c r="E2569" s="248"/>
      <c r="F2569" s="47"/>
      <c r="G2569" s="79"/>
      <c r="J2569" s="99"/>
      <c r="K2569" s="4"/>
    </row>
    <row r="2570" spans="3:11" x14ac:dyDescent="0.25">
      <c r="C2570" s="79"/>
      <c r="D2570" s="248"/>
      <c r="E2570" s="248"/>
      <c r="F2570" s="47"/>
      <c r="G2570" s="79"/>
      <c r="J2570" s="99"/>
      <c r="K2570" s="4"/>
    </row>
    <row r="2571" spans="3:11" x14ac:dyDescent="0.25">
      <c r="C2571" s="79"/>
      <c r="D2571" s="248"/>
      <c r="E2571" s="248"/>
      <c r="F2571" s="47"/>
      <c r="G2571" s="79"/>
      <c r="J2571" s="99"/>
      <c r="K2571" s="4"/>
    </row>
    <row r="2572" spans="3:11" x14ac:dyDescent="0.25">
      <c r="C2572" s="79"/>
      <c r="D2572" s="248"/>
      <c r="E2572" s="248"/>
      <c r="F2572" s="47"/>
      <c r="G2572" s="79"/>
      <c r="J2572" s="99"/>
      <c r="K2572" s="4"/>
    </row>
    <row r="2573" spans="3:11" x14ac:dyDescent="0.25">
      <c r="C2573" s="79"/>
      <c r="D2573" s="248"/>
      <c r="E2573" s="248"/>
      <c r="F2573" s="47"/>
      <c r="G2573" s="79"/>
      <c r="J2573" s="99"/>
      <c r="K2573" s="4"/>
    </row>
    <row r="2574" spans="3:11" x14ac:dyDescent="0.25">
      <c r="C2574" s="79"/>
      <c r="D2574" s="248"/>
      <c r="E2574" s="248"/>
      <c r="F2574" s="47"/>
      <c r="G2574" s="79"/>
      <c r="J2574" s="99"/>
      <c r="K2574" s="4"/>
    </row>
    <row r="2575" spans="3:11" x14ac:dyDescent="0.25">
      <c r="C2575" s="79"/>
      <c r="D2575" s="248"/>
      <c r="E2575" s="248"/>
      <c r="F2575" s="47"/>
      <c r="G2575" s="79"/>
      <c r="J2575" s="99"/>
      <c r="K2575" s="4"/>
    </row>
    <row r="2576" spans="3:11" x14ac:dyDescent="0.25">
      <c r="C2576" s="79"/>
      <c r="D2576" s="248"/>
      <c r="E2576" s="248"/>
      <c r="F2576" s="47"/>
      <c r="G2576" s="79"/>
      <c r="J2576" s="99"/>
      <c r="K2576" s="4"/>
    </row>
    <row r="2577" spans="3:11" x14ac:dyDescent="0.25">
      <c r="C2577" s="79"/>
      <c r="D2577" s="248"/>
      <c r="E2577" s="248"/>
      <c r="F2577" s="47"/>
      <c r="G2577" s="79"/>
      <c r="J2577" s="99"/>
      <c r="K2577" s="4"/>
    </row>
    <row r="2578" spans="3:11" x14ac:dyDescent="0.25">
      <c r="C2578" s="79"/>
      <c r="D2578" s="248"/>
      <c r="E2578" s="248"/>
      <c r="F2578" s="47"/>
      <c r="G2578" s="79"/>
      <c r="J2578" s="99"/>
      <c r="K2578" s="4"/>
    </row>
    <row r="2579" spans="3:11" x14ac:dyDescent="0.25">
      <c r="C2579" s="79"/>
      <c r="D2579" s="248"/>
      <c r="E2579" s="248"/>
      <c r="F2579" s="47"/>
      <c r="G2579" s="79"/>
      <c r="J2579" s="99"/>
      <c r="K2579" s="4"/>
    </row>
    <row r="2580" spans="3:11" x14ac:dyDescent="0.25">
      <c r="C2580" s="79"/>
      <c r="D2580" s="248"/>
      <c r="E2580" s="248"/>
      <c r="F2580" s="47"/>
      <c r="G2580" s="79"/>
      <c r="J2580" s="99"/>
      <c r="K2580" s="4"/>
    </row>
    <row r="2581" spans="3:11" x14ac:dyDescent="0.25">
      <c r="C2581" s="79"/>
      <c r="D2581" s="248"/>
      <c r="E2581" s="248"/>
      <c r="F2581" s="47"/>
      <c r="G2581" s="79"/>
      <c r="J2581" s="99"/>
      <c r="K2581" s="4"/>
    </row>
    <row r="2582" spans="3:11" x14ac:dyDescent="0.25">
      <c r="C2582" s="79"/>
      <c r="D2582" s="248"/>
      <c r="E2582" s="248"/>
      <c r="F2582" s="47"/>
      <c r="G2582" s="79"/>
      <c r="J2582" s="99"/>
      <c r="K2582" s="4"/>
    </row>
    <row r="2583" spans="3:11" x14ac:dyDescent="0.25">
      <c r="C2583" s="79"/>
      <c r="D2583" s="248"/>
      <c r="E2583" s="248"/>
      <c r="F2583" s="47"/>
      <c r="G2583" s="79"/>
      <c r="J2583" s="99"/>
      <c r="K2583" s="4"/>
    </row>
    <row r="2584" spans="3:11" x14ac:dyDescent="0.25">
      <c r="C2584" s="79"/>
      <c r="D2584" s="248"/>
      <c r="E2584" s="248"/>
      <c r="F2584" s="47"/>
      <c r="G2584" s="79"/>
      <c r="J2584" s="99"/>
      <c r="K2584" s="4"/>
    </row>
    <row r="2585" spans="3:11" x14ac:dyDescent="0.25">
      <c r="C2585" s="79"/>
      <c r="D2585" s="248"/>
      <c r="E2585" s="248"/>
      <c r="F2585" s="47"/>
      <c r="G2585" s="79"/>
      <c r="J2585" s="99"/>
      <c r="K2585" s="4"/>
    </row>
    <row r="2586" spans="3:11" x14ac:dyDescent="0.25">
      <c r="C2586" s="79"/>
      <c r="D2586" s="248"/>
      <c r="E2586" s="248"/>
      <c r="F2586" s="47"/>
      <c r="G2586" s="79"/>
      <c r="J2586" s="99"/>
      <c r="K2586" s="4"/>
    </row>
    <row r="2587" spans="3:11" x14ac:dyDescent="0.25">
      <c r="C2587" s="79"/>
      <c r="D2587" s="248"/>
      <c r="E2587" s="248"/>
      <c r="F2587" s="47"/>
      <c r="G2587" s="79"/>
      <c r="J2587" s="99"/>
      <c r="K2587" s="4"/>
    </row>
    <row r="2588" spans="3:11" x14ac:dyDescent="0.25">
      <c r="C2588" s="79"/>
      <c r="D2588" s="248"/>
      <c r="E2588" s="248"/>
      <c r="F2588" s="47"/>
      <c r="G2588" s="79"/>
      <c r="J2588" s="99"/>
      <c r="K2588" s="4"/>
    </row>
    <row r="2589" spans="3:11" x14ac:dyDescent="0.25">
      <c r="C2589" s="79"/>
      <c r="D2589" s="248"/>
      <c r="E2589" s="248"/>
      <c r="F2589" s="47"/>
      <c r="G2589" s="79"/>
      <c r="J2589" s="99"/>
      <c r="K2589" s="4"/>
    </row>
    <row r="2590" spans="3:11" x14ac:dyDescent="0.25">
      <c r="C2590" s="79"/>
      <c r="D2590" s="248"/>
      <c r="E2590" s="248"/>
      <c r="F2590" s="47"/>
      <c r="G2590" s="79"/>
      <c r="J2590" s="99"/>
      <c r="K2590" s="4"/>
    </row>
    <row r="2591" spans="3:11" x14ac:dyDescent="0.25">
      <c r="C2591" s="79"/>
      <c r="D2591" s="248"/>
      <c r="E2591" s="248"/>
      <c r="F2591" s="47"/>
      <c r="G2591" s="79"/>
      <c r="J2591" s="99"/>
      <c r="K2591" s="4"/>
    </row>
    <row r="2592" spans="3:11" x14ac:dyDescent="0.25">
      <c r="C2592" s="79"/>
      <c r="D2592" s="248"/>
      <c r="E2592" s="248"/>
      <c r="F2592" s="47"/>
      <c r="G2592" s="79"/>
      <c r="J2592" s="99"/>
      <c r="K2592" s="4"/>
    </row>
    <row r="2593" spans="3:11" x14ac:dyDescent="0.25">
      <c r="C2593" s="79"/>
      <c r="D2593" s="248"/>
      <c r="E2593" s="248"/>
      <c r="F2593" s="47"/>
      <c r="G2593" s="79"/>
      <c r="J2593" s="99"/>
      <c r="K2593" s="4"/>
    </row>
    <row r="2594" spans="3:11" x14ac:dyDescent="0.25">
      <c r="C2594" s="79"/>
      <c r="D2594" s="248"/>
      <c r="E2594" s="248"/>
      <c r="F2594" s="47"/>
      <c r="G2594" s="79"/>
      <c r="J2594" s="99"/>
      <c r="K2594" s="4"/>
    </row>
    <row r="2595" spans="3:11" x14ac:dyDescent="0.25">
      <c r="C2595" s="79"/>
      <c r="D2595" s="248"/>
      <c r="E2595" s="248"/>
      <c r="F2595" s="47"/>
      <c r="G2595" s="79"/>
      <c r="J2595" s="99"/>
      <c r="K2595" s="4"/>
    </row>
    <row r="2596" spans="3:11" x14ac:dyDescent="0.25">
      <c r="C2596" s="79"/>
      <c r="D2596" s="248"/>
      <c r="E2596" s="248"/>
      <c r="F2596" s="47"/>
      <c r="G2596" s="79"/>
      <c r="J2596" s="99"/>
      <c r="K2596" s="4"/>
    </row>
    <row r="2597" spans="3:11" x14ac:dyDescent="0.25">
      <c r="C2597" s="79"/>
      <c r="D2597" s="248"/>
      <c r="E2597" s="248"/>
      <c r="F2597" s="47"/>
      <c r="G2597" s="79"/>
      <c r="J2597" s="99"/>
      <c r="K2597" s="4"/>
    </row>
    <row r="2598" spans="3:11" x14ac:dyDescent="0.25">
      <c r="C2598" s="79"/>
      <c r="D2598" s="248"/>
      <c r="E2598" s="248"/>
      <c r="F2598" s="47"/>
      <c r="G2598" s="79"/>
      <c r="J2598" s="99"/>
      <c r="K2598" s="4"/>
    </row>
    <row r="2599" spans="3:11" x14ac:dyDescent="0.25">
      <c r="C2599" s="79"/>
      <c r="D2599" s="248"/>
      <c r="E2599" s="248"/>
      <c r="F2599" s="47"/>
      <c r="G2599" s="79"/>
      <c r="J2599" s="99"/>
      <c r="K2599" s="4"/>
    </row>
    <row r="2600" spans="3:11" x14ac:dyDescent="0.25">
      <c r="C2600" s="79"/>
      <c r="D2600" s="248"/>
      <c r="E2600" s="248"/>
      <c r="F2600" s="47"/>
      <c r="G2600" s="79"/>
      <c r="J2600" s="99"/>
      <c r="K2600" s="4"/>
    </row>
    <row r="2601" spans="3:11" x14ac:dyDescent="0.25">
      <c r="C2601" s="79"/>
      <c r="D2601" s="248"/>
      <c r="E2601" s="248"/>
      <c r="F2601" s="47"/>
      <c r="G2601" s="79"/>
      <c r="J2601" s="99"/>
      <c r="K2601" s="4"/>
    </row>
    <row r="2602" spans="3:11" x14ac:dyDescent="0.25">
      <c r="C2602" s="79"/>
      <c r="D2602" s="248"/>
      <c r="E2602" s="248"/>
      <c r="F2602" s="47"/>
      <c r="G2602" s="79"/>
      <c r="J2602" s="99"/>
      <c r="K2602" s="4"/>
    </row>
    <row r="2603" spans="3:11" x14ac:dyDescent="0.25">
      <c r="C2603" s="79"/>
      <c r="D2603" s="248"/>
      <c r="E2603" s="248"/>
      <c r="F2603" s="47"/>
      <c r="G2603" s="79"/>
      <c r="J2603" s="99"/>
      <c r="K2603" s="4"/>
    </row>
    <row r="2604" spans="3:11" x14ac:dyDescent="0.25">
      <c r="C2604" s="79"/>
      <c r="D2604" s="248"/>
      <c r="E2604" s="248"/>
      <c r="F2604" s="47"/>
      <c r="G2604" s="79"/>
      <c r="J2604" s="99"/>
      <c r="K2604" s="4"/>
    </row>
    <row r="2605" spans="3:11" x14ac:dyDescent="0.25">
      <c r="C2605" s="79"/>
      <c r="D2605" s="248"/>
      <c r="E2605" s="248"/>
      <c r="F2605" s="47"/>
      <c r="G2605" s="79"/>
      <c r="J2605" s="99"/>
      <c r="K2605" s="4"/>
    </row>
    <row r="2606" spans="3:11" x14ac:dyDescent="0.25">
      <c r="C2606" s="79"/>
      <c r="D2606" s="248"/>
      <c r="E2606" s="248"/>
      <c r="F2606" s="47"/>
      <c r="G2606" s="79"/>
      <c r="J2606" s="99"/>
      <c r="K2606" s="4"/>
    </row>
    <row r="2607" spans="3:11" x14ac:dyDescent="0.25">
      <c r="C2607" s="79"/>
      <c r="D2607" s="248"/>
      <c r="E2607" s="248"/>
      <c r="F2607" s="47"/>
      <c r="G2607" s="79"/>
      <c r="J2607" s="99"/>
      <c r="K2607" s="4"/>
    </row>
    <row r="2608" spans="3:11" x14ac:dyDescent="0.25">
      <c r="C2608" s="79"/>
      <c r="D2608" s="248"/>
      <c r="E2608" s="248"/>
      <c r="F2608" s="47"/>
      <c r="G2608" s="79"/>
      <c r="J2608" s="99"/>
      <c r="K2608" s="4"/>
    </row>
    <row r="2609" spans="3:11" x14ac:dyDescent="0.25">
      <c r="C2609" s="79"/>
      <c r="D2609" s="248"/>
      <c r="E2609" s="248"/>
      <c r="F2609" s="47"/>
      <c r="G2609" s="79"/>
      <c r="J2609" s="99"/>
      <c r="K2609" s="4"/>
    </row>
    <row r="2610" spans="3:11" x14ac:dyDescent="0.25">
      <c r="C2610" s="79"/>
      <c r="D2610" s="248"/>
      <c r="E2610" s="248"/>
      <c r="F2610" s="47"/>
      <c r="G2610" s="79"/>
      <c r="J2610" s="99"/>
      <c r="K2610" s="4"/>
    </row>
    <row r="2611" spans="3:11" x14ac:dyDescent="0.25">
      <c r="C2611" s="79"/>
      <c r="D2611" s="248"/>
      <c r="E2611" s="248"/>
      <c r="F2611" s="47"/>
      <c r="G2611" s="79"/>
      <c r="J2611" s="99"/>
      <c r="K2611" s="4"/>
    </row>
    <row r="2612" spans="3:11" x14ac:dyDescent="0.25">
      <c r="C2612" s="79"/>
      <c r="D2612" s="248"/>
      <c r="E2612" s="248"/>
      <c r="F2612" s="47"/>
      <c r="G2612" s="79"/>
      <c r="J2612" s="99"/>
      <c r="K2612" s="4"/>
    </row>
    <row r="2613" spans="3:11" x14ac:dyDescent="0.25">
      <c r="C2613" s="79"/>
      <c r="D2613" s="248"/>
      <c r="E2613" s="248"/>
      <c r="F2613" s="47"/>
      <c r="G2613" s="79"/>
      <c r="J2613" s="99"/>
      <c r="K2613" s="4"/>
    </row>
    <row r="2614" spans="3:11" x14ac:dyDescent="0.25">
      <c r="C2614" s="79"/>
      <c r="D2614" s="248"/>
      <c r="E2614" s="248"/>
      <c r="F2614" s="47"/>
      <c r="G2614" s="79"/>
      <c r="J2614" s="99"/>
      <c r="K2614" s="4"/>
    </row>
    <row r="2615" spans="3:11" x14ac:dyDescent="0.25">
      <c r="C2615" s="79"/>
      <c r="D2615" s="248"/>
      <c r="E2615" s="248"/>
      <c r="F2615" s="47"/>
      <c r="G2615" s="79"/>
      <c r="J2615" s="99"/>
      <c r="K2615" s="4"/>
    </row>
    <row r="2616" spans="3:11" x14ac:dyDescent="0.25">
      <c r="C2616" s="79"/>
      <c r="D2616" s="248"/>
      <c r="E2616" s="248"/>
      <c r="F2616" s="47"/>
      <c r="G2616" s="79"/>
      <c r="J2616" s="99"/>
      <c r="K2616" s="4"/>
    </row>
    <row r="2617" spans="3:11" x14ac:dyDescent="0.25">
      <c r="C2617" s="79"/>
      <c r="D2617" s="248"/>
      <c r="E2617" s="248"/>
      <c r="F2617" s="47"/>
      <c r="G2617" s="79"/>
      <c r="J2617" s="99"/>
      <c r="K2617" s="4"/>
    </row>
    <row r="2618" spans="3:11" x14ac:dyDescent="0.25">
      <c r="C2618" s="79"/>
      <c r="D2618" s="248"/>
      <c r="E2618" s="248"/>
      <c r="F2618" s="47"/>
      <c r="G2618" s="79"/>
      <c r="J2618" s="99"/>
      <c r="K2618" s="4"/>
    </row>
    <row r="2619" spans="3:11" x14ac:dyDescent="0.25">
      <c r="C2619" s="79"/>
      <c r="D2619" s="248"/>
      <c r="E2619" s="248"/>
      <c r="F2619" s="47"/>
      <c r="G2619" s="79"/>
      <c r="J2619" s="99"/>
      <c r="K2619" s="4"/>
    </row>
    <row r="2620" spans="3:11" x14ac:dyDescent="0.25">
      <c r="C2620" s="79"/>
      <c r="D2620" s="248"/>
      <c r="E2620" s="248"/>
      <c r="F2620" s="47"/>
      <c r="G2620" s="79"/>
      <c r="J2620" s="99"/>
      <c r="K2620" s="4"/>
    </row>
    <row r="2621" spans="3:11" x14ac:dyDescent="0.25">
      <c r="C2621" s="79"/>
      <c r="D2621" s="248"/>
      <c r="E2621" s="248"/>
      <c r="F2621" s="47"/>
      <c r="G2621" s="79"/>
      <c r="J2621" s="99"/>
      <c r="K2621" s="4"/>
    </row>
    <row r="2622" spans="3:11" x14ac:dyDescent="0.25">
      <c r="C2622" s="79"/>
      <c r="D2622" s="248"/>
      <c r="E2622" s="248"/>
      <c r="F2622" s="47"/>
      <c r="G2622" s="79"/>
      <c r="J2622" s="99"/>
      <c r="K2622" s="4"/>
    </row>
    <row r="2623" spans="3:11" x14ac:dyDescent="0.25">
      <c r="C2623" s="79"/>
      <c r="D2623" s="248"/>
      <c r="E2623" s="248"/>
      <c r="F2623" s="47"/>
      <c r="G2623" s="79"/>
      <c r="J2623" s="99"/>
      <c r="K2623" s="4"/>
    </row>
    <row r="2624" spans="3:11" x14ac:dyDescent="0.25">
      <c r="C2624" s="79"/>
      <c r="D2624" s="248"/>
      <c r="E2624" s="248"/>
      <c r="F2624" s="47"/>
      <c r="G2624" s="79"/>
      <c r="J2624" s="99"/>
      <c r="K2624" s="4"/>
    </row>
    <row r="2625" spans="3:11" x14ac:dyDescent="0.25">
      <c r="C2625" s="79"/>
      <c r="D2625" s="248"/>
      <c r="E2625" s="248"/>
      <c r="F2625" s="47"/>
      <c r="G2625" s="79"/>
      <c r="J2625" s="99"/>
      <c r="K2625" s="4"/>
    </row>
    <row r="2626" spans="3:11" x14ac:dyDescent="0.25">
      <c r="C2626" s="79"/>
      <c r="D2626" s="248"/>
      <c r="E2626" s="248"/>
      <c r="F2626" s="47"/>
      <c r="G2626" s="79"/>
      <c r="J2626" s="99"/>
      <c r="K2626" s="4"/>
    </row>
    <row r="2627" spans="3:11" x14ac:dyDescent="0.25">
      <c r="C2627" s="79"/>
      <c r="D2627" s="248"/>
      <c r="E2627" s="248"/>
      <c r="F2627" s="47"/>
      <c r="G2627" s="79"/>
      <c r="J2627" s="99"/>
      <c r="K2627" s="4"/>
    </row>
    <row r="2628" spans="3:11" x14ac:dyDescent="0.25">
      <c r="C2628" s="79"/>
      <c r="D2628" s="248"/>
      <c r="E2628" s="248"/>
      <c r="F2628" s="47"/>
      <c r="G2628" s="79"/>
      <c r="J2628" s="99"/>
      <c r="K2628" s="4"/>
    </row>
    <row r="2629" spans="3:11" x14ac:dyDescent="0.25">
      <c r="C2629" s="79"/>
      <c r="D2629" s="248"/>
      <c r="E2629" s="248"/>
      <c r="F2629" s="47"/>
      <c r="G2629" s="79"/>
      <c r="J2629" s="99"/>
      <c r="K2629" s="4"/>
    </row>
    <row r="2630" spans="3:11" x14ac:dyDescent="0.25">
      <c r="C2630" s="79"/>
      <c r="D2630" s="248"/>
      <c r="E2630" s="248"/>
      <c r="F2630" s="47"/>
      <c r="G2630" s="79"/>
      <c r="J2630" s="99"/>
      <c r="K2630" s="4"/>
    </row>
    <row r="2631" spans="3:11" x14ac:dyDescent="0.25">
      <c r="C2631" s="79"/>
      <c r="D2631" s="248"/>
      <c r="E2631" s="248"/>
      <c r="F2631" s="47"/>
      <c r="G2631" s="79"/>
      <c r="J2631" s="99"/>
      <c r="K2631" s="4"/>
    </row>
    <row r="2632" spans="3:11" x14ac:dyDescent="0.25">
      <c r="C2632" s="79"/>
      <c r="D2632" s="248"/>
      <c r="E2632" s="248"/>
      <c r="F2632" s="47"/>
      <c r="G2632" s="79"/>
      <c r="J2632" s="99"/>
      <c r="K2632" s="4"/>
    </row>
    <row r="2633" spans="3:11" x14ac:dyDescent="0.25">
      <c r="C2633" s="79"/>
      <c r="D2633" s="248"/>
      <c r="E2633" s="248"/>
      <c r="F2633" s="47"/>
      <c r="G2633" s="79"/>
      <c r="J2633" s="99"/>
      <c r="K2633" s="4"/>
    </row>
    <row r="2634" spans="3:11" x14ac:dyDescent="0.25">
      <c r="C2634" s="79"/>
      <c r="D2634" s="248"/>
      <c r="E2634" s="248"/>
      <c r="F2634" s="47"/>
      <c r="G2634" s="79"/>
      <c r="J2634" s="99"/>
      <c r="K2634" s="4"/>
    </row>
    <row r="2635" spans="3:11" x14ac:dyDescent="0.25">
      <c r="C2635" s="79"/>
      <c r="D2635" s="248"/>
      <c r="E2635" s="248"/>
      <c r="F2635" s="47"/>
      <c r="G2635" s="79"/>
      <c r="J2635" s="99"/>
      <c r="K2635" s="4"/>
    </row>
    <row r="2636" spans="3:11" x14ac:dyDescent="0.25">
      <c r="C2636" s="79"/>
      <c r="D2636" s="248"/>
      <c r="E2636" s="248"/>
      <c r="F2636" s="47"/>
      <c r="G2636" s="79"/>
      <c r="J2636" s="99"/>
      <c r="K2636" s="4"/>
    </row>
    <row r="2637" spans="3:11" x14ac:dyDescent="0.25">
      <c r="C2637" s="79"/>
      <c r="D2637" s="248"/>
      <c r="E2637" s="248"/>
      <c r="F2637" s="47"/>
      <c r="G2637" s="79"/>
      <c r="J2637" s="99"/>
      <c r="K2637" s="4"/>
    </row>
    <row r="2638" spans="3:11" x14ac:dyDescent="0.25">
      <c r="C2638" s="79"/>
      <c r="D2638" s="248"/>
      <c r="E2638" s="248"/>
      <c r="F2638" s="47"/>
      <c r="G2638" s="79"/>
      <c r="J2638" s="99"/>
      <c r="K2638" s="4"/>
    </row>
    <row r="2639" spans="3:11" x14ac:dyDescent="0.25">
      <c r="C2639" s="79"/>
      <c r="D2639" s="248"/>
      <c r="E2639" s="248"/>
      <c r="F2639" s="47"/>
      <c r="G2639" s="79"/>
      <c r="J2639" s="99"/>
      <c r="K2639" s="4"/>
    </row>
    <row r="2640" spans="3:11" x14ac:dyDescent="0.25">
      <c r="C2640" s="79"/>
      <c r="D2640" s="248"/>
      <c r="E2640" s="248"/>
      <c r="F2640" s="47"/>
      <c r="G2640" s="79"/>
      <c r="J2640" s="99"/>
      <c r="K2640" s="4"/>
    </row>
    <row r="2641" spans="3:11" x14ac:dyDescent="0.25">
      <c r="C2641" s="79"/>
      <c r="D2641" s="248"/>
      <c r="E2641" s="248"/>
      <c r="F2641" s="47"/>
      <c r="G2641" s="79"/>
      <c r="J2641" s="99"/>
      <c r="K2641" s="4"/>
    </row>
    <row r="2642" spans="3:11" x14ac:dyDescent="0.25">
      <c r="C2642" s="79"/>
      <c r="D2642" s="248"/>
      <c r="E2642" s="248"/>
      <c r="F2642" s="47"/>
      <c r="G2642" s="79"/>
      <c r="J2642" s="99"/>
      <c r="K2642" s="4"/>
    </row>
    <row r="2643" spans="3:11" x14ac:dyDescent="0.25">
      <c r="C2643" s="79"/>
      <c r="D2643" s="248"/>
      <c r="E2643" s="248"/>
      <c r="F2643" s="47"/>
      <c r="G2643" s="79"/>
      <c r="J2643" s="99"/>
      <c r="K2643" s="4"/>
    </row>
    <row r="2644" spans="3:11" x14ac:dyDescent="0.25">
      <c r="C2644" s="79"/>
      <c r="D2644" s="248"/>
      <c r="E2644" s="248"/>
      <c r="F2644" s="47"/>
      <c r="G2644" s="79"/>
      <c r="J2644" s="99"/>
      <c r="K2644" s="4"/>
    </row>
    <row r="2645" spans="3:11" x14ac:dyDescent="0.25">
      <c r="C2645" s="79"/>
      <c r="D2645" s="248"/>
      <c r="E2645" s="248"/>
      <c r="F2645" s="47"/>
      <c r="G2645" s="79"/>
      <c r="J2645" s="99"/>
      <c r="K2645" s="4"/>
    </row>
    <row r="2646" spans="3:11" x14ac:dyDescent="0.25">
      <c r="C2646" s="79"/>
      <c r="D2646" s="248"/>
      <c r="E2646" s="248"/>
      <c r="F2646" s="47"/>
      <c r="G2646" s="79"/>
      <c r="J2646" s="99"/>
      <c r="K2646" s="4"/>
    </row>
    <row r="2647" spans="3:11" x14ac:dyDescent="0.25">
      <c r="C2647" s="79"/>
      <c r="D2647" s="248"/>
      <c r="E2647" s="248"/>
      <c r="F2647" s="47"/>
      <c r="G2647" s="79"/>
      <c r="J2647" s="99"/>
      <c r="K2647" s="4"/>
    </row>
    <row r="2648" spans="3:11" x14ac:dyDescent="0.25">
      <c r="C2648" s="79"/>
      <c r="D2648" s="248"/>
      <c r="E2648" s="248"/>
      <c r="F2648" s="47"/>
      <c r="G2648" s="79"/>
      <c r="J2648" s="99"/>
      <c r="K2648" s="4"/>
    </row>
    <row r="2649" spans="3:11" x14ac:dyDescent="0.25">
      <c r="C2649" s="79"/>
      <c r="D2649" s="248"/>
      <c r="E2649" s="248"/>
      <c r="F2649" s="47"/>
      <c r="G2649" s="79"/>
      <c r="J2649" s="99"/>
      <c r="K2649" s="4"/>
    </row>
    <row r="2650" spans="3:11" x14ac:dyDescent="0.25">
      <c r="C2650" s="79"/>
      <c r="D2650" s="248"/>
      <c r="E2650" s="248"/>
      <c r="F2650" s="47"/>
      <c r="G2650" s="79"/>
      <c r="J2650" s="99"/>
      <c r="K2650" s="4"/>
    </row>
    <row r="2651" spans="3:11" x14ac:dyDescent="0.25">
      <c r="C2651" s="79"/>
      <c r="D2651" s="248"/>
      <c r="E2651" s="248"/>
      <c r="F2651" s="47"/>
      <c r="G2651" s="79"/>
      <c r="J2651" s="99"/>
      <c r="K2651" s="4"/>
    </row>
    <row r="2652" spans="3:11" x14ac:dyDescent="0.25">
      <c r="C2652" s="79"/>
      <c r="D2652" s="248"/>
      <c r="E2652" s="248"/>
      <c r="F2652" s="47"/>
      <c r="G2652" s="79"/>
      <c r="J2652" s="99"/>
      <c r="K2652" s="4"/>
    </row>
    <row r="2653" spans="3:11" x14ac:dyDescent="0.25">
      <c r="C2653" s="79"/>
      <c r="D2653" s="248"/>
      <c r="E2653" s="248"/>
      <c r="F2653" s="47"/>
      <c r="G2653" s="79"/>
      <c r="J2653" s="99"/>
      <c r="K2653" s="4"/>
    </row>
    <row r="2654" spans="3:11" x14ac:dyDescent="0.25">
      <c r="C2654" s="79"/>
      <c r="D2654" s="248"/>
      <c r="E2654" s="248"/>
      <c r="F2654" s="47"/>
      <c r="G2654" s="79"/>
      <c r="J2654" s="99"/>
      <c r="K2654" s="4"/>
    </row>
    <row r="2655" spans="3:11" x14ac:dyDescent="0.25">
      <c r="C2655" s="79"/>
      <c r="D2655" s="248"/>
      <c r="E2655" s="248"/>
      <c r="F2655" s="47"/>
      <c r="G2655" s="79"/>
      <c r="J2655" s="99"/>
      <c r="K2655" s="4"/>
    </row>
    <row r="2656" spans="3:11" x14ac:dyDescent="0.25">
      <c r="C2656" s="79"/>
      <c r="D2656" s="248"/>
      <c r="E2656" s="248"/>
      <c r="F2656" s="47"/>
      <c r="G2656" s="79"/>
      <c r="J2656" s="99"/>
      <c r="K2656" s="4"/>
    </row>
    <row r="2657" spans="3:11" x14ac:dyDescent="0.25">
      <c r="C2657" s="79"/>
      <c r="D2657" s="248"/>
      <c r="E2657" s="248"/>
      <c r="F2657" s="47"/>
      <c r="G2657" s="79"/>
      <c r="J2657" s="99"/>
      <c r="K2657" s="4"/>
    </row>
    <row r="2658" spans="3:11" x14ac:dyDescent="0.25">
      <c r="C2658" s="79"/>
      <c r="D2658" s="248"/>
      <c r="E2658" s="248"/>
      <c r="F2658" s="47"/>
      <c r="G2658" s="79"/>
      <c r="J2658" s="99"/>
      <c r="K2658" s="4"/>
    </row>
    <row r="2659" spans="3:11" x14ac:dyDescent="0.25">
      <c r="C2659" s="79"/>
      <c r="D2659" s="248"/>
      <c r="E2659" s="248"/>
      <c r="F2659" s="47"/>
      <c r="G2659" s="79"/>
      <c r="J2659" s="99"/>
      <c r="K2659" s="4"/>
    </row>
    <row r="2660" spans="3:11" x14ac:dyDescent="0.25">
      <c r="C2660" s="79"/>
      <c r="D2660" s="248"/>
      <c r="E2660" s="248"/>
      <c r="F2660" s="47"/>
      <c r="G2660" s="79"/>
      <c r="J2660" s="99"/>
      <c r="K2660" s="4"/>
    </row>
    <row r="2661" spans="3:11" x14ac:dyDescent="0.25">
      <c r="C2661" s="79"/>
      <c r="D2661" s="248"/>
      <c r="E2661" s="248"/>
      <c r="F2661" s="47"/>
      <c r="G2661" s="79"/>
      <c r="J2661" s="99"/>
      <c r="K2661" s="4"/>
    </row>
    <row r="2662" spans="3:11" x14ac:dyDescent="0.25">
      <c r="C2662" s="79"/>
      <c r="D2662" s="248"/>
      <c r="E2662" s="248"/>
      <c r="F2662" s="47"/>
      <c r="G2662" s="79"/>
      <c r="J2662" s="99"/>
      <c r="K2662" s="4"/>
    </row>
    <row r="2663" spans="3:11" x14ac:dyDescent="0.25">
      <c r="C2663" s="79"/>
      <c r="D2663" s="248"/>
      <c r="E2663" s="248"/>
      <c r="F2663" s="47"/>
      <c r="G2663" s="79"/>
      <c r="J2663" s="99"/>
      <c r="K2663" s="4"/>
    </row>
    <row r="2664" spans="3:11" x14ac:dyDescent="0.25">
      <c r="C2664" s="79"/>
      <c r="D2664" s="248"/>
      <c r="E2664" s="248"/>
      <c r="F2664" s="47"/>
      <c r="G2664" s="79"/>
      <c r="J2664" s="99"/>
      <c r="K2664" s="4"/>
    </row>
    <row r="2665" spans="3:11" x14ac:dyDescent="0.25">
      <c r="C2665" s="79"/>
      <c r="D2665" s="248"/>
      <c r="E2665" s="248"/>
      <c r="F2665" s="47"/>
      <c r="G2665" s="79"/>
      <c r="J2665" s="99"/>
      <c r="K2665" s="4"/>
    </row>
    <row r="2666" spans="3:11" x14ac:dyDescent="0.25">
      <c r="C2666" s="79"/>
      <c r="D2666" s="248"/>
      <c r="E2666" s="248"/>
      <c r="F2666" s="47"/>
      <c r="G2666" s="79"/>
      <c r="J2666" s="99"/>
      <c r="K2666" s="4"/>
    </row>
    <row r="2667" spans="3:11" x14ac:dyDescent="0.25">
      <c r="C2667" s="79"/>
      <c r="D2667" s="248"/>
      <c r="E2667" s="248"/>
      <c r="F2667" s="47"/>
      <c r="G2667" s="79"/>
      <c r="J2667" s="99"/>
      <c r="K2667" s="4"/>
    </row>
    <row r="2668" spans="3:11" x14ac:dyDescent="0.25">
      <c r="C2668" s="79"/>
      <c r="D2668" s="248"/>
      <c r="E2668" s="248"/>
      <c r="F2668" s="47"/>
      <c r="G2668" s="79"/>
      <c r="J2668" s="99"/>
      <c r="K2668" s="4"/>
    </row>
    <row r="2669" spans="3:11" x14ac:dyDescent="0.25">
      <c r="C2669" s="79"/>
      <c r="D2669" s="248"/>
      <c r="E2669" s="248"/>
      <c r="F2669" s="47"/>
      <c r="G2669" s="79"/>
      <c r="J2669" s="99"/>
      <c r="K2669" s="4"/>
    </row>
    <row r="2670" spans="3:11" x14ac:dyDescent="0.25">
      <c r="C2670" s="79"/>
      <c r="D2670" s="248"/>
      <c r="E2670" s="248"/>
      <c r="F2670" s="47"/>
      <c r="G2670" s="79"/>
      <c r="J2670" s="99"/>
      <c r="K2670" s="4"/>
    </row>
    <row r="2671" spans="3:11" x14ac:dyDescent="0.25">
      <c r="C2671" s="79"/>
      <c r="D2671" s="248"/>
      <c r="E2671" s="248"/>
      <c r="F2671" s="47"/>
      <c r="G2671" s="79"/>
      <c r="J2671" s="99"/>
      <c r="K2671" s="4"/>
    </row>
    <row r="2672" spans="3:11" x14ac:dyDescent="0.25">
      <c r="C2672" s="79"/>
      <c r="D2672" s="248"/>
      <c r="E2672" s="248"/>
      <c r="F2672" s="47"/>
      <c r="G2672" s="79"/>
      <c r="J2672" s="99"/>
      <c r="K2672" s="4"/>
    </row>
    <row r="2673" spans="3:11" x14ac:dyDescent="0.25">
      <c r="C2673" s="79"/>
      <c r="D2673" s="248"/>
      <c r="E2673" s="248"/>
      <c r="F2673" s="47"/>
      <c r="G2673" s="79"/>
      <c r="J2673" s="99"/>
      <c r="K2673" s="4"/>
    </row>
    <row r="2674" spans="3:11" x14ac:dyDescent="0.25">
      <c r="C2674" s="79"/>
      <c r="D2674" s="248"/>
      <c r="E2674" s="248"/>
      <c r="F2674" s="47"/>
      <c r="G2674" s="79"/>
      <c r="J2674" s="99"/>
      <c r="K2674" s="4"/>
    </row>
    <row r="2675" spans="3:11" x14ac:dyDescent="0.25">
      <c r="C2675" s="79"/>
      <c r="D2675" s="248"/>
      <c r="E2675" s="248"/>
      <c r="F2675" s="47"/>
      <c r="G2675" s="79"/>
      <c r="J2675" s="99"/>
      <c r="K2675" s="4"/>
    </row>
    <row r="2676" spans="3:11" x14ac:dyDescent="0.25">
      <c r="C2676" s="79"/>
      <c r="D2676" s="248"/>
      <c r="E2676" s="248"/>
      <c r="F2676" s="47"/>
      <c r="G2676" s="79"/>
      <c r="J2676" s="99"/>
      <c r="K2676" s="4"/>
    </row>
    <row r="2677" spans="3:11" x14ac:dyDescent="0.25">
      <c r="C2677" s="79"/>
      <c r="D2677" s="248"/>
      <c r="E2677" s="248"/>
      <c r="F2677" s="47"/>
      <c r="G2677" s="79"/>
      <c r="J2677" s="99"/>
      <c r="K2677" s="4"/>
    </row>
    <row r="2678" spans="3:11" x14ac:dyDescent="0.25">
      <c r="C2678" s="79"/>
      <c r="D2678" s="248"/>
      <c r="E2678" s="248"/>
      <c r="F2678" s="47"/>
      <c r="G2678" s="79"/>
      <c r="J2678" s="99"/>
      <c r="K2678" s="4"/>
    </row>
    <row r="2679" spans="3:11" x14ac:dyDescent="0.25">
      <c r="C2679" s="79"/>
      <c r="D2679" s="248"/>
      <c r="E2679" s="248"/>
      <c r="F2679" s="47"/>
      <c r="G2679" s="79"/>
      <c r="J2679" s="99"/>
      <c r="K2679" s="4"/>
    </row>
    <row r="2680" spans="3:11" x14ac:dyDescent="0.25">
      <c r="C2680" s="79"/>
      <c r="D2680" s="248"/>
      <c r="E2680" s="248"/>
      <c r="F2680" s="47"/>
      <c r="G2680" s="79"/>
      <c r="J2680" s="99"/>
      <c r="K2680" s="4"/>
    </row>
    <row r="2681" spans="3:11" x14ac:dyDescent="0.25">
      <c r="C2681" s="79"/>
      <c r="D2681" s="248"/>
      <c r="E2681" s="248"/>
      <c r="F2681" s="47"/>
      <c r="G2681" s="79"/>
      <c r="J2681" s="99"/>
      <c r="K2681" s="4"/>
    </row>
    <row r="2682" spans="3:11" x14ac:dyDescent="0.25">
      <c r="C2682" s="79"/>
      <c r="D2682" s="248"/>
      <c r="E2682" s="248"/>
      <c r="F2682" s="47"/>
      <c r="G2682" s="79"/>
      <c r="J2682" s="99"/>
      <c r="K2682" s="4"/>
    </row>
    <row r="2683" spans="3:11" x14ac:dyDescent="0.25">
      <c r="C2683" s="79"/>
      <c r="D2683" s="248"/>
      <c r="E2683" s="248"/>
      <c r="F2683" s="47"/>
      <c r="G2683" s="79"/>
      <c r="J2683" s="99"/>
      <c r="K2683" s="4"/>
    </row>
    <row r="2684" spans="3:11" x14ac:dyDescent="0.25">
      <c r="C2684" s="79"/>
      <c r="D2684" s="248"/>
      <c r="E2684" s="248"/>
      <c r="F2684" s="47"/>
      <c r="G2684" s="79"/>
      <c r="J2684" s="99"/>
      <c r="K2684" s="4"/>
    </row>
    <row r="2685" spans="3:11" x14ac:dyDescent="0.25">
      <c r="C2685" s="79"/>
      <c r="D2685" s="248"/>
      <c r="E2685" s="248"/>
      <c r="F2685" s="47"/>
      <c r="G2685" s="79"/>
      <c r="J2685" s="99"/>
      <c r="K2685" s="4"/>
    </row>
    <row r="2686" spans="3:11" x14ac:dyDescent="0.25">
      <c r="C2686" s="79"/>
      <c r="D2686" s="248"/>
      <c r="E2686" s="248"/>
      <c r="F2686" s="47"/>
      <c r="G2686" s="79"/>
      <c r="J2686" s="99"/>
      <c r="K2686" s="4"/>
    </row>
    <row r="2687" spans="3:11" x14ac:dyDescent="0.25">
      <c r="C2687" s="79"/>
      <c r="D2687" s="248"/>
      <c r="E2687" s="248"/>
      <c r="F2687" s="47"/>
      <c r="G2687" s="79"/>
      <c r="J2687" s="99"/>
      <c r="K2687" s="4"/>
    </row>
    <row r="2688" spans="3:11" x14ac:dyDescent="0.25">
      <c r="C2688" s="79"/>
      <c r="D2688" s="248"/>
      <c r="E2688" s="248"/>
      <c r="F2688" s="47"/>
      <c r="G2688" s="79"/>
      <c r="J2688" s="99"/>
      <c r="K2688" s="4"/>
    </row>
    <row r="2689" spans="3:11" x14ac:dyDescent="0.25">
      <c r="C2689" s="79"/>
      <c r="D2689" s="248"/>
      <c r="E2689" s="248"/>
      <c r="F2689" s="47"/>
      <c r="G2689" s="79"/>
      <c r="J2689" s="99"/>
      <c r="K2689" s="4"/>
    </row>
    <row r="2690" spans="3:11" x14ac:dyDescent="0.25">
      <c r="C2690" s="79"/>
      <c r="D2690" s="248"/>
      <c r="E2690" s="248"/>
      <c r="F2690" s="47"/>
      <c r="G2690" s="79"/>
      <c r="J2690" s="99"/>
      <c r="K2690" s="4"/>
    </row>
    <row r="2691" spans="3:11" x14ac:dyDescent="0.25">
      <c r="C2691" s="79"/>
      <c r="D2691" s="248"/>
      <c r="E2691" s="248"/>
      <c r="F2691" s="47"/>
      <c r="G2691" s="79"/>
      <c r="J2691" s="99"/>
      <c r="K2691" s="4"/>
    </row>
    <row r="2692" spans="3:11" x14ac:dyDescent="0.25">
      <c r="C2692" s="79"/>
      <c r="D2692" s="248"/>
      <c r="E2692" s="248"/>
      <c r="F2692" s="47"/>
      <c r="G2692" s="79"/>
      <c r="J2692" s="99"/>
      <c r="K2692" s="4"/>
    </row>
    <row r="2693" spans="3:11" x14ac:dyDescent="0.25">
      <c r="C2693" s="79"/>
      <c r="D2693" s="248"/>
      <c r="E2693" s="248"/>
      <c r="F2693" s="47"/>
      <c r="G2693" s="79"/>
      <c r="J2693" s="99"/>
      <c r="K2693" s="4"/>
    </row>
    <row r="2694" spans="3:11" x14ac:dyDescent="0.25">
      <c r="C2694" s="79"/>
      <c r="D2694" s="248"/>
      <c r="E2694" s="248"/>
      <c r="F2694" s="47"/>
      <c r="G2694" s="79"/>
      <c r="J2694" s="99"/>
      <c r="K2694" s="4"/>
    </row>
    <row r="2695" spans="3:11" x14ac:dyDescent="0.25">
      <c r="C2695" s="79"/>
      <c r="D2695" s="248"/>
      <c r="E2695" s="248"/>
      <c r="F2695" s="47"/>
      <c r="G2695" s="79"/>
      <c r="J2695" s="99"/>
      <c r="K2695" s="4"/>
    </row>
    <row r="2696" spans="3:11" x14ac:dyDescent="0.25">
      <c r="C2696" s="79"/>
      <c r="D2696" s="248"/>
      <c r="E2696" s="248"/>
      <c r="F2696" s="47"/>
      <c r="G2696" s="79"/>
      <c r="J2696" s="99"/>
      <c r="K2696" s="4"/>
    </row>
    <row r="2697" spans="3:11" x14ac:dyDescent="0.25">
      <c r="C2697" s="79"/>
      <c r="D2697" s="248"/>
      <c r="E2697" s="248"/>
      <c r="F2697" s="47"/>
      <c r="G2697" s="79"/>
      <c r="J2697" s="99"/>
      <c r="K2697" s="4"/>
    </row>
    <row r="2698" spans="3:11" x14ac:dyDescent="0.25">
      <c r="C2698" s="79"/>
      <c r="D2698" s="248"/>
      <c r="E2698" s="248"/>
      <c r="F2698" s="47"/>
      <c r="G2698" s="79"/>
      <c r="J2698" s="99"/>
      <c r="K2698" s="4"/>
    </row>
    <row r="2699" spans="3:11" x14ac:dyDescent="0.25">
      <c r="C2699" s="79"/>
      <c r="D2699" s="248"/>
      <c r="E2699" s="248"/>
      <c r="F2699" s="47"/>
      <c r="G2699" s="79"/>
      <c r="J2699" s="99"/>
      <c r="K2699" s="4"/>
    </row>
    <row r="2700" spans="3:11" x14ac:dyDescent="0.25">
      <c r="C2700" s="79"/>
      <c r="D2700" s="248"/>
      <c r="E2700" s="248"/>
      <c r="F2700" s="47"/>
      <c r="G2700" s="79"/>
      <c r="J2700" s="99"/>
      <c r="K2700" s="4"/>
    </row>
    <row r="2701" spans="3:11" x14ac:dyDescent="0.25">
      <c r="C2701" s="79"/>
      <c r="D2701" s="248"/>
      <c r="E2701" s="248"/>
      <c r="F2701" s="47"/>
      <c r="G2701" s="79"/>
      <c r="J2701" s="99"/>
      <c r="K2701" s="4"/>
    </row>
    <row r="2702" spans="3:11" x14ac:dyDescent="0.25">
      <c r="C2702" s="79"/>
      <c r="D2702" s="248"/>
      <c r="E2702" s="248"/>
      <c r="F2702" s="47"/>
      <c r="G2702" s="79"/>
      <c r="J2702" s="99"/>
      <c r="K2702" s="4"/>
    </row>
    <row r="2703" spans="3:11" x14ac:dyDescent="0.25">
      <c r="C2703" s="79"/>
      <c r="D2703" s="248"/>
      <c r="E2703" s="248"/>
      <c r="F2703" s="47"/>
      <c r="G2703" s="79"/>
      <c r="J2703" s="99"/>
      <c r="K2703" s="4"/>
    </row>
    <row r="2704" spans="3:11" x14ac:dyDescent="0.25">
      <c r="C2704" s="79"/>
      <c r="D2704" s="248"/>
      <c r="E2704" s="248"/>
      <c r="F2704" s="47"/>
      <c r="G2704" s="79"/>
      <c r="J2704" s="99"/>
      <c r="K2704" s="4"/>
    </row>
    <row r="2705" spans="3:11" x14ac:dyDescent="0.25">
      <c r="C2705" s="79"/>
      <c r="D2705" s="248"/>
      <c r="E2705" s="248"/>
      <c r="F2705" s="47"/>
      <c r="G2705" s="79"/>
      <c r="J2705" s="99"/>
      <c r="K2705" s="4"/>
    </row>
    <row r="2706" spans="3:11" x14ac:dyDescent="0.25">
      <c r="C2706" s="79"/>
      <c r="D2706" s="248"/>
      <c r="E2706" s="248"/>
      <c r="F2706" s="47"/>
      <c r="G2706" s="79"/>
      <c r="J2706" s="99"/>
      <c r="K2706" s="4"/>
    </row>
    <row r="2707" spans="3:11" x14ac:dyDescent="0.25">
      <c r="C2707" s="79"/>
      <c r="D2707" s="248"/>
      <c r="E2707" s="248"/>
      <c r="F2707" s="47"/>
      <c r="G2707" s="79"/>
      <c r="J2707" s="99"/>
      <c r="K2707" s="4"/>
    </row>
    <row r="2708" spans="3:11" x14ac:dyDescent="0.25">
      <c r="C2708" s="79"/>
      <c r="D2708" s="248"/>
      <c r="E2708" s="248"/>
      <c r="F2708" s="47"/>
      <c r="G2708" s="79"/>
      <c r="J2708" s="99"/>
      <c r="K2708" s="4"/>
    </row>
    <row r="2709" spans="3:11" x14ac:dyDescent="0.25">
      <c r="C2709" s="79"/>
      <c r="D2709" s="248"/>
      <c r="E2709" s="248"/>
      <c r="F2709" s="47"/>
      <c r="G2709" s="79"/>
      <c r="J2709" s="99"/>
      <c r="K2709" s="4"/>
    </row>
    <row r="2710" spans="3:11" x14ac:dyDescent="0.25">
      <c r="C2710" s="79"/>
      <c r="D2710" s="248"/>
      <c r="E2710" s="248"/>
      <c r="F2710" s="47"/>
      <c r="G2710" s="79"/>
      <c r="J2710" s="99"/>
      <c r="K2710" s="4"/>
    </row>
    <row r="2711" spans="3:11" x14ac:dyDescent="0.25">
      <c r="C2711" s="79"/>
      <c r="D2711" s="248"/>
      <c r="E2711" s="248"/>
      <c r="F2711" s="47"/>
      <c r="G2711" s="79"/>
      <c r="J2711" s="99"/>
      <c r="K2711" s="4"/>
    </row>
    <row r="2712" spans="3:11" x14ac:dyDescent="0.25">
      <c r="C2712" s="79"/>
      <c r="D2712" s="248"/>
      <c r="E2712" s="248"/>
      <c r="F2712" s="47"/>
      <c r="G2712" s="79"/>
      <c r="J2712" s="99"/>
      <c r="K2712" s="4"/>
    </row>
    <row r="2713" spans="3:11" x14ac:dyDescent="0.25">
      <c r="C2713" s="79"/>
      <c r="D2713" s="248"/>
      <c r="E2713" s="248"/>
      <c r="F2713" s="47"/>
      <c r="G2713" s="79"/>
      <c r="J2713" s="99"/>
      <c r="K2713" s="4"/>
    </row>
    <row r="2714" spans="3:11" x14ac:dyDescent="0.25">
      <c r="C2714" s="79"/>
      <c r="D2714" s="248"/>
      <c r="E2714" s="248"/>
      <c r="F2714" s="47"/>
      <c r="G2714" s="79"/>
      <c r="J2714" s="99"/>
      <c r="K2714" s="4"/>
    </row>
    <row r="2715" spans="3:11" x14ac:dyDescent="0.25">
      <c r="C2715" s="79"/>
      <c r="D2715" s="248"/>
      <c r="E2715" s="248"/>
      <c r="F2715" s="47"/>
      <c r="G2715" s="79"/>
      <c r="J2715" s="99"/>
      <c r="K2715" s="4"/>
    </row>
    <row r="2716" spans="3:11" x14ac:dyDescent="0.25">
      <c r="C2716" s="79"/>
      <c r="D2716" s="248"/>
      <c r="E2716" s="248"/>
      <c r="F2716" s="47"/>
      <c r="G2716" s="79"/>
      <c r="J2716" s="99"/>
      <c r="K2716" s="4"/>
    </row>
    <row r="2717" spans="3:11" x14ac:dyDescent="0.25">
      <c r="C2717" s="79"/>
      <c r="D2717" s="248"/>
      <c r="E2717" s="248"/>
      <c r="F2717" s="47"/>
      <c r="G2717" s="79"/>
      <c r="J2717" s="99"/>
      <c r="K2717" s="4"/>
    </row>
    <row r="2718" spans="3:11" x14ac:dyDescent="0.25">
      <c r="C2718" s="79"/>
      <c r="D2718" s="248"/>
      <c r="E2718" s="248"/>
      <c r="F2718" s="47"/>
      <c r="G2718" s="79"/>
      <c r="J2718" s="99"/>
      <c r="K2718" s="4"/>
    </row>
    <row r="2719" spans="3:11" x14ac:dyDescent="0.25">
      <c r="C2719" s="79"/>
      <c r="D2719" s="248"/>
      <c r="E2719" s="248"/>
      <c r="F2719" s="47"/>
      <c r="G2719" s="79"/>
      <c r="J2719" s="99"/>
      <c r="K2719" s="4"/>
    </row>
    <row r="2720" spans="3:11" x14ac:dyDescent="0.25">
      <c r="C2720" s="79"/>
      <c r="D2720" s="248"/>
      <c r="E2720" s="248"/>
      <c r="F2720" s="47"/>
      <c r="G2720" s="79"/>
      <c r="J2720" s="99"/>
      <c r="K2720" s="4"/>
    </row>
    <row r="2721" spans="3:11" x14ac:dyDescent="0.25">
      <c r="C2721" s="79"/>
      <c r="D2721" s="248"/>
      <c r="E2721" s="248"/>
      <c r="F2721" s="47"/>
      <c r="G2721" s="79"/>
      <c r="J2721" s="99"/>
      <c r="K2721" s="4"/>
    </row>
    <row r="2722" spans="3:11" x14ac:dyDescent="0.25">
      <c r="C2722" s="79"/>
      <c r="D2722" s="248"/>
      <c r="E2722" s="248"/>
      <c r="F2722" s="47"/>
      <c r="G2722" s="79"/>
      <c r="J2722" s="99"/>
      <c r="K2722" s="4"/>
    </row>
    <row r="2723" spans="3:11" x14ac:dyDescent="0.25">
      <c r="C2723" s="79"/>
      <c r="D2723" s="248"/>
      <c r="E2723" s="248"/>
      <c r="F2723" s="47"/>
      <c r="G2723" s="79"/>
      <c r="J2723" s="99"/>
      <c r="K2723" s="4"/>
    </row>
    <row r="2724" spans="3:11" x14ac:dyDescent="0.25">
      <c r="C2724" s="79"/>
      <c r="D2724" s="248"/>
      <c r="E2724" s="248"/>
      <c r="F2724" s="47"/>
      <c r="G2724" s="79"/>
      <c r="J2724" s="99"/>
      <c r="K2724" s="4"/>
    </row>
    <row r="2725" spans="3:11" x14ac:dyDescent="0.25">
      <c r="C2725" s="79"/>
      <c r="D2725" s="248"/>
      <c r="E2725" s="248"/>
      <c r="F2725" s="47"/>
      <c r="G2725" s="79"/>
      <c r="J2725" s="99"/>
      <c r="K2725" s="4"/>
    </row>
    <row r="2726" spans="3:11" x14ac:dyDescent="0.25">
      <c r="C2726" s="79"/>
      <c r="D2726" s="248"/>
      <c r="E2726" s="248"/>
      <c r="F2726" s="47"/>
      <c r="G2726" s="79"/>
      <c r="J2726" s="99"/>
      <c r="K2726" s="4"/>
    </row>
    <row r="2727" spans="3:11" x14ac:dyDescent="0.25">
      <c r="C2727" s="79"/>
      <c r="D2727" s="248"/>
      <c r="E2727" s="248"/>
      <c r="F2727" s="47"/>
      <c r="G2727" s="79"/>
      <c r="J2727" s="99"/>
      <c r="K2727" s="4"/>
    </row>
    <row r="2728" spans="3:11" x14ac:dyDescent="0.25">
      <c r="C2728" s="79"/>
      <c r="D2728" s="248"/>
      <c r="E2728" s="248"/>
      <c r="F2728" s="47"/>
      <c r="G2728" s="79"/>
      <c r="J2728" s="99"/>
      <c r="K2728" s="4"/>
    </row>
    <row r="2729" spans="3:11" x14ac:dyDescent="0.25">
      <c r="C2729" s="79"/>
      <c r="D2729" s="248"/>
      <c r="E2729" s="248"/>
      <c r="F2729" s="47"/>
      <c r="G2729" s="79"/>
      <c r="J2729" s="99"/>
      <c r="K2729" s="4"/>
    </row>
    <row r="2730" spans="3:11" x14ac:dyDescent="0.25">
      <c r="C2730" s="79"/>
      <c r="D2730" s="248"/>
      <c r="E2730" s="248"/>
      <c r="F2730" s="47"/>
      <c r="G2730" s="79"/>
      <c r="J2730" s="99"/>
      <c r="K2730" s="4"/>
    </row>
    <row r="2731" spans="3:11" x14ac:dyDescent="0.25">
      <c r="C2731" s="79"/>
      <c r="D2731" s="248"/>
      <c r="E2731" s="248"/>
      <c r="F2731" s="47"/>
      <c r="G2731" s="79"/>
      <c r="J2731" s="99"/>
      <c r="K2731" s="4"/>
    </row>
    <row r="2732" spans="3:11" x14ac:dyDescent="0.25">
      <c r="C2732" s="79"/>
      <c r="D2732" s="248"/>
      <c r="E2732" s="248"/>
      <c r="F2732" s="47"/>
      <c r="G2732" s="79"/>
      <c r="J2732" s="99"/>
      <c r="K2732" s="4"/>
    </row>
    <row r="2733" spans="3:11" x14ac:dyDescent="0.25">
      <c r="C2733" s="79"/>
      <c r="D2733" s="248"/>
      <c r="E2733" s="248"/>
      <c r="F2733" s="47"/>
      <c r="G2733" s="79"/>
      <c r="J2733" s="99"/>
      <c r="K2733" s="4"/>
    </row>
    <row r="2734" spans="3:11" x14ac:dyDescent="0.25">
      <c r="C2734" s="79"/>
      <c r="D2734" s="248"/>
      <c r="E2734" s="248"/>
      <c r="F2734" s="47"/>
      <c r="G2734" s="79"/>
      <c r="J2734" s="99"/>
      <c r="K2734" s="4"/>
    </row>
    <row r="2735" spans="3:11" x14ac:dyDescent="0.25">
      <c r="C2735" s="79"/>
      <c r="D2735" s="248"/>
      <c r="E2735" s="248"/>
      <c r="F2735" s="47"/>
      <c r="G2735" s="79"/>
      <c r="J2735" s="99"/>
      <c r="K2735" s="4"/>
    </row>
    <row r="2736" spans="3:11" x14ac:dyDescent="0.25">
      <c r="C2736" s="79"/>
      <c r="D2736" s="248"/>
      <c r="E2736" s="248"/>
      <c r="F2736" s="47"/>
      <c r="G2736" s="79"/>
      <c r="J2736" s="99"/>
      <c r="K2736" s="4"/>
    </row>
    <row r="2737" spans="3:11" x14ac:dyDescent="0.25">
      <c r="C2737" s="79"/>
      <c r="D2737" s="248"/>
      <c r="E2737" s="248"/>
      <c r="F2737" s="47"/>
      <c r="G2737" s="79"/>
      <c r="J2737" s="99"/>
      <c r="K2737" s="4"/>
    </row>
    <row r="2738" spans="3:11" x14ac:dyDescent="0.25">
      <c r="C2738" s="79"/>
      <c r="D2738" s="248"/>
      <c r="E2738" s="248"/>
      <c r="F2738" s="47"/>
      <c r="G2738" s="79"/>
      <c r="J2738" s="99"/>
      <c r="K2738" s="4"/>
    </row>
    <row r="2739" spans="3:11" x14ac:dyDescent="0.25">
      <c r="C2739" s="79"/>
      <c r="D2739" s="248"/>
      <c r="E2739" s="248"/>
      <c r="F2739" s="47"/>
      <c r="G2739" s="79"/>
      <c r="J2739" s="99"/>
      <c r="K2739" s="4"/>
    </row>
    <row r="2740" spans="3:11" x14ac:dyDescent="0.25">
      <c r="C2740" s="79"/>
      <c r="D2740" s="248"/>
      <c r="E2740" s="248"/>
      <c r="F2740" s="47"/>
      <c r="G2740" s="79"/>
      <c r="J2740" s="99"/>
      <c r="K2740" s="4"/>
    </row>
    <row r="2741" spans="3:11" x14ac:dyDescent="0.25">
      <c r="C2741" s="79"/>
      <c r="D2741" s="248"/>
      <c r="E2741" s="248"/>
      <c r="F2741" s="47"/>
      <c r="G2741" s="79"/>
      <c r="J2741" s="99"/>
      <c r="K2741" s="4"/>
    </row>
    <row r="2742" spans="3:11" x14ac:dyDescent="0.25">
      <c r="C2742" s="79"/>
      <c r="D2742" s="248"/>
      <c r="E2742" s="248"/>
      <c r="F2742" s="47"/>
      <c r="G2742" s="79"/>
      <c r="J2742" s="99"/>
      <c r="K2742" s="4"/>
    </row>
    <row r="2743" spans="3:11" x14ac:dyDescent="0.25">
      <c r="C2743" s="79"/>
      <c r="D2743" s="248"/>
      <c r="E2743" s="248"/>
      <c r="F2743" s="47"/>
      <c r="G2743" s="79"/>
      <c r="J2743" s="99"/>
      <c r="K2743" s="4"/>
    </row>
    <row r="2744" spans="3:11" x14ac:dyDescent="0.25">
      <c r="C2744" s="79"/>
      <c r="D2744" s="248"/>
      <c r="E2744" s="248"/>
      <c r="F2744" s="47"/>
      <c r="G2744" s="79"/>
      <c r="J2744" s="99"/>
      <c r="K2744" s="4"/>
    </row>
    <row r="2745" spans="3:11" x14ac:dyDescent="0.25">
      <c r="C2745" s="79"/>
      <c r="D2745" s="248"/>
      <c r="E2745" s="248"/>
      <c r="F2745" s="47"/>
      <c r="G2745" s="79"/>
      <c r="J2745" s="99"/>
      <c r="K2745" s="4"/>
    </row>
    <row r="2746" spans="3:11" x14ac:dyDescent="0.25">
      <c r="C2746" s="79"/>
      <c r="D2746" s="248"/>
      <c r="E2746" s="248"/>
      <c r="F2746" s="47"/>
      <c r="G2746" s="79"/>
      <c r="J2746" s="99"/>
      <c r="K2746" s="4"/>
    </row>
    <row r="2747" spans="3:11" x14ac:dyDescent="0.25">
      <c r="C2747" s="79"/>
      <c r="D2747" s="248"/>
      <c r="E2747" s="248"/>
      <c r="F2747" s="47"/>
      <c r="G2747" s="79"/>
      <c r="J2747" s="99"/>
      <c r="K2747" s="4"/>
    </row>
    <row r="2748" spans="3:11" x14ac:dyDescent="0.25">
      <c r="C2748" s="79"/>
      <c r="D2748" s="248"/>
      <c r="E2748" s="248"/>
      <c r="F2748" s="47"/>
      <c r="G2748" s="79"/>
      <c r="J2748" s="99"/>
      <c r="K2748" s="4"/>
    </row>
    <row r="2749" spans="3:11" x14ac:dyDescent="0.25">
      <c r="C2749" s="79"/>
      <c r="D2749" s="248"/>
      <c r="E2749" s="248"/>
      <c r="F2749" s="47"/>
      <c r="G2749" s="79"/>
      <c r="J2749" s="99"/>
      <c r="K2749" s="4"/>
    </row>
    <row r="2750" spans="3:11" x14ac:dyDescent="0.25">
      <c r="C2750" s="79"/>
      <c r="D2750" s="248"/>
      <c r="E2750" s="248"/>
      <c r="F2750" s="47"/>
      <c r="G2750" s="79"/>
      <c r="J2750" s="99"/>
      <c r="K2750" s="4"/>
    </row>
    <row r="2751" spans="3:11" x14ac:dyDescent="0.25">
      <c r="C2751" s="79"/>
      <c r="D2751" s="248"/>
      <c r="E2751" s="248"/>
      <c r="F2751" s="47"/>
      <c r="G2751" s="79"/>
      <c r="J2751" s="99"/>
      <c r="K2751" s="4"/>
    </row>
    <row r="2752" spans="3:11" x14ac:dyDescent="0.25">
      <c r="C2752" s="79"/>
      <c r="D2752" s="248"/>
      <c r="E2752" s="248"/>
      <c r="F2752" s="47"/>
      <c r="G2752" s="79"/>
      <c r="J2752" s="99"/>
      <c r="K2752" s="4"/>
    </row>
    <row r="2753" spans="3:11" x14ac:dyDescent="0.25">
      <c r="C2753" s="79"/>
      <c r="D2753" s="248"/>
      <c r="E2753" s="248"/>
      <c r="F2753" s="47"/>
      <c r="G2753" s="79"/>
      <c r="J2753" s="99"/>
      <c r="K2753" s="4"/>
    </row>
    <row r="2754" spans="3:11" x14ac:dyDescent="0.25">
      <c r="C2754" s="79"/>
      <c r="D2754" s="248"/>
      <c r="E2754" s="248"/>
      <c r="F2754" s="47"/>
      <c r="G2754" s="79"/>
      <c r="J2754" s="99"/>
      <c r="K2754" s="4"/>
    </row>
    <row r="2755" spans="3:11" x14ac:dyDescent="0.25">
      <c r="C2755" s="79"/>
      <c r="D2755" s="248"/>
      <c r="E2755" s="248"/>
      <c r="F2755" s="47"/>
      <c r="G2755" s="79"/>
      <c r="J2755" s="99"/>
      <c r="K2755" s="4"/>
    </row>
    <row r="2756" spans="3:11" x14ac:dyDescent="0.25">
      <c r="C2756" s="79"/>
      <c r="D2756" s="248"/>
      <c r="E2756" s="248"/>
      <c r="F2756" s="47"/>
      <c r="G2756" s="79"/>
      <c r="J2756" s="99"/>
      <c r="K2756" s="4"/>
    </row>
    <row r="2757" spans="3:11" x14ac:dyDescent="0.25">
      <c r="C2757" s="79"/>
      <c r="D2757" s="248"/>
      <c r="E2757" s="248"/>
      <c r="F2757" s="47"/>
      <c r="G2757" s="79"/>
      <c r="J2757" s="99"/>
      <c r="K2757" s="4"/>
    </row>
    <row r="2758" spans="3:11" x14ac:dyDescent="0.25">
      <c r="C2758" s="79"/>
      <c r="D2758" s="248"/>
      <c r="E2758" s="248"/>
      <c r="F2758" s="47"/>
      <c r="G2758" s="79"/>
      <c r="J2758" s="99"/>
      <c r="K2758" s="4"/>
    </row>
    <row r="2759" spans="3:11" x14ac:dyDescent="0.25">
      <c r="C2759" s="79"/>
      <c r="D2759" s="248"/>
      <c r="E2759" s="248"/>
      <c r="F2759" s="47"/>
      <c r="G2759" s="79"/>
      <c r="J2759" s="99"/>
      <c r="K2759" s="4"/>
    </row>
    <row r="2760" spans="3:11" x14ac:dyDescent="0.25">
      <c r="C2760" s="79"/>
      <c r="D2760" s="248"/>
      <c r="E2760" s="248"/>
      <c r="F2760" s="47"/>
      <c r="G2760" s="79"/>
      <c r="J2760" s="99"/>
      <c r="K2760" s="4"/>
    </row>
    <row r="2761" spans="3:11" x14ac:dyDescent="0.25">
      <c r="C2761" s="79"/>
      <c r="D2761" s="248"/>
      <c r="E2761" s="248"/>
      <c r="F2761" s="47"/>
      <c r="G2761" s="79"/>
      <c r="J2761" s="99"/>
      <c r="K2761" s="4"/>
    </row>
    <row r="2762" spans="3:11" x14ac:dyDescent="0.25">
      <c r="C2762" s="79"/>
      <c r="D2762" s="248"/>
      <c r="E2762" s="248"/>
      <c r="F2762" s="47"/>
      <c r="G2762" s="79"/>
      <c r="J2762" s="99"/>
      <c r="K2762" s="4"/>
    </row>
    <row r="2763" spans="3:11" x14ac:dyDescent="0.25">
      <c r="C2763" s="79"/>
      <c r="D2763" s="248"/>
      <c r="E2763" s="248"/>
      <c r="F2763" s="47"/>
      <c r="G2763" s="79"/>
      <c r="J2763" s="99"/>
      <c r="K2763" s="4"/>
    </row>
    <row r="2764" spans="3:11" x14ac:dyDescent="0.25">
      <c r="C2764" s="79"/>
      <c r="D2764" s="248"/>
      <c r="E2764" s="248"/>
      <c r="F2764" s="47"/>
      <c r="G2764" s="79"/>
      <c r="J2764" s="99"/>
      <c r="K2764" s="4"/>
    </row>
    <row r="2765" spans="3:11" x14ac:dyDescent="0.25">
      <c r="C2765" s="79"/>
      <c r="D2765" s="248"/>
      <c r="E2765" s="248"/>
      <c r="F2765" s="47"/>
      <c r="G2765" s="79"/>
      <c r="J2765" s="99"/>
      <c r="K2765" s="4"/>
    </row>
    <row r="2766" spans="3:11" x14ac:dyDescent="0.25">
      <c r="C2766" s="79"/>
      <c r="D2766" s="248"/>
      <c r="E2766" s="248"/>
      <c r="F2766" s="47"/>
      <c r="G2766" s="79"/>
      <c r="J2766" s="99"/>
      <c r="K2766" s="4"/>
    </row>
    <row r="2767" spans="3:11" x14ac:dyDescent="0.25">
      <c r="C2767" s="79"/>
      <c r="D2767" s="248"/>
      <c r="E2767" s="248"/>
      <c r="F2767" s="47"/>
      <c r="G2767" s="79"/>
      <c r="J2767" s="99"/>
      <c r="K2767" s="4"/>
    </row>
    <row r="2768" spans="3:11" x14ac:dyDescent="0.25">
      <c r="C2768" s="79"/>
      <c r="D2768" s="248"/>
      <c r="E2768" s="248"/>
      <c r="F2768" s="47"/>
      <c r="G2768" s="79"/>
      <c r="J2768" s="99"/>
      <c r="K2768" s="4"/>
    </row>
    <row r="2769" spans="3:11" x14ac:dyDescent="0.25">
      <c r="C2769" s="79"/>
      <c r="D2769" s="248"/>
      <c r="E2769" s="248"/>
      <c r="F2769" s="47"/>
      <c r="G2769" s="79"/>
      <c r="J2769" s="99"/>
      <c r="K2769" s="4"/>
    </row>
    <row r="2770" spans="3:11" x14ac:dyDescent="0.25">
      <c r="C2770" s="79"/>
      <c r="D2770" s="248"/>
      <c r="E2770" s="248"/>
      <c r="F2770" s="47"/>
      <c r="G2770" s="79"/>
      <c r="J2770" s="99"/>
      <c r="K2770" s="4"/>
    </row>
    <row r="2771" spans="3:11" x14ac:dyDescent="0.25">
      <c r="C2771" s="79"/>
      <c r="D2771" s="248"/>
      <c r="E2771" s="248"/>
      <c r="F2771" s="47"/>
      <c r="G2771" s="79"/>
      <c r="J2771" s="99"/>
      <c r="K2771" s="4"/>
    </row>
    <row r="2772" spans="3:11" x14ac:dyDescent="0.25">
      <c r="C2772" s="79"/>
      <c r="D2772" s="248"/>
      <c r="E2772" s="248"/>
      <c r="F2772" s="47"/>
      <c r="G2772" s="79"/>
      <c r="J2772" s="99"/>
      <c r="K2772" s="4"/>
    </row>
    <row r="2773" spans="3:11" x14ac:dyDescent="0.25">
      <c r="C2773" s="79"/>
      <c r="D2773" s="248"/>
      <c r="E2773" s="248"/>
      <c r="F2773" s="47"/>
      <c r="G2773" s="79"/>
      <c r="J2773" s="99"/>
      <c r="K2773" s="4"/>
    </row>
    <row r="2774" spans="3:11" x14ac:dyDescent="0.25">
      <c r="C2774" s="79"/>
      <c r="D2774" s="248"/>
      <c r="E2774" s="248"/>
      <c r="F2774" s="47"/>
      <c r="G2774" s="79"/>
      <c r="J2774" s="99"/>
      <c r="K2774" s="4"/>
    </row>
    <row r="2775" spans="3:11" x14ac:dyDescent="0.25">
      <c r="C2775" s="79"/>
      <c r="D2775" s="248"/>
      <c r="E2775" s="248"/>
      <c r="F2775" s="47"/>
      <c r="G2775" s="79"/>
      <c r="J2775" s="99"/>
      <c r="K2775" s="4"/>
    </row>
    <row r="2776" spans="3:11" x14ac:dyDescent="0.25">
      <c r="C2776" s="79"/>
      <c r="D2776" s="248"/>
      <c r="E2776" s="248"/>
      <c r="F2776" s="47"/>
      <c r="G2776" s="79"/>
      <c r="J2776" s="99"/>
      <c r="K2776" s="4"/>
    </row>
    <row r="2777" spans="3:11" x14ac:dyDescent="0.25">
      <c r="C2777" s="79"/>
      <c r="D2777" s="248"/>
      <c r="E2777" s="248"/>
      <c r="F2777" s="47"/>
      <c r="G2777" s="79"/>
      <c r="J2777" s="99"/>
      <c r="K2777" s="4"/>
    </row>
    <row r="2778" spans="3:11" x14ac:dyDescent="0.25">
      <c r="C2778" s="79"/>
      <c r="D2778" s="248"/>
      <c r="E2778" s="248"/>
      <c r="F2778" s="47"/>
      <c r="G2778" s="79"/>
      <c r="J2778" s="99"/>
      <c r="K2778" s="4"/>
    </row>
    <row r="2779" spans="3:11" x14ac:dyDescent="0.25">
      <c r="C2779" s="79"/>
      <c r="D2779" s="248"/>
      <c r="E2779" s="248"/>
      <c r="F2779" s="47"/>
      <c r="G2779" s="79"/>
      <c r="J2779" s="99"/>
      <c r="K2779" s="4"/>
    </row>
    <row r="2780" spans="3:11" x14ac:dyDescent="0.25">
      <c r="C2780" s="79"/>
      <c r="D2780" s="248"/>
      <c r="E2780" s="248"/>
      <c r="F2780" s="47"/>
      <c r="G2780" s="79"/>
      <c r="J2780" s="99"/>
      <c r="K2780" s="4"/>
    </row>
    <row r="2781" spans="3:11" x14ac:dyDescent="0.25">
      <c r="C2781" s="79"/>
      <c r="D2781" s="248"/>
      <c r="E2781" s="248"/>
      <c r="F2781" s="47"/>
      <c r="G2781" s="79"/>
      <c r="J2781" s="99"/>
      <c r="K2781" s="4"/>
    </row>
    <row r="2782" spans="3:11" x14ac:dyDescent="0.25">
      <c r="C2782" s="79"/>
      <c r="D2782" s="248"/>
      <c r="E2782" s="248"/>
      <c r="F2782" s="47"/>
      <c r="G2782" s="79"/>
      <c r="J2782" s="99"/>
      <c r="K2782" s="4"/>
    </row>
    <row r="2783" spans="3:11" x14ac:dyDescent="0.25">
      <c r="C2783" s="79"/>
      <c r="D2783" s="248"/>
      <c r="E2783" s="248"/>
      <c r="F2783" s="47"/>
      <c r="G2783" s="79"/>
      <c r="J2783" s="99"/>
      <c r="K2783" s="4"/>
    </row>
    <row r="2784" spans="3:11" x14ac:dyDescent="0.25">
      <c r="C2784" s="79"/>
      <c r="D2784" s="248"/>
      <c r="E2784" s="248"/>
      <c r="F2784" s="47"/>
      <c r="G2784" s="79"/>
      <c r="J2784" s="99"/>
      <c r="K2784" s="4"/>
    </row>
    <row r="2785" spans="3:11" x14ac:dyDescent="0.25">
      <c r="C2785" s="79"/>
      <c r="D2785" s="248"/>
      <c r="E2785" s="248"/>
      <c r="F2785" s="47"/>
      <c r="G2785" s="79"/>
      <c r="J2785" s="99"/>
      <c r="K2785" s="4"/>
    </row>
    <row r="2786" spans="3:11" x14ac:dyDescent="0.25">
      <c r="C2786" s="79"/>
      <c r="D2786" s="248"/>
      <c r="E2786" s="248"/>
      <c r="F2786" s="47"/>
      <c r="G2786" s="79"/>
      <c r="J2786" s="99"/>
      <c r="K2786" s="4"/>
    </row>
    <row r="2787" spans="3:11" x14ac:dyDescent="0.25">
      <c r="C2787" s="79"/>
      <c r="D2787" s="248"/>
      <c r="E2787" s="248"/>
      <c r="F2787" s="47"/>
      <c r="G2787" s="79"/>
      <c r="J2787" s="99"/>
      <c r="K2787" s="4"/>
    </row>
    <row r="2788" spans="3:11" x14ac:dyDescent="0.25">
      <c r="C2788" s="79"/>
      <c r="D2788" s="248"/>
      <c r="E2788" s="248"/>
      <c r="F2788" s="47"/>
      <c r="G2788" s="79"/>
      <c r="J2788" s="99"/>
      <c r="K2788" s="4"/>
    </row>
    <row r="2789" spans="3:11" x14ac:dyDescent="0.25">
      <c r="C2789" s="79"/>
      <c r="D2789" s="248"/>
      <c r="E2789" s="248"/>
      <c r="F2789" s="47"/>
      <c r="G2789" s="79"/>
      <c r="J2789" s="99"/>
      <c r="K2789" s="4"/>
    </row>
    <row r="2790" spans="3:11" x14ac:dyDescent="0.25">
      <c r="C2790" s="79"/>
      <c r="D2790" s="248"/>
      <c r="E2790" s="248"/>
      <c r="F2790" s="47"/>
      <c r="G2790" s="79"/>
      <c r="J2790" s="99"/>
      <c r="K2790" s="4"/>
    </row>
    <row r="2791" spans="3:11" x14ac:dyDescent="0.25">
      <c r="C2791" s="79"/>
      <c r="D2791" s="248"/>
      <c r="E2791" s="248"/>
      <c r="F2791" s="47"/>
      <c r="G2791" s="79"/>
      <c r="J2791" s="99"/>
      <c r="K2791" s="4"/>
    </row>
    <row r="2792" spans="3:11" x14ac:dyDescent="0.25">
      <c r="C2792" s="79"/>
      <c r="D2792" s="248"/>
      <c r="E2792" s="248"/>
      <c r="F2792" s="47"/>
      <c r="G2792" s="79"/>
      <c r="J2792" s="99"/>
      <c r="K2792" s="4"/>
    </row>
    <row r="2793" spans="3:11" x14ac:dyDescent="0.25">
      <c r="C2793" s="79"/>
      <c r="D2793" s="248"/>
      <c r="E2793" s="248"/>
      <c r="F2793" s="47"/>
      <c r="G2793" s="79"/>
      <c r="J2793" s="99"/>
      <c r="K2793" s="4"/>
    </row>
    <row r="2794" spans="3:11" x14ac:dyDescent="0.25">
      <c r="C2794" s="79"/>
      <c r="D2794" s="248"/>
      <c r="E2794" s="248"/>
      <c r="F2794" s="47"/>
      <c r="G2794" s="79"/>
      <c r="J2794" s="99"/>
      <c r="K2794" s="4"/>
    </row>
    <row r="2795" spans="3:11" x14ac:dyDescent="0.25">
      <c r="C2795" s="79"/>
      <c r="D2795" s="248"/>
      <c r="E2795" s="248"/>
      <c r="F2795" s="47"/>
      <c r="G2795" s="79"/>
      <c r="J2795" s="99"/>
      <c r="K2795" s="4"/>
    </row>
    <row r="2796" spans="3:11" x14ac:dyDescent="0.25">
      <c r="C2796" s="79"/>
      <c r="D2796" s="248"/>
      <c r="E2796" s="248"/>
      <c r="F2796" s="47"/>
      <c r="G2796" s="79"/>
      <c r="J2796" s="99"/>
      <c r="K2796" s="4"/>
    </row>
    <row r="2797" spans="3:11" x14ac:dyDescent="0.25">
      <c r="C2797" s="79"/>
      <c r="D2797" s="248"/>
      <c r="E2797" s="248"/>
      <c r="F2797" s="47"/>
      <c r="G2797" s="79"/>
      <c r="J2797" s="99"/>
      <c r="K2797" s="4"/>
    </row>
    <row r="2798" spans="3:11" x14ac:dyDescent="0.25">
      <c r="C2798" s="79"/>
      <c r="D2798" s="248"/>
      <c r="E2798" s="248"/>
      <c r="F2798" s="47"/>
      <c r="G2798" s="79"/>
      <c r="J2798" s="99"/>
      <c r="K2798" s="4"/>
    </row>
    <row r="2799" spans="3:11" x14ac:dyDescent="0.25">
      <c r="C2799" s="79"/>
      <c r="D2799" s="248"/>
      <c r="E2799" s="248"/>
      <c r="F2799" s="47"/>
      <c r="G2799" s="79"/>
      <c r="J2799" s="99"/>
      <c r="K2799" s="4"/>
    </row>
    <row r="2800" spans="3:11" x14ac:dyDescent="0.25">
      <c r="C2800" s="79"/>
      <c r="D2800" s="248"/>
      <c r="E2800" s="248"/>
      <c r="F2800" s="47"/>
      <c r="G2800" s="79"/>
      <c r="J2800" s="99"/>
      <c r="K2800" s="4"/>
    </row>
    <row r="2801" spans="3:11" x14ac:dyDescent="0.25">
      <c r="C2801" s="79"/>
      <c r="D2801" s="248"/>
      <c r="E2801" s="248"/>
      <c r="F2801" s="47"/>
      <c r="G2801" s="79"/>
      <c r="J2801" s="99"/>
      <c r="K2801" s="4"/>
    </row>
    <row r="2802" spans="3:11" x14ac:dyDescent="0.25">
      <c r="C2802" s="79"/>
      <c r="D2802" s="248"/>
      <c r="E2802" s="248"/>
      <c r="F2802" s="47"/>
      <c r="G2802" s="79"/>
      <c r="J2802" s="99"/>
      <c r="K2802" s="4"/>
    </row>
    <row r="2803" spans="3:11" x14ac:dyDescent="0.25">
      <c r="C2803" s="79"/>
      <c r="D2803" s="248"/>
      <c r="E2803" s="248"/>
      <c r="F2803" s="47"/>
      <c r="G2803" s="79"/>
      <c r="J2803" s="99"/>
      <c r="K2803" s="4"/>
    </row>
    <row r="2804" spans="3:11" x14ac:dyDescent="0.25">
      <c r="C2804" s="79"/>
      <c r="D2804" s="248"/>
      <c r="E2804" s="248"/>
      <c r="F2804" s="47"/>
      <c r="G2804" s="79"/>
      <c r="J2804" s="99"/>
      <c r="K2804" s="4"/>
    </row>
    <row r="2805" spans="3:11" x14ac:dyDescent="0.25">
      <c r="C2805" s="79"/>
      <c r="D2805" s="248"/>
      <c r="E2805" s="248"/>
      <c r="F2805" s="47"/>
      <c r="G2805" s="79"/>
      <c r="J2805" s="99"/>
      <c r="K2805" s="4"/>
    </row>
    <row r="2806" spans="3:11" x14ac:dyDescent="0.25">
      <c r="C2806" s="79"/>
      <c r="D2806" s="248"/>
      <c r="E2806" s="248"/>
      <c r="F2806" s="47"/>
      <c r="G2806" s="79"/>
      <c r="J2806" s="99"/>
      <c r="K2806" s="4"/>
    </row>
    <row r="2807" spans="3:11" x14ac:dyDescent="0.25">
      <c r="C2807" s="79"/>
      <c r="D2807" s="248"/>
      <c r="E2807" s="248"/>
      <c r="F2807" s="47"/>
      <c r="G2807" s="79"/>
      <c r="J2807" s="99"/>
      <c r="K2807" s="4"/>
    </row>
    <row r="2808" spans="3:11" x14ac:dyDescent="0.25">
      <c r="C2808" s="79"/>
      <c r="D2808" s="248"/>
      <c r="E2808" s="248"/>
      <c r="F2808" s="47"/>
      <c r="G2808" s="79"/>
      <c r="J2808" s="99"/>
      <c r="K2808" s="4"/>
    </row>
    <row r="2809" spans="3:11" x14ac:dyDescent="0.25">
      <c r="C2809" s="79"/>
      <c r="D2809" s="248"/>
      <c r="E2809" s="248"/>
      <c r="F2809" s="47"/>
      <c r="G2809" s="79"/>
      <c r="J2809" s="99"/>
      <c r="K2809" s="4"/>
    </row>
    <row r="2810" spans="3:11" x14ac:dyDescent="0.25">
      <c r="C2810" s="79"/>
      <c r="D2810" s="248"/>
      <c r="E2810" s="248"/>
      <c r="F2810" s="47"/>
      <c r="G2810" s="79"/>
      <c r="J2810" s="99"/>
      <c r="K2810" s="4"/>
    </row>
    <row r="2811" spans="3:11" x14ac:dyDescent="0.25">
      <c r="C2811" s="79"/>
      <c r="D2811" s="248"/>
      <c r="E2811" s="248"/>
      <c r="F2811" s="47"/>
      <c r="G2811" s="79"/>
      <c r="J2811" s="99"/>
      <c r="K2811" s="4"/>
    </row>
    <row r="2812" spans="3:11" x14ac:dyDescent="0.25">
      <c r="C2812" s="79"/>
      <c r="D2812" s="248"/>
      <c r="E2812" s="248"/>
      <c r="F2812" s="47"/>
      <c r="G2812" s="79"/>
      <c r="J2812" s="99"/>
      <c r="K2812" s="4"/>
    </row>
    <row r="2813" spans="3:11" x14ac:dyDescent="0.25">
      <c r="C2813" s="79"/>
      <c r="D2813" s="248"/>
      <c r="E2813" s="248"/>
      <c r="F2813" s="47"/>
      <c r="G2813" s="79"/>
      <c r="J2813" s="99"/>
      <c r="K2813" s="4"/>
    </row>
    <row r="2814" spans="3:11" x14ac:dyDescent="0.25">
      <c r="C2814" s="79"/>
      <c r="D2814" s="248"/>
      <c r="E2814" s="248"/>
      <c r="F2814" s="47"/>
      <c r="G2814" s="79"/>
      <c r="J2814" s="99"/>
      <c r="K2814" s="4"/>
    </row>
    <row r="2815" spans="3:11" x14ac:dyDescent="0.25">
      <c r="C2815" s="79"/>
      <c r="D2815" s="248"/>
      <c r="E2815" s="248"/>
      <c r="F2815" s="47"/>
      <c r="G2815" s="79"/>
      <c r="J2815" s="99"/>
      <c r="K2815" s="4"/>
    </row>
    <row r="2816" spans="3:11" x14ac:dyDescent="0.25">
      <c r="C2816" s="79"/>
      <c r="D2816" s="248"/>
      <c r="E2816" s="248"/>
      <c r="F2816" s="47"/>
      <c r="G2816" s="79"/>
      <c r="J2816" s="99"/>
      <c r="K2816" s="4"/>
    </row>
    <row r="2817" spans="3:11" x14ac:dyDescent="0.25">
      <c r="C2817" s="79"/>
      <c r="D2817" s="248"/>
      <c r="E2817" s="248"/>
      <c r="F2817" s="47"/>
      <c r="G2817" s="79"/>
      <c r="J2817" s="99"/>
      <c r="K2817" s="4"/>
    </row>
    <row r="2818" spans="3:11" x14ac:dyDescent="0.25">
      <c r="C2818" s="79"/>
      <c r="D2818" s="248"/>
      <c r="E2818" s="248"/>
      <c r="F2818" s="47"/>
      <c r="G2818" s="79"/>
      <c r="J2818" s="99"/>
      <c r="K2818" s="4"/>
    </row>
    <row r="2819" spans="3:11" x14ac:dyDescent="0.25">
      <c r="C2819" s="79"/>
      <c r="D2819" s="248"/>
      <c r="E2819" s="248"/>
      <c r="F2819" s="47"/>
      <c r="G2819" s="79"/>
      <c r="J2819" s="99"/>
      <c r="K2819" s="4"/>
    </row>
    <row r="2820" spans="3:11" x14ac:dyDescent="0.25">
      <c r="C2820" s="79"/>
      <c r="D2820" s="248"/>
      <c r="E2820" s="248"/>
      <c r="F2820" s="47"/>
      <c r="G2820" s="79"/>
      <c r="J2820" s="99"/>
      <c r="K2820" s="4"/>
    </row>
    <row r="2821" spans="3:11" x14ac:dyDescent="0.25">
      <c r="C2821" s="79"/>
      <c r="D2821" s="248"/>
      <c r="E2821" s="248"/>
      <c r="F2821" s="47"/>
      <c r="G2821" s="79"/>
      <c r="J2821" s="99"/>
      <c r="K2821" s="4"/>
    </row>
    <row r="2822" spans="3:11" x14ac:dyDescent="0.25">
      <c r="C2822" s="79"/>
      <c r="D2822" s="248"/>
      <c r="E2822" s="248"/>
      <c r="F2822" s="47"/>
      <c r="G2822" s="79"/>
      <c r="J2822" s="99"/>
      <c r="K2822" s="4"/>
    </row>
    <row r="2823" spans="3:11" x14ac:dyDescent="0.25">
      <c r="C2823" s="79"/>
      <c r="D2823" s="248"/>
      <c r="E2823" s="248"/>
      <c r="F2823" s="47"/>
      <c r="G2823" s="79"/>
      <c r="J2823" s="99"/>
      <c r="K2823" s="4"/>
    </row>
    <row r="2824" spans="3:11" x14ac:dyDescent="0.25">
      <c r="C2824" s="79"/>
      <c r="D2824" s="248"/>
      <c r="E2824" s="248"/>
      <c r="F2824" s="47"/>
      <c r="G2824" s="79"/>
      <c r="J2824" s="99"/>
      <c r="K2824" s="4"/>
    </row>
    <row r="2825" spans="3:11" x14ac:dyDescent="0.25">
      <c r="C2825" s="79"/>
      <c r="D2825" s="248"/>
      <c r="E2825" s="248"/>
      <c r="F2825" s="47"/>
      <c r="G2825" s="79"/>
      <c r="J2825" s="99"/>
      <c r="K2825" s="4"/>
    </row>
    <row r="2826" spans="3:11" x14ac:dyDescent="0.25">
      <c r="C2826" s="79"/>
      <c r="D2826" s="248"/>
      <c r="E2826" s="248"/>
      <c r="F2826" s="47"/>
      <c r="G2826" s="79"/>
      <c r="J2826" s="99"/>
      <c r="K2826" s="4"/>
    </row>
    <row r="2827" spans="3:11" x14ac:dyDescent="0.25">
      <c r="C2827" s="79"/>
      <c r="D2827" s="248"/>
      <c r="E2827" s="248"/>
      <c r="F2827" s="47"/>
      <c r="G2827" s="79"/>
      <c r="J2827" s="99"/>
      <c r="K2827" s="4"/>
    </row>
    <row r="2828" spans="3:11" x14ac:dyDescent="0.25">
      <c r="C2828" s="79"/>
      <c r="D2828" s="248"/>
      <c r="E2828" s="248"/>
      <c r="F2828" s="47"/>
      <c r="G2828" s="79"/>
      <c r="J2828" s="99"/>
      <c r="K2828" s="4"/>
    </row>
    <row r="2829" spans="3:11" x14ac:dyDescent="0.25">
      <c r="C2829" s="79"/>
      <c r="D2829" s="248"/>
      <c r="E2829" s="248"/>
      <c r="F2829" s="47"/>
      <c r="G2829" s="79"/>
      <c r="J2829" s="99"/>
      <c r="K2829" s="4"/>
    </row>
    <row r="2830" spans="3:11" x14ac:dyDescent="0.25">
      <c r="C2830" s="79"/>
      <c r="D2830" s="248"/>
      <c r="E2830" s="248"/>
      <c r="F2830" s="47"/>
      <c r="G2830" s="79"/>
      <c r="J2830" s="99"/>
      <c r="K2830" s="4"/>
    </row>
    <row r="2831" spans="3:11" x14ac:dyDescent="0.25">
      <c r="C2831" s="79"/>
      <c r="D2831" s="248"/>
      <c r="E2831" s="248"/>
      <c r="F2831" s="47"/>
      <c r="G2831" s="79"/>
      <c r="J2831" s="99"/>
      <c r="K2831" s="4"/>
    </row>
    <row r="2832" spans="3:11" x14ac:dyDescent="0.25">
      <c r="C2832" s="79"/>
      <c r="D2832" s="248"/>
      <c r="E2832" s="248"/>
      <c r="F2832" s="47"/>
      <c r="G2832" s="79"/>
      <c r="J2832" s="99"/>
      <c r="K2832" s="4"/>
    </row>
    <row r="2833" spans="3:11" x14ac:dyDescent="0.25">
      <c r="C2833" s="79"/>
      <c r="D2833" s="248"/>
      <c r="E2833" s="248"/>
      <c r="F2833" s="47"/>
      <c r="G2833" s="79"/>
      <c r="J2833" s="99"/>
      <c r="K2833" s="4"/>
    </row>
    <row r="2834" spans="3:11" x14ac:dyDescent="0.25">
      <c r="C2834" s="79"/>
      <c r="D2834" s="248"/>
      <c r="E2834" s="248"/>
      <c r="F2834" s="47"/>
      <c r="G2834" s="79"/>
      <c r="J2834" s="99"/>
      <c r="K2834" s="4"/>
    </row>
    <row r="2835" spans="3:11" x14ac:dyDescent="0.25">
      <c r="C2835" s="79"/>
      <c r="D2835" s="248"/>
      <c r="E2835" s="248"/>
      <c r="F2835" s="47"/>
      <c r="G2835" s="79"/>
      <c r="J2835" s="99"/>
      <c r="K2835" s="4"/>
    </row>
    <row r="2836" spans="3:11" x14ac:dyDescent="0.25">
      <c r="C2836" s="79"/>
      <c r="D2836" s="248"/>
      <c r="E2836" s="248"/>
      <c r="F2836" s="47"/>
      <c r="G2836" s="79"/>
      <c r="J2836" s="99"/>
      <c r="K2836" s="4"/>
    </row>
    <row r="2837" spans="3:11" x14ac:dyDescent="0.25">
      <c r="C2837" s="79"/>
      <c r="D2837" s="248"/>
      <c r="E2837" s="248"/>
      <c r="F2837" s="47"/>
      <c r="G2837" s="79"/>
      <c r="J2837" s="99"/>
      <c r="K2837" s="4"/>
    </row>
    <row r="2838" spans="3:11" x14ac:dyDescent="0.25">
      <c r="C2838" s="79"/>
      <c r="D2838" s="248"/>
      <c r="E2838" s="248"/>
      <c r="F2838" s="47"/>
      <c r="G2838" s="79"/>
      <c r="J2838" s="99"/>
      <c r="K2838" s="4"/>
    </row>
    <row r="2839" spans="3:11" x14ac:dyDescent="0.25">
      <c r="C2839" s="79"/>
      <c r="D2839" s="248"/>
      <c r="E2839" s="248"/>
      <c r="F2839" s="47"/>
      <c r="G2839" s="79"/>
      <c r="J2839" s="99"/>
      <c r="K2839" s="4"/>
    </row>
    <row r="2840" spans="3:11" x14ac:dyDescent="0.25">
      <c r="C2840" s="79"/>
      <c r="D2840" s="248"/>
      <c r="E2840" s="248"/>
      <c r="F2840" s="47"/>
      <c r="G2840" s="79"/>
      <c r="J2840" s="99"/>
      <c r="K2840" s="4"/>
    </row>
    <row r="2841" spans="3:11" x14ac:dyDescent="0.25">
      <c r="C2841" s="79"/>
      <c r="D2841" s="248"/>
      <c r="E2841" s="248"/>
      <c r="F2841" s="47"/>
      <c r="G2841" s="79"/>
      <c r="J2841" s="99"/>
      <c r="K2841" s="4"/>
    </row>
    <row r="2842" spans="3:11" x14ac:dyDescent="0.25">
      <c r="C2842" s="79"/>
      <c r="D2842" s="248"/>
      <c r="E2842" s="248"/>
      <c r="F2842" s="47"/>
      <c r="G2842" s="79"/>
      <c r="J2842" s="99"/>
      <c r="K2842" s="4"/>
    </row>
    <row r="2843" spans="3:11" x14ac:dyDescent="0.25">
      <c r="C2843" s="79"/>
      <c r="D2843" s="248"/>
      <c r="E2843" s="248"/>
      <c r="F2843" s="47"/>
      <c r="G2843" s="79"/>
      <c r="J2843" s="99"/>
      <c r="K2843" s="4"/>
    </row>
    <row r="2844" spans="3:11" x14ac:dyDescent="0.25">
      <c r="C2844" s="79"/>
      <c r="D2844" s="248"/>
      <c r="E2844" s="248"/>
      <c r="F2844" s="47"/>
      <c r="G2844" s="79"/>
      <c r="J2844" s="99"/>
      <c r="K2844" s="4"/>
    </row>
    <row r="2845" spans="3:11" x14ac:dyDescent="0.25">
      <c r="C2845" s="79"/>
      <c r="D2845" s="248"/>
      <c r="E2845" s="248"/>
      <c r="F2845" s="47"/>
      <c r="G2845" s="79"/>
      <c r="J2845" s="99"/>
      <c r="K2845" s="4"/>
    </row>
    <row r="2846" spans="3:11" x14ac:dyDescent="0.25">
      <c r="C2846" s="79"/>
      <c r="D2846" s="248"/>
      <c r="E2846" s="248"/>
      <c r="F2846" s="47"/>
      <c r="G2846" s="79"/>
      <c r="J2846" s="99"/>
      <c r="K2846" s="4"/>
    </row>
    <row r="2847" spans="3:11" x14ac:dyDescent="0.25">
      <c r="C2847" s="79"/>
      <c r="D2847" s="248"/>
      <c r="E2847" s="248"/>
      <c r="F2847" s="47"/>
      <c r="G2847" s="79"/>
      <c r="J2847" s="99"/>
      <c r="K2847" s="4"/>
    </row>
    <row r="2848" spans="3:11" x14ac:dyDescent="0.25">
      <c r="C2848" s="79"/>
      <c r="D2848" s="248"/>
      <c r="E2848" s="248"/>
      <c r="F2848" s="47"/>
      <c r="G2848" s="79"/>
      <c r="J2848" s="99"/>
      <c r="K2848" s="4"/>
    </row>
    <row r="2849" spans="3:11" x14ac:dyDescent="0.25">
      <c r="C2849" s="79"/>
      <c r="D2849" s="248"/>
      <c r="E2849" s="248"/>
      <c r="F2849" s="47"/>
      <c r="G2849" s="79"/>
      <c r="J2849" s="99"/>
      <c r="K2849" s="4"/>
    </row>
    <row r="2850" spans="3:11" x14ac:dyDescent="0.25">
      <c r="C2850" s="79"/>
      <c r="D2850" s="248"/>
      <c r="E2850" s="248"/>
      <c r="F2850" s="47"/>
      <c r="G2850" s="79"/>
      <c r="J2850" s="99"/>
      <c r="K2850" s="4"/>
    </row>
    <row r="2851" spans="3:11" x14ac:dyDescent="0.25">
      <c r="C2851" s="79"/>
      <c r="D2851" s="248"/>
      <c r="E2851" s="248"/>
      <c r="F2851" s="47"/>
      <c r="G2851" s="79"/>
      <c r="J2851" s="99"/>
      <c r="K2851" s="4"/>
    </row>
    <row r="2852" spans="3:11" x14ac:dyDescent="0.25">
      <c r="C2852" s="79"/>
      <c r="D2852" s="248"/>
      <c r="E2852" s="248"/>
      <c r="F2852" s="47"/>
      <c r="G2852" s="79"/>
      <c r="J2852" s="99"/>
      <c r="K2852" s="4"/>
    </row>
    <row r="2853" spans="3:11" x14ac:dyDescent="0.25">
      <c r="C2853" s="79"/>
      <c r="D2853" s="248"/>
      <c r="E2853" s="248"/>
      <c r="F2853" s="47"/>
      <c r="G2853" s="79"/>
      <c r="J2853" s="99"/>
      <c r="K2853" s="4"/>
    </row>
    <row r="2854" spans="3:11" x14ac:dyDescent="0.25">
      <c r="C2854" s="79"/>
      <c r="D2854" s="248"/>
      <c r="E2854" s="248"/>
      <c r="F2854" s="47"/>
      <c r="G2854" s="79"/>
      <c r="J2854" s="99"/>
      <c r="K2854" s="4"/>
    </row>
    <row r="2855" spans="3:11" x14ac:dyDescent="0.25">
      <c r="C2855" s="79"/>
      <c r="D2855" s="248"/>
      <c r="E2855" s="248"/>
      <c r="F2855" s="47"/>
      <c r="G2855" s="79"/>
      <c r="J2855" s="99"/>
      <c r="K2855" s="4"/>
    </row>
    <row r="2856" spans="3:11" x14ac:dyDescent="0.25">
      <c r="C2856" s="79"/>
      <c r="D2856" s="248"/>
      <c r="E2856" s="248"/>
      <c r="F2856" s="47"/>
      <c r="G2856" s="79"/>
      <c r="J2856" s="99"/>
      <c r="K2856" s="4"/>
    </row>
    <row r="2857" spans="3:11" x14ac:dyDescent="0.25">
      <c r="C2857" s="79"/>
      <c r="D2857" s="248"/>
      <c r="E2857" s="248"/>
      <c r="F2857" s="47"/>
      <c r="G2857" s="79"/>
      <c r="J2857" s="99"/>
      <c r="K2857" s="4"/>
    </row>
    <row r="2858" spans="3:11" x14ac:dyDescent="0.25">
      <c r="C2858" s="79"/>
      <c r="D2858" s="248"/>
      <c r="E2858" s="248"/>
      <c r="F2858" s="47"/>
      <c r="G2858" s="79"/>
      <c r="J2858" s="99"/>
      <c r="K2858" s="4"/>
    </row>
    <row r="2859" spans="3:11" x14ac:dyDescent="0.25">
      <c r="C2859" s="79"/>
      <c r="D2859" s="248"/>
      <c r="E2859" s="248"/>
      <c r="F2859" s="47"/>
      <c r="G2859" s="79"/>
      <c r="J2859" s="99"/>
      <c r="K2859" s="4"/>
    </row>
    <row r="2860" spans="3:11" x14ac:dyDescent="0.25">
      <c r="C2860" s="79"/>
      <c r="D2860" s="248"/>
      <c r="E2860" s="248"/>
      <c r="F2860" s="47"/>
      <c r="G2860" s="79"/>
      <c r="J2860" s="99"/>
      <c r="K2860" s="4"/>
    </row>
    <row r="2861" spans="3:11" x14ac:dyDescent="0.25">
      <c r="C2861" s="79"/>
      <c r="D2861" s="248"/>
      <c r="E2861" s="248"/>
      <c r="F2861" s="47"/>
      <c r="G2861" s="79"/>
      <c r="J2861" s="99"/>
      <c r="K2861" s="4"/>
    </row>
    <row r="2862" spans="3:11" x14ac:dyDescent="0.25">
      <c r="C2862" s="79"/>
      <c r="D2862" s="248"/>
      <c r="E2862" s="248"/>
      <c r="F2862" s="47"/>
      <c r="G2862" s="79"/>
      <c r="J2862" s="99"/>
      <c r="K2862" s="4"/>
    </row>
    <row r="2863" spans="3:11" x14ac:dyDescent="0.25">
      <c r="C2863" s="79"/>
      <c r="D2863" s="248"/>
      <c r="E2863" s="248"/>
      <c r="F2863" s="47"/>
      <c r="G2863" s="79"/>
      <c r="J2863" s="99"/>
      <c r="K2863" s="4"/>
    </row>
    <row r="2864" spans="3:11" x14ac:dyDescent="0.25">
      <c r="C2864" s="79"/>
      <c r="D2864" s="248"/>
      <c r="E2864" s="248"/>
      <c r="F2864" s="47"/>
      <c r="G2864" s="79"/>
      <c r="J2864" s="99"/>
      <c r="K2864" s="4"/>
    </row>
    <row r="2865" spans="3:11" x14ac:dyDescent="0.25">
      <c r="C2865" s="79"/>
      <c r="D2865" s="248"/>
      <c r="E2865" s="248"/>
      <c r="F2865" s="47"/>
      <c r="G2865" s="79"/>
      <c r="J2865" s="99"/>
      <c r="K2865" s="4"/>
    </row>
    <row r="2866" spans="3:11" x14ac:dyDescent="0.25">
      <c r="C2866" s="79"/>
      <c r="D2866" s="248"/>
      <c r="E2866" s="248"/>
      <c r="F2866" s="47"/>
      <c r="G2866" s="79"/>
      <c r="J2866" s="99"/>
      <c r="K2866" s="4"/>
    </row>
    <row r="2867" spans="3:11" x14ac:dyDescent="0.25">
      <c r="C2867" s="79"/>
      <c r="D2867" s="248"/>
      <c r="E2867" s="248"/>
      <c r="F2867" s="47"/>
      <c r="G2867" s="79"/>
      <c r="J2867" s="99"/>
      <c r="K2867" s="4"/>
    </row>
    <row r="2868" spans="3:11" x14ac:dyDescent="0.25">
      <c r="C2868" s="79"/>
      <c r="D2868" s="248"/>
      <c r="E2868" s="248"/>
      <c r="F2868" s="47"/>
      <c r="G2868" s="79"/>
      <c r="J2868" s="99"/>
      <c r="K2868" s="4"/>
    </row>
    <row r="2869" spans="3:11" x14ac:dyDescent="0.25">
      <c r="C2869" s="79"/>
      <c r="D2869" s="248"/>
      <c r="E2869" s="248"/>
      <c r="F2869" s="47"/>
      <c r="G2869" s="79"/>
      <c r="J2869" s="99"/>
      <c r="K2869" s="4"/>
    </row>
    <row r="2870" spans="3:11" x14ac:dyDescent="0.25">
      <c r="C2870" s="79"/>
      <c r="D2870" s="248"/>
      <c r="E2870" s="248"/>
      <c r="F2870" s="47"/>
      <c r="G2870" s="79"/>
      <c r="J2870" s="99"/>
      <c r="K2870" s="4"/>
    </row>
    <row r="2871" spans="3:11" x14ac:dyDescent="0.25">
      <c r="C2871" s="79"/>
      <c r="D2871" s="248"/>
      <c r="E2871" s="248"/>
      <c r="F2871" s="47"/>
      <c r="G2871" s="79"/>
      <c r="J2871" s="99"/>
      <c r="K2871" s="4"/>
    </row>
    <row r="2872" spans="3:11" x14ac:dyDescent="0.25">
      <c r="C2872" s="79"/>
      <c r="D2872" s="248"/>
      <c r="E2872" s="248"/>
      <c r="F2872" s="47"/>
      <c r="G2872" s="79"/>
      <c r="J2872" s="99"/>
      <c r="K2872" s="4"/>
    </row>
    <row r="2873" spans="3:11" x14ac:dyDescent="0.25">
      <c r="C2873" s="79"/>
      <c r="D2873" s="248"/>
      <c r="E2873" s="248"/>
      <c r="F2873" s="47"/>
      <c r="G2873" s="79"/>
      <c r="J2873" s="99"/>
      <c r="K2873" s="4"/>
    </row>
    <row r="2874" spans="3:11" x14ac:dyDescent="0.25">
      <c r="C2874" s="79"/>
      <c r="D2874" s="248"/>
      <c r="E2874" s="248"/>
      <c r="F2874" s="47"/>
      <c r="G2874" s="79"/>
      <c r="J2874" s="99"/>
      <c r="K2874" s="4"/>
    </row>
    <row r="2875" spans="3:11" x14ac:dyDescent="0.25">
      <c r="C2875" s="79"/>
      <c r="D2875" s="248"/>
      <c r="E2875" s="248"/>
      <c r="F2875" s="47"/>
      <c r="G2875" s="79"/>
      <c r="J2875" s="99"/>
      <c r="K2875" s="4"/>
    </row>
    <row r="2876" spans="3:11" x14ac:dyDescent="0.25">
      <c r="C2876" s="79"/>
      <c r="D2876" s="248"/>
      <c r="E2876" s="248"/>
      <c r="F2876" s="47"/>
      <c r="G2876" s="79"/>
      <c r="J2876" s="99"/>
      <c r="K2876" s="4"/>
    </row>
    <row r="2877" spans="3:11" x14ac:dyDescent="0.25">
      <c r="C2877" s="79"/>
      <c r="D2877" s="248"/>
      <c r="E2877" s="248"/>
      <c r="F2877" s="47"/>
      <c r="G2877" s="79"/>
      <c r="J2877" s="99"/>
      <c r="K2877" s="4"/>
    </row>
    <row r="2878" spans="3:11" x14ac:dyDescent="0.25">
      <c r="C2878" s="79"/>
      <c r="D2878" s="248"/>
      <c r="E2878" s="248"/>
      <c r="F2878" s="47"/>
      <c r="G2878" s="79"/>
      <c r="J2878" s="99"/>
      <c r="K2878" s="4"/>
    </row>
    <row r="2879" spans="3:11" x14ac:dyDescent="0.25">
      <c r="C2879" s="79"/>
      <c r="D2879" s="248"/>
      <c r="E2879" s="248"/>
      <c r="F2879" s="47"/>
      <c r="G2879" s="79"/>
      <c r="J2879" s="99"/>
      <c r="K2879" s="4"/>
    </row>
    <row r="2880" spans="3:11" x14ac:dyDescent="0.25">
      <c r="C2880" s="79"/>
      <c r="D2880" s="248"/>
      <c r="E2880" s="248"/>
      <c r="F2880" s="47"/>
      <c r="G2880" s="79"/>
      <c r="J2880" s="99"/>
      <c r="K2880" s="4"/>
    </row>
    <row r="2881" spans="3:11" x14ac:dyDescent="0.25">
      <c r="C2881" s="79"/>
      <c r="D2881" s="248"/>
      <c r="E2881" s="248"/>
      <c r="F2881" s="47"/>
      <c r="G2881" s="79"/>
      <c r="J2881" s="99"/>
      <c r="K2881" s="4"/>
    </row>
    <row r="2882" spans="3:11" x14ac:dyDescent="0.25">
      <c r="C2882" s="79"/>
      <c r="D2882" s="248"/>
      <c r="E2882" s="248"/>
      <c r="F2882" s="47"/>
      <c r="G2882" s="79"/>
      <c r="J2882" s="99"/>
      <c r="K2882" s="4"/>
    </row>
    <row r="2883" spans="3:11" x14ac:dyDescent="0.25">
      <c r="C2883" s="79"/>
      <c r="D2883" s="248"/>
      <c r="E2883" s="248"/>
      <c r="F2883" s="47"/>
      <c r="G2883" s="79"/>
      <c r="J2883" s="99"/>
      <c r="K2883" s="4"/>
    </row>
    <row r="2884" spans="3:11" x14ac:dyDescent="0.25">
      <c r="C2884" s="79"/>
      <c r="D2884" s="248"/>
      <c r="E2884" s="248"/>
      <c r="F2884" s="47"/>
      <c r="G2884" s="79"/>
      <c r="J2884" s="99"/>
      <c r="K2884" s="4"/>
    </row>
    <row r="2885" spans="3:11" x14ac:dyDescent="0.25">
      <c r="C2885" s="79"/>
      <c r="D2885" s="248"/>
      <c r="E2885" s="248"/>
      <c r="F2885" s="47"/>
      <c r="G2885" s="79"/>
      <c r="J2885" s="99"/>
      <c r="K2885" s="4"/>
    </row>
    <row r="2886" spans="3:11" x14ac:dyDescent="0.25">
      <c r="C2886" s="79"/>
      <c r="D2886" s="248"/>
      <c r="E2886" s="248"/>
      <c r="F2886" s="47"/>
      <c r="G2886" s="79"/>
      <c r="J2886" s="99"/>
      <c r="K2886" s="4"/>
    </row>
    <row r="2887" spans="3:11" x14ac:dyDescent="0.25">
      <c r="C2887" s="79"/>
      <c r="D2887" s="248"/>
      <c r="E2887" s="248"/>
      <c r="F2887" s="47"/>
      <c r="G2887" s="79"/>
      <c r="J2887" s="99"/>
      <c r="K2887" s="4"/>
    </row>
    <row r="2888" spans="3:11" x14ac:dyDescent="0.25">
      <c r="C2888" s="79"/>
      <c r="D2888" s="248"/>
      <c r="E2888" s="248"/>
      <c r="F2888" s="47"/>
      <c r="G2888" s="79"/>
      <c r="J2888" s="99"/>
      <c r="K2888" s="4"/>
    </row>
    <row r="2889" spans="3:11" x14ac:dyDescent="0.25">
      <c r="C2889" s="79"/>
      <c r="D2889" s="248"/>
      <c r="E2889" s="248"/>
      <c r="F2889" s="47"/>
      <c r="G2889" s="79"/>
      <c r="J2889" s="99"/>
      <c r="K2889" s="4"/>
    </row>
    <row r="2890" spans="3:11" x14ac:dyDescent="0.25">
      <c r="C2890" s="79"/>
      <c r="D2890" s="248"/>
      <c r="E2890" s="248"/>
      <c r="F2890" s="47"/>
      <c r="G2890" s="79"/>
      <c r="J2890" s="99"/>
      <c r="K2890" s="4"/>
    </row>
    <row r="2891" spans="3:11" x14ac:dyDescent="0.25">
      <c r="C2891" s="79"/>
      <c r="D2891" s="248"/>
      <c r="E2891" s="248"/>
      <c r="F2891" s="47"/>
      <c r="G2891" s="79"/>
      <c r="J2891" s="99"/>
      <c r="K2891" s="4"/>
    </row>
    <row r="2892" spans="3:11" x14ac:dyDescent="0.25">
      <c r="C2892" s="79"/>
      <c r="D2892" s="248"/>
      <c r="E2892" s="248"/>
      <c r="F2892" s="47"/>
      <c r="G2892" s="79"/>
      <c r="J2892" s="99"/>
      <c r="K2892" s="4"/>
    </row>
    <row r="2893" spans="3:11" x14ac:dyDescent="0.25">
      <c r="C2893" s="79"/>
      <c r="D2893" s="248"/>
      <c r="E2893" s="248"/>
      <c r="F2893" s="47"/>
      <c r="G2893" s="79"/>
      <c r="J2893" s="99"/>
      <c r="K2893" s="4"/>
    </row>
    <row r="2894" spans="3:11" x14ac:dyDescent="0.25">
      <c r="C2894" s="79"/>
      <c r="D2894" s="248"/>
      <c r="E2894" s="248"/>
      <c r="F2894" s="47"/>
      <c r="G2894" s="79"/>
      <c r="J2894" s="99"/>
      <c r="K2894" s="4"/>
    </row>
    <row r="2895" spans="3:11" x14ac:dyDescent="0.25">
      <c r="C2895" s="79"/>
      <c r="D2895" s="248"/>
      <c r="E2895" s="248"/>
      <c r="F2895" s="47"/>
      <c r="G2895" s="79"/>
      <c r="J2895" s="99"/>
      <c r="K2895" s="4"/>
    </row>
    <row r="2896" spans="3:11" x14ac:dyDescent="0.25">
      <c r="C2896" s="79"/>
      <c r="D2896" s="248"/>
      <c r="E2896" s="248"/>
      <c r="F2896" s="47"/>
      <c r="G2896" s="79"/>
      <c r="J2896" s="99"/>
      <c r="K2896" s="4"/>
    </row>
    <row r="2897" spans="3:11" x14ac:dyDescent="0.25">
      <c r="C2897" s="79"/>
      <c r="D2897" s="248"/>
      <c r="E2897" s="248"/>
      <c r="F2897" s="47"/>
      <c r="G2897" s="79"/>
      <c r="J2897" s="99"/>
      <c r="K2897" s="4"/>
    </row>
    <row r="2898" spans="3:11" x14ac:dyDescent="0.25">
      <c r="C2898" s="79"/>
      <c r="D2898" s="248"/>
      <c r="E2898" s="248"/>
      <c r="F2898" s="47"/>
      <c r="G2898" s="79"/>
      <c r="J2898" s="99"/>
      <c r="K2898" s="4"/>
    </row>
    <row r="2899" spans="3:11" x14ac:dyDescent="0.25">
      <c r="C2899" s="79"/>
      <c r="D2899" s="248"/>
      <c r="E2899" s="248"/>
      <c r="F2899" s="47"/>
      <c r="G2899" s="79"/>
      <c r="J2899" s="99"/>
      <c r="K2899" s="4"/>
    </row>
    <row r="2900" spans="3:11" x14ac:dyDescent="0.25">
      <c r="C2900" s="79"/>
      <c r="D2900" s="248"/>
      <c r="E2900" s="248"/>
      <c r="F2900" s="47"/>
      <c r="G2900" s="79"/>
      <c r="J2900" s="99"/>
      <c r="K2900" s="4"/>
    </row>
    <row r="2901" spans="3:11" x14ac:dyDescent="0.25">
      <c r="C2901" s="79"/>
      <c r="D2901" s="248"/>
      <c r="E2901" s="248"/>
      <c r="F2901" s="47"/>
      <c r="G2901" s="79"/>
      <c r="J2901" s="99"/>
      <c r="K2901" s="4"/>
    </row>
    <row r="2902" spans="3:11" x14ac:dyDescent="0.25">
      <c r="C2902" s="79"/>
      <c r="D2902" s="248"/>
      <c r="E2902" s="248"/>
      <c r="F2902" s="47"/>
      <c r="G2902" s="79"/>
      <c r="J2902" s="99"/>
      <c r="K2902" s="4"/>
    </row>
    <row r="2903" spans="3:11" x14ac:dyDescent="0.25">
      <c r="C2903" s="79"/>
      <c r="D2903" s="248"/>
      <c r="E2903" s="248"/>
      <c r="F2903" s="47"/>
      <c r="G2903" s="79"/>
      <c r="J2903" s="99"/>
      <c r="K2903" s="4"/>
    </row>
    <row r="2904" spans="3:11" x14ac:dyDescent="0.25">
      <c r="C2904" s="79"/>
      <c r="D2904" s="248"/>
      <c r="E2904" s="248"/>
      <c r="F2904" s="47"/>
      <c r="G2904" s="79"/>
      <c r="J2904" s="99"/>
      <c r="K2904" s="4"/>
    </row>
    <row r="2905" spans="3:11" x14ac:dyDescent="0.25">
      <c r="C2905" s="79"/>
      <c r="D2905" s="248"/>
      <c r="E2905" s="248"/>
      <c r="F2905" s="47"/>
      <c r="G2905" s="79"/>
      <c r="J2905" s="99"/>
      <c r="K2905" s="4"/>
    </row>
    <row r="2906" spans="3:11" x14ac:dyDescent="0.25">
      <c r="C2906" s="79"/>
      <c r="D2906" s="248"/>
      <c r="E2906" s="248"/>
      <c r="F2906" s="47"/>
      <c r="G2906" s="79"/>
      <c r="J2906" s="99"/>
      <c r="K2906" s="4"/>
    </row>
    <row r="2907" spans="3:11" x14ac:dyDescent="0.25">
      <c r="C2907" s="79"/>
      <c r="D2907" s="248"/>
      <c r="E2907" s="248"/>
      <c r="F2907" s="47"/>
      <c r="G2907" s="79"/>
      <c r="J2907" s="99"/>
      <c r="K2907" s="4"/>
    </row>
    <row r="2908" spans="3:11" x14ac:dyDescent="0.25">
      <c r="C2908" s="79"/>
      <c r="D2908" s="248"/>
      <c r="E2908" s="248"/>
      <c r="F2908" s="47"/>
      <c r="G2908" s="79"/>
      <c r="J2908" s="99"/>
      <c r="K2908" s="4"/>
    </row>
    <row r="2909" spans="3:11" x14ac:dyDescent="0.25">
      <c r="C2909" s="79"/>
      <c r="D2909" s="248"/>
      <c r="E2909" s="248"/>
      <c r="F2909" s="47"/>
      <c r="G2909" s="79"/>
      <c r="J2909" s="99"/>
      <c r="K2909" s="4"/>
    </row>
    <row r="2910" spans="3:11" x14ac:dyDescent="0.25">
      <c r="C2910" s="79"/>
      <c r="D2910" s="248"/>
      <c r="E2910" s="248"/>
      <c r="F2910" s="47"/>
      <c r="G2910" s="79"/>
      <c r="J2910" s="99"/>
      <c r="K2910" s="4"/>
    </row>
    <row r="2911" spans="3:11" x14ac:dyDescent="0.25">
      <c r="C2911" s="79"/>
      <c r="D2911" s="248"/>
      <c r="E2911" s="248"/>
      <c r="F2911" s="47"/>
      <c r="G2911" s="79"/>
      <c r="J2911" s="99"/>
      <c r="K2911" s="4"/>
    </row>
    <row r="2912" spans="3:11" x14ac:dyDescent="0.25">
      <c r="C2912" s="79"/>
      <c r="D2912" s="248"/>
      <c r="E2912" s="248"/>
      <c r="F2912" s="47"/>
      <c r="G2912" s="79"/>
      <c r="J2912" s="99"/>
      <c r="K2912" s="4"/>
    </row>
    <row r="2913" spans="3:11" x14ac:dyDescent="0.25">
      <c r="C2913" s="79"/>
      <c r="D2913" s="248"/>
      <c r="E2913" s="248"/>
      <c r="F2913" s="47"/>
      <c r="G2913" s="79"/>
      <c r="J2913" s="99"/>
      <c r="K2913" s="4"/>
    </row>
    <row r="2914" spans="3:11" x14ac:dyDescent="0.25">
      <c r="C2914" s="79"/>
      <c r="D2914" s="248"/>
      <c r="E2914" s="248"/>
      <c r="F2914" s="47"/>
      <c r="G2914" s="79"/>
      <c r="J2914" s="99"/>
      <c r="K2914" s="4"/>
    </row>
    <row r="2915" spans="3:11" x14ac:dyDescent="0.25">
      <c r="C2915" s="79"/>
      <c r="D2915" s="248"/>
      <c r="E2915" s="248"/>
      <c r="F2915" s="47"/>
      <c r="G2915" s="79"/>
      <c r="J2915" s="99"/>
      <c r="K2915" s="4"/>
    </row>
    <row r="2916" spans="3:11" x14ac:dyDescent="0.25">
      <c r="C2916" s="79"/>
      <c r="D2916" s="248"/>
      <c r="E2916" s="248"/>
      <c r="F2916" s="47"/>
      <c r="G2916" s="79"/>
      <c r="J2916" s="99"/>
      <c r="K2916" s="4"/>
    </row>
    <row r="2917" spans="3:11" x14ac:dyDescent="0.25">
      <c r="C2917" s="79"/>
      <c r="D2917" s="248"/>
      <c r="E2917" s="248"/>
      <c r="F2917" s="47"/>
      <c r="G2917" s="79"/>
      <c r="J2917" s="99"/>
      <c r="K2917" s="4"/>
    </row>
    <row r="2918" spans="3:11" x14ac:dyDescent="0.25">
      <c r="C2918" s="79"/>
      <c r="D2918" s="248"/>
      <c r="E2918" s="248"/>
      <c r="F2918" s="47"/>
      <c r="G2918" s="79"/>
      <c r="J2918" s="99"/>
      <c r="K2918" s="4"/>
    </row>
    <row r="2919" spans="3:11" x14ac:dyDescent="0.25">
      <c r="C2919" s="79"/>
      <c r="D2919" s="248"/>
      <c r="E2919" s="248"/>
      <c r="F2919" s="47"/>
      <c r="G2919" s="79"/>
      <c r="J2919" s="99"/>
      <c r="K2919" s="4"/>
    </row>
    <row r="2920" spans="3:11" x14ac:dyDescent="0.25">
      <c r="C2920" s="79"/>
      <c r="D2920" s="248"/>
      <c r="E2920" s="248"/>
      <c r="F2920" s="47"/>
      <c r="G2920" s="79"/>
      <c r="J2920" s="99"/>
      <c r="K2920" s="4"/>
    </row>
    <row r="2921" spans="3:11" x14ac:dyDescent="0.25">
      <c r="C2921" s="79"/>
      <c r="D2921" s="248"/>
      <c r="E2921" s="248"/>
      <c r="F2921" s="47"/>
      <c r="G2921" s="79"/>
      <c r="J2921" s="99"/>
      <c r="K2921" s="4"/>
    </row>
    <row r="2922" spans="3:11" x14ac:dyDescent="0.25">
      <c r="C2922" s="79"/>
      <c r="D2922" s="248"/>
      <c r="E2922" s="248"/>
      <c r="F2922" s="47"/>
      <c r="G2922" s="79"/>
      <c r="J2922" s="99"/>
      <c r="K2922" s="4"/>
    </row>
    <row r="2923" spans="3:11" x14ac:dyDescent="0.25">
      <c r="C2923" s="79"/>
      <c r="D2923" s="248"/>
      <c r="E2923" s="248"/>
      <c r="F2923" s="47"/>
      <c r="G2923" s="79"/>
      <c r="J2923" s="99"/>
      <c r="K2923" s="4"/>
    </row>
    <row r="2924" spans="3:11" x14ac:dyDescent="0.25">
      <c r="C2924" s="79"/>
      <c r="D2924" s="248"/>
      <c r="E2924" s="248"/>
      <c r="F2924" s="47"/>
      <c r="G2924" s="79"/>
      <c r="J2924" s="99"/>
      <c r="K2924" s="4"/>
    </row>
    <row r="2925" spans="3:11" x14ac:dyDescent="0.25">
      <c r="C2925" s="79"/>
      <c r="D2925" s="248"/>
      <c r="E2925" s="248"/>
      <c r="F2925" s="47"/>
      <c r="G2925" s="79"/>
      <c r="J2925" s="99"/>
      <c r="K2925" s="4"/>
    </row>
    <row r="2926" spans="3:11" x14ac:dyDescent="0.25">
      <c r="C2926" s="79"/>
      <c r="D2926" s="248"/>
      <c r="E2926" s="248"/>
      <c r="F2926" s="47"/>
      <c r="G2926" s="79"/>
      <c r="J2926" s="99"/>
      <c r="K2926" s="4"/>
    </row>
    <row r="2927" spans="3:11" x14ac:dyDescent="0.25">
      <c r="C2927" s="79"/>
      <c r="D2927" s="248"/>
      <c r="E2927" s="248"/>
      <c r="F2927" s="47"/>
      <c r="G2927" s="79"/>
      <c r="J2927" s="99"/>
      <c r="K2927" s="4"/>
    </row>
    <row r="2928" spans="3:11" x14ac:dyDescent="0.25">
      <c r="C2928" s="79"/>
      <c r="D2928" s="248"/>
      <c r="E2928" s="248"/>
      <c r="F2928" s="47"/>
      <c r="G2928" s="79"/>
      <c r="J2928" s="99"/>
      <c r="K2928" s="4"/>
    </row>
    <row r="2929" spans="3:11" x14ac:dyDescent="0.25">
      <c r="C2929" s="79"/>
      <c r="D2929" s="248"/>
      <c r="E2929" s="248"/>
      <c r="F2929" s="47"/>
      <c r="G2929" s="79"/>
      <c r="J2929" s="99"/>
      <c r="K2929" s="4"/>
    </row>
    <row r="2930" spans="3:11" x14ac:dyDescent="0.25">
      <c r="C2930" s="79"/>
      <c r="D2930" s="248"/>
      <c r="E2930" s="248"/>
      <c r="F2930" s="47"/>
      <c r="G2930" s="79"/>
      <c r="J2930" s="99"/>
      <c r="K2930" s="4"/>
    </row>
    <row r="2931" spans="3:11" x14ac:dyDescent="0.25">
      <c r="C2931" s="79"/>
      <c r="D2931" s="248"/>
      <c r="E2931" s="248"/>
      <c r="F2931" s="47"/>
      <c r="G2931" s="79"/>
      <c r="J2931" s="99"/>
      <c r="K2931" s="4"/>
    </row>
    <row r="2932" spans="3:11" x14ac:dyDescent="0.25">
      <c r="C2932" s="79"/>
      <c r="D2932" s="248"/>
      <c r="E2932" s="248"/>
      <c r="F2932" s="47"/>
      <c r="G2932" s="79"/>
      <c r="J2932" s="99"/>
      <c r="K2932" s="4"/>
    </row>
    <row r="2933" spans="3:11" x14ac:dyDescent="0.25">
      <c r="C2933" s="79"/>
      <c r="D2933" s="248"/>
      <c r="E2933" s="248"/>
      <c r="F2933" s="47"/>
      <c r="G2933" s="79"/>
      <c r="J2933" s="99"/>
      <c r="K2933" s="4"/>
    </row>
    <row r="2934" spans="3:11" x14ac:dyDescent="0.25">
      <c r="C2934" s="79"/>
      <c r="D2934" s="248"/>
      <c r="E2934" s="248"/>
      <c r="F2934" s="47"/>
      <c r="G2934" s="79"/>
      <c r="J2934" s="99"/>
      <c r="K2934" s="4"/>
    </row>
    <row r="2935" spans="3:11" x14ac:dyDescent="0.25">
      <c r="C2935" s="79"/>
      <c r="D2935" s="248"/>
      <c r="E2935" s="248"/>
      <c r="F2935" s="47"/>
      <c r="G2935" s="79"/>
      <c r="J2935" s="99"/>
      <c r="K2935" s="4"/>
    </row>
    <row r="2936" spans="3:11" x14ac:dyDescent="0.25">
      <c r="C2936" s="79"/>
      <c r="D2936" s="248"/>
      <c r="E2936" s="248"/>
      <c r="F2936" s="47"/>
      <c r="G2936" s="79"/>
      <c r="J2936" s="99"/>
      <c r="K2936" s="4"/>
    </row>
    <row r="2937" spans="3:11" x14ac:dyDescent="0.25">
      <c r="C2937" s="79"/>
      <c r="D2937" s="248"/>
      <c r="E2937" s="248"/>
      <c r="F2937" s="47"/>
      <c r="G2937" s="79"/>
      <c r="J2937" s="99"/>
      <c r="K2937" s="4"/>
    </row>
    <row r="2938" spans="3:11" x14ac:dyDescent="0.25">
      <c r="C2938" s="79"/>
      <c r="D2938" s="248"/>
      <c r="E2938" s="248"/>
      <c r="F2938" s="47"/>
      <c r="G2938" s="79"/>
      <c r="J2938" s="99"/>
      <c r="K2938" s="4"/>
    </row>
    <row r="2939" spans="3:11" x14ac:dyDescent="0.25">
      <c r="C2939" s="79"/>
      <c r="D2939" s="248"/>
      <c r="E2939" s="248"/>
      <c r="F2939" s="47"/>
      <c r="G2939" s="79"/>
      <c r="J2939" s="99"/>
      <c r="K2939" s="4"/>
    </row>
    <row r="2940" spans="3:11" x14ac:dyDescent="0.25">
      <c r="C2940" s="79"/>
      <c r="D2940" s="248"/>
      <c r="E2940" s="248"/>
      <c r="F2940" s="47"/>
      <c r="G2940" s="79"/>
      <c r="J2940" s="99"/>
      <c r="K2940" s="4"/>
    </row>
    <row r="2941" spans="3:11" x14ac:dyDescent="0.25">
      <c r="C2941" s="79"/>
      <c r="D2941" s="248"/>
      <c r="E2941" s="248"/>
      <c r="F2941" s="47"/>
      <c r="G2941" s="79"/>
      <c r="J2941" s="99"/>
      <c r="K2941" s="4"/>
    </row>
    <row r="2942" spans="3:11" x14ac:dyDescent="0.25">
      <c r="C2942" s="79"/>
      <c r="D2942" s="248"/>
      <c r="E2942" s="248"/>
      <c r="F2942" s="47"/>
      <c r="G2942" s="79"/>
      <c r="J2942" s="99"/>
      <c r="K2942" s="4"/>
    </row>
    <row r="2943" spans="3:11" x14ac:dyDescent="0.25">
      <c r="C2943" s="79"/>
      <c r="D2943" s="248"/>
      <c r="E2943" s="248"/>
      <c r="F2943" s="47"/>
      <c r="G2943" s="79"/>
      <c r="J2943" s="99"/>
      <c r="K2943" s="4"/>
    </row>
    <row r="2944" spans="3:11" x14ac:dyDescent="0.25">
      <c r="C2944" s="79"/>
      <c r="D2944" s="248"/>
      <c r="E2944" s="248"/>
      <c r="F2944" s="47"/>
      <c r="G2944" s="79"/>
      <c r="J2944" s="99"/>
      <c r="K2944" s="4"/>
    </row>
    <row r="2945" spans="3:11" x14ac:dyDescent="0.25">
      <c r="C2945" s="79"/>
      <c r="D2945" s="248"/>
      <c r="E2945" s="248"/>
      <c r="F2945" s="47"/>
      <c r="G2945" s="79"/>
      <c r="J2945" s="99"/>
      <c r="K2945" s="4"/>
    </row>
    <row r="2946" spans="3:11" x14ac:dyDescent="0.25">
      <c r="C2946" s="79"/>
      <c r="D2946" s="248"/>
      <c r="E2946" s="248"/>
      <c r="F2946" s="47"/>
      <c r="G2946" s="79"/>
      <c r="J2946" s="99"/>
      <c r="K2946" s="4"/>
    </row>
    <row r="2947" spans="3:11" x14ac:dyDescent="0.25">
      <c r="C2947" s="79"/>
      <c r="D2947" s="248"/>
      <c r="E2947" s="248"/>
      <c r="F2947" s="47"/>
      <c r="G2947" s="79"/>
      <c r="J2947" s="99"/>
      <c r="K2947" s="4"/>
    </row>
    <row r="2948" spans="3:11" x14ac:dyDescent="0.25">
      <c r="C2948" s="79"/>
      <c r="D2948" s="248"/>
      <c r="E2948" s="248"/>
      <c r="F2948" s="47"/>
      <c r="G2948" s="79"/>
      <c r="J2948" s="99"/>
      <c r="K2948" s="4"/>
    </row>
    <row r="2949" spans="3:11" x14ac:dyDescent="0.25">
      <c r="C2949" s="79"/>
      <c r="D2949" s="248"/>
      <c r="E2949" s="248"/>
      <c r="F2949" s="47"/>
      <c r="G2949" s="79"/>
      <c r="J2949" s="99"/>
      <c r="K2949" s="4"/>
    </row>
    <row r="2950" spans="3:11" x14ac:dyDescent="0.25">
      <c r="C2950" s="79"/>
      <c r="D2950" s="248"/>
      <c r="E2950" s="248"/>
      <c r="F2950" s="47"/>
      <c r="G2950" s="79"/>
      <c r="J2950" s="99"/>
      <c r="K2950" s="4"/>
    </row>
    <row r="2951" spans="3:11" x14ac:dyDescent="0.25">
      <c r="C2951" s="79"/>
      <c r="D2951" s="248"/>
      <c r="E2951" s="248"/>
      <c r="F2951" s="47"/>
      <c r="G2951" s="79"/>
      <c r="J2951" s="99"/>
      <c r="K2951" s="4"/>
    </row>
    <row r="2952" spans="3:11" x14ac:dyDescent="0.25">
      <c r="C2952" s="79"/>
      <c r="D2952" s="248"/>
      <c r="E2952" s="248"/>
      <c r="F2952" s="47"/>
      <c r="G2952" s="79"/>
      <c r="J2952" s="99"/>
      <c r="K2952" s="4"/>
    </row>
    <row r="2953" spans="3:11" x14ac:dyDescent="0.25">
      <c r="C2953" s="79"/>
      <c r="D2953" s="248"/>
      <c r="E2953" s="248"/>
      <c r="F2953" s="47"/>
      <c r="G2953" s="79"/>
      <c r="J2953" s="99"/>
      <c r="K2953" s="4"/>
    </row>
    <row r="2954" spans="3:11" x14ac:dyDescent="0.25">
      <c r="C2954" s="79"/>
      <c r="D2954" s="248"/>
      <c r="E2954" s="248"/>
      <c r="F2954" s="47"/>
      <c r="G2954" s="79"/>
      <c r="J2954" s="99"/>
      <c r="K2954" s="4"/>
    </row>
    <row r="2955" spans="3:11" x14ac:dyDescent="0.25">
      <c r="C2955" s="79"/>
      <c r="D2955" s="248"/>
      <c r="E2955" s="248"/>
      <c r="F2955" s="47"/>
      <c r="G2955" s="79"/>
      <c r="J2955" s="99"/>
      <c r="K2955" s="4"/>
    </row>
    <row r="2956" spans="3:11" x14ac:dyDescent="0.25">
      <c r="C2956" s="79"/>
      <c r="D2956" s="248"/>
      <c r="E2956" s="248"/>
      <c r="F2956" s="47"/>
      <c r="G2956" s="79"/>
      <c r="J2956" s="99"/>
      <c r="K2956" s="4"/>
    </row>
    <row r="2957" spans="3:11" x14ac:dyDescent="0.25">
      <c r="C2957" s="79"/>
      <c r="D2957" s="248"/>
      <c r="E2957" s="248"/>
      <c r="F2957" s="47"/>
      <c r="G2957" s="79"/>
      <c r="J2957" s="99"/>
      <c r="K2957" s="4"/>
    </row>
    <row r="2958" spans="3:11" x14ac:dyDescent="0.25">
      <c r="C2958" s="79"/>
      <c r="D2958" s="248"/>
      <c r="E2958" s="248"/>
      <c r="F2958" s="47"/>
      <c r="G2958" s="79"/>
      <c r="J2958" s="99"/>
      <c r="K2958" s="4"/>
    </row>
    <row r="2959" spans="3:11" x14ac:dyDescent="0.25">
      <c r="C2959" s="79"/>
      <c r="D2959" s="248"/>
      <c r="E2959" s="248"/>
      <c r="F2959" s="47"/>
      <c r="G2959" s="79"/>
      <c r="J2959" s="99"/>
      <c r="K2959" s="4"/>
    </row>
    <row r="2960" spans="3:11" x14ac:dyDescent="0.25">
      <c r="C2960" s="79"/>
      <c r="D2960" s="248"/>
      <c r="E2960" s="248"/>
      <c r="F2960" s="47"/>
      <c r="G2960" s="79"/>
      <c r="J2960" s="99"/>
      <c r="K2960" s="4"/>
    </row>
    <row r="2961" spans="3:11" x14ac:dyDescent="0.25">
      <c r="C2961" s="79"/>
      <c r="D2961" s="248"/>
      <c r="E2961" s="248"/>
      <c r="F2961" s="47"/>
      <c r="G2961" s="79"/>
      <c r="J2961" s="99"/>
      <c r="K2961" s="4"/>
    </row>
    <row r="2962" spans="3:11" x14ac:dyDescent="0.25">
      <c r="C2962" s="79"/>
      <c r="D2962" s="248"/>
      <c r="E2962" s="248"/>
      <c r="F2962" s="47"/>
      <c r="G2962" s="79"/>
      <c r="J2962" s="99"/>
      <c r="K2962" s="4"/>
    </row>
    <row r="2963" spans="3:11" x14ac:dyDescent="0.25">
      <c r="C2963" s="79"/>
      <c r="D2963" s="248"/>
      <c r="E2963" s="248"/>
      <c r="F2963" s="47"/>
      <c r="G2963" s="79"/>
      <c r="J2963" s="99"/>
      <c r="K2963" s="4"/>
    </row>
    <row r="2964" spans="3:11" x14ac:dyDescent="0.25">
      <c r="C2964" s="79"/>
      <c r="D2964" s="248"/>
      <c r="E2964" s="248"/>
      <c r="F2964" s="47"/>
      <c r="G2964" s="79"/>
      <c r="J2964" s="99"/>
      <c r="K2964" s="4"/>
    </row>
    <row r="2965" spans="3:11" x14ac:dyDescent="0.25">
      <c r="C2965" s="79"/>
      <c r="D2965" s="248"/>
      <c r="E2965" s="248"/>
      <c r="F2965" s="47"/>
      <c r="G2965" s="79"/>
      <c r="J2965" s="99"/>
      <c r="K2965" s="4"/>
    </row>
    <row r="2966" spans="3:11" x14ac:dyDescent="0.25">
      <c r="C2966" s="79"/>
      <c r="D2966" s="248"/>
      <c r="E2966" s="248"/>
      <c r="F2966" s="47"/>
      <c r="G2966" s="79"/>
      <c r="J2966" s="99"/>
      <c r="K2966" s="4"/>
    </row>
    <row r="2967" spans="3:11" x14ac:dyDescent="0.25">
      <c r="C2967" s="79"/>
      <c r="D2967" s="248"/>
      <c r="E2967" s="248"/>
      <c r="F2967" s="47"/>
      <c r="G2967" s="79"/>
      <c r="J2967" s="99"/>
      <c r="K2967" s="4"/>
    </row>
    <row r="2968" spans="3:11" x14ac:dyDescent="0.25">
      <c r="C2968" s="79"/>
      <c r="D2968" s="248"/>
      <c r="E2968" s="248"/>
      <c r="F2968" s="47"/>
      <c r="G2968" s="79"/>
      <c r="J2968" s="99"/>
      <c r="K2968" s="4"/>
    </row>
    <row r="2969" spans="3:11" x14ac:dyDescent="0.25">
      <c r="C2969" s="79"/>
      <c r="D2969" s="248"/>
      <c r="E2969" s="248"/>
      <c r="F2969" s="47"/>
      <c r="G2969" s="79"/>
      <c r="J2969" s="99"/>
      <c r="K2969" s="4"/>
    </row>
    <row r="2970" spans="3:11" x14ac:dyDescent="0.25">
      <c r="C2970" s="79"/>
      <c r="D2970" s="248"/>
      <c r="E2970" s="248"/>
      <c r="F2970" s="47"/>
      <c r="G2970" s="79"/>
      <c r="J2970" s="99"/>
      <c r="K2970" s="4"/>
    </row>
    <row r="2971" spans="3:11" x14ac:dyDescent="0.25">
      <c r="C2971" s="79"/>
      <c r="D2971" s="248"/>
      <c r="E2971" s="248"/>
      <c r="F2971" s="47"/>
      <c r="G2971" s="79"/>
      <c r="J2971" s="99"/>
      <c r="K2971" s="4"/>
    </row>
    <row r="2972" spans="3:11" x14ac:dyDescent="0.25">
      <c r="C2972" s="79"/>
      <c r="D2972" s="248"/>
      <c r="E2972" s="248"/>
      <c r="F2972" s="47"/>
      <c r="G2972" s="79"/>
      <c r="J2972" s="99"/>
      <c r="K2972" s="4"/>
    </row>
    <row r="2973" spans="3:11" x14ac:dyDescent="0.25">
      <c r="C2973" s="79"/>
      <c r="D2973" s="248"/>
      <c r="E2973" s="248"/>
      <c r="F2973" s="47"/>
      <c r="G2973" s="79"/>
      <c r="J2973" s="99"/>
      <c r="K2973" s="4"/>
    </row>
    <row r="2974" spans="3:11" x14ac:dyDescent="0.25">
      <c r="C2974" s="79"/>
      <c r="D2974" s="248"/>
      <c r="E2974" s="248"/>
      <c r="F2974" s="47"/>
      <c r="G2974" s="79"/>
      <c r="J2974" s="99"/>
      <c r="K2974" s="4"/>
    </row>
    <row r="2975" spans="3:11" x14ac:dyDescent="0.25">
      <c r="C2975" s="79"/>
      <c r="D2975" s="248"/>
      <c r="E2975" s="248"/>
      <c r="F2975" s="47"/>
      <c r="G2975" s="79"/>
      <c r="J2975" s="99"/>
      <c r="K2975" s="4"/>
    </row>
    <row r="2976" spans="3:11" x14ac:dyDescent="0.25">
      <c r="C2976" s="79"/>
      <c r="D2976" s="248"/>
      <c r="E2976" s="248"/>
      <c r="F2976" s="47"/>
      <c r="G2976" s="79"/>
      <c r="J2976" s="99"/>
      <c r="K2976" s="4"/>
    </row>
    <row r="2977" spans="3:11" x14ac:dyDescent="0.25">
      <c r="C2977" s="79"/>
      <c r="D2977" s="248"/>
      <c r="E2977" s="248"/>
      <c r="F2977" s="47"/>
      <c r="G2977" s="79"/>
      <c r="J2977" s="99"/>
      <c r="K2977" s="4"/>
    </row>
    <row r="2978" spans="3:11" x14ac:dyDescent="0.25">
      <c r="C2978" s="79"/>
      <c r="D2978" s="248"/>
      <c r="E2978" s="248"/>
      <c r="F2978" s="47"/>
      <c r="G2978" s="79"/>
      <c r="J2978" s="99"/>
      <c r="K2978" s="4"/>
    </row>
    <row r="2979" spans="3:11" x14ac:dyDescent="0.25">
      <c r="C2979" s="79"/>
      <c r="D2979" s="248"/>
      <c r="E2979" s="248"/>
      <c r="F2979" s="47"/>
      <c r="G2979" s="79"/>
      <c r="J2979" s="99"/>
      <c r="K2979" s="4"/>
    </row>
    <row r="2980" spans="3:11" x14ac:dyDescent="0.25">
      <c r="C2980" s="79"/>
      <c r="D2980" s="248"/>
      <c r="E2980" s="248"/>
      <c r="F2980" s="47"/>
      <c r="G2980" s="79"/>
      <c r="J2980" s="99"/>
      <c r="K2980" s="4"/>
    </row>
    <row r="2981" spans="3:11" x14ac:dyDescent="0.25">
      <c r="C2981" s="79"/>
      <c r="D2981" s="248"/>
      <c r="E2981" s="248"/>
      <c r="F2981" s="47"/>
      <c r="G2981" s="79"/>
      <c r="J2981" s="99"/>
      <c r="K2981" s="4"/>
    </row>
    <row r="2982" spans="3:11" x14ac:dyDescent="0.25">
      <c r="C2982" s="79"/>
      <c r="D2982" s="248"/>
      <c r="E2982" s="248"/>
      <c r="F2982" s="47"/>
      <c r="G2982" s="79"/>
      <c r="J2982" s="99"/>
      <c r="K2982" s="4"/>
    </row>
    <row r="2983" spans="3:11" x14ac:dyDescent="0.25">
      <c r="C2983" s="79"/>
      <c r="D2983" s="248"/>
      <c r="E2983" s="248"/>
      <c r="F2983" s="47"/>
      <c r="G2983" s="79"/>
      <c r="J2983" s="99"/>
      <c r="K2983" s="4"/>
    </row>
    <row r="2984" spans="3:11" x14ac:dyDescent="0.25">
      <c r="C2984" s="79"/>
      <c r="D2984" s="248"/>
      <c r="E2984" s="248"/>
      <c r="F2984" s="47"/>
      <c r="G2984" s="79"/>
      <c r="J2984" s="99"/>
      <c r="K2984" s="4"/>
    </row>
    <row r="2985" spans="3:11" x14ac:dyDescent="0.25">
      <c r="C2985" s="79"/>
      <c r="D2985" s="248"/>
      <c r="E2985" s="248"/>
      <c r="F2985" s="47"/>
      <c r="G2985" s="79"/>
      <c r="J2985" s="99"/>
      <c r="K2985" s="4"/>
    </row>
    <row r="2986" spans="3:11" x14ac:dyDescent="0.25">
      <c r="C2986" s="79"/>
      <c r="D2986" s="248"/>
      <c r="E2986" s="248"/>
      <c r="F2986" s="47"/>
      <c r="G2986" s="79"/>
      <c r="J2986" s="99"/>
      <c r="K2986" s="4"/>
    </row>
    <row r="2987" spans="3:11" x14ac:dyDescent="0.25">
      <c r="C2987" s="79"/>
      <c r="D2987" s="248"/>
      <c r="E2987" s="248"/>
      <c r="F2987" s="47"/>
      <c r="G2987" s="79"/>
      <c r="J2987" s="99"/>
      <c r="K2987" s="4"/>
    </row>
    <row r="2988" spans="3:11" x14ac:dyDescent="0.25">
      <c r="C2988" s="79"/>
      <c r="D2988" s="248"/>
      <c r="E2988" s="248"/>
      <c r="F2988" s="47"/>
      <c r="G2988" s="79"/>
      <c r="J2988" s="99"/>
      <c r="K2988" s="4"/>
    </row>
    <row r="2989" spans="3:11" x14ac:dyDescent="0.25">
      <c r="C2989" s="79"/>
      <c r="D2989" s="248"/>
      <c r="E2989" s="248"/>
      <c r="F2989" s="47"/>
      <c r="G2989" s="79"/>
      <c r="J2989" s="99"/>
      <c r="K2989" s="4"/>
    </row>
    <row r="2990" spans="3:11" x14ac:dyDescent="0.25">
      <c r="C2990" s="79"/>
      <c r="D2990" s="248"/>
      <c r="E2990" s="248"/>
      <c r="F2990" s="47"/>
      <c r="G2990" s="79"/>
      <c r="J2990" s="99"/>
      <c r="K2990" s="4"/>
    </row>
    <row r="2991" spans="3:11" x14ac:dyDescent="0.25">
      <c r="C2991" s="79"/>
      <c r="D2991" s="248"/>
      <c r="E2991" s="248"/>
      <c r="F2991" s="47"/>
      <c r="G2991" s="79"/>
      <c r="J2991" s="99"/>
      <c r="K2991" s="4"/>
    </row>
    <row r="2992" spans="3:11" x14ac:dyDescent="0.25">
      <c r="C2992" s="79"/>
      <c r="D2992" s="248"/>
      <c r="E2992" s="248"/>
      <c r="F2992" s="47"/>
      <c r="G2992" s="79"/>
      <c r="J2992" s="99"/>
      <c r="K2992" s="4"/>
    </row>
    <row r="2993" spans="3:11" x14ac:dyDescent="0.25">
      <c r="C2993" s="79"/>
      <c r="D2993" s="248"/>
      <c r="E2993" s="248"/>
      <c r="F2993" s="47"/>
      <c r="G2993" s="79"/>
      <c r="J2993" s="99"/>
      <c r="K2993" s="4"/>
    </row>
    <row r="2994" spans="3:11" x14ac:dyDescent="0.25">
      <c r="C2994" s="79"/>
      <c r="D2994" s="248"/>
      <c r="E2994" s="248"/>
      <c r="F2994" s="47"/>
      <c r="G2994" s="79"/>
      <c r="J2994" s="99"/>
      <c r="K2994" s="4"/>
    </row>
    <row r="2995" spans="3:11" x14ac:dyDescent="0.25">
      <c r="C2995" s="79"/>
      <c r="D2995" s="248"/>
      <c r="E2995" s="248"/>
      <c r="F2995" s="47"/>
      <c r="G2995" s="79"/>
      <c r="J2995" s="99"/>
      <c r="K2995" s="4"/>
    </row>
    <row r="2996" spans="3:11" x14ac:dyDescent="0.25">
      <c r="C2996" s="79"/>
      <c r="D2996" s="248"/>
      <c r="E2996" s="248"/>
      <c r="F2996" s="47"/>
      <c r="G2996" s="79"/>
      <c r="J2996" s="99"/>
      <c r="K2996" s="4"/>
    </row>
    <row r="2997" spans="3:11" x14ac:dyDescent="0.25">
      <c r="C2997" s="79"/>
      <c r="D2997" s="248"/>
      <c r="E2997" s="248"/>
      <c r="F2997" s="47"/>
      <c r="G2997" s="79"/>
      <c r="J2997" s="99"/>
      <c r="K2997" s="4"/>
    </row>
    <row r="2998" spans="3:11" x14ac:dyDescent="0.25">
      <c r="C2998" s="79"/>
      <c r="D2998" s="248"/>
      <c r="E2998" s="248"/>
      <c r="F2998" s="47"/>
      <c r="G2998" s="79"/>
      <c r="J2998" s="99"/>
      <c r="K2998" s="4"/>
    </row>
    <row r="2999" spans="3:11" x14ac:dyDescent="0.25">
      <c r="C2999" s="79"/>
      <c r="D2999" s="248"/>
      <c r="E2999" s="248"/>
      <c r="F2999" s="47"/>
      <c r="G2999" s="79"/>
      <c r="J2999" s="99"/>
      <c r="K2999" s="4"/>
    </row>
    <row r="3000" spans="3:11" x14ac:dyDescent="0.25">
      <c r="C3000" s="79"/>
      <c r="D3000" s="248"/>
      <c r="E3000" s="248"/>
      <c r="F3000" s="47"/>
      <c r="G3000" s="79"/>
      <c r="J3000" s="99"/>
      <c r="K3000" s="4"/>
    </row>
    <row r="3001" spans="3:11" x14ac:dyDescent="0.25">
      <c r="C3001" s="79"/>
      <c r="D3001" s="248"/>
      <c r="E3001" s="248"/>
      <c r="F3001" s="47"/>
      <c r="G3001" s="79"/>
      <c r="J3001" s="99"/>
      <c r="K3001" s="4"/>
    </row>
    <row r="3002" spans="3:11" x14ac:dyDescent="0.25">
      <c r="C3002" s="79"/>
      <c r="D3002" s="248"/>
      <c r="E3002" s="248"/>
      <c r="F3002" s="47"/>
      <c r="G3002" s="79"/>
      <c r="J3002" s="99"/>
      <c r="K3002" s="4"/>
    </row>
    <row r="3003" spans="3:11" x14ac:dyDescent="0.25">
      <c r="C3003" s="79"/>
      <c r="D3003" s="248"/>
      <c r="E3003" s="248"/>
      <c r="F3003" s="47"/>
      <c r="G3003" s="79"/>
      <c r="J3003" s="99"/>
      <c r="K3003" s="4"/>
    </row>
    <row r="3004" spans="3:11" x14ac:dyDescent="0.25">
      <c r="C3004" s="79"/>
      <c r="D3004" s="248"/>
      <c r="E3004" s="248"/>
      <c r="F3004" s="47"/>
      <c r="G3004" s="79"/>
      <c r="J3004" s="99"/>
      <c r="K3004" s="4"/>
    </row>
    <row r="3005" spans="3:11" x14ac:dyDescent="0.25">
      <c r="C3005" s="79"/>
      <c r="D3005" s="248"/>
      <c r="E3005" s="248"/>
      <c r="F3005" s="47"/>
      <c r="G3005" s="79"/>
      <c r="J3005" s="99"/>
      <c r="K3005" s="4"/>
    </row>
    <row r="3006" spans="3:11" x14ac:dyDescent="0.25">
      <c r="C3006" s="79"/>
      <c r="D3006" s="248"/>
      <c r="E3006" s="248"/>
      <c r="F3006" s="47"/>
      <c r="G3006" s="79"/>
      <c r="J3006" s="99"/>
      <c r="K3006" s="4"/>
    </row>
    <row r="3007" spans="3:11" x14ac:dyDescent="0.25">
      <c r="C3007" s="79"/>
      <c r="D3007" s="248"/>
      <c r="E3007" s="248"/>
      <c r="F3007" s="47"/>
      <c r="G3007" s="79"/>
      <c r="J3007" s="99"/>
      <c r="K3007" s="4"/>
    </row>
    <row r="3008" spans="3:11" x14ac:dyDescent="0.25">
      <c r="C3008" s="79"/>
      <c r="D3008" s="248"/>
      <c r="E3008" s="248"/>
      <c r="F3008" s="47"/>
      <c r="G3008" s="79"/>
      <c r="J3008" s="99"/>
      <c r="K3008" s="4"/>
    </row>
    <row r="3009" spans="3:11" x14ac:dyDescent="0.25">
      <c r="C3009" s="79"/>
      <c r="D3009" s="248"/>
      <c r="E3009" s="248"/>
      <c r="F3009" s="47"/>
      <c r="G3009" s="79"/>
      <c r="J3009" s="99"/>
      <c r="K3009" s="4"/>
    </row>
    <row r="3010" spans="3:11" x14ac:dyDescent="0.25">
      <c r="C3010" s="79"/>
      <c r="D3010" s="248"/>
      <c r="E3010" s="248"/>
      <c r="F3010" s="47"/>
      <c r="G3010" s="79"/>
      <c r="J3010" s="99"/>
      <c r="K3010" s="4"/>
    </row>
    <row r="3011" spans="3:11" x14ac:dyDescent="0.25">
      <c r="C3011" s="79"/>
      <c r="D3011" s="248"/>
      <c r="E3011" s="248"/>
      <c r="F3011" s="47"/>
      <c r="G3011" s="79"/>
      <c r="J3011" s="99"/>
      <c r="K3011" s="4"/>
    </row>
    <row r="3012" spans="3:11" x14ac:dyDescent="0.25">
      <c r="C3012" s="79"/>
      <c r="D3012" s="248"/>
      <c r="E3012" s="248"/>
      <c r="F3012" s="47"/>
      <c r="G3012" s="79"/>
      <c r="J3012" s="99"/>
      <c r="K3012" s="4"/>
    </row>
    <row r="3013" spans="3:11" x14ac:dyDescent="0.25">
      <c r="C3013" s="79"/>
      <c r="D3013" s="248"/>
      <c r="E3013" s="248"/>
      <c r="F3013" s="47"/>
      <c r="G3013" s="79"/>
      <c r="J3013" s="99"/>
      <c r="K3013" s="4"/>
    </row>
    <row r="3014" spans="3:11" x14ac:dyDescent="0.25">
      <c r="C3014" s="79"/>
      <c r="D3014" s="248"/>
      <c r="E3014" s="248"/>
      <c r="F3014" s="47"/>
      <c r="G3014" s="79"/>
      <c r="J3014" s="99"/>
      <c r="K3014" s="4"/>
    </row>
    <row r="3015" spans="3:11" x14ac:dyDescent="0.25">
      <c r="C3015" s="79"/>
      <c r="D3015" s="248"/>
      <c r="E3015" s="248"/>
      <c r="F3015" s="47"/>
      <c r="G3015" s="79"/>
      <c r="J3015" s="99"/>
      <c r="K3015" s="4"/>
    </row>
    <row r="3016" spans="3:11" x14ac:dyDescent="0.25">
      <c r="C3016" s="79"/>
      <c r="D3016" s="248"/>
      <c r="E3016" s="248"/>
      <c r="F3016" s="47"/>
      <c r="G3016" s="79"/>
      <c r="J3016" s="99"/>
      <c r="K3016" s="4"/>
    </row>
    <row r="3017" spans="3:11" x14ac:dyDescent="0.25">
      <c r="C3017" s="79"/>
      <c r="D3017" s="248"/>
      <c r="E3017" s="248"/>
      <c r="F3017" s="47"/>
      <c r="G3017" s="79"/>
      <c r="J3017" s="99"/>
      <c r="K3017" s="4"/>
    </row>
    <row r="3018" spans="3:11" x14ac:dyDescent="0.25">
      <c r="C3018" s="79"/>
      <c r="D3018" s="248"/>
      <c r="E3018" s="248"/>
      <c r="F3018" s="47"/>
      <c r="G3018" s="79"/>
      <c r="J3018" s="99"/>
      <c r="K3018" s="4"/>
    </row>
    <row r="3019" spans="3:11" x14ac:dyDescent="0.25">
      <c r="C3019" s="79"/>
      <c r="D3019" s="248"/>
      <c r="E3019" s="248"/>
      <c r="F3019" s="47"/>
      <c r="G3019" s="79"/>
      <c r="J3019" s="99"/>
      <c r="K3019" s="4"/>
    </row>
    <row r="3020" spans="3:11" x14ac:dyDescent="0.25">
      <c r="C3020" s="79"/>
      <c r="D3020" s="248"/>
      <c r="E3020" s="248"/>
      <c r="F3020" s="47"/>
      <c r="G3020" s="79"/>
      <c r="J3020" s="99"/>
      <c r="K3020" s="4"/>
    </row>
    <row r="3021" spans="3:11" x14ac:dyDescent="0.25">
      <c r="C3021" s="79"/>
      <c r="D3021" s="248"/>
      <c r="E3021" s="248"/>
      <c r="F3021" s="47"/>
      <c r="G3021" s="79"/>
      <c r="J3021" s="99"/>
      <c r="K3021" s="4"/>
    </row>
    <row r="3022" spans="3:11" x14ac:dyDescent="0.25">
      <c r="C3022" s="79"/>
      <c r="D3022" s="248"/>
      <c r="E3022" s="248"/>
      <c r="F3022" s="47"/>
      <c r="G3022" s="79"/>
      <c r="J3022" s="99"/>
      <c r="K3022" s="4"/>
    </row>
    <row r="3023" spans="3:11" x14ac:dyDescent="0.25">
      <c r="C3023" s="79"/>
      <c r="D3023" s="248"/>
      <c r="E3023" s="248"/>
      <c r="F3023" s="47"/>
      <c r="G3023" s="79"/>
      <c r="J3023" s="99"/>
      <c r="K3023" s="4"/>
    </row>
    <row r="3024" spans="3:11" x14ac:dyDescent="0.25">
      <c r="C3024" s="79"/>
      <c r="D3024" s="248"/>
      <c r="E3024" s="248"/>
      <c r="F3024" s="47"/>
      <c r="G3024" s="79"/>
      <c r="J3024" s="99"/>
      <c r="K3024" s="4"/>
    </row>
    <row r="3025" spans="3:11" x14ac:dyDescent="0.25">
      <c r="C3025" s="79"/>
      <c r="D3025" s="248"/>
      <c r="E3025" s="248"/>
      <c r="F3025" s="47"/>
      <c r="G3025" s="79"/>
      <c r="J3025" s="99"/>
      <c r="K3025" s="4"/>
    </row>
    <row r="3026" spans="3:11" x14ac:dyDescent="0.25">
      <c r="C3026" s="79"/>
      <c r="D3026" s="248"/>
      <c r="E3026" s="248"/>
      <c r="F3026" s="47"/>
      <c r="G3026" s="79"/>
      <c r="J3026" s="99"/>
      <c r="K3026" s="4"/>
    </row>
    <row r="3027" spans="3:11" x14ac:dyDescent="0.25">
      <c r="C3027" s="79"/>
      <c r="D3027" s="248"/>
      <c r="E3027" s="248"/>
      <c r="F3027" s="47"/>
      <c r="G3027" s="79"/>
      <c r="J3027" s="99"/>
      <c r="K3027" s="4"/>
    </row>
    <row r="3028" spans="3:11" x14ac:dyDescent="0.25">
      <c r="C3028" s="79"/>
      <c r="D3028" s="248"/>
      <c r="E3028" s="248"/>
      <c r="F3028" s="47"/>
      <c r="G3028" s="79"/>
      <c r="J3028" s="99"/>
      <c r="K3028" s="4"/>
    </row>
    <row r="3029" spans="3:11" x14ac:dyDescent="0.25">
      <c r="C3029" s="79"/>
      <c r="D3029" s="248"/>
      <c r="E3029" s="248"/>
      <c r="F3029" s="47"/>
      <c r="G3029" s="79"/>
      <c r="J3029" s="99"/>
      <c r="K3029" s="4"/>
    </row>
    <row r="3030" spans="3:11" x14ac:dyDescent="0.25">
      <c r="C3030" s="79"/>
      <c r="D3030" s="248"/>
      <c r="E3030" s="248"/>
      <c r="F3030" s="47"/>
      <c r="G3030" s="79"/>
      <c r="J3030" s="99"/>
      <c r="K3030" s="4"/>
    </row>
    <row r="3031" spans="3:11" x14ac:dyDescent="0.25">
      <c r="C3031" s="79"/>
      <c r="D3031" s="248"/>
      <c r="E3031" s="248"/>
      <c r="F3031" s="47"/>
      <c r="G3031" s="79"/>
      <c r="J3031" s="99"/>
      <c r="K3031" s="4"/>
    </row>
    <row r="3032" spans="3:11" x14ac:dyDescent="0.25">
      <c r="C3032" s="79"/>
      <c r="D3032" s="248"/>
      <c r="E3032" s="248"/>
      <c r="F3032" s="47"/>
      <c r="G3032" s="79"/>
      <c r="J3032" s="99"/>
      <c r="K3032" s="4"/>
    </row>
    <row r="3033" spans="3:11" x14ac:dyDescent="0.25">
      <c r="C3033" s="79"/>
      <c r="D3033" s="248"/>
      <c r="E3033" s="248"/>
      <c r="F3033" s="47"/>
      <c r="G3033" s="79"/>
      <c r="J3033" s="99"/>
      <c r="K3033" s="4"/>
    </row>
    <row r="3034" spans="3:11" x14ac:dyDescent="0.25">
      <c r="C3034" s="79"/>
      <c r="D3034" s="248"/>
      <c r="E3034" s="248"/>
      <c r="F3034" s="47"/>
      <c r="G3034" s="79"/>
      <c r="J3034" s="99"/>
      <c r="K3034" s="4"/>
    </row>
    <row r="3035" spans="3:11" x14ac:dyDescent="0.25">
      <c r="C3035" s="79"/>
      <c r="D3035" s="248"/>
      <c r="E3035" s="248"/>
      <c r="F3035" s="47"/>
      <c r="G3035" s="79"/>
      <c r="J3035" s="99"/>
      <c r="K3035" s="4"/>
    </row>
    <row r="3036" spans="3:11" x14ac:dyDescent="0.25">
      <c r="C3036" s="79"/>
      <c r="D3036" s="248"/>
      <c r="E3036" s="248"/>
      <c r="F3036" s="47"/>
      <c r="G3036" s="79"/>
      <c r="J3036" s="99"/>
      <c r="K3036" s="4"/>
    </row>
    <row r="3037" spans="3:11" x14ac:dyDescent="0.25">
      <c r="C3037" s="79"/>
      <c r="D3037" s="248"/>
      <c r="E3037" s="248"/>
      <c r="F3037" s="47"/>
      <c r="G3037" s="79"/>
      <c r="J3037" s="99"/>
      <c r="K3037" s="4"/>
    </row>
    <row r="3038" spans="3:11" x14ac:dyDescent="0.25">
      <c r="C3038" s="79"/>
      <c r="D3038" s="248"/>
      <c r="E3038" s="248"/>
      <c r="F3038" s="47"/>
      <c r="G3038" s="79"/>
      <c r="J3038" s="99"/>
      <c r="K3038" s="4"/>
    </row>
    <row r="3039" spans="3:11" x14ac:dyDescent="0.25">
      <c r="C3039" s="79"/>
      <c r="D3039" s="248"/>
      <c r="E3039" s="248"/>
      <c r="F3039" s="47"/>
      <c r="G3039" s="79"/>
      <c r="J3039" s="99"/>
      <c r="K3039" s="4"/>
    </row>
    <row r="3040" spans="3:11" x14ac:dyDescent="0.25">
      <c r="C3040" s="79"/>
      <c r="D3040" s="248"/>
      <c r="E3040" s="248"/>
      <c r="F3040" s="47"/>
      <c r="G3040" s="79"/>
      <c r="J3040" s="99"/>
      <c r="K3040" s="4"/>
    </row>
    <row r="3041" spans="3:11" x14ac:dyDescent="0.25">
      <c r="C3041" s="79"/>
      <c r="D3041" s="248"/>
      <c r="E3041" s="248"/>
      <c r="F3041" s="47"/>
      <c r="G3041" s="79"/>
      <c r="J3041" s="99"/>
      <c r="K3041" s="4"/>
    </row>
    <row r="3042" spans="3:11" x14ac:dyDescent="0.25">
      <c r="C3042" s="79"/>
      <c r="D3042" s="248"/>
      <c r="E3042" s="248"/>
      <c r="F3042" s="47"/>
      <c r="G3042" s="79"/>
      <c r="J3042" s="99"/>
      <c r="K3042" s="4"/>
    </row>
    <row r="3043" spans="3:11" x14ac:dyDescent="0.25">
      <c r="C3043" s="79"/>
      <c r="D3043" s="248"/>
      <c r="E3043" s="248"/>
      <c r="F3043" s="47"/>
      <c r="G3043" s="79"/>
      <c r="J3043" s="99"/>
      <c r="K3043" s="4"/>
    </row>
    <row r="3044" spans="3:11" x14ac:dyDescent="0.25">
      <c r="C3044" s="79"/>
      <c r="D3044" s="248"/>
      <c r="E3044" s="248"/>
      <c r="F3044" s="47"/>
      <c r="G3044" s="79"/>
      <c r="J3044" s="99"/>
      <c r="K3044" s="4"/>
    </row>
    <row r="3045" spans="3:11" x14ac:dyDescent="0.25">
      <c r="C3045" s="79"/>
      <c r="D3045" s="248"/>
      <c r="E3045" s="248"/>
      <c r="F3045" s="47"/>
      <c r="G3045" s="79"/>
      <c r="J3045" s="99"/>
      <c r="K3045" s="4"/>
    </row>
    <row r="3046" spans="3:11" x14ac:dyDescent="0.25">
      <c r="C3046" s="79"/>
      <c r="D3046" s="248"/>
      <c r="E3046" s="248"/>
      <c r="F3046" s="47"/>
      <c r="G3046" s="79"/>
      <c r="J3046" s="99"/>
      <c r="K3046" s="4"/>
    </row>
    <row r="3047" spans="3:11" x14ac:dyDescent="0.25">
      <c r="C3047" s="79"/>
      <c r="D3047" s="248"/>
      <c r="E3047" s="248"/>
      <c r="F3047" s="47"/>
      <c r="G3047" s="79"/>
      <c r="J3047" s="99"/>
      <c r="K3047" s="4"/>
    </row>
    <row r="3048" spans="3:11" x14ac:dyDescent="0.25">
      <c r="C3048" s="79"/>
      <c r="D3048" s="248"/>
      <c r="E3048" s="248"/>
      <c r="F3048" s="47"/>
      <c r="G3048" s="79"/>
      <c r="J3048" s="99"/>
      <c r="K3048" s="4"/>
    </row>
    <row r="3049" spans="3:11" x14ac:dyDescent="0.25">
      <c r="C3049" s="79"/>
      <c r="D3049" s="248"/>
      <c r="E3049" s="248"/>
      <c r="F3049" s="47"/>
      <c r="G3049" s="79"/>
      <c r="J3049" s="99"/>
      <c r="K3049" s="4"/>
    </row>
    <row r="3050" spans="3:11" x14ac:dyDescent="0.25">
      <c r="C3050" s="79"/>
      <c r="D3050" s="248"/>
      <c r="E3050" s="248"/>
      <c r="F3050" s="47"/>
      <c r="G3050" s="79"/>
      <c r="J3050" s="99"/>
      <c r="K3050" s="4"/>
    </row>
    <row r="3051" spans="3:11" x14ac:dyDescent="0.25">
      <c r="C3051" s="79"/>
      <c r="D3051" s="248"/>
      <c r="E3051" s="248"/>
      <c r="F3051" s="47"/>
      <c r="G3051" s="79"/>
      <c r="J3051" s="99"/>
      <c r="K3051" s="4"/>
    </row>
    <row r="3052" spans="3:11" x14ac:dyDescent="0.25">
      <c r="C3052" s="79"/>
      <c r="D3052" s="248"/>
      <c r="E3052" s="248"/>
      <c r="F3052" s="47"/>
      <c r="G3052" s="79"/>
      <c r="J3052" s="99"/>
      <c r="K3052" s="4"/>
    </row>
    <row r="3053" spans="3:11" x14ac:dyDescent="0.25">
      <c r="C3053" s="79"/>
      <c r="D3053" s="248"/>
      <c r="E3053" s="248"/>
      <c r="F3053" s="47"/>
      <c r="G3053" s="79"/>
      <c r="J3053" s="99"/>
      <c r="K3053" s="4"/>
    </row>
    <row r="3054" spans="3:11" x14ac:dyDescent="0.25">
      <c r="C3054" s="79"/>
      <c r="D3054" s="248"/>
      <c r="E3054" s="248"/>
      <c r="F3054" s="47"/>
      <c r="G3054" s="79"/>
      <c r="J3054" s="99"/>
      <c r="K3054" s="4"/>
    </row>
    <row r="3055" spans="3:11" x14ac:dyDescent="0.25">
      <c r="C3055" s="79"/>
      <c r="D3055" s="248"/>
      <c r="E3055" s="248"/>
      <c r="F3055" s="47"/>
      <c r="G3055" s="79"/>
      <c r="J3055" s="99"/>
      <c r="K3055" s="4"/>
    </row>
    <row r="3056" spans="3:11" x14ac:dyDescent="0.25">
      <c r="C3056" s="79"/>
      <c r="D3056" s="248"/>
      <c r="E3056" s="248"/>
      <c r="F3056" s="47"/>
      <c r="G3056" s="79"/>
      <c r="J3056" s="99"/>
      <c r="K3056" s="4"/>
    </row>
    <row r="3057" spans="3:11" x14ac:dyDescent="0.25">
      <c r="C3057" s="79"/>
      <c r="D3057" s="248"/>
      <c r="E3057" s="248"/>
      <c r="F3057" s="47"/>
      <c r="G3057" s="79"/>
      <c r="J3057" s="99"/>
      <c r="K3057" s="4"/>
    </row>
    <row r="3058" spans="3:11" x14ac:dyDescent="0.25">
      <c r="C3058" s="79"/>
      <c r="D3058" s="248"/>
      <c r="E3058" s="248"/>
      <c r="F3058" s="47"/>
      <c r="G3058" s="79"/>
      <c r="J3058" s="99"/>
      <c r="K3058" s="4"/>
    </row>
    <row r="3059" spans="3:11" x14ac:dyDescent="0.25">
      <c r="C3059" s="79"/>
      <c r="D3059" s="248"/>
      <c r="E3059" s="248"/>
      <c r="F3059" s="47"/>
      <c r="G3059" s="79"/>
      <c r="J3059" s="99"/>
      <c r="K3059" s="4"/>
    </row>
    <row r="3060" spans="3:11" x14ac:dyDescent="0.25">
      <c r="C3060" s="79"/>
      <c r="D3060" s="248"/>
      <c r="E3060" s="248"/>
      <c r="F3060" s="47"/>
      <c r="G3060" s="79"/>
      <c r="J3060" s="99"/>
      <c r="K3060" s="4"/>
    </row>
    <row r="3061" spans="3:11" x14ac:dyDescent="0.25">
      <c r="C3061" s="79"/>
      <c r="D3061" s="248"/>
      <c r="E3061" s="248"/>
      <c r="F3061" s="47"/>
      <c r="G3061" s="79"/>
      <c r="J3061" s="99"/>
      <c r="K3061" s="4"/>
    </row>
    <row r="3062" spans="3:11" x14ac:dyDescent="0.25">
      <c r="C3062" s="79"/>
      <c r="D3062" s="248"/>
      <c r="E3062" s="248"/>
      <c r="F3062" s="47"/>
      <c r="G3062" s="79"/>
      <c r="J3062" s="99"/>
      <c r="K3062" s="4"/>
    </row>
    <row r="3063" spans="3:11" x14ac:dyDescent="0.25">
      <c r="C3063" s="79"/>
      <c r="D3063" s="248"/>
      <c r="E3063" s="248"/>
      <c r="F3063" s="47"/>
      <c r="G3063" s="79"/>
      <c r="J3063" s="99"/>
      <c r="K3063" s="4"/>
    </row>
    <row r="3064" spans="3:11" x14ac:dyDescent="0.25">
      <c r="C3064" s="79"/>
      <c r="D3064" s="248"/>
      <c r="E3064" s="248"/>
      <c r="F3064" s="47"/>
      <c r="G3064" s="79"/>
      <c r="J3064" s="99"/>
      <c r="K3064" s="4"/>
    </row>
    <row r="3065" spans="3:11" x14ac:dyDescent="0.25">
      <c r="C3065" s="79"/>
      <c r="D3065" s="248"/>
      <c r="E3065" s="248"/>
      <c r="F3065" s="47"/>
      <c r="G3065" s="79"/>
      <c r="J3065" s="99"/>
      <c r="K3065" s="4"/>
    </row>
    <row r="3066" spans="3:11" x14ac:dyDescent="0.25">
      <c r="C3066" s="79"/>
      <c r="D3066" s="248"/>
      <c r="E3066" s="248"/>
      <c r="F3066" s="47"/>
      <c r="G3066" s="79"/>
      <c r="J3066" s="99"/>
      <c r="K3066" s="4"/>
    </row>
    <row r="3067" spans="3:11" x14ac:dyDescent="0.25">
      <c r="C3067" s="79"/>
      <c r="D3067" s="248"/>
      <c r="E3067" s="248"/>
      <c r="F3067" s="47"/>
      <c r="G3067" s="79"/>
      <c r="J3067" s="99"/>
      <c r="K3067" s="4"/>
    </row>
    <row r="3068" spans="3:11" x14ac:dyDescent="0.25">
      <c r="C3068" s="79"/>
      <c r="D3068" s="248"/>
      <c r="E3068" s="248"/>
      <c r="F3068" s="47"/>
      <c r="G3068" s="79"/>
      <c r="J3068" s="99"/>
      <c r="K3068" s="4"/>
    </row>
    <row r="3069" spans="3:11" x14ac:dyDescent="0.25">
      <c r="C3069" s="79"/>
      <c r="D3069" s="248"/>
      <c r="E3069" s="248"/>
      <c r="F3069" s="47"/>
      <c r="G3069" s="79"/>
      <c r="J3069" s="99"/>
      <c r="K3069" s="4"/>
    </row>
    <row r="3070" spans="3:11" x14ac:dyDescent="0.25">
      <c r="C3070" s="79"/>
      <c r="D3070" s="248"/>
      <c r="E3070" s="248"/>
      <c r="F3070" s="47"/>
      <c r="G3070" s="79"/>
      <c r="J3070" s="99"/>
      <c r="K3070" s="4"/>
    </row>
    <row r="3071" spans="3:11" x14ac:dyDescent="0.25">
      <c r="C3071" s="79"/>
      <c r="D3071" s="248"/>
      <c r="E3071" s="248"/>
      <c r="F3071" s="47"/>
      <c r="G3071" s="79"/>
      <c r="J3071" s="99"/>
      <c r="K3071" s="4"/>
    </row>
    <row r="3072" spans="3:11" x14ac:dyDescent="0.25">
      <c r="C3072" s="79"/>
      <c r="D3072" s="248"/>
      <c r="E3072" s="248"/>
      <c r="F3072" s="47"/>
      <c r="G3072" s="79"/>
      <c r="J3072" s="99"/>
      <c r="K3072" s="4"/>
    </row>
    <row r="3073" spans="3:11" x14ac:dyDescent="0.25">
      <c r="C3073" s="79"/>
      <c r="D3073" s="248"/>
      <c r="E3073" s="248"/>
      <c r="F3073" s="47"/>
      <c r="G3073" s="79"/>
      <c r="J3073" s="99"/>
      <c r="K3073" s="4"/>
    </row>
    <row r="3074" spans="3:11" x14ac:dyDescent="0.25">
      <c r="C3074" s="79"/>
      <c r="D3074" s="248"/>
      <c r="E3074" s="248"/>
      <c r="F3074" s="47"/>
      <c r="G3074" s="79"/>
      <c r="J3074" s="99"/>
      <c r="K3074" s="4"/>
    </row>
    <row r="3075" spans="3:11" x14ac:dyDescent="0.25">
      <c r="C3075" s="79"/>
      <c r="D3075" s="248"/>
      <c r="E3075" s="248"/>
      <c r="F3075" s="47"/>
      <c r="G3075" s="79"/>
      <c r="J3075" s="99"/>
      <c r="K3075" s="4"/>
    </row>
    <row r="3076" spans="3:11" x14ac:dyDescent="0.25">
      <c r="C3076" s="79"/>
      <c r="D3076" s="248"/>
      <c r="E3076" s="248"/>
      <c r="F3076" s="47"/>
      <c r="G3076" s="79"/>
      <c r="J3076" s="99"/>
      <c r="K3076" s="4"/>
    </row>
    <row r="3077" spans="3:11" x14ac:dyDescent="0.25">
      <c r="C3077" s="79"/>
      <c r="D3077" s="248"/>
      <c r="E3077" s="248"/>
      <c r="F3077" s="47"/>
      <c r="G3077" s="79"/>
      <c r="J3077" s="99"/>
      <c r="K3077" s="4"/>
    </row>
    <row r="3078" spans="3:11" x14ac:dyDescent="0.25">
      <c r="C3078" s="79"/>
      <c r="D3078" s="248"/>
      <c r="E3078" s="248"/>
      <c r="F3078" s="47"/>
      <c r="G3078" s="79"/>
      <c r="J3078" s="99"/>
      <c r="K3078" s="4"/>
    </row>
    <row r="3079" spans="3:11" x14ac:dyDescent="0.25">
      <c r="C3079" s="79"/>
      <c r="D3079" s="248"/>
      <c r="E3079" s="248"/>
      <c r="F3079" s="47"/>
      <c r="G3079" s="79"/>
      <c r="J3079" s="99"/>
      <c r="K3079" s="4"/>
    </row>
    <row r="3080" spans="3:11" x14ac:dyDescent="0.25">
      <c r="C3080" s="79"/>
      <c r="D3080" s="248"/>
      <c r="E3080" s="248"/>
      <c r="F3080" s="47"/>
      <c r="G3080" s="79"/>
      <c r="J3080" s="99"/>
      <c r="K3080" s="4"/>
    </row>
    <row r="3081" spans="3:11" x14ac:dyDescent="0.25">
      <c r="C3081" s="79"/>
      <c r="D3081" s="248"/>
      <c r="E3081" s="248"/>
      <c r="F3081" s="47"/>
      <c r="G3081" s="79"/>
      <c r="J3081" s="99"/>
      <c r="K3081" s="4"/>
    </row>
    <row r="3082" spans="3:11" x14ac:dyDescent="0.25">
      <c r="C3082" s="79"/>
      <c r="D3082" s="248"/>
      <c r="E3082" s="248"/>
      <c r="F3082" s="47"/>
      <c r="G3082" s="79"/>
      <c r="J3082" s="99"/>
      <c r="K3082" s="4"/>
    </row>
    <row r="3083" spans="3:11" x14ac:dyDescent="0.25">
      <c r="C3083" s="79"/>
      <c r="D3083" s="248"/>
      <c r="E3083" s="248"/>
      <c r="F3083" s="47"/>
      <c r="G3083" s="79"/>
      <c r="J3083" s="99"/>
      <c r="K3083" s="4"/>
    </row>
    <row r="3084" spans="3:11" x14ac:dyDescent="0.25">
      <c r="C3084" s="79"/>
      <c r="D3084" s="248"/>
      <c r="E3084" s="248"/>
      <c r="F3084" s="47"/>
      <c r="G3084" s="79"/>
      <c r="J3084" s="99"/>
      <c r="K3084" s="4"/>
    </row>
    <row r="3085" spans="3:11" x14ac:dyDescent="0.25">
      <c r="C3085" s="79"/>
      <c r="D3085" s="248"/>
      <c r="E3085" s="248"/>
      <c r="F3085" s="47"/>
      <c r="G3085" s="79"/>
      <c r="J3085" s="99"/>
      <c r="K3085" s="4"/>
    </row>
    <row r="3086" spans="3:11" x14ac:dyDescent="0.25">
      <c r="C3086" s="79"/>
      <c r="D3086" s="248"/>
      <c r="E3086" s="248"/>
      <c r="F3086" s="47"/>
      <c r="G3086" s="79"/>
      <c r="J3086" s="99"/>
      <c r="K3086" s="4"/>
    </row>
    <row r="3087" spans="3:11" x14ac:dyDescent="0.25">
      <c r="C3087" s="79"/>
      <c r="D3087" s="248"/>
      <c r="E3087" s="248"/>
      <c r="F3087" s="47"/>
      <c r="G3087" s="79"/>
      <c r="J3087" s="99"/>
      <c r="K3087" s="4"/>
    </row>
    <row r="3088" spans="3:11" x14ac:dyDescent="0.25">
      <c r="C3088" s="79"/>
      <c r="D3088" s="248"/>
      <c r="E3088" s="248"/>
      <c r="F3088" s="47"/>
      <c r="G3088" s="79"/>
      <c r="J3088" s="99"/>
      <c r="K3088" s="4"/>
    </row>
    <row r="3089" spans="3:11" x14ac:dyDescent="0.25">
      <c r="C3089" s="79"/>
      <c r="D3089" s="248"/>
      <c r="E3089" s="248"/>
      <c r="F3089" s="47"/>
      <c r="G3089" s="79"/>
      <c r="J3089" s="99"/>
      <c r="K3089" s="4"/>
    </row>
    <row r="3090" spans="3:11" x14ac:dyDescent="0.25">
      <c r="C3090" s="79"/>
      <c r="D3090" s="248"/>
      <c r="E3090" s="248"/>
      <c r="F3090" s="47"/>
      <c r="G3090" s="79"/>
      <c r="J3090" s="99"/>
      <c r="K3090" s="4"/>
    </row>
    <row r="3091" spans="3:11" x14ac:dyDescent="0.25">
      <c r="C3091" s="79"/>
      <c r="D3091" s="248"/>
      <c r="E3091" s="248"/>
      <c r="F3091" s="47"/>
      <c r="G3091" s="79"/>
      <c r="J3091" s="99"/>
      <c r="K3091" s="4"/>
    </row>
    <row r="3092" spans="3:11" x14ac:dyDescent="0.25">
      <c r="C3092" s="79"/>
      <c r="D3092" s="248"/>
      <c r="E3092" s="248"/>
      <c r="F3092" s="47"/>
      <c r="G3092" s="79"/>
      <c r="J3092" s="99"/>
      <c r="K3092" s="4"/>
    </row>
    <row r="3093" spans="3:11" x14ac:dyDescent="0.25">
      <c r="C3093" s="79"/>
      <c r="D3093" s="248"/>
      <c r="E3093" s="248"/>
      <c r="F3093" s="47"/>
      <c r="G3093" s="79"/>
      <c r="J3093" s="99"/>
      <c r="K3093" s="4"/>
    </row>
    <row r="3094" spans="3:11" x14ac:dyDescent="0.25">
      <c r="C3094" s="79"/>
      <c r="D3094" s="248"/>
      <c r="E3094" s="248"/>
      <c r="F3094" s="47"/>
      <c r="G3094" s="79"/>
      <c r="J3094" s="99"/>
      <c r="K3094" s="4"/>
    </row>
    <row r="3095" spans="3:11" x14ac:dyDescent="0.25">
      <c r="C3095" s="79"/>
      <c r="D3095" s="248"/>
      <c r="E3095" s="248"/>
      <c r="F3095" s="47"/>
      <c r="G3095" s="79"/>
      <c r="J3095" s="99"/>
      <c r="K3095" s="4"/>
    </row>
    <row r="3096" spans="3:11" x14ac:dyDescent="0.25">
      <c r="C3096" s="79"/>
      <c r="D3096" s="248"/>
      <c r="E3096" s="248"/>
      <c r="F3096" s="47"/>
      <c r="G3096" s="79"/>
      <c r="J3096" s="99"/>
      <c r="K3096" s="4"/>
    </row>
    <row r="3097" spans="3:11" x14ac:dyDescent="0.25">
      <c r="C3097" s="79"/>
      <c r="D3097" s="248"/>
      <c r="E3097" s="248"/>
      <c r="F3097" s="47"/>
      <c r="G3097" s="79"/>
      <c r="J3097" s="99"/>
      <c r="K3097" s="4"/>
    </row>
    <row r="3098" spans="3:11" x14ac:dyDescent="0.25">
      <c r="C3098" s="79"/>
      <c r="D3098" s="248"/>
      <c r="E3098" s="248"/>
      <c r="F3098" s="47"/>
      <c r="G3098" s="79"/>
      <c r="J3098" s="99"/>
      <c r="K3098" s="4"/>
    </row>
    <row r="3099" spans="3:11" x14ac:dyDescent="0.25">
      <c r="C3099" s="79"/>
      <c r="D3099" s="248"/>
      <c r="E3099" s="248"/>
      <c r="F3099" s="47"/>
      <c r="G3099" s="79"/>
      <c r="J3099" s="99"/>
      <c r="K3099" s="4"/>
    </row>
    <row r="3100" spans="3:11" x14ac:dyDescent="0.25">
      <c r="C3100" s="79"/>
      <c r="D3100" s="248"/>
      <c r="E3100" s="248"/>
      <c r="F3100" s="47"/>
      <c r="G3100" s="79"/>
      <c r="J3100" s="99"/>
      <c r="K3100" s="4"/>
    </row>
    <row r="3101" spans="3:11" x14ac:dyDescent="0.25">
      <c r="C3101" s="79"/>
      <c r="D3101" s="248"/>
      <c r="E3101" s="248"/>
      <c r="F3101" s="47"/>
      <c r="G3101" s="79"/>
      <c r="J3101" s="99"/>
      <c r="K3101" s="4"/>
    </row>
    <row r="3102" spans="3:11" x14ac:dyDescent="0.25">
      <c r="C3102" s="79"/>
      <c r="D3102" s="248"/>
      <c r="E3102" s="248"/>
      <c r="F3102" s="47"/>
      <c r="G3102" s="79"/>
      <c r="J3102" s="99"/>
      <c r="K3102" s="4"/>
    </row>
    <row r="3103" spans="3:11" x14ac:dyDescent="0.25">
      <c r="C3103" s="79"/>
      <c r="D3103" s="248"/>
      <c r="E3103" s="248"/>
      <c r="F3103" s="47"/>
      <c r="G3103" s="79"/>
      <c r="J3103" s="99"/>
      <c r="K3103" s="4"/>
    </row>
    <row r="3104" spans="3:11" x14ac:dyDescent="0.25">
      <c r="C3104" s="79"/>
      <c r="D3104" s="248"/>
      <c r="E3104" s="248"/>
      <c r="F3104" s="47"/>
      <c r="G3104" s="79"/>
      <c r="J3104" s="99"/>
      <c r="K3104" s="4"/>
    </row>
    <row r="3105" spans="3:11" x14ac:dyDescent="0.25">
      <c r="C3105" s="79"/>
      <c r="D3105" s="248"/>
      <c r="E3105" s="248"/>
      <c r="F3105" s="47"/>
      <c r="G3105" s="79"/>
      <c r="J3105" s="99"/>
      <c r="K3105" s="4"/>
    </row>
    <row r="3106" spans="3:11" x14ac:dyDescent="0.25">
      <c r="C3106" s="79"/>
      <c r="D3106" s="248"/>
      <c r="E3106" s="248"/>
      <c r="F3106" s="47"/>
      <c r="G3106" s="79"/>
      <c r="J3106" s="99"/>
      <c r="K3106" s="4"/>
    </row>
    <row r="3107" spans="3:11" x14ac:dyDescent="0.25">
      <c r="C3107" s="79"/>
      <c r="D3107" s="248"/>
      <c r="E3107" s="248"/>
      <c r="F3107" s="47"/>
      <c r="G3107" s="79"/>
      <c r="J3107" s="99"/>
      <c r="K3107" s="4"/>
    </row>
    <row r="3108" spans="3:11" x14ac:dyDescent="0.25">
      <c r="C3108" s="79"/>
      <c r="D3108" s="248"/>
      <c r="E3108" s="248"/>
      <c r="F3108" s="47"/>
      <c r="G3108" s="79"/>
      <c r="J3108" s="99"/>
      <c r="K3108" s="4"/>
    </row>
    <row r="3109" spans="3:11" x14ac:dyDescent="0.25">
      <c r="C3109" s="79"/>
      <c r="D3109" s="248"/>
      <c r="E3109" s="248"/>
      <c r="F3109" s="47"/>
      <c r="G3109" s="79"/>
      <c r="J3109" s="99"/>
      <c r="K3109" s="4"/>
    </row>
    <row r="3110" spans="3:11" x14ac:dyDescent="0.25">
      <c r="C3110" s="79"/>
      <c r="D3110" s="248"/>
      <c r="E3110" s="248"/>
      <c r="F3110" s="47"/>
      <c r="G3110" s="79"/>
      <c r="J3110" s="99"/>
      <c r="K3110" s="4"/>
    </row>
    <row r="3111" spans="3:11" x14ac:dyDescent="0.25">
      <c r="C3111" s="79"/>
      <c r="D3111" s="248"/>
      <c r="E3111" s="248"/>
      <c r="F3111" s="47"/>
      <c r="G3111" s="79"/>
      <c r="J3111" s="99"/>
      <c r="K3111" s="4"/>
    </row>
    <row r="3112" spans="3:11" x14ac:dyDescent="0.25">
      <c r="C3112" s="79"/>
      <c r="D3112" s="248"/>
      <c r="E3112" s="248"/>
      <c r="F3112" s="47"/>
      <c r="G3112" s="79"/>
      <c r="J3112" s="99"/>
      <c r="K3112" s="4"/>
    </row>
    <row r="3113" spans="3:11" x14ac:dyDescent="0.25">
      <c r="C3113" s="79"/>
      <c r="D3113" s="248"/>
      <c r="E3113" s="248"/>
      <c r="F3113" s="47"/>
      <c r="G3113" s="79"/>
      <c r="J3113" s="99"/>
      <c r="K3113" s="4"/>
    </row>
    <row r="3114" spans="3:11" x14ac:dyDescent="0.25">
      <c r="C3114" s="79"/>
      <c r="D3114" s="248"/>
      <c r="E3114" s="248"/>
      <c r="F3114" s="47"/>
      <c r="G3114" s="79"/>
      <c r="J3114" s="99"/>
      <c r="K3114" s="4"/>
    </row>
    <row r="3115" spans="3:11" x14ac:dyDescent="0.25">
      <c r="C3115" s="79"/>
      <c r="D3115" s="248"/>
      <c r="E3115" s="248"/>
      <c r="F3115" s="47"/>
      <c r="G3115" s="79"/>
      <c r="J3115" s="99"/>
      <c r="K3115" s="4"/>
    </row>
    <row r="3116" spans="3:11" x14ac:dyDescent="0.25">
      <c r="C3116" s="79"/>
      <c r="D3116" s="248"/>
      <c r="E3116" s="248"/>
      <c r="F3116" s="47"/>
      <c r="G3116" s="79"/>
      <c r="J3116" s="99"/>
      <c r="K3116" s="4"/>
    </row>
    <row r="3117" spans="3:11" x14ac:dyDescent="0.25">
      <c r="C3117" s="79"/>
      <c r="D3117" s="248"/>
      <c r="E3117" s="248"/>
      <c r="F3117" s="47"/>
      <c r="G3117" s="79"/>
      <c r="J3117" s="99"/>
      <c r="K3117" s="4"/>
    </row>
    <row r="3118" spans="3:11" x14ac:dyDescent="0.25">
      <c r="C3118" s="79"/>
      <c r="D3118" s="248"/>
      <c r="E3118" s="248"/>
      <c r="F3118" s="47"/>
      <c r="G3118" s="79"/>
      <c r="J3118" s="99"/>
      <c r="K3118" s="4"/>
    </row>
    <row r="3119" spans="3:11" x14ac:dyDescent="0.25">
      <c r="C3119" s="79"/>
      <c r="D3119" s="248"/>
      <c r="E3119" s="248"/>
      <c r="F3119" s="47"/>
      <c r="G3119" s="79"/>
      <c r="J3119" s="99"/>
      <c r="K3119" s="4"/>
    </row>
    <row r="3120" spans="3:11" x14ac:dyDescent="0.25">
      <c r="C3120" s="79"/>
      <c r="D3120" s="248"/>
      <c r="E3120" s="248"/>
      <c r="F3120" s="47"/>
      <c r="G3120" s="79"/>
      <c r="J3120" s="99"/>
      <c r="K3120" s="4"/>
    </row>
    <row r="3121" spans="3:11" x14ac:dyDescent="0.25">
      <c r="C3121" s="79"/>
      <c r="D3121" s="248"/>
      <c r="E3121" s="248"/>
      <c r="F3121" s="47"/>
      <c r="G3121" s="79"/>
      <c r="J3121" s="99"/>
      <c r="K3121" s="4"/>
    </row>
    <row r="3122" spans="3:11" x14ac:dyDescent="0.25">
      <c r="C3122" s="79"/>
      <c r="D3122" s="248"/>
      <c r="E3122" s="248"/>
      <c r="F3122" s="47"/>
      <c r="G3122" s="79"/>
      <c r="J3122" s="99"/>
      <c r="K3122" s="4"/>
    </row>
    <row r="3123" spans="3:11" x14ac:dyDescent="0.25">
      <c r="C3123" s="79"/>
      <c r="D3123" s="248"/>
      <c r="E3123" s="248"/>
      <c r="F3123" s="47"/>
      <c r="G3123" s="79"/>
      <c r="J3123" s="99"/>
      <c r="K3123" s="4"/>
    </row>
    <row r="3124" spans="3:11" x14ac:dyDescent="0.25">
      <c r="C3124" s="79"/>
      <c r="D3124" s="248"/>
      <c r="E3124" s="248"/>
      <c r="F3124" s="47"/>
      <c r="G3124" s="79"/>
      <c r="J3124" s="99"/>
      <c r="K3124" s="4"/>
    </row>
    <row r="3125" spans="3:11" x14ac:dyDescent="0.25">
      <c r="C3125" s="79"/>
      <c r="D3125" s="248"/>
      <c r="E3125" s="248"/>
      <c r="F3125" s="47"/>
      <c r="G3125" s="79"/>
      <c r="J3125" s="99"/>
      <c r="K3125" s="4"/>
    </row>
    <row r="3126" spans="3:11" x14ac:dyDescent="0.25">
      <c r="C3126" s="79"/>
      <c r="D3126" s="248"/>
      <c r="E3126" s="248"/>
      <c r="F3126" s="47"/>
      <c r="G3126" s="79"/>
      <c r="J3126" s="99"/>
      <c r="K3126" s="4"/>
    </row>
    <row r="3127" spans="3:11" x14ac:dyDescent="0.25">
      <c r="C3127" s="79"/>
      <c r="D3127" s="248"/>
      <c r="E3127" s="248"/>
      <c r="F3127" s="47"/>
      <c r="G3127" s="79"/>
      <c r="J3127" s="99"/>
      <c r="K3127" s="4"/>
    </row>
    <row r="3128" spans="3:11" x14ac:dyDescent="0.25">
      <c r="C3128" s="79"/>
      <c r="D3128" s="248"/>
      <c r="E3128" s="248"/>
      <c r="F3128" s="47"/>
      <c r="G3128" s="79"/>
      <c r="J3128" s="99"/>
      <c r="K3128" s="4"/>
    </row>
    <row r="3129" spans="3:11" x14ac:dyDescent="0.25">
      <c r="C3129" s="79"/>
      <c r="D3129" s="248"/>
      <c r="E3129" s="248"/>
      <c r="F3129" s="47"/>
      <c r="G3129" s="79"/>
      <c r="J3129" s="99"/>
      <c r="K3129" s="4"/>
    </row>
    <row r="3130" spans="3:11" x14ac:dyDescent="0.25">
      <c r="C3130" s="79"/>
      <c r="D3130" s="248"/>
      <c r="E3130" s="248"/>
      <c r="F3130" s="47"/>
      <c r="G3130" s="79"/>
      <c r="J3130" s="99"/>
      <c r="K3130" s="4"/>
    </row>
    <row r="3131" spans="3:11" x14ac:dyDescent="0.25">
      <c r="C3131" s="79"/>
      <c r="D3131" s="248"/>
      <c r="E3131" s="248"/>
      <c r="F3131" s="47"/>
      <c r="G3131" s="79"/>
      <c r="J3131" s="99"/>
      <c r="K3131" s="4"/>
    </row>
    <row r="3132" spans="3:11" x14ac:dyDescent="0.25">
      <c r="C3132" s="79"/>
      <c r="D3132" s="248"/>
      <c r="E3132" s="248"/>
      <c r="F3132" s="47"/>
      <c r="G3132" s="79"/>
      <c r="J3132" s="99"/>
      <c r="K3132" s="4"/>
    </row>
    <row r="3133" spans="3:11" x14ac:dyDescent="0.25">
      <c r="C3133" s="79"/>
      <c r="D3133" s="248"/>
      <c r="E3133" s="248"/>
      <c r="F3133" s="47"/>
      <c r="G3133" s="79"/>
      <c r="J3133" s="99"/>
      <c r="K3133" s="4"/>
    </row>
    <row r="3134" spans="3:11" x14ac:dyDescent="0.25">
      <c r="C3134" s="79"/>
      <c r="D3134" s="248"/>
      <c r="E3134" s="248"/>
      <c r="F3134" s="47"/>
      <c r="G3134" s="79"/>
      <c r="J3134" s="99"/>
      <c r="K3134" s="4"/>
    </row>
    <row r="3135" spans="3:11" x14ac:dyDescent="0.25">
      <c r="C3135" s="79"/>
      <c r="D3135" s="248"/>
      <c r="E3135" s="248"/>
      <c r="F3135" s="47"/>
      <c r="G3135" s="79"/>
      <c r="J3135" s="99"/>
      <c r="K3135" s="4"/>
    </row>
    <row r="3136" spans="3:11" x14ac:dyDescent="0.25">
      <c r="C3136" s="79"/>
      <c r="D3136" s="248"/>
      <c r="E3136" s="248"/>
      <c r="F3136" s="47"/>
      <c r="G3136" s="79"/>
      <c r="J3136" s="99"/>
      <c r="K3136" s="4"/>
    </row>
    <row r="3137" spans="3:11" x14ac:dyDescent="0.25">
      <c r="C3137" s="79"/>
      <c r="D3137" s="248"/>
      <c r="E3137" s="248"/>
      <c r="F3137" s="47"/>
      <c r="G3137" s="79"/>
      <c r="J3137" s="99"/>
      <c r="K3137" s="4"/>
    </row>
    <row r="3138" spans="3:11" x14ac:dyDescent="0.25">
      <c r="C3138" s="79"/>
      <c r="D3138" s="248"/>
      <c r="E3138" s="248"/>
      <c r="F3138" s="47"/>
      <c r="G3138" s="79"/>
      <c r="J3138" s="99"/>
      <c r="K3138" s="4"/>
    </row>
    <row r="3139" spans="3:11" x14ac:dyDescent="0.25">
      <c r="C3139" s="79"/>
      <c r="D3139" s="248"/>
      <c r="E3139" s="248"/>
      <c r="F3139" s="47"/>
      <c r="G3139" s="79"/>
      <c r="J3139" s="99"/>
      <c r="K3139" s="4"/>
    </row>
    <row r="3140" spans="3:11" x14ac:dyDescent="0.25">
      <c r="C3140" s="79"/>
      <c r="D3140" s="248"/>
      <c r="E3140" s="248"/>
      <c r="F3140" s="47"/>
      <c r="G3140" s="79"/>
      <c r="J3140" s="99"/>
      <c r="K3140" s="4"/>
    </row>
    <row r="3141" spans="3:11" x14ac:dyDescent="0.25">
      <c r="C3141" s="79"/>
      <c r="D3141" s="248"/>
      <c r="E3141" s="248"/>
      <c r="F3141" s="47"/>
      <c r="G3141" s="79"/>
      <c r="J3141" s="99"/>
      <c r="K3141" s="4"/>
    </row>
    <row r="3142" spans="3:11" x14ac:dyDescent="0.25">
      <c r="C3142" s="79"/>
      <c r="D3142" s="248"/>
      <c r="E3142" s="248"/>
      <c r="F3142" s="47"/>
      <c r="G3142" s="79"/>
      <c r="J3142" s="99"/>
      <c r="K3142" s="4"/>
    </row>
    <row r="3143" spans="3:11" x14ac:dyDescent="0.25">
      <c r="C3143" s="79"/>
      <c r="D3143" s="248"/>
      <c r="E3143" s="248"/>
      <c r="F3143" s="47"/>
      <c r="G3143" s="79"/>
      <c r="J3143" s="99"/>
      <c r="K3143" s="4"/>
    </row>
    <row r="3144" spans="3:11" x14ac:dyDescent="0.25">
      <c r="C3144" s="79"/>
      <c r="D3144" s="248"/>
      <c r="E3144" s="248"/>
      <c r="F3144" s="47"/>
      <c r="G3144" s="79"/>
      <c r="J3144" s="99"/>
      <c r="K3144" s="4"/>
    </row>
    <row r="3145" spans="3:11" x14ac:dyDescent="0.25">
      <c r="C3145" s="79"/>
      <c r="D3145" s="248"/>
      <c r="E3145" s="248"/>
      <c r="F3145" s="47"/>
      <c r="G3145" s="79"/>
      <c r="J3145" s="99"/>
      <c r="K3145" s="4"/>
    </row>
    <row r="3146" spans="3:11" x14ac:dyDescent="0.25">
      <c r="C3146" s="79"/>
      <c r="D3146" s="248"/>
      <c r="E3146" s="248"/>
      <c r="F3146" s="47"/>
      <c r="G3146" s="79"/>
      <c r="J3146" s="99"/>
      <c r="K3146" s="4"/>
    </row>
    <row r="3147" spans="3:11" x14ac:dyDescent="0.25">
      <c r="C3147" s="79"/>
      <c r="D3147" s="248"/>
      <c r="E3147" s="248"/>
      <c r="F3147" s="47"/>
      <c r="G3147" s="79"/>
      <c r="J3147" s="99"/>
      <c r="K3147" s="4"/>
    </row>
    <row r="3148" spans="3:11" x14ac:dyDescent="0.25">
      <c r="C3148" s="79"/>
      <c r="D3148" s="248"/>
      <c r="E3148" s="248"/>
      <c r="F3148" s="47"/>
      <c r="G3148" s="79"/>
      <c r="J3148" s="99"/>
      <c r="K3148" s="4"/>
    </row>
    <row r="3149" spans="3:11" x14ac:dyDescent="0.25">
      <c r="C3149" s="79"/>
      <c r="D3149" s="248"/>
      <c r="E3149" s="248"/>
      <c r="F3149" s="47"/>
      <c r="G3149" s="79"/>
      <c r="J3149" s="99"/>
      <c r="K3149" s="4"/>
    </row>
    <row r="3150" spans="3:11" x14ac:dyDescent="0.25">
      <c r="C3150" s="79"/>
      <c r="D3150" s="248"/>
      <c r="E3150" s="248"/>
      <c r="F3150" s="47"/>
      <c r="G3150" s="79"/>
      <c r="J3150" s="99"/>
      <c r="K3150" s="4"/>
    </row>
    <row r="3151" spans="3:11" x14ac:dyDescent="0.25">
      <c r="C3151" s="79"/>
      <c r="D3151" s="248"/>
      <c r="E3151" s="248"/>
      <c r="F3151" s="47"/>
      <c r="G3151" s="79"/>
      <c r="J3151" s="99"/>
      <c r="K3151" s="4"/>
    </row>
    <row r="3152" spans="3:11" x14ac:dyDescent="0.25">
      <c r="C3152" s="79"/>
      <c r="D3152" s="248"/>
      <c r="E3152" s="248"/>
      <c r="F3152" s="47"/>
      <c r="G3152" s="79"/>
      <c r="J3152" s="99"/>
      <c r="K3152" s="4"/>
    </row>
    <row r="3153" spans="3:11" x14ac:dyDescent="0.25">
      <c r="C3153" s="79"/>
      <c r="D3153" s="248"/>
      <c r="E3153" s="248"/>
      <c r="F3153" s="47"/>
      <c r="G3153" s="79"/>
      <c r="J3153" s="99"/>
      <c r="K3153" s="4"/>
    </row>
    <row r="3154" spans="3:11" x14ac:dyDescent="0.25">
      <c r="C3154" s="79"/>
      <c r="D3154" s="248"/>
      <c r="E3154" s="248"/>
      <c r="F3154" s="47"/>
      <c r="G3154" s="79"/>
      <c r="J3154" s="99"/>
      <c r="K3154" s="4"/>
    </row>
    <row r="3155" spans="3:11" x14ac:dyDescent="0.25">
      <c r="C3155" s="79"/>
      <c r="D3155" s="248"/>
      <c r="E3155" s="248"/>
      <c r="F3155" s="47"/>
      <c r="G3155" s="79"/>
      <c r="J3155" s="99"/>
      <c r="K3155" s="4"/>
    </row>
    <row r="3156" spans="3:11" x14ac:dyDescent="0.25">
      <c r="C3156" s="79"/>
      <c r="D3156" s="248"/>
      <c r="E3156" s="248"/>
      <c r="F3156" s="47"/>
      <c r="G3156" s="79"/>
      <c r="J3156" s="99"/>
      <c r="K3156" s="4"/>
    </row>
    <row r="3157" spans="3:11" x14ac:dyDescent="0.25">
      <c r="C3157" s="79"/>
      <c r="D3157" s="248"/>
      <c r="E3157" s="248"/>
      <c r="F3157" s="47"/>
      <c r="G3157" s="79"/>
      <c r="J3157" s="99"/>
      <c r="K3157" s="4"/>
    </row>
    <row r="3158" spans="3:11" x14ac:dyDescent="0.25">
      <c r="C3158" s="79"/>
      <c r="D3158" s="248"/>
      <c r="E3158" s="248"/>
      <c r="F3158" s="47"/>
      <c r="G3158" s="79"/>
      <c r="J3158" s="99"/>
      <c r="K3158" s="4"/>
    </row>
    <row r="3159" spans="3:11" x14ac:dyDescent="0.25">
      <c r="C3159" s="79"/>
      <c r="D3159" s="248"/>
      <c r="E3159" s="248"/>
      <c r="F3159" s="47"/>
      <c r="G3159" s="79"/>
      <c r="J3159" s="99"/>
      <c r="K3159" s="4"/>
    </row>
    <row r="3160" spans="3:11" x14ac:dyDescent="0.25">
      <c r="C3160" s="79"/>
      <c r="D3160" s="248"/>
      <c r="E3160" s="248"/>
      <c r="F3160" s="47"/>
      <c r="G3160" s="79"/>
      <c r="J3160" s="99"/>
      <c r="K3160" s="4"/>
    </row>
    <row r="3161" spans="3:11" x14ac:dyDescent="0.25">
      <c r="C3161" s="79"/>
      <c r="D3161" s="248"/>
      <c r="E3161" s="248"/>
      <c r="F3161" s="47"/>
      <c r="G3161" s="79"/>
      <c r="J3161" s="99"/>
      <c r="K3161" s="4"/>
    </row>
    <row r="3162" spans="3:11" x14ac:dyDescent="0.25">
      <c r="C3162" s="79"/>
      <c r="D3162" s="248"/>
      <c r="E3162" s="248"/>
      <c r="F3162" s="47"/>
      <c r="G3162" s="79"/>
      <c r="J3162" s="99"/>
      <c r="K3162" s="4"/>
    </row>
    <row r="3163" spans="3:11" x14ac:dyDescent="0.25">
      <c r="C3163" s="79"/>
      <c r="D3163" s="248"/>
      <c r="E3163" s="248"/>
      <c r="F3163" s="47"/>
      <c r="G3163" s="79"/>
      <c r="J3163" s="99"/>
      <c r="K3163" s="4"/>
    </row>
    <row r="3164" spans="3:11" x14ac:dyDescent="0.25">
      <c r="C3164" s="79"/>
      <c r="D3164" s="248"/>
      <c r="E3164" s="248"/>
      <c r="F3164" s="47"/>
      <c r="G3164" s="79"/>
      <c r="J3164" s="99"/>
      <c r="K3164" s="4"/>
    </row>
    <row r="3165" spans="3:11" x14ac:dyDescent="0.25">
      <c r="C3165" s="79"/>
      <c r="D3165" s="248"/>
      <c r="E3165" s="248"/>
      <c r="F3165" s="47"/>
      <c r="G3165" s="79"/>
      <c r="J3165" s="99"/>
      <c r="K3165" s="4"/>
    </row>
    <row r="3166" spans="3:11" x14ac:dyDescent="0.25">
      <c r="C3166" s="79"/>
      <c r="D3166" s="248"/>
      <c r="E3166" s="248"/>
      <c r="F3166" s="47"/>
      <c r="G3166" s="79"/>
      <c r="J3166" s="99"/>
      <c r="K3166" s="4"/>
    </row>
    <row r="3167" spans="3:11" x14ac:dyDescent="0.25">
      <c r="C3167" s="79"/>
      <c r="D3167" s="248"/>
      <c r="E3167" s="248"/>
      <c r="F3167" s="47"/>
      <c r="G3167" s="79"/>
      <c r="J3167" s="99"/>
      <c r="K3167" s="4"/>
    </row>
    <row r="3168" spans="3:11" x14ac:dyDescent="0.25">
      <c r="C3168" s="79"/>
      <c r="D3168" s="248"/>
      <c r="E3168" s="248"/>
      <c r="F3168" s="47"/>
      <c r="G3168" s="79"/>
      <c r="J3168" s="99"/>
      <c r="K3168" s="4"/>
    </row>
    <row r="3169" spans="3:11" x14ac:dyDescent="0.25">
      <c r="C3169" s="79"/>
      <c r="D3169" s="248"/>
      <c r="E3169" s="248"/>
      <c r="F3169" s="47"/>
      <c r="G3169" s="79"/>
      <c r="J3169" s="99"/>
      <c r="K3169" s="4"/>
    </row>
    <row r="3170" spans="3:11" x14ac:dyDescent="0.25">
      <c r="C3170" s="79"/>
      <c r="D3170" s="248"/>
      <c r="E3170" s="248"/>
      <c r="F3170" s="47"/>
      <c r="G3170" s="79"/>
      <c r="J3170" s="99"/>
      <c r="K3170" s="4"/>
    </row>
    <row r="3171" spans="3:11" x14ac:dyDescent="0.25">
      <c r="C3171" s="79"/>
      <c r="D3171" s="248"/>
      <c r="E3171" s="248"/>
      <c r="F3171" s="47"/>
      <c r="G3171" s="79"/>
      <c r="J3171" s="99"/>
      <c r="K3171" s="4"/>
    </row>
    <row r="3172" spans="3:11" x14ac:dyDescent="0.25">
      <c r="C3172" s="79"/>
      <c r="D3172" s="248"/>
      <c r="E3172" s="248"/>
      <c r="F3172" s="47"/>
      <c r="G3172" s="79"/>
      <c r="J3172" s="99"/>
      <c r="K3172" s="4"/>
    </row>
    <row r="3173" spans="3:11" x14ac:dyDescent="0.25">
      <c r="C3173" s="79"/>
      <c r="D3173" s="248"/>
      <c r="E3173" s="248"/>
      <c r="F3173" s="47"/>
      <c r="G3173" s="79"/>
      <c r="J3173" s="99"/>
      <c r="K3173" s="4"/>
    </row>
    <row r="3174" spans="3:11" x14ac:dyDescent="0.25">
      <c r="C3174" s="79"/>
      <c r="D3174" s="248"/>
      <c r="E3174" s="248"/>
      <c r="F3174" s="47"/>
      <c r="G3174" s="79"/>
      <c r="J3174" s="99"/>
      <c r="K3174" s="4"/>
    </row>
    <row r="3175" spans="3:11" x14ac:dyDescent="0.25">
      <c r="C3175" s="79"/>
      <c r="D3175" s="248"/>
      <c r="E3175" s="248"/>
      <c r="F3175" s="47"/>
      <c r="G3175" s="79"/>
      <c r="J3175" s="99"/>
      <c r="K3175" s="4"/>
    </row>
    <row r="3176" spans="3:11" x14ac:dyDescent="0.25">
      <c r="C3176" s="79"/>
      <c r="D3176" s="248"/>
      <c r="E3176" s="248"/>
      <c r="F3176" s="47"/>
      <c r="G3176" s="79"/>
      <c r="J3176" s="99"/>
      <c r="K3176" s="4"/>
    </row>
    <row r="3177" spans="3:11" x14ac:dyDescent="0.25">
      <c r="C3177" s="79"/>
      <c r="D3177" s="248"/>
      <c r="E3177" s="248"/>
      <c r="F3177" s="47"/>
      <c r="G3177" s="79"/>
      <c r="J3177" s="99"/>
      <c r="K3177" s="4"/>
    </row>
    <row r="3178" spans="3:11" x14ac:dyDescent="0.25">
      <c r="C3178" s="79"/>
      <c r="D3178" s="248"/>
      <c r="E3178" s="248"/>
      <c r="F3178" s="47"/>
      <c r="G3178" s="79"/>
      <c r="J3178" s="99"/>
      <c r="K3178" s="4"/>
    </row>
    <row r="3179" spans="3:11" x14ac:dyDescent="0.25">
      <c r="C3179" s="79"/>
      <c r="D3179" s="248"/>
      <c r="E3179" s="248"/>
      <c r="F3179" s="47"/>
      <c r="G3179" s="79"/>
      <c r="J3179" s="99"/>
      <c r="K3179" s="4"/>
    </row>
    <row r="3180" spans="3:11" x14ac:dyDescent="0.25">
      <c r="C3180" s="79"/>
      <c r="D3180" s="248"/>
      <c r="E3180" s="248"/>
      <c r="F3180" s="47"/>
      <c r="G3180" s="79"/>
      <c r="J3180" s="99"/>
      <c r="K3180" s="4"/>
    </row>
    <row r="3181" spans="3:11" x14ac:dyDescent="0.25">
      <c r="C3181" s="79"/>
      <c r="D3181" s="248"/>
      <c r="E3181" s="248"/>
      <c r="F3181" s="47"/>
      <c r="G3181" s="79"/>
      <c r="J3181" s="99"/>
      <c r="K3181" s="4"/>
    </row>
    <row r="3182" spans="3:11" x14ac:dyDescent="0.25">
      <c r="C3182" s="79"/>
      <c r="D3182" s="248"/>
      <c r="E3182" s="248"/>
      <c r="F3182" s="47"/>
      <c r="G3182" s="79"/>
      <c r="J3182" s="99"/>
      <c r="K3182" s="4"/>
    </row>
    <row r="3183" spans="3:11" x14ac:dyDescent="0.25">
      <c r="C3183" s="79"/>
      <c r="D3183" s="248"/>
      <c r="E3183" s="248"/>
      <c r="F3183" s="47"/>
      <c r="G3183" s="79"/>
      <c r="J3183" s="99"/>
      <c r="K3183" s="4"/>
    </row>
    <row r="3184" spans="3:11" x14ac:dyDescent="0.25">
      <c r="C3184" s="79"/>
      <c r="D3184" s="248"/>
      <c r="E3184" s="248"/>
      <c r="F3184" s="47"/>
      <c r="G3184" s="79"/>
      <c r="J3184" s="99"/>
      <c r="K3184" s="4"/>
    </row>
    <row r="3185" spans="3:11" x14ac:dyDescent="0.25">
      <c r="C3185" s="79"/>
      <c r="D3185" s="248"/>
      <c r="E3185" s="248"/>
      <c r="F3185" s="47"/>
      <c r="G3185" s="79"/>
      <c r="J3185" s="99"/>
      <c r="K3185" s="4"/>
    </row>
    <row r="3186" spans="3:11" x14ac:dyDescent="0.25">
      <c r="C3186" s="79"/>
      <c r="D3186" s="248"/>
      <c r="E3186" s="248"/>
      <c r="F3186" s="47"/>
      <c r="G3186" s="79"/>
      <c r="J3186" s="99"/>
      <c r="K3186" s="4"/>
    </row>
    <row r="3187" spans="3:11" x14ac:dyDescent="0.25">
      <c r="C3187" s="79"/>
      <c r="D3187" s="248"/>
      <c r="E3187" s="248"/>
      <c r="F3187" s="47"/>
      <c r="G3187" s="79"/>
      <c r="J3187" s="99"/>
      <c r="K3187" s="4"/>
    </row>
    <row r="3188" spans="3:11" x14ac:dyDescent="0.25">
      <c r="C3188" s="79"/>
      <c r="D3188" s="248"/>
      <c r="E3188" s="248"/>
      <c r="F3188" s="47"/>
      <c r="G3188" s="79"/>
      <c r="J3188" s="99"/>
      <c r="K3188" s="4"/>
    </row>
    <row r="3189" spans="3:11" x14ac:dyDescent="0.25">
      <c r="C3189" s="79"/>
      <c r="D3189" s="248"/>
      <c r="E3189" s="248"/>
      <c r="F3189" s="47"/>
      <c r="G3189" s="79"/>
      <c r="J3189" s="99"/>
      <c r="K3189" s="4"/>
    </row>
    <row r="3190" spans="3:11" x14ac:dyDescent="0.25">
      <c r="C3190" s="79"/>
      <c r="D3190" s="248"/>
      <c r="E3190" s="248"/>
      <c r="F3190" s="47"/>
      <c r="G3190" s="79"/>
      <c r="J3190" s="99"/>
      <c r="K3190" s="4"/>
    </row>
    <row r="3191" spans="3:11" x14ac:dyDescent="0.25">
      <c r="C3191" s="79"/>
      <c r="D3191" s="248"/>
      <c r="E3191" s="248"/>
      <c r="F3191" s="47"/>
      <c r="G3191" s="79"/>
      <c r="J3191" s="99"/>
      <c r="K3191" s="4"/>
    </row>
    <row r="3192" spans="3:11" x14ac:dyDescent="0.25">
      <c r="C3192" s="79"/>
      <c r="D3192" s="248"/>
      <c r="E3192" s="248"/>
      <c r="F3192" s="47"/>
      <c r="G3192" s="79"/>
      <c r="J3192" s="99"/>
      <c r="K3192" s="4"/>
    </row>
    <row r="3193" spans="3:11" x14ac:dyDescent="0.25">
      <c r="C3193" s="79"/>
      <c r="D3193" s="248"/>
      <c r="E3193" s="248"/>
      <c r="F3193" s="47"/>
      <c r="G3193" s="79"/>
      <c r="J3193" s="99"/>
      <c r="K3193" s="4"/>
    </row>
    <row r="3194" spans="3:11" x14ac:dyDescent="0.25">
      <c r="C3194" s="79"/>
      <c r="D3194" s="248"/>
      <c r="E3194" s="248"/>
      <c r="F3194" s="47"/>
      <c r="G3194" s="79"/>
      <c r="J3194" s="99"/>
      <c r="K3194" s="4"/>
    </row>
    <row r="3195" spans="3:11" x14ac:dyDescent="0.25">
      <c r="C3195" s="79"/>
      <c r="D3195" s="248"/>
      <c r="E3195" s="248"/>
      <c r="F3195" s="47"/>
      <c r="G3195" s="79"/>
      <c r="J3195" s="99"/>
      <c r="K3195" s="4"/>
    </row>
    <row r="3196" spans="3:11" x14ac:dyDescent="0.25">
      <c r="C3196" s="79"/>
      <c r="D3196" s="248"/>
      <c r="E3196" s="248"/>
      <c r="F3196" s="47"/>
      <c r="G3196" s="79"/>
      <c r="J3196" s="99"/>
      <c r="K3196" s="4"/>
    </row>
    <row r="3197" spans="3:11" x14ac:dyDescent="0.25">
      <c r="C3197" s="79"/>
      <c r="D3197" s="248"/>
      <c r="E3197" s="248"/>
      <c r="F3197" s="47"/>
      <c r="G3197" s="79"/>
      <c r="J3197" s="99"/>
      <c r="K3197" s="4"/>
    </row>
    <row r="3198" spans="3:11" x14ac:dyDescent="0.25">
      <c r="C3198" s="79"/>
      <c r="D3198" s="248"/>
      <c r="E3198" s="248"/>
      <c r="F3198" s="47"/>
      <c r="G3198" s="79"/>
      <c r="J3198" s="99"/>
      <c r="K3198" s="4"/>
    </row>
    <row r="3199" spans="3:11" x14ac:dyDescent="0.25">
      <c r="C3199" s="79"/>
      <c r="D3199" s="248"/>
      <c r="E3199" s="248"/>
      <c r="F3199" s="47"/>
      <c r="G3199" s="79"/>
      <c r="J3199" s="99"/>
      <c r="K3199" s="4"/>
    </row>
    <row r="3200" spans="3:11" x14ac:dyDescent="0.25">
      <c r="C3200" s="79"/>
      <c r="D3200" s="248"/>
      <c r="E3200" s="248"/>
      <c r="F3200" s="47"/>
      <c r="G3200" s="79"/>
      <c r="J3200" s="99"/>
      <c r="K3200" s="4"/>
    </row>
    <row r="3201" spans="3:11" x14ac:dyDescent="0.25">
      <c r="C3201" s="79"/>
      <c r="D3201" s="248"/>
      <c r="E3201" s="248"/>
      <c r="F3201" s="47"/>
      <c r="G3201" s="79"/>
      <c r="J3201" s="99"/>
      <c r="K3201" s="4"/>
    </row>
    <row r="3202" spans="3:11" x14ac:dyDescent="0.25">
      <c r="C3202" s="79"/>
      <c r="D3202" s="248"/>
      <c r="E3202" s="248"/>
      <c r="F3202" s="47"/>
      <c r="G3202" s="79"/>
      <c r="J3202" s="99"/>
      <c r="K3202" s="4"/>
    </row>
    <row r="3203" spans="3:11" x14ac:dyDescent="0.25">
      <c r="C3203" s="79"/>
      <c r="D3203" s="248"/>
      <c r="E3203" s="248"/>
      <c r="F3203" s="47"/>
      <c r="G3203" s="79"/>
      <c r="J3203" s="99"/>
      <c r="K3203" s="4"/>
    </row>
    <row r="3204" spans="3:11" x14ac:dyDescent="0.25">
      <c r="C3204" s="79"/>
      <c r="D3204" s="248"/>
      <c r="E3204" s="248"/>
      <c r="F3204" s="47"/>
      <c r="G3204" s="79"/>
      <c r="J3204" s="99"/>
      <c r="K3204" s="4"/>
    </row>
    <row r="3205" spans="3:11" x14ac:dyDescent="0.25">
      <c r="C3205" s="79"/>
      <c r="D3205" s="248"/>
      <c r="E3205" s="248"/>
      <c r="F3205" s="47"/>
      <c r="G3205" s="79"/>
      <c r="J3205" s="99"/>
      <c r="K3205" s="4"/>
    </row>
    <row r="3206" spans="3:11" x14ac:dyDescent="0.25">
      <c r="C3206" s="79"/>
      <c r="D3206" s="248"/>
      <c r="E3206" s="248"/>
      <c r="F3206" s="47"/>
      <c r="G3206" s="79"/>
      <c r="J3206" s="99"/>
      <c r="K3206" s="4"/>
    </row>
    <row r="3207" spans="3:11" x14ac:dyDescent="0.25">
      <c r="C3207" s="79"/>
      <c r="D3207" s="248"/>
      <c r="E3207" s="248"/>
      <c r="F3207" s="47"/>
      <c r="G3207" s="79"/>
      <c r="J3207" s="99"/>
      <c r="K3207" s="4"/>
    </row>
    <row r="3208" spans="3:11" x14ac:dyDescent="0.25">
      <c r="C3208" s="79"/>
      <c r="D3208" s="248"/>
      <c r="E3208" s="248"/>
      <c r="F3208" s="47"/>
      <c r="G3208" s="79"/>
      <c r="J3208" s="99"/>
      <c r="K3208" s="4"/>
    </row>
    <row r="3209" spans="3:11" x14ac:dyDescent="0.25">
      <c r="C3209" s="79"/>
      <c r="D3209" s="248"/>
      <c r="E3209" s="248"/>
      <c r="F3209" s="47"/>
      <c r="G3209" s="79"/>
      <c r="J3209" s="99"/>
      <c r="K3209" s="4"/>
    </row>
    <row r="3210" spans="3:11" x14ac:dyDescent="0.25">
      <c r="C3210" s="79"/>
      <c r="D3210" s="248"/>
      <c r="E3210" s="248"/>
      <c r="F3210" s="47"/>
      <c r="G3210" s="79"/>
      <c r="J3210" s="99"/>
      <c r="K3210" s="4"/>
    </row>
    <row r="3211" spans="3:11" x14ac:dyDescent="0.25">
      <c r="C3211" s="79"/>
      <c r="D3211" s="248"/>
      <c r="E3211" s="248"/>
      <c r="F3211" s="47"/>
      <c r="G3211" s="79"/>
      <c r="J3211" s="99"/>
      <c r="K3211" s="4"/>
    </row>
    <row r="3212" spans="3:11" x14ac:dyDescent="0.25">
      <c r="C3212" s="79"/>
      <c r="D3212" s="248"/>
      <c r="E3212" s="248"/>
      <c r="F3212" s="47"/>
      <c r="G3212" s="79"/>
      <c r="J3212" s="99"/>
      <c r="K3212" s="4"/>
    </row>
    <row r="3213" spans="3:11" x14ac:dyDescent="0.25">
      <c r="C3213" s="79"/>
      <c r="D3213" s="248"/>
      <c r="E3213" s="248"/>
      <c r="F3213" s="47"/>
      <c r="G3213" s="79"/>
      <c r="J3213" s="99"/>
      <c r="K3213" s="4"/>
    </row>
    <row r="3214" spans="3:11" x14ac:dyDescent="0.25">
      <c r="C3214" s="79"/>
      <c r="D3214" s="248"/>
      <c r="E3214" s="248"/>
      <c r="F3214" s="47"/>
      <c r="G3214" s="79"/>
      <c r="J3214" s="99"/>
      <c r="K3214" s="4"/>
    </row>
    <row r="3215" spans="3:11" x14ac:dyDescent="0.25">
      <c r="C3215" s="79"/>
      <c r="D3215" s="248"/>
      <c r="E3215" s="248"/>
      <c r="F3215" s="47"/>
      <c r="G3215" s="79"/>
      <c r="J3215" s="99"/>
      <c r="K3215" s="4"/>
    </row>
    <row r="3216" spans="3:11" x14ac:dyDescent="0.25">
      <c r="C3216" s="79"/>
      <c r="D3216" s="248"/>
      <c r="E3216" s="248"/>
      <c r="F3216" s="47"/>
      <c r="G3216" s="79"/>
      <c r="J3216" s="99"/>
      <c r="K3216" s="4"/>
    </row>
    <row r="3217" spans="3:11" x14ac:dyDescent="0.25">
      <c r="C3217" s="79"/>
      <c r="D3217" s="248"/>
      <c r="E3217" s="248"/>
      <c r="F3217" s="47"/>
      <c r="G3217" s="79"/>
      <c r="J3217" s="99"/>
      <c r="K3217" s="4"/>
    </row>
    <row r="3218" spans="3:11" x14ac:dyDescent="0.25">
      <c r="C3218" s="79"/>
      <c r="D3218" s="248"/>
      <c r="E3218" s="248"/>
      <c r="F3218" s="47"/>
      <c r="G3218" s="79"/>
      <c r="J3218" s="99"/>
      <c r="K3218" s="4"/>
    </row>
    <row r="3219" spans="3:11" x14ac:dyDescent="0.25">
      <c r="C3219" s="79"/>
      <c r="D3219" s="248"/>
      <c r="E3219" s="248"/>
      <c r="F3219" s="47"/>
      <c r="G3219" s="79"/>
      <c r="J3219" s="99"/>
      <c r="K3219" s="4"/>
    </row>
    <row r="3220" spans="3:11" x14ac:dyDescent="0.25">
      <c r="C3220" s="79"/>
      <c r="D3220" s="248"/>
      <c r="E3220" s="248"/>
      <c r="F3220" s="47"/>
      <c r="G3220" s="79"/>
      <c r="J3220" s="99"/>
      <c r="K3220" s="4"/>
    </row>
    <row r="3221" spans="3:11" x14ac:dyDescent="0.25">
      <c r="C3221" s="79"/>
      <c r="D3221" s="248"/>
      <c r="E3221" s="248"/>
      <c r="F3221" s="47"/>
      <c r="G3221" s="79"/>
      <c r="J3221" s="99"/>
      <c r="K3221" s="4"/>
    </row>
    <row r="3222" spans="3:11" x14ac:dyDescent="0.25">
      <c r="C3222" s="79"/>
      <c r="D3222" s="248"/>
      <c r="E3222" s="248"/>
      <c r="F3222" s="47"/>
      <c r="G3222" s="79"/>
      <c r="J3222" s="99"/>
      <c r="K3222" s="4"/>
    </row>
    <row r="3223" spans="3:11" x14ac:dyDescent="0.25">
      <c r="C3223" s="79"/>
      <c r="D3223" s="248"/>
      <c r="E3223" s="248"/>
      <c r="F3223" s="47"/>
      <c r="G3223" s="79"/>
      <c r="J3223" s="99"/>
      <c r="K3223" s="4"/>
    </row>
    <row r="3224" spans="3:11" x14ac:dyDescent="0.25">
      <c r="C3224" s="79"/>
      <c r="D3224" s="248"/>
      <c r="E3224" s="248"/>
      <c r="F3224" s="47"/>
      <c r="G3224" s="79"/>
      <c r="J3224" s="99"/>
      <c r="K3224" s="4"/>
    </row>
    <row r="3225" spans="3:11" x14ac:dyDescent="0.25">
      <c r="C3225" s="79"/>
      <c r="D3225" s="248"/>
      <c r="E3225" s="248"/>
      <c r="F3225" s="47"/>
      <c r="G3225" s="79"/>
      <c r="J3225" s="99"/>
      <c r="K3225" s="4"/>
    </row>
    <row r="3226" spans="3:11" x14ac:dyDescent="0.25">
      <c r="C3226" s="79"/>
      <c r="D3226" s="248"/>
      <c r="E3226" s="248"/>
      <c r="F3226" s="47"/>
      <c r="G3226" s="79"/>
      <c r="J3226" s="99"/>
      <c r="K3226" s="4"/>
    </row>
    <row r="3227" spans="3:11" x14ac:dyDescent="0.25">
      <c r="C3227" s="79"/>
      <c r="D3227" s="248"/>
      <c r="E3227" s="248"/>
      <c r="F3227" s="47"/>
      <c r="G3227" s="79"/>
      <c r="J3227" s="99"/>
      <c r="K3227" s="4"/>
    </row>
    <row r="3228" spans="3:11" x14ac:dyDescent="0.25">
      <c r="C3228" s="79"/>
      <c r="D3228" s="248"/>
      <c r="E3228" s="248"/>
      <c r="F3228" s="47"/>
      <c r="G3228" s="79"/>
      <c r="J3228" s="99"/>
      <c r="K3228" s="4"/>
    </row>
    <row r="3229" spans="3:11" x14ac:dyDescent="0.25">
      <c r="C3229" s="79"/>
      <c r="D3229" s="248"/>
      <c r="E3229" s="248"/>
      <c r="F3229" s="47"/>
      <c r="G3229" s="79"/>
      <c r="J3229" s="99"/>
      <c r="K3229" s="4"/>
    </row>
    <row r="3230" spans="3:11" x14ac:dyDescent="0.25">
      <c r="C3230" s="79"/>
      <c r="D3230" s="248"/>
      <c r="E3230" s="248"/>
      <c r="F3230" s="47"/>
      <c r="G3230" s="79"/>
      <c r="J3230" s="99"/>
      <c r="K3230" s="4"/>
    </row>
    <row r="3231" spans="3:11" x14ac:dyDescent="0.25">
      <c r="C3231" s="79"/>
      <c r="D3231" s="248"/>
      <c r="E3231" s="248"/>
      <c r="F3231" s="47"/>
      <c r="G3231" s="79"/>
      <c r="J3231" s="99"/>
      <c r="K3231" s="4"/>
    </row>
    <row r="3232" spans="3:11" x14ac:dyDescent="0.25">
      <c r="C3232" s="79"/>
      <c r="D3232" s="248"/>
      <c r="E3232" s="248"/>
      <c r="F3232" s="47"/>
      <c r="G3232" s="79"/>
      <c r="J3232" s="99"/>
      <c r="K3232" s="4"/>
    </row>
    <row r="3233" spans="3:11" x14ac:dyDescent="0.25">
      <c r="C3233" s="79"/>
      <c r="D3233" s="248"/>
      <c r="E3233" s="248"/>
      <c r="F3233" s="47"/>
      <c r="G3233" s="79"/>
      <c r="J3233" s="99"/>
      <c r="K3233" s="4"/>
    </row>
    <row r="3234" spans="3:11" x14ac:dyDescent="0.25">
      <c r="C3234" s="79"/>
      <c r="D3234" s="248"/>
      <c r="E3234" s="248"/>
      <c r="F3234" s="47"/>
      <c r="G3234" s="79"/>
      <c r="J3234" s="99"/>
      <c r="K3234" s="4"/>
    </row>
    <row r="3235" spans="3:11" x14ac:dyDescent="0.25">
      <c r="C3235" s="79"/>
      <c r="D3235" s="248"/>
      <c r="E3235" s="248"/>
      <c r="F3235" s="47"/>
      <c r="G3235" s="79"/>
      <c r="J3235" s="99"/>
      <c r="K3235" s="4"/>
    </row>
    <row r="3236" spans="3:11" x14ac:dyDescent="0.25">
      <c r="C3236" s="79"/>
      <c r="D3236" s="248"/>
      <c r="E3236" s="248"/>
      <c r="F3236" s="47"/>
      <c r="G3236" s="79"/>
      <c r="J3236" s="99"/>
      <c r="K3236" s="4"/>
    </row>
    <row r="3237" spans="3:11" x14ac:dyDescent="0.25">
      <c r="C3237" s="79"/>
      <c r="D3237" s="248"/>
      <c r="E3237" s="248"/>
      <c r="F3237" s="47"/>
      <c r="G3237" s="79"/>
      <c r="J3237" s="99"/>
      <c r="K3237" s="4"/>
    </row>
    <row r="3238" spans="3:11" x14ac:dyDescent="0.25">
      <c r="C3238" s="79"/>
      <c r="D3238" s="248"/>
      <c r="E3238" s="248"/>
      <c r="F3238" s="47"/>
      <c r="G3238" s="79"/>
      <c r="J3238" s="99"/>
      <c r="K3238" s="4"/>
    </row>
    <row r="3239" spans="3:11" x14ac:dyDescent="0.25">
      <c r="C3239" s="79"/>
      <c r="D3239" s="248"/>
      <c r="E3239" s="248"/>
      <c r="F3239" s="47"/>
      <c r="G3239" s="79"/>
      <c r="J3239" s="99"/>
      <c r="K3239" s="4"/>
    </row>
    <row r="3240" spans="3:11" x14ac:dyDescent="0.25">
      <c r="C3240" s="79"/>
      <c r="D3240" s="248"/>
      <c r="E3240" s="248"/>
      <c r="F3240" s="47"/>
      <c r="G3240" s="79"/>
      <c r="J3240" s="99"/>
      <c r="K3240" s="4"/>
    </row>
    <row r="3241" spans="3:11" x14ac:dyDescent="0.25">
      <c r="C3241" s="79"/>
      <c r="D3241" s="248"/>
      <c r="E3241" s="248"/>
      <c r="F3241" s="47"/>
      <c r="G3241" s="79"/>
      <c r="J3241" s="99"/>
      <c r="K3241" s="4"/>
    </row>
    <row r="3242" spans="3:11" x14ac:dyDescent="0.25">
      <c r="C3242" s="79"/>
      <c r="D3242" s="248"/>
      <c r="E3242" s="248"/>
      <c r="F3242" s="47"/>
      <c r="G3242" s="79"/>
      <c r="J3242" s="99"/>
      <c r="K3242" s="4"/>
    </row>
    <row r="3243" spans="3:11" x14ac:dyDescent="0.25">
      <c r="C3243" s="79"/>
      <c r="D3243" s="248"/>
      <c r="E3243" s="248"/>
      <c r="F3243" s="47"/>
      <c r="G3243" s="79"/>
      <c r="J3243" s="99"/>
      <c r="K3243" s="4"/>
    </row>
    <row r="3244" spans="3:11" x14ac:dyDescent="0.25">
      <c r="C3244" s="79"/>
      <c r="D3244" s="248"/>
      <c r="E3244" s="248"/>
      <c r="F3244" s="47"/>
      <c r="G3244" s="79"/>
      <c r="J3244" s="99"/>
      <c r="K3244" s="4"/>
    </row>
    <row r="3245" spans="3:11" x14ac:dyDescent="0.25">
      <c r="C3245" s="79"/>
      <c r="D3245" s="248"/>
      <c r="E3245" s="248"/>
      <c r="F3245" s="47"/>
      <c r="G3245" s="79"/>
      <c r="J3245" s="99"/>
      <c r="K3245" s="4"/>
    </row>
    <row r="3246" spans="3:11" x14ac:dyDescent="0.25">
      <c r="C3246" s="79"/>
      <c r="D3246" s="248"/>
      <c r="E3246" s="248"/>
      <c r="F3246" s="47"/>
      <c r="G3246" s="79"/>
      <c r="J3246" s="99"/>
      <c r="K3246" s="4"/>
    </row>
    <row r="3247" spans="3:11" x14ac:dyDescent="0.25">
      <c r="C3247" s="79"/>
      <c r="D3247" s="248"/>
      <c r="E3247" s="248"/>
      <c r="F3247" s="47"/>
      <c r="G3247" s="79"/>
      <c r="J3247" s="99"/>
      <c r="K3247" s="4"/>
    </row>
    <row r="3248" spans="3:11" x14ac:dyDescent="0.25">
      <c r="C3248" s="79"/>
      <c r="D3248" s="248"/>
      <c r="E3248" s="248"/>
      <c r="F3248" s="47"/>
      <c r="G3248" s="79"/>
      <c r="J3248" s="99"/>
      <c r="K3248" s="4"/>
    </row>
    <row r="3249" spans="3:11" x14ac:dyDescent="0.25">
      <c r="C3249" s="79"/>
      <c r="D3249" s="248"/>
      <c r="E3249" s="248"/>
      <c r="F3249" s="47"/>
      <c r="G3249" s="79"/>
      <c r="J3249" s="99"/>
      <c r="K3249" s="4"/>
    </row>
    <row r="3250" spans="3:11" x14ac:dyDescent="0.25">
      <c r="C3250" s="79"/>
      <c r="D3250" s="248"/>
      <c r="E3250" s="248"/>
      <c r="F3250" s="47"/>
      <c r="G3250" s="79"/>
      <c r="J3250" s="99"/>
      <c r="K3250" s="4"/>
    </row>
    <row r="3251" spans="3:11" x14ac:dyDescent="0.25">
      <c r="C3251" s="79"/>
      <c r="D3251" s="248"/>
      <c r="E3251" s="248"/>
      <c r="F3251" s="47"/>
      <c r="G3251" s="79"/>
      <c r="J3251" s="99"/>
      <c r="K3251" s="4"/>
    </row>
    <row r="3252" spans="3:11" x14ac:dyDescent="0.25">
      <c r="C3252" s="79"/>
      <c r="D3252" s="248"/>
      <c r="E3252" s="248"/>
      <c r="F3252" s="47"/>
      <c r="G3252" s="79"/>
      <c r="J3252" s="99"/>
      <c r="K3252" s="4"/>
    </row>
    <row r="3253" spans="3:11" x14ac:dyDescent="0.25">
      <c r="C3253" s="79"/>
      <c r="D3253" s="248"/>
      <c r="E3253" s="248"/>
      <c r="F3253" s="47"/>
      <c r="G3253" s="79"/>
      <c r="J3253" s="99"/>
      <c r="K3253" s="4"/>
    </row>
    <row r="3254" spans="3:11" x14ac:dyDescent="0.25">
      <c r="C3254" s="79"/>
      <c r="D3254" s="248"/>
      <c r="E3254" s="248"/>
      <c r="F3254" s="47"/>
      <c r="G3254" s="79"/>
      <c r="J3254" s="99"/>
      <c r="K3254" s="4"/>
    </row>
    <row r="3255" spans="3:11" x14ac:dyDescent="0.25">
      <c r="C3255" s="79"/>
      <c r="D3255" s="248"/>
      <c r="E3255" s="248"/>
      <c r="F3255" s="47"/>
      <c r="G3255" s="79"/>
      <c r="J3255" s="99"/>
      <c r="K3255" s="4"/>
    </row>
    <row r="3256" spans="3:11" x14ac:dyDescent="0.25">
      <c r="C3256" s="79"/>
      <c r="D3256" s="248"/>
      <c r="E3256" s="248"/>
      <c r="F3256" s="47"/>
      <c r="G3256" s="79"/>
      <c r="J3256" s="99"/>
      <c r="K3256" s="4"/>
    </row>
    <row r="3257" spans="3:11" x14ac:dyDescent="0.25">
      <c r="C3257" s="79"/>
      <c r="D3257" s="248"/>
      <c r="E3257" s="248"/>
      <c r="F3257" s="47"/>
      <c r="G3257" s="79"/>
      <c r="J3257" s="99"/>
      <c r="K3257" s="4"/>
    </row>
    <row r="3258" spans="3:11" x14ac:dyDescent="0.25">
      <c r="C3258" s="79"/>
      <c r="D3258" s="248"/>
      <c r="E3258" s="248"/>
      <c r="F3258" s="47"/>
      <c r="G3258" s="79"/>
      <c r="J3258" s="99"/>
      <c r="K3258" s="4"/>
    </row>
    <row r="3259" spans="3:11" x14ac:dyDescent="0.25">
      <c r="C3259" s="79"/>
      <c r="D3259" s="248"/>
      <c r="E3259" s="248"/>
      <c r="F3259" s="47"/>
      <c r="G3259" s="79"/>
      <c r="J3259" s="99"/>
      <c r="K3259" s="4"/>
    </row>
    <row r="3260" spans="3:11" x14ac:dyDescent="0.25">
      <c r="C3260" s="79"/>
      <c r="D3260" s="248"/>
      <c r="E3260" s="248"/>
      <c r="F3260" s="47"/>
      <c r="G3260" s="79"/>
      <c r="J3260" s="99"/>
      <c r="K3260" s="4"/>
    </row>
    <row r="3261" spans="3:11" x14ac:dyDescent="0.25">
      <c r="C3261" s="79"/>
      <c r="D3261" s="248"/>
      <c r="E3261" s="248"/>
      <c r="F3261" s="47"/>
      <c r="G3261" s="79"/>
      <c r="J3261" s="99"/>
      <c r="K3261" s="4"/>
    </row>
    <row r="3262" spans="3:11" x14ac:dyDescent="0.25">
      <c r="C3262" s="79"/>
      <c r="D3262" s="248"/>
      <c r="E3262" s="248"/>
      <c r="F3262" s="47"/>
      <c r="G3262" s="79"/>
      <c r="J3262" s="99"/>
      <c r="K3262" s="4"/>
    </row>
    <row r="3263" spans="3:11" x14ac:dyDescent="0.25">
      <c r="C3263" s="79"/>
      <c r="D3263" s="248"/>
      <c r="E3263" s="248"/>
      <c r="F3263" s="47"/>
      <c r="G3263" s="79"/>
      <c r="J3263" s="99"/>
      <c r="K3263" s="4"/>
    </row>
    <row r="3264" spans="3:11" x14ac:dyDescent="0.25">
      <c r="C3264" s="79"/>
      <c r="D3264" s="248"/>
      <c r="E3264" s="248"/>
      <c r="F3264" s="47"/>
      <c r="G3264" s="79"/>
      <c r="J3264" s="99"/>
      <c r="K3264" s="4"/>
    </row>
    <row r="3265" spans="3:11" x14ac:dyDescent="0.25">
      <c r="C3265" s="79"/>
      <c r="D3265" s="248"/>
      <c r="E3265" s="248"/>
      <c r="F3265" s="47"/>
      <c r="G3265" s="79"/>
      <c r="J3265" s="99"/>
      <c r="K3265" s="4"/>
    </row>
    <row r="3266" spans="3:11" x14ac:dyDescent="0.25">
      <c r="C3266" s="79"/>
      <c r="D3266" s="248"/>
      <c r="E3266" s="248"/>
      <c r="F3266" s="47"/>
      <c r="G3266" s="79"/>
      <c r="J3266" s="99"/>
      <c r="K3266" s="4"/>
    </row>
    <row r="3267" spans="3:11" x14ac:dyDescent="0.25">
      <c r="C3267" s="79"/>
      <c r="D3267" s="248"/>
      <c r="E3267" s="248"/>
      <c r="F3267" s="47"/>
      <c r="G3267" s="79"/>
      <c r="J3267" s="99"/>
      <c r="K3267" s="4"/>
    </row>
    <row r="3268" spans="3:11" x14ac:dyDescent="0.25">
      <c r="C3268" s="79"/>
      <c r="D3268" s="248"/>
      <c r="E3268" s="248"/>
      <c r="F3268" s="47"/>
      <c r="G3268" s="79"/>
      <c r="J3268" s="99"/>
      <c r="K3268" s="4"/>
    </row>
    <row r="3269" spans="3:11" x14ac:dyDescent="0.25">
      <c r="C3269" s="79"/>
      <c r="D3269" s="248"/>
      <c r="E3269" s="248"/>
      <c r="F3269" s="47"/>
      <c r="G3269" s="79"/>
      <c r="J3269" s="99"/>
      <c r="K3269" s="4"/>
    </row>
    <row r="3270" spans="3:11" x14ac:dyDescent="0.25">
      <c r="C3270" s="79"/>
      <c r="D3270" s="248"/>
      <c r="E3270" s="248"/>
      <c r="F3270" s="47"/>
      <c r="G3270" s="79"/>
      <c r="J3270" s="99"/>
      <c r="K3270" s="4"/>
    </row>
    <row r="3271" spans="3:11" x14ac:dyDescent="0.25">
      <c r="C3271" s="79"/>
      <c r="D3271" s="248"/>
      <c r="E3271" s="248"/>
      <c r="F3271" s="47"/>
      <c r="G3271" s="79"/>
      <c r="J3271" s="99"/>
      <c r="K3271" s="4"/>
    </row>
    <row r="3272" spans="3:11" x14ac:dyDescent="0.25">
      <c r="C3272" s="79"/>
      <c r="D3272" s="248"/>
      <c r="E3272" s="248"/>
      <c r="F3272" s="47"/>
      <c r="G3272" s="79"/>
      <c r="J3272" s="99"/>
      <c r="K3272" s="4"/>
    </row>
    <row r="3273" spans="3:11" x14ac:dyDescent="0.25">
      <c r="C3273" s="79"/>
      <c r="D3273" s="248"/>
      <c r="E3273" s="248"/>
      <c r="F3273" s="47"/>
      <c r="G3273" s="79"/>
      <c r="J3273" s="99"/>
      <c r="K3273" s="4"/>
    </row>
    <row r="3274" spans="3:11" x14ac:dyDescent="0.25">
      <c r="C3274" s="79"/>
      <c r="D3274" s="248"/>
      <c r="E3274" s="248"/>
      <c r="F3274" s="47"/>
      <c r="G3274" s="79"/>
      <c r="J3274" s="99"/>
      <c r="K3274" s="4"/>
    </row>
    <row r="3275" spans="3:11" x14ac:dyDescent="0.25">
      <c r="C3275" s="79"/>
      <c r="D3275" s="248"/>
      <c r="E3275" s="248"/>
      <c r="F3275" s="47"/>
      <c r="G3275" s="79"/>
      <c r="J3275" s="99"/>
      <c r="K3275" s="4"/>
    </row>
    <row r="3276" spans="3:11" x14ac:dyDescent="0.25">
      <c r="C3276" s="79"/>
      <c r="D3276" s="248"/>
      <c r="E3276" s="248"/>
      <c r="F3276" s="47"/>
      <c r="G3276" s="79"/>
      <c r="J3276" s="99"/>
      <c r="K3276" s="4"/>
    </row>
    <row r="3277" spans="3:11" x14ac:dyDescent="0.25">
      <c r="C3277" s="79"/>
      <c r="D3277" s="248"/>
      <c r="E3277" s="248"/>
      <c r="F3277" s="47"/>
      <c r="G3277" s="79"/>
      <c r="J3277" s="99"/>
      <c r="K3277" s="4"/>
    </row>
    <row r="3278" spans="3:11" x14ac:dyDescent="0.25">
      <c r="C3278" s="79"/>
      <c r="D3278" s="248"/>
      <c r="E3278" s="248"/>
      <c r="F3278" s="47"/>
      <c r="G3278" s="79"/>
      <c r="J3278" s="99"/>
      <c r="K3278" s="4"/>
    </row>
    <row r="3279" spans="3:11" x14ac:dyDescent="0.25">
      <c r="C3279" s="79"/>
      <c r="D3279" s="248"/>
      <c r="E3279" s="248"/>
      <c r="F3279" s="47"/>
      <c r="G3279" s="79"/>
      <c r="J3279" s="99"/>
      <c r="K3279" s="4"/>
    </row>
    <row r="3280" spans="3:11" x14ac:dyDescent="0.25">
      <c r="C3280" s="79"/>
      <c r="D3280" s="248"/>
      <c r="E3280" s="248"/>
      <c r="F3280" s="47"/>
      <c r="G3280" s="79"/>
      <c r="J3280" s="99"/>
      <c r="K3280" s="4"/>
    </row>
    <row r="3281" spans="3:11" x14ac:dyDescent="0.25">
      <c r="C3281" s="79"/>
      <c r="D3281" s="248"/>
      <c r="E3281" s="248"/>
      <c r="F3281" s="47"/>
      <c r="G3281" s="79"/>
      <c r="J3281" s="99"/>
      <c r="K3281" s="4"/>
    </row>
    <row r="3282" spans="3:11" x14ac:dyDescent="0.25">
      <c r="C3282" s="79"/>
      <c r="D3282" s="248"/>
      <c r="E3282" s="248"/>
      <c r="F3282" s="47"/>
      <c r="G3282" s="79"/>
      <c r="J3282" s="99"/>
      <c r="K3282" s="4"/>
    </row>
    <row r="3283" spans="3:11" x14ac:dyDescent="0.25">
      <c r="C3283" s="79"/>
      <c r="D3283" s="248"/>
      <c r="E3283" s="248"/>
      <c r="F3283" s="47"/>
      <c r="G3283" s="79"/>
      <c r="J3283" s="99"/>
      <c r="K3283" s="4"/>
    </row>
    <row r="3284" spans="3:11" x14ac:dyDescent="0.25">
      <c r="C3284" s="79"/>
      <c r="D3284" s="248"/>
      <c r="E3284" s="248"/>
      <c r="F3284" s="47"/>
      <c r="G3284" s="79"/>
      <c r="J3284" s="99"/>
      <c r="K3284" s="4"/>
    </row>
    <row r="3285" spans="3:11" x14ac:dyDescent="0.25">
      <c r="C3285" s="79"/>
      <c r="D3285" s="248"/>
      <c r="E3285" s="248"/>
      <c r="F3285" s="47"/>
      <c r="G3285" s="79"/>
      <c r="J3285" s="99"/>
      <c r="K3285" s="4"/>
    </row>
    <row r="3286" spans="3:11" x14ac:dyDescent="0.25">
      <c r="C3286" s="79"/>
      <c r="D3286" s="248"/>
      <c r="E3286" s="248"/>
      <c r="F3286" s="47"/>
      <c r="G3286" s="79"/>
      <c r="J3286" s="99"/>
      <c r="K3286" s="4"/>
    </row>
    <row r="3287" spans="3:11" x14ac:dyDescent="0.25">
      <c r="C3287" s="79"/>
      <c r="D3287" s="248"/>
      <c r="E3287" s="248"/>
      <c r="F3287" s="47"/>
      <c r="G3287" s="79"/>
      <c r="J3287" s="99"/>
      <c r="K3287" s="4"/>
    </row>
    <row r="3288" spans="3:11" x14ac:dyDescent="0.25">
      <c r="C3288" s="79"/>
      <c r="D3288" s="248"/>
      <c r="E3288" s="248"/>
      <c r="F3288" s="47"/>
      <c r="G3288" s="79"/>
      <c r="J3288" s="99"/>
      <c r="K3288" s="4"/>
    </row>
    <row r="3289" spans="3:11" x14ac:dyDescent="0.25">
      <c r="C3289" s="79"/>
      <c r="D3289" s="248"/>
      <c r="E3289" s="248"/>
      <c r="F3289" s="47"/>
      <c r="G3289" s="79"/>
      <c r="J3289" s="99"/>
      <c r="K3289" s="4"/>
    </row>
    <row r="3290" spans="3:11" x14ac:dyDescent="0.25">
      <c r="C3290" s="79"/>
      <c r="D3290" s="248"/>
      <c r="E3290" s="248"/>
      <c r="F3290" s="47"/>
      <c r="G3290" s="79"/>
      <c r="J3290" s="99"/>
      <c r="K3290" s="4"/>
    </row>
    <row r="3291" spans="3:11" x14ac:dyDescent="0.25">
      <c r="C3291" s="79"/>
      <c r="D3291" s="248"/>
      <c r="E3291" s="248"/>
      <c r="F3291" s="47"/>
      <c r="G3291" s="79"/>
      <c r="J3291" s="99"/>
      <c r="K3291" s="4"/>
    </row>
    <row r="3292" spans="3:11" x14ac:dyDescent="0.25">
      <c r="C3292" s="79"/>
      <c r="D3292" s="248"/>
      <c r="E3292" s="248"/>
      <c r="F3292" s="47"/>
      <c r="G3292" s="79"/>
      <c r="J3292" s="99"/>
      <c r="K3292" s="4"/>
    </row>
    <row r="3293" spans="3:11" x14ac:dyDescent="0.25">
      <c r="C3293" s="79"/>
      <c r="D3293" s="248"/>
      <c r="E3293" s="248"/>
      <c r="F3293" s="47"/>
      <c r="G3293" s="79"/>
      <c r="J3293" s="99"/>
      <c r="K3293" s="4"/>
    </row>
    <row r="3294" spans="3:11" x14ac:dyDescent="0.25">
      <c r="C3294" s="79"/>
      <c r="D3294" s="248"/>
      <c r="E3294" s="248"/>
      <c r="F3294" s="47"/>
      <c r="G3294" s="79"/>
      <c r="J3294" s="99"/>
      <c r="K3294" s="4"/>
    </row>
    <row r="3295" spans="3:11" x14ac:dyDescent="0.25">
      <c r="C3295" s="79"/>
      <c r="D3295" s="248"/>
      <c r="E3295" s="248"/>
      <c r="F3295" s="47"/>
      <c r="G3295" s="79"/>
      <c r="J3295" s="99"/>
      <c r="K3295" s="4"/>
    </row>
    <row r="3296" spans="3:11" x14ac:dyDescent="0.25">
      <c r="C3296" s="79"/>
      <c r="D3296" s="248"/>
      <c r="E3296" s="248"/>
      <c r="F3296" s="47"/>
      <c r="G3296" s="79"/>
      <c r="J3296" s="99"/>
      <c r="K3296" s="4"/>
    </row>
    <row r="3297" spans="3:11" x14ac:dyDescent="0.25">
      <c r="C3297" s="79"/>
      <c r="D3297" s="248"/>
      <c r="E3297" s="248"/>
      <c r="F3297" s="47"/>
      <c r="G3297" s="79"/>
      <c r="J3297" s="99"/>
      <c r="K3297" s="4"/>
    </row>
    <row r="3298" spans="3:11" x14ac:dyDescent="0.25">
      <c r="C3298" s="79"/>
      <c r="D3298" s="248"/>
      <c r="E3298" s="248"/>
      <c r="F3298" s="47"/>
      <c r="G3298" s="79"/>
      <c r="J3298" s="99"/>
      <c r="K3298" s="4"/>
    </row>
    <row r="3299" spans="3:11" x14ac:dyDescent="0.25">
      <c r="C3299" s="79"/>
      <c r="D3299" s="248"/>
      <c r="E3299" s="248"/>
      <c r="F3299" s="47"/>
      <c r="G3299" s="79"/>
      <c r="J3299" s="99"/>
      <c r="K3299" s="4"/>
    </row>
    <row r="3300" spans="3:11" x14ac:dyDescent="0.25">
      <c r="C3300" s="79"/>
      <c r="D3300" s="248"/>
      <c r="E3300" s="248"/>
      <c r="F3300" s="47"/>
      <c r="G3300" s="79"/>
      <c r="J3300" s="99"/>
      <c r="K3300" s="4"/>
    </row>
    <row r="3301" spans="3:11" x14ac:dyDescent="0.25">
      <c r="C3301" s="79"/>
      <c r="D3301" s="248"/>
      <c r="E3301" s="248"/>
      <c r="F3301" s="47"/>
      <c r="G3301" s="79"/>
      <c r="J3301" s="99"/>
      <c r="K3301" s="4"/>
    </row>
    <row r="3302" spans="3:11" x14ac:dyDescent="0.25">
      <c r="C3302" s="79"/>
      <c r="D3302" s="248"/>
      <c r="E3302" s="248"/>
      <c r="F3302" s="47"/>
      <c r="G3302" s="79"/>
      <c r="J3302" s="99"/>
      <c r="K3302" s="4"/>
    </row>
    <row r="3303" spans="3:11" x14ac:dyDescent="0.25">
      <c r="C3303" s="79"/>
      <c r="D3303" s="248"/>
      <c r="E3303" s="248"/>
      <c r="F3303" s="47"/>
      <c r="G3303" s="79"/>
      <c r="J3303" s="99"/>
      <c r="K3303" s="4"/>
    </row>
    <row r="3304" spans="3:11" x14ac:dyDescent="0.25">
      <c r="C3304" s="79"/>
      <c r="D3304" s="248"/>
      <c r="E3304" s="248"/>
      <c r="F3304" s="47"/>
      <c r="G3304" s="79"/>
      <c r="J3304" s="99"/>
      <c r="K3304" s="4"/>
    </row>
    <row r="3305" spans="3:11" x14ac:dyDescent="0.25">
      <c r="C3305" s="79"/>
      <c r="D3305" s="248"/>
      <c r="E3305" s="248"/>
      <c r="F3305" s="47"/>
      <c r="G3305" s="79"/>
      <c r="J3305" s="99"/>
      <c r="K3305" s="4"/>
    </row>
    <row r="3306" spans="3:11" x14ac:dyDescent="0.25">
      <c r="C3306" s="79"/>
      <c r="D3306" s="248"/>
      <c r="E3306" s="248"/>
      <c r="F3306" s="47"/>
      <c r="G3306" s="79"/>
      <c r="J3306" s="99"/>
      <c r="K3306" s="4"/>
    </row>
    <row r="3307" spans="3:11" x14ac:dyDescent="0.25">
      <c r="C3307" s="79"/>
      <c r="D3307" s="248"/>
      <c r="E3307" s="248"/>
      <c r="F3307" s="47"/>
      <c r="G3307" s="79"/>
      <c r="J3307" s="99"/>
      <c r="K3307" s="4"/>
    </row>
    <row r="3308" spans="3:11" x14ac:dyDescent="0.25">
      <c r="C3308" s="79"/>
      <c r="D3308" s="248"/>
      <c r="E3308" s="248"/>
      <c r="F3308" s="47"/>
      <c r="G3308" s="79"/>
      <c r="J3308" s="99"/>
      <c r="K3308" s="4"/>
    </row>
    <row r="3309" spans="3:11" x14ac:dyDescent="0.25">
      <c r="C3309" s="79"/>
      <c r="D3309" s="248"/>
      <c r="E3309" s="248"/>
      <c r="F3309" s="47"/>
      <c r="G3309" s="79"/>
      <c r="J3309" s="99"/>
      <c r="K3309" s="4"/>
    </row>
    <row r="3310" spans="3:11" x14ac:dyDescent="0.25">
      <c r="C3310" s="79"/>
      <c r="D3310" s="248"/>
      <c r="E3310" s="248"/>
      <c r="F3310" s="47"/>
      <c r="G3310" s="79"/>
      <c r="J3310" s="99"/>
      <c r="K3310" s="4"/>
    </row>
    <row r="3311" spans="3:11" x14ac:dyDescent="0.25">
      <c r="C3311" s="79"/>
      <c r="D3311" s="248"/>
      <c r="E3311" s="248"/>
      <c r="F3311" s="47"/>
      <c r="G3311" s="79"/>
      <c r="J3311" s="99"/>
      <c r="K3311" s="4"/>
    </row>
    <row r="3312" spans="3:11" x14ac:dyDescent="0.25">
      <c r="C3312" s="79"/>
      <c r="D3312" s="248"/>
      <c r="E3312" s="248"/>
      <c r="F3312" s="47"/>
      <c r="G3312" s="79"/>
      <c r="J3312" s="99"/>
      <c r="K3312" s="4"/>
    </row>
    <row r="3313" spans="3:11" x14ac:dyDescent="0.25">
      <c r="C3313" s="79"/>
      <c r="D3313" s="248"/>
      <c r="E3313" s="248"/>
      <c r="F3313" s="47"/>
      <c r="G3313" s="79"/>
      <c r="J3313" s="99"/>
      <c r="K3313" s="4"/>
    </row>
    <row r="3314" spans="3:11" x14ac:dyDescent="0.25">
      <c r="C3314" s="79"/>
      <c r="D3314" s="248"/>
      <c r="E3314" s="248"/>
      <c r="F3314" s="47"/>
      <c r="G3314" s="79"/>
      <c r="J3314" s="99"/>
      <c r="K3314" s="4"/>
    </row>
    <row r="3315" spans="3:11" x14ac:dyDescent="0.25">
      <c r="C3315" s="79"/>
      <c r="D3315" s="248"/>
      <c r="E3315" s="248"/>
      <c r="F3315" s="47"/>
      <c r="G3315" s="79"/>
      <c r="J3315" s="99"/>
      <c r="K3315" s="4"/>
    </row>
    <row r="3316" spans="3:11" x14ac:dyDescent="0.25">
      <c r="C3316" s="79"/>
      <c r="D3316" s="248"/>
      <c r="E3316" s="248"/>
      <c r="F3316" s="47"/>
      <c r="G3316" s="79"/>
      <c r="J3316" s="99"/>
      <c r="K3316" s="4"/>
    </row>
    <row r="3317" spans="3:11" x14ac:dyDescent="0.25">
      <c r="C3317" s="79"/>
      <c r="D3317" s="248"/>
      <c r="E3317" s="248"/>
      <c r="F3317" s="47"/>
      <c r="G3317" s="79"/>
      <c r="J3317" s="99"/>
      <c r="K3317" s="4"/>
    </row>
    <row r="3318" spans="3:11" x14ac:dyDescent="0.25">
      <c r="C3318" s="79"/>
      <c r="D3318" s="248"/>
      <c r="E3318" s="248"/>
      <c r="F3318" s="47"/>
      <c r="G3318" s="79"/>
      <c r="J3318" s="99"/>
      <c r="K3318" s="4"/>
    </row>
    <row r="3319" spans="3:11" x14ac:dyDescent="0.25">
      <c r="C3319" s="79"/>
      <c r="D3319" s="248"/>
      <c r="E3319" s="248"/>
      <c r="F3319" s="47"/>
      <c r="G3319" s="79"/>
      <c r="J3319" s="99"/>
      <c r="K3319" s="4"/>
    </row>
    <row r="3320" spans="3:11" x14ac:dyDescent="0.25">
      <c r="C3320" s="79"/>
      <c r="D3320" s="248"/>
      <c r="E3320" s="248"/>
      <c r="F3320" s="47"/>
      <c r="G3320" s="79"/>
      <c r="J3320" s="99"/>
      <c r="K3320" s="4"/>
    </row>
    <row r="3321" spans="3:11" x14ac:dyDescent="0.25">
      <c r="C3321" s="79"/>
      <c r="D3321" s="248"/>
      <c r="E3321" s="248"/>
      <c r="F3321" s="47"/>
      <c r="G3321" s="79"/>
      <c r="J3321" s="99"/>
      <c r="K3321" s="4"/>
    </row>
    <row r="3322" spans="3:11" x14ac:dyDescent="0.25">
      <c r="C3322" s="79"/>
      <c r="D3322" s="248"/>
      <c r="E3322" s="248"/>
      <c r="F3322" s="47"/>
      <c r="G3322" s="79"/>
      <c r="J3322" s="99"/>
      <c r="K3322" s="4"/>
    </row>
    <row r="3323" spans="3:11" x14ac:dyDescent="0.25">
      <c r="C3323" s="79"/>
      <c r="D3323" s="248"/>
      <c r="E3323" s="248"/>
      <c r="F3323" s="47"/>
      <c r="G3323" s="79"/>
      <c r="J3323" s="99"/>
      <c r="K3323" s="4"/>
    </row>
    <row r="3324" spans="3:11" x14ac:dyDescent="0.25">
      <c r="C3324" s="79"/>
      <c r="D3324" s="248"/>
      <c r="E3324" s="248"/>
      <c r="F3324" s="47"/>
      <c r="G3324" s="79"/>
      <c r="J3324" s="99"/>
      <c r="K3324" s="4"/>
    </row>
    <row r="3325" spans="3:11" x14ac:dyDescent="0.25">
      <c r="C3325" s="79"/>
      <c r="D3325" s="248"/>
      <c r="E3325" s="248"/>
      <c r="F3325" s="47"/>
      <c r="G3325" s="79"/>
      <c r="J3325" s="99"/>
      <c r="K3325" s="4"/>
    </row>
    <row r="3326" spans="3:11" x14ac:dyDescent="0.25">
      <c r="C3326" s="79"/>
      <c r="D3326" s="248"/>
      <c r="E3326" s="248"/>
      <c r="F3326" s="47"/>
      <c r="G3326" s="79"/>
      <c r="J3326" s="99"/>
      <c r="K3326" s="4"/>
    </row>
    <row r="3327" spans="3:11" x14ac:dyDescent="0.25">
      <c r="C3327" s="79"/>
      <c r="D3327" s="248"/>
      <c r="E3327" s="248"/>
      <c r="F3327" s="47"/>
      <c r="G3327" s="79"/>
      <c r="J3327" s="99"/>
      <c r="K3327" s="4"/>
    </row>
    <row r="3328" spans="3:11" x14ac:dyDescent="0.25">
      <c r="C3328" s="79"/>
      <c r="D3328" s="248"/>
      <c r="E3328" s="248"/>
      <c r="F3328" s="47"/>
      <c r="G3328" s="79"/>
      <c r="J3328" s="99"/>
      <c r="K3328" s="4"/>
    </row>
    <row r="3329" spans="3:11" x14ac:dyDescent="0.25">
      <c r="C3329" s="79"/>
      <c r="D3329" s="248"/>
      <c r="E3329" s="248"/>
      <c r="F3329" s="47"/>
      <c r="G3329" s="79"/>
      <c r="J3329" s="99"/>
      <c r="K3329" s="4"/>
    </row>
    <row r="3330" spans="3:11" x14ac:dyDescent="0.25">
      <c r="C3330" s="79"/>
      <c r="D3330" s="248"/>
      <c r="E3330" s="248"/>
      <c r="F3330" s="47"/>
      <c r="G3330" s="79"/>
      <c r="J3330" s="99"/>
      <c r="K3330" s="4"/>
    </row>
    <row r="3331" spans="3:11" x14ac:dyDescent="0.25">
      <c r="C3331" s="79"/>
      <c r="D3331" s="248"/>
      <c r="E3331" s="248"/>
      <c r="F3331" s="47"/>
      <c r="G3331" s="79"/>
      <c r="J3331" s="99"/>
      <c r="K3331" s="4"/>
    </row>
    <row r="3332" spans="3:11" x14ac:dyDescent="0.25">
      <c r="C3332" s="79"/>
      <c r="D3332" s="248"/>
      <c r="E3332" s="248"/>
      <c r="F3332" s="47"/>
      <c r="G3332" s="79"/>
      <c r="J3332" s="99"/>
      <c r="K3332" s="4"/>
    </row>
    <row r="3333" spans="3:11" x14ac:dyDescent="0.25">
      <c r="C3333" s="79"/>
      <c r="D3333" s="248"/>
      <c r="E3333" s="248"/>
      <c r="F3333" s="47"/>
      <c r="G3333" s="79"/>
      <c r="J3333" s="99"/>
      <c r="K3333" s="4"/>
    </row>
    <row r="3334" spans="3:11" x14ac:dyDescent="0.25">
      <c r="C3334" s="79"/>
      <c r="D3334" s="248"/>
      <c r="E3334" s="248"/>
      <c r="F3334" s="47"/>
      <c r="G3334" s="79"/>
      <c r="J3334" s="99"/>
      <c r="K3334" s="4"/>
    </row>
    <row r="3335" spans="3:11" x14ac:dyDescent="0.25">
      <c r="C3335" s="79"/>
      <c r="D3335" s="248"/>
      <c r="E3335" s="248"/>
      <c r="F3335" s="47"/>
      <c r="G3335" s="79"/>
      <c r="J3335" s="99"/>
      <c r="K3335" s="4"/>
    </row>
    <row r="3336" spans="3:11" x14ac:dyDescent="0.25">
      <c r="C3336" s="79"/>
      <c r="D3336" s="248"/>
      <c r="E3336" s="248"/>
      <c r="F3336" s="47"/>
      <c r="G3336" s="79"/>
      <c r="J3336" s="99"/>
      <c r="K3336" s="4"/>
    </row>
    <row r="3337" spans="3:11" x14ac:dyDescent="0.25">
      <c r="C3337" s="79"/>
      <c r="D3337" s="248"/>
      <c r="E3337" s="248"/>
      <c r="F3337" s="47"/>
      <c r="G3337" s="79"/>
      <c r="J3337" s="99"/>
      <c r="K3337" s="4"/>
    </row>
    <row r="3338" spans="3:11" x14ac:dyDescent="0.25">
      <c r="C3338" s="79"/>
      <c r="D3338" s="248"/>
      <c r="E3338" s="248"/>
      <c r="F3338" s="47"/>
      <c r="G3338" s="79"/>
      <c r="J3338" s="99"/>
      <c r="K3338" s="4"/>
    </row>
    <row r="3339" spans="3:11" x14ac:dyDescent="0.25">
      <c r="C3339" s="79"/>
      <c r="D3339" s="248"/>
      <c r="E3339" s="248"/>
      <c r="F3339" s="47"/>
      <c r="G3339" s="79"/>
      <c r="J3339" s="99"/>
      <c r="K3339" s="4"/>
    </row>
    <row r="3340" spans="3:11" x14ac:dyDescent="0.25">
      <c r="C3340" s="79"/>
      <c r="D3340" s="248"/>
      <c r="E3340" s="248"/>
      <c r="F3340" s="47"/>
      <c r="G3340" s="79"/>
      <c r="J3340" s="99"/>
      <c r="K3340" s="4"/>
    </row>
    <row r="3341" spans="3:11" x14ac:dyDescent="0.25">
      <c r="C3341" s="79"/>
      <c r="D3341" s="248"/>
      <c r="E3341" s="248"/>
      <c r="F3341" s="47"/>
      <c r="G3341" s="79"/>
      <c r="J3341" s="99"/>
      <c r="K3341" s="4"/>
    </row>
    <row r="3342" spans="3:11" x14ac:dyDescent="0.25">
      <c r="C3342" s="79"/>
      <c r="D3342" s="248"/>
      <c r="E3342" s="248"/>
      <c r="F3342" s="47"/>
      <c r="G3342" s="79"/>
      <c r="J3342" s="99"/>
      <c r="K3342" s="4"/>
    </row>
    <row r="3343" spans="3:11" x14ac:dyDescent="0.25">
      <c r="C3343" s="79"/>
      <c r="D3343" s="248"/>
      <c r="E3343" s="248"/>
      <c r="F3343" s="47"/>
      <c r="G3343" s="79"/>
      <c r="J3343" s="99"/>
      <c r="K3343" s="4"/>
    </row>
    <row r="3344" spans="3:11" x14ac:dyDescent="0.25">
      <c r="C3344" s="79"/>
      <c r="D3344" s="248"/>
      <c r="E3344" s="248"/>
      <c r="F3344" s="47"/>
      <c r="G3344" s="79"/>
      <c r="J3344" s="99"/>
      <c r="K3344" s="4"/>
    </row>
    <row r="3345" spans="3:11" x14ac:dyDescent="0.25">
      <c r="C3345" s="79"/>
      <c r="D3345" s="248"/>
      <c r="E3345" s="248"/>
      <c r="F3345" s="47"/>
      <c r="G3345" s="79"/>
      <c r="J3345" s="99"/>
      <c r="K3345" s="4"/>
    </row>
    <row r="3346" spans="3:11" x14ac:dyDescent="0.25">
      <c r="C3346" s="79"/>
      <c r="D3346" s="248"/>
      <c r="E3346" s="248"/>
      <c r="F3346" s="47"/>
      <c r="G3346" s="79"/>
      <c r="J3346" s="99"/>
      <c r="K3346" s="4"/>
    </row>
    <row r="3347" spans="3:11" x14ac:dyDescent="0.25">
      <c r="C3347" s="79"/>
      <c r="D3347" s="248"/>
      <c r="E3347" s="248"/>
      <c r="F3347" s="47"/>
      <c r="G3347" s="79"/>
      <c r="J3347" s="99"/>
      <c r="K3347" s="4"/>
    </row>
    <row r="3348" spans="3:11" x14ac:dyDescent="0.25">
      <c r="C3348" s="79"/>
      <c r="D3348" s="248"/>
      <c r="E3348" s="248"/>
      <c r="F3348" s="47"/>
      <c r="G3348" s="79"/>
      <c r="J3348" s="99"/>
      <c r="K3348" s="4"/>
    </row>
    <row r="3349" spans="3:11" x14ac:dyDescent="0.25">
      <c r="C3349" s="79"/>
      <c r="D3349" s="248"/>
      <c r="E3349" s="248"/>
      <c r="F3349" s="47"/>
      <c r="G3349" s="79"/>
      <c r="J3349" s="99"/>
      <c r="K3349" s="4"/>
    </row>
    <row r="3350" spans="3:11" x14ac:dyDescent="0.25">
      <c r="C3350" s="79"/>
      <c r="D3350" s="248"/>
      <c r="E3350" s="248"/>
      <c r="F3350" s="47"/>
      <c r="G3350" s="79"/>
      <c r="J3350" s="99"/>
      <c r="K3350" s="4"/>
    </row>
    <row r="3351" spans="3:11" x14ac:dyDescent="0.25">
      <c r="C3351" s="79"/>
      <c r="D3351" s="248"/>
      <c r="E3351" s="248"/>
      <c r="F3351" s="47"/>
      <c r="G3351" s="79"/>
      <c r="J3351" s="99"/>
      <c r="K3351" s="4"/>
    </row>
    <row r="3352" spans="3:11" x14ac:dyDescent="0.25">
      <c r="C3352" s="79"/>
      <c r="D3352" s="248"/>
      <c r="E3352" s="248"/>
      <c r="F3352" s="47"/>
      <c r="G3352" s="79"/>
      <c r="J3352" s="99"/>
      <c r="K3352" s="4"/>
    </row>
    <row r="3353" spans="3:11" x14ac:dyDescent="0.25">
      <c r="C3353" s="79"/>
      <c r="D3353" s="248"/>
      <c r="E3353" s="248"/>
      <c r="F3353" s="47"/>
      <c r="G3353" s="79"/>
      <c r="J3353" s="99"/>
      <c r="K3353" s="4"/>
    </row>
    <row r="3354" spans="3:11" x14ac:dyDescent="0.25">
      <c r="C3354" s="79"/>
      <c r="D3354" s="248"/>
      <c r="E3354" s="248"/>
      <c r="F3354" s="47"/>
      <c r="G3354" s="79"/>
      <c r="J3354" s="99"/>
      <c r="K3354" s="4"/>
    </row>
    <row r="3355" spans="3:11" x14ac:dyDescent="0.25">
      <c r="C3355" s="79"/>
      <c r="D3355" s="248"/>
      <c r="E3355" s="248"/>
      <c r="F3355" s="47"/>
      <c r="G3355" s="79"/>
      <c r="J3355" s="99"/>
      <c r="K3355" s="4"/>
    </row>
    <row r="3356" spans="3:11" x14ac:dyDescent="0.25">
      <c r="C3356" s="79"/>
      <c r="D3356" s="248"/>
      <c r="E3356" s="248"/>
      <c r="F3356" s="47"/>
      <c r="G3356" s="79"/>
      <c r="J3356" s="99"/>
      <c r="K3356" s="4"/>
    </row>
    <row r="3357" spans="3:11" x14ac:dyDescent="0.25">
      <c r="C3357" s="79"/>
      <c r="D3357" s="248"/>
      <c r="E3357" s="248"/>
      <c r="F3357" s="47"/>
      <c r="G3357" s="79"/>
      <c r="J3357" s="99"/>
      <c r="K3357" s="4"/>
    </row>
    <row r="3358" spans="3:11" x14ac:dyDescent="0.25">
      <c r="C3358" s="79"/>
      <c r="D3358" s="248"/>
      <c r="E3358" s="248"/>
      <c r="F3358" s="47"/>
      <c r="G3358" s="79"/>
      <c r="J3358" s="99"/>
      <c r="K3358" s="4"/>
    </row>
    <row r="3359" spans="3:11" x14ac:dyDescent="0.25">
      <c r="C3359" s="79"/>
      <c r="D3359" s="248"/>
      <c r="E3359" s="248"/>
      <c r="F3359" s="47"/>
      <c r="G3359" s="79"/>
      <c r="J3359" s="99"/>
      <c r="K3359" s="4"/>
    </row>
    <row r="3360" spans="3:11" x14ac:dyDescent="0.25">
      <c r="C3360" s="79"/>
      <c r="D3360" s="248"/>
      <c r="E3360" s="248"/>
      <c r="F3360" s="47"/>
      <c r="G3360" s="79"/>
      <c r="J3360" s="99"/>
      <c r="K3360" s="4"/>
    </row>
    <row r="3361" spans="3:11" x14ac:dyDescent="0.25">
      <c r="C3361" s="79"/>
      <c r="D3361" s="248"/>
      <c r="E3361" s="248"/>
      <c r="F3361" s="47"/>
      <c r="G3361" s="79"/>
      <c r="J3361" s="99"/>
      <c r="K3361" s="4"/>
    </row>
    <row r="3362" spans="3:11" x14ac:dyDescent="0.25">
      <c r="C3362" s="79"/>
      <c r="D3362" s="248"/>
      <c r="E3362" s="248"/>
      <c r="F3362" s="47"/>
      <c r="G3362" s="79"/>
      <c r="J3362" s="99"/>
      <c r="K3362" s="4"/>
    </row>
    <row r="3363" spans="3:11" x14ac:dyDescent="0.25">
      <c r="C3363" s="79"/>
      <c r="D3363" s="248"/>
      <c r="E3363" s="248"/>
      <c r="F3363" s="47"/>
      <c r="G3363" s="79"/>
      <c r="J3363" s="99"/>
      <c r="K3363" s="4"/>
    </row>
    <row r="3364" spans="3:11" x14ac:dyDescent="0.25">
      <c r="C3364" s="79"/>
      <c r="D3364" s="248"/>
      <c r="E3364" s="248"/>
      <c r="F3364" s="47"/>
      <c r="G3364" s="79"/>
      <c r="J3364" s="99"/>
      <c r="K3364" s="4"/>
    </row>
    <row r="3365" spans="3:11" x14ac:dyDescent="0.25">
      <c r="C3365" s="79"/>
      <c r="D3365" s="248"/>
      <c r="E3365" s="248"/>
      <c r="F3365" s="47"/>
      <c r="G3365" s="79"/>
      <c r="J3365" s="99"/>
      <c r="K3365" s="4"/>
    </row>
    <row r="3366" spans="3:11" x14ac:dyDescent="0.25">
      <c r="C3366" s="79"/>
      <c r="D3366" s="248"/>
      <c r="E3366" s="248"/>
      <c r="F3366" s="47"/>
      <c r="G3366" s="79"/>
      <c r="J3366" s="99"/>
      <c r="K3366" s="4"/>
    </row>
    <row r="3367" spans="3:11" x14ac:dyDescent="0.25">
      <c r="C3367" s="79"/>
      <c r="D3367" s="248"/>
      <c r="E3367" s="248"/>
      <c r="F3367" s="47"/>
      <c r="G3367" s="79"/>
      <c r="J3367" s="99"/>
      <c r="K3367" s="4"/>
    </row>
    <row r="3368" spans="3:11" x14ac:dyDescent="0.25">
      <c r="C3368" s="79"/>
      <c r="D3368" s="248"/>
      <c r="E3368" s="248"/>
      <c r="F3368" s="47"/>
      <c r="G3368" s="79"/>
      <c r="J3368" s="99"/>
      <c r="K3368" s="4"/>
    </row>
    <row r="3369" spans="3:11" x14ac:dyDescent="0.25">
      <c r="C3369" s="79"/>
      <c r="D3369" s="248"/>
      <c r="E3369" s="248"/>
      <c r="F3369" s="47"/>
      <c r="G3369" s="79"/>
      <c r="J3369" s="99"/>
      <c r="K3369" s="4"/>
    </row>
    <row r="3370" spans="3:11" x14ac:dyDescent="0.25">
      <c r="C3370" s="79"/>
      <c r="D3370" s="248"/>
      <c r="E3370" s="248"/>
      <c r="F3370" s="47"/>
      <c r="G3370" s="79"/>
      <c r="J3370" s="99"/>
      <c r="K3370" s="4"/>
    </row>
    <row r="3371" spans="3:11" x14ac:dyDescent="0.25">
      <c r="C3371" s="79"/>
      <c r="D3371" s="248"/>
      <c r="E3371" s="248"/>
      <c r="F3371" s="47"/>
      <c r="G3371" s="79"/>
      <c r="J3371" s="99"/>
      <c r="K3371" s="4"/>
    </row>
    <row r="3372" spans="3:11" x14ac:dyDescent="0.25">
      <c r="C3372" s="79"/>
      <c r="D3372" s="248"/>
      <c r="E3372" s="248"/>
      <c r="F3372" s="47"/>
      <c r="G3372" s="79"/>
      <c r="J3372" s="99"/>
      <c r="K3372" s="4"/>
    </row>
    <row r="3373" spans="3:11" x14ac:dyDescent="0.25">
      <c r="C3373" s="79"/>
      <c r="D3373" s="248"/>
      <c r="E3373" s="248"/>
      <c r="F3373" s="47"/>
      <c r="G3373" s="79"/>
      <c r="J3373" s="99"/>
      <c r="K3373" s="4"/>
    </row>
    <row r="3374" spans="3:11" x14ac:dyDescent="0.25">
      <c r="C3374" s="79"/>
      <c r="D3374" s="248"/>
      <c r="E3374" s="248"/>
      <c r="F3374" s="47"/>
      <c r="G3374" s="79"/>
      <c r="J3374" s="99"/>
      <c r="K3374" s="4"/>
    </row>
    <row r="3375" spans="3:11" x14ac:dyDescent="0.25">
      <c r="C3375" s="79"/>
      <c r="D3375" s="248"/>
      <c r="E3375" s="248"/>
      <c r="F3375" s="47"/>
      <c r="G3375" s="79"/>
      <c r="J3375" s="99"/>
      <c r="K3375" s="4"/>
    </row>
    <row r="3376" spans="3:11" x14ac:dyDescent="0.25">
      <c r="C3376" s="79"/>
      <c r="D3376" s="248"/>
      <c r="E3376" s="248"/>
      <c r="F3376" s="47"/>
      <c r="G3376" s="79"/>
      <c r="J3376" s="99"/>
      <c r="K3376" s="4"/>
    </row>
    <row r="3377" spans="3:11" x14ac:dyDescent="0.25">
      <c r="C3377" s="79"/>
      <c r="D3377" s="248"/>
      <c r="E3377" s="248"/>
      <c r="F3377" s="47"/>
      <c r="G3377" s="79"/>
      <c r="J3377" s="99"/>
      <c r="K3377" s="4"/>
    </row>
    <row r="3378" spans="3:11" x14ac:dyDescent="0.25">
      <c r="C3378" s="79"/>
      <c r="D3378" s="248"/>
      <c r="E3378" s="248"/>
      <c r="F3378" s="47"/>
      <c r="G3378" s="79"/>
      <c r="J3378" s="99"/>
      <c r="K3378" s="4"/>
    </row>
    <row r="3379" spans="3:11" x14ac:dyDescent="0.25">
      <c r="C3379" s="79"/>
      <c r="D3379" s="248"/>
      <c r="E3379" s="248"/>
      <c r="F3379" s="47"/>
      <c r="G3379" s="79"/>
      <c r="J3379" s="99"/>
      <c r="K3379" s="4"/>
    </row>
    <row r="3380" spans="3:11" x14ac:dyDescent="0.25">
      <c r="C3380" s="79"/>
      <c r="D3380" s="248"/>
      <c r="E3380" s="248"/>
      <c r="F3380" s="47"/>
      <c r="G3380" s="79"/>
      <c r="J3380" s="99"/>
      <c r="K3380" s="4"/>
    </row>
    <row r="3381" spans="3:11" x14ac:dyDescent="0.25">
      <c r="C3381" s="79"/>
      <c r="D3381" s="248"/>
      <c r="E3381" s="248"/>
      <c r="F3381" s="47"/>
      <c r="G3381" s="79"/>
      <c r="J3381" s="99"/>
      <c r="K3381" s="4"/>
    </row>
    <row r="3382" spans="3:11" x14ac:dyDescent="0.25">
      <c r="C3382" s="79"/>
      <c r="D3382" s="248"/>
      <c r="E3382" s="248"/>
      <c r="F3382" s="47"/>
      <c r="G3382" s="79"/>
      <c r="J3382" s="99"/>
      <c r="K3382" s="4"/>
    </row>
    <row r="3383" spans="3:11" x14ac:dyDescent="0.25">
      <c r="C3383" s="79"/>
      <c r="D3383" s="248"/>
      <c r="E3383" s="248"/>
      <c r="F3383" s="47"/>
      <c r="G3383" s="79"/>
      <c r="J3383" s="99"/>
      <c r="K3383" s="4"/>
    </row>
    <row r="3384" spans="3:11" x14ac:dyDescent="0.25">
      <c r="C3384" s="79"/>
      <c r="D3384" s="248"/>
      <c r="E3384" s="248"/>
      <c r="F3384" s="47"/>
      <c r="G3384" s="79"/>
      <c r="J3384" s="99"/>
      <c r="K3384" s="4"/>
    </row>
    <row r="3385" spans="3:11" x14ac:dyDescent="0.25">
      <c r="C3385" s="79"/>
      <c r="D3385" s="248"/>
      <c r="E3385" s="248"/>
      <c r="F3385" s="47"/>
      <c r="G3385" s="79"/>
      <c r="J3385" s="99"/>
      <c r="K3385" s="4"/>
    </row>
    <row r="3386" spans="3:11" x14ac:dyDescent="0.25">
      <c r="C3386" s="79"/>
      <c r="D3386" s="248"/>
      <c r="E3386" s="248"/>
      <c r="F3386" s="47"/>
      <c r="G3386" s="79"/>
      <c r="J3386" s="99"/>
      <c r="K3386" s="4"/>
    </row>
    <row r="3387" spans="3:11" x14ac:dyDescent="0.25">
      <c r="C3387" s="79"/>
      <c r="D3387" s="248"/>
      <c r="E3387" s="248"/>
      <c r="F3387" s="47"/>
      <c r="G3387" s="79"/>
      <c r="J3387" s="99"/>
      <c r="K3387" s="4"/>
    </row>
    <row r="3388" spans="3:11" x14ac:dyDescent="0.25">
      <c r="C3388" s="79"/>
      <c r="D3388" s="248"/>
      <c r="E3388" s="248"/>
      <c r="F3388" s="47"/>
      <c r="G3388" s="79"/>
      <c r="J3388" s="99"/>
      <c r="K3388" s="4"/>
    </row>
    <row r="3389" spans="3:11" x14ac:dyDescent="0.25">
      <c r="C3389" s="79"/>
      <c r="D3389" s="248"/>
      <c r="E3389" s="248"/>
      <c r="F3389" s="47"/>
      <c r="G3389" s="79"/>
      <c r="J3389" s="99"/>
      <c r="K3389" s="4"/>
    </row>
    <row r="3390" spans="3:11" x14ac:dyDescent="0.25">
      <c r="C3390" s="79"/>
      <c r="D3390" s="248"/>
      <c r="E3390" s="248"/>
      <c r="F3390" s="47"/>
      <c r="G3390" s="79"/>
      <c r="J3390" s="99"/>
      <c r="K3390" s="4"/>
    </row>
    <row r="3391" spans="3:11" x14ac:dyDescent="0.25">
      <c r="C3391" s="79"/>
      <c r="D3391" s="248"/>
      <c r="E3391" s="248"/>
      <c r="F3391" s="47"/>
      <c r="G3391" s="79"/>
      <c r="J3391" s="99"/>
      <c r="K3391" s="4"/>
    </row>
    <row r="3392" spans="3:11" x14ac:dyDescent="0.25">
      <c r="C3392" s="79"/>
      <c r="D3392" s="248"/>
      <c r="E3392" s="248"/>
      <c r="F3392" s="47"/>
      <c r="G3392" s="79"/>
      <c r="J3392" s="99"/>
      <c r="K3392" s="4"/>
    </row>
    <row r="3393" spans="3:11" x14ac:dyDescent="0.25">
      <c r="C3393" s="79"/>
      <c r="D3393" s="248"/>
      <c r="E3393" s="248"/>
      <c r="F3393" s="47"/>
      <c r="G3393" s="79"/>
      <c r="J3393" s="99"/>
      <c r="K3393" s="4"/>
    </row>
    <row r="3394" spans="3:11" x14ac:dyDescent="0.25">
      <c r="C3394" s="79"/>
      <c r="D3394" s="248"/>
      <c r="E3394" s="248"/>
      <c r="F3394" s="47"/>
      <c r="G3394" s="79"/>
      <c r="J3394" s="99"/>
      <c r="K3394" s="4"/>
    </row>
    <row r="3395" spans="3:11" x14ac:dyDescent="0.25">
      <c r="C3395" s="79"/>
      <c r="D3395" s="248"/>
      <c r="E3395" s="248"/>
      <c r="F3395" s="47"/>
      <c r="G3395" s="79"/>
      <c r="J3395" s="99"/>
      <c r="K3395" s="4"/>
    </row>
    <row r="3396" spans="3:11" x14ac:dyDescent="0.25">
      <c r="C3396" s="79"/>
      <c r="D3396" s="248"/>
      <c r="E3396" s="248"/>
      <c r="F3396" s="47"/>
      <c r="G3396" s="79"/>
      <c r="J3396" s="99"/>
      <c r="K3396" s="4"/>
    </row>
    <row r="3397" spans="3:11" x14ac:dyDescent="0.25">
      <c r="C3397" s="79"/>
      <c r="D3397" s="248"/>
      <c r="E3397" s="248"/>
      <c r="F3397" s="47"/>
      <c r="G3397" s="79"/>
      <c r="J3397" s="99"/>
      <c r="K3397" s="4"/>
    </row>
    <row r="3398" spans="3:11" x14ac:dyDescent="0.25">
      <c r="C3398" s="79"/>
      <c r="D3398" s="248"/>
      <c r="E3398" s="248"/>
      <c r="F3398" s="47"/>
      <c r="G3398" s="79"/>
      <c r="J3398" s="99"/>
      <c r="K3398" s="4"/>
    </row>
    <row r="3399" spans="3:11" x14ac:dyDescent="0.25">
      <c r="C3399" s="79"/>
      <c r="D3399" s="248"/>
      <c r="E3399" s="248"/>
      <c r="F3399" s="47"/>
      <c r="G3399" s="79"/>
      <c r="J3399" s="99"/>
      <c r="K3399" s="4"/>
    </row>
    <row r="3400" spans="3:11" x14ac:dyDescent="0.25">
      <c r="C3400" s="79"/>
      <c r="D3400" s="248"/>
      <c r="E3400" s="248"/>
      <c r="F3400" s="47"/>
      <c r="G3400" s="79"/>
      <c r="J3400" s="99"/>
      <c r="K3400" s="4"/>
    </row>
    <row r="3401" spans="3:11" x14ac:dyDescent="0.25">
      <c r="C3401" s="79"/>
      <c r="D3401" s="248"/>
      <c r="E3401" s="248"/>
      <c r="F3401" s="47"/>
      <c r="G3401" s="79"/>
      <c r="J3401" s="99"/>
      <c r="K3401" s="4"/>
    </row>
    <row r="3402" spans="3:11" x14ac:dyDescent="0.25">
      <c r="C3402" s="79"/>
      <c r="D3402" s="248"/>
      <c r="E3402" s="248"/>
      <c r="F3402" s="47"/>
      <c r="G3402" s="79"/>
      <c r="J3402" s="99"/>
      <c r="K3402" s="4"/>
    </row>
    <row r="3403" spans="3:11" x14ac:dyDescent="0.25">
      <c r="C3403" s="79"/>
      <c r="D3403" s="248"/>
      <c r="E3403" s="248"/>
      <c r="F3403" s="47"/>
      <c r="G3403" s="79"/>
      <c r="J3403" s="99"/>
      <c r="K3403" s="4"/>
    </row>
    <row r="3404" spans="3:11" x14ac:dyDescent="0.25">
      <c r="C3404" s="79"/>
      <c r="D3404" s="248"/>
      <c r="E3404" s="248"/>
      <c r="F3404" s="47"/>
      <c r="G3404" s="79"/>
      <c r="J3404" s="99"/>
      <c r="K3404" s="4"/>
    </row>
    <row r="3405" spans="3:11" x14ac:dyDescent="0.25">
      <c r="C3405" s="79"/>
      <c r="D3405" s="248"/>
      <c r="E3405" s="248"/>
      <c r="F3405" s="47"/>
      <c r="G3405" s="79"/>
      <c r="J3405" s="99"/>
      <c r="K3405" s="4"/>
    </row>
    <row r="3406" spans="3:11" x14ac:dyDescent="0.25">
      <c r="C3406" s="79"/>
      <c r="D3406" s="248"/>
      <c r="E3406" s="248"/>
      <c r="F3406" s="47"/>
      <c r="G3406" s="79"/>
      <c r="J3406" s="99"/>
      <c r="K3406" s="4"/>
    </row>
    <row r="3407" spans="3:11" x14ac:dyDescent="0.25">
      <c r="C3407" s="79"/>
      <c r="D3407" s="248"/>
      <c r="E3407" s="248"/>
      <c r="F3407" s="47"/>
      <c r="G3407" s="79"/>
      <c r="J3407" s="99"/>
      <c r="K3407" s="4"/>
    </row>
    <row r="3408" spans="3:11" x14ac:dyDescent="0.25">
      <c r="C3408" s="79"/>
      <c r="D3408" s="248"/>
      <c r="E3408" s="248"/>
      <c r="F3408" s="47"/>
      <c r="G3408" s="79"/>
      <c r="J3408" s="99"/>
      <c r="K3408" s="4"/>
    </row>
    <row r="3409" spans="3:11" x14ac:dyDescent="0.25">
      <c r="C3409" s="79"/>
      <c r="D3409" s="248"/>
      <c r="E3409" s="248"/>
      <c r="F3409" s="47"/>
      <c r="G3409" s="79"/>
      <c r="J3409" s="99"/>
      <c r="K3409" s="4"/>
    </row>
    <row r="3410" spans="3:11" x14ac:dyDescent="0.25">
      <c r="C3410" s="79"/>
      <c r="D3410" s="248"/>
      <c r="E3410" s="248"/>
      <c r="F3410" s="47"/>
      <c r="G3410" s="79"/>
      <c r="J3410" s="99"/>
      <c r="K3410" s="4"/>
    </row>
    <row r="3411" spans="3:11" x14ac:dyDescent="0.25">
      <c r="C3411" s="79"/>
      <c r="D3411" s="248"/>
      <c r="E3411" s="248"/>
      <c r="F3411" s="47"/>
      <c r="G3411" s="79"/>
      <c r="J3411" s="99"/>
      <c r="K3411" s="4"/>
    </row>
    <row r="3412" spans="3:11" x14ac:dyDescent="0.25">
      <c r="C3412" s="79"/>
      <c r="D3412" s="248"/>
      <c r="E3412" s="248"/>
      <c r="F3412" s="47"/>
      <c r="G3412" s="79"/>
      <c r="J3412" s="99"/>
      <c r="K3412" s="4"/>
    </row>
    <row r="3413" spans="3:11" x14ac:dyDescent="0.25">
      <c r="C3413" s="79"/>
      <c r="D3413" s="248"/>
      <c r="E3413" s="248"/>
      <c r="F3413" s="47"/>
      <c r="G3413" s="79"/>
      <c r="J3413" s="99"/>
      <c r="K3413" s="4"/>
    </row>
    <row r="3414" spans="3:11" x14ac:dyDescent="0.25">
      <c r="C3414" s="79"/>
      <c r="D3414" s="248"/>
      <c r="E3414" s="248"/>
      <c r="F3414" s="47"/>
      <c r="G3414" s="79"/>
      <c r="J3414" s="99"/>
      <c r="K3414" s="4"/>
    </row>
    <row r="3415" spans="3:11" x14ac:dyDescent="0.25">
      <c r="C3415" s="79"/>
      <c r="D3415" s="248"/>
      <c r="E3415" s="248"/>
      <c r="F3415" s="47"/>
      <c r="G3415" s="79"/>
      <c r="J3415" s="99"/>
      <c r="K3415" s="4"/>
    </row>
    <row r="3416" spans="3:11" x14ac:dyDescent="0.25">
      <c r="C3416" s="79"/>
      <c r="D3416" s="248"/>
      <c r="E3416" s="248"/>
      <c r="F3416" s="47"/>
      <c r="G3416" s="79"/>
      <c r="J3416" s="99"/>
      <c r="K3416" s="4"/>
    </row>
    <row r="3417" spans="3:11" x14ac:dyDescent="0.25">
      <c r="C3417" s="79"/>
      <c r="D3417" s="248"/>
      <c r="E3417" s="248"/>
      <c r="F3417" s="47"/>
      <c r="G3417" s="79"/>
      <c r="J3417" s="99"/>
      <c r="K3417" s="4"/>
    </row>
    <row r="3418" spans="3:11" x14ac:dyDescent="0.25">
      <c r="C3418" s="79"/>
      <c r="D3418" s="248"/>
      <c r="E3418" s="248"/>
      <c r="F3418" s="47"/>
      <c r="G3418" s="79"/>
      <c r="J3418" s="99"/>
      <c r="K3418" s="4"/>
    </row>
    <row r="3419" spans="3:11" x14ac:dyDescent="0.25">
      <c r="C3419" s="79"/>
      <c r="D3419" s="248"/>
      <c r="E3419" s="248"/>
      <c r="F3419" s="47"/>
      <c r="G3419" s="79"/>
      <c r="J3419" s="99"/>
      <c r="K3419" s="4"/>
    </row>
    <row r="3420" spans="3:11" x14ac:dyDescent="0.25">
      <c r="C3420" s="79"/>
      <c r="D3420" s="248"/>
      <c r="E3420" s="248"/>
      <c r="F3420" s="47"/>
      <c r="G3420" s="79"/>
      <c r="J3420" s="99"/>
      <c r="K3420" s="4"/>
    </row>
    <row r="3421" spans="3:11" x14ac:dyDescent="0.25">
      <c r="C3421" s="79"/>
      <c r="D3421" s="248"/>
      <c r="E3421" s="248"/>
      <c r="F3421" s="47"/>
      <c r="G3421" s="79"/>
      <c r="J3421" s="99"/>
      <c r="K3421" s="4"/>
    </row>
    <row r="3422" spans="3:11" x14ac:dyDescent="0.25">
      <c r="C3422" s="79"/>
      <c r="D3422" s="248"/>
      <c r="E3422" s="248"/>
      <c r="F3422" s="47"/>
      <c r="G3422" s="79"/>
      <c r="J3422" s="99"/>
      <c r="K3422" s="4"/>
    </row>
    <row r="3423" spans="3:11" x14ac:dyDescent="0.25">
      <c r="C3423" s="79"/>
      <c r="D3423" s="248"/>
      <c r="E3423" s="248"/>
      <c r="F3423" s="47"/>
      <c r="G3423" s="79"/>
      <c r="J3423" s="99"/>
      <c r="K3423" s="4"/>
    </row>
    <row r="3424" spans="3:11" x14ac:dyDescent="0.25">
      <c r="C3424" s="79"/>
      <c r="D3424" s="248"/>
      <c r="E3424" s="248"/>
      <c r="F3424" s="47"/>
      <c r="G3424" s="79"/>
      <c r="J3424" s="99"/>
      <c r="K3424" s="4"/>
    </row>
    <row r="3425" spans="3:11" x14ac:dyDescent="0.25">
      <c r="C3425" s="79"/>
      <c r="D3425" s="248"/>
      <c r="E3425" s="248"/>
      <c r="F3425" s="47"/>
      <c r="G3425" s="79"/>
      <c r="J3425" s="99"/>
      <c r="K3425" s="4"/>
    </row>
    <row r="3426" spans="3:11" x14ac:dyDescent="0.25">
      <c r="C3426" s="79"/>
      <c r="D3426" s="248"/>
      <c r="E3426" s="248"/>
      <c r="F3426" s="47"/>
      <c r="G3426" s="79"/>
      <c r="J3426" s="99"/>
      <c r="K3426" s="4"/>
    </row>
    <row r="3427" spans="3:11" x14ac:dyDescent="0.25">
      <c r="C3427" s="79"/>
      <c r="D3427" s="248"/>
      <c r="E3427" s="248"/>
      <c r="F3427" s="47"/>
      <c r="G3427" s="79"/>
      <c r="J3427" s="99"/>
      <c r="K3427" s="4"/>
    </row>
    <row r="3428" spans="3:11" x14ac:dyDescent="0.25">
      <c r="C3428" s="79"/>
      <c r="D3428" s="248"/>
      <c r="E3428" s="248"/>
      <c r="F3428" s="47"/>
      <c r="G3428" s="79"/>
      <c r="J3428" s="99"/>
      <c r="K3428" s="4"/>
    </row>
    <row r="3429" spans="3:11" x14ac:dyDescent="0.25">
      <c r="C3429" s="79"/>
      <c r="D3429" s="248"/>
      <c r="E3429" s="248"/>
      <c r="F3429" s="47"/>
      <c r="G3429" s="79"/>
      <c r="J3429" s="99"/>
      <c r="K3429" s="4"/>
    </row>
    <row r="3430" spans="3:11" x14ac:dyDescent="0.25">
      <c r="C3430" s="79"/>
      <c r="D3430" s="248"/>
      <c r="E3430" s="248"/>
      <c r="F3430" s="47"/>
      <c r="G3430" s="79"/>
      <c r="J3430" s="99"/>
      <c r="K3430" s="4"/>
    </row>
    <row r="3431" spans="3:11" x14ac:dyDescent="0.25">
      <c r="C3431" s="79"/>
      <c r="D3431" s="248"/>
      <c r="E3431" s="248"/>
      <c r="F3431" s="47"/>
      <c r="G3431" s="79"/>
      <c r="J3431" s="99"/>
      <c r="K3431" s="4"/>
    </row>
    <row r="3432" spans="3:11" x14ac:dyDescent="0.25">
      <c r="C3432" s="79"/>
      <c r="D3432" s="248"/>
      <c r="E3432" s="248"/>
      <c r="F3432" s="47"/>
      <c r="G3432" s="79"/>
      <c r="J3432" s="99"/>
      <c r="K3432" s="4"/>
    </row>
    <row r="3433" spans="3:11" x14ac:dyDescent="0.25">
      <c r="C3433" s="79"/>
      <c r="D3433" s="248"/>
      <c r="E3433" s="248"/>
      <c r="F3433" s="47"/>
      <c r="G3433" s="79"/>
      <c r="J3433" s="99"/>
      <c r="K3433" s="4"/>
    </row>
    <row r="3434" spans="3:11" x14ac:dyDescent="0.25">
      <c r="C3434" s="79"/>
      <c r="D3434" s="248"/>
      <c r="E3434" s="248"/>
      <c r="F3434" s="47"/>
      <c r="G3434" s="79"/>
      <c r="J3434" s="99"/>
      <c r="K3434" s="4"/>
    </row>
    <row r="3435" spans="3:11" x14ac:dyDescent="0.25">
      <c r="C3435" s="79"/>
      <c r="D3435" s="248"/>
      <c r="E3435" s="248"/>
      <c r="F3435" s="47"/>
      <c r="G3435" s="79"/>
      <c r="J3435" s="99"/>
      <c r="K3435" s="4"/>
    </row>
    <row r="3436" spans="3:11" x14ac:dyDescent="0.25">
      <c r="C3436" s="79"/>
      <c r="D3436" s="248"/>
      <c r="E3436" s="248"/>
      <c r="F3436" s="47"/>
      <c r="G3436" s="79"/>
      <c r="J3436" s="99"/>
      <c r="K3436" s="4"/>
    </row>
    <row r="3437" spans="3:11" x14ac:dyDescent="0.25">
      <c r="C3437" s="79"/>
      <c r="D3437" s="248"/>
      <c r="E3437" s="248"/>
      <c r="F3437" s="47"/>
      <c r="G3437" s="79"/>
      <c r="J3437" s="99"/>
      <c r="K3437" s="4"/>
    </row>
    <row r="3438" spans="3:11" x14ac:dyDescent="0.25">
      <c r="C3438" s="79"/>
      <c r="D3438" s="248"/>
      <c r="E3438" s="248"/>
      <c r="F3438" s="47"/>
      <c r="G3438" s="79"/>
      <c r="J3438" s="99"/>
      <c r="K3438" s="4"/>
    </row>
    <row r="3439" spans="3:11" x14ac:dyDescent="0.25">
      <c r="C3439" s="79"/>
      <c r="D3439" s="248"/>
      <c r="E3439" s="248"/>
      <c r="F3439" s="47"/>
      <c r="G3439" s="79"/>
      <c r="J3439" s="99"/>
      <c r="K3439" s="4"/>
    </row>
    <row r="3440" spans="3:11" x14ac:dyDescent="0.25">
      <c r="C3440" s="79"/>
      <c r="D3440" s="248"/>
      <c r="E3440" s="248"/>
      <c r="F3440" s="47"/>
      <c r="G3440" s="79"/>
      <c r="J3440" s="99"/>
      <c r="K3440" s="4"/>
    </row>
    <row r="3441" spans="3:11" x14ac:dyDescent="0.25">
      <c r="C3441" s="79"/>
      <c r="D3441" s="248"/>
      <c r="E3441" s="248"/>
      <c r="F3441" s="47"/>
      <c r="G3441" s="79"/>
      <c r="J3441" s="99"/>
      <c r="K3441" s="4"/>
    </row>
    <row r="3442" spans="3:11" x14ac:dyDescent="0.25">
      <c r="C3442" s="79"/>
      <c r="D3442" s="248"/>
      <c r="E3442" s="248"/>
      <c r="F3442" s="47"/>
      <c r="G3442" s="79"/>
      <c r="J3442" s="99"/>
      <c r="K3442" s="4"/>
    </row>
    <row r="3443" spans="3:11" x14ac:dyDescent="0.25">
      <c r="C3443" s="79"/>
      <c r="D3443" s="248"/>
      <c r="E3443" s="248"/>
      <c r="F3443" s="47"/>
      <c r="G3443" s="79"/>
      <c r="J3443" s="99"/>
      <c r="K3443" s="4"/>
    </row>
    <row r="3444" spans="3:11" x14ac:dyDescent="0.25">
      <c r="C3444" s="79"/>
      <c r="D3444" s="248"/>
      <c r="E3444" s="248"/>
      <c r="F3444" s="47"/>
      <c r="G3444" s="79"/>
      <c r="J3444" s="99"/>
      <c r="K3444" s="4"/>
    </row>
    <row r="3445" spans="3:11" x14ac:dyDescent="0.25">
      <c r="C3445" s="79"/>
      <c r="D3445" s="248"/>
      <c r="E3445" s="248"/>
      <c r="F3445" s="47"/>
      <c r="G3445" s="79"/>
      <c r="J3445" s="99"/>
      <c r="K3445" s="4"/>
    </row>
    <row r="3446" spans="3:11" x14ac:dyDescent="0.25">
      <c r="C3446" s="79"/>
      <c r="D3446" s="248"/>
      <c r="E3446" s="248"/>
      <c r="F3446" s="47"/>
      <c r="G3446" s="79"/>
      <c r="J3446" s="99"/>
      <c r="K3446" s="4"/>
    </row>
    <row r="3447" spans="3:11" x14ac:dyDescent="0.25">
      <c r="C3447" s="79"/>
      <c r="D3447" s="248"/>
      <c r="E3447" s="248"/>
      <c r="F3447" s="47"/>
      <c r="G3447" s="79"/>
      <c r="J3447" s="99"/>
      <c r="K3447" s="4"/>
    </row>
    <row r="3448" spans="3:11" x14ac:dyDescent="0.25">
      <c r="C3448" s="79"/>
      <c r="D3448" s="248"/>
      <c r="E3448" s="248"/>
      <c r="F3448" s="47"/>
      <c r="G3448" s="79"/>
      <c r="J3448" s="99"/>
      <c r="K3448" s="4"/>
    </row>
    <row r="3449" spans="3:11" x14ac:dyDescent="0.25">
      <c r="C3449" s="79"/>
      <c r="D3449" s="248"/>
      <c r="E3449" s="248"/>
      <c r="F3449" s="47"/>
      <c r="G3449" s="79"/>
      <c r="J3449" s="99"/>
      <c r="K3449" s="4"/>
    </row>
    <row r="3450" spans="3:11" x14ac:dyDescent="0.25">
      <c r="C3450" s="79"/>
      <c r="D3450" s="248"/>
      <c r="E3450" s="248"/>
      <c r="F3450" s="47"/>
      <c r="G3450" s="79"/>
      <c r="J3450" s="99"/>
      <c r="K3450" s="4"/>
    </row>
    <row r="3451" spans="3:11" x14ac:dyDescent="0.25">
      <c r="C3451" s="79"/>
      <c r="D3451" s="248"/>
      <c r="E3451" s="248"/>
      <c r="F3451" s="47"/>
      <c r="G3451" s="79"/>
      <c r="J3451" s="99"/>
      <c r="K3451" s="4"/>
    </row>
    <row r="3452" spans="3:11" x14ac:dyDescent="0.25">
      <c r="C3452" s="79"/>
      <c r="D3452" s="248"/>
      <c r="E3452" s="248"/>
      <c r="F3452" s="47"/>
      <c r="G3452" s="79"/>
      <c r="J3452" s="99"/>
      <c r="K3452" s="4"/>
    </row>
    <row r="3453" spans="3:11" x14ac:dyDescent="0.25">
      <c r="C3453" s="79"/>
      <c r="D3453" s="248"/>
      <c r="E3453" s="248"/>
      <c r="F3453" s="47"/>
      <c r="G3453" s="79"/>
      <c r="J3453" s="99"/>
      <c r="K3453" s="4"/>
    </row>
    <row r="3454" spans="3:11" x14ac:dyDescent="0.25">
      <c r="C3454" s="79"/>
      <c r="D3454" s="248"/>
      <c r="E3454" s="248"/>
      <c r="F3454" s="47"/>
      <c r="G3454" s="79"/>
      <c r="J3454" s="99"/>
      <c r="K3454" s="4"/>
    </row>
    <row r="3455" spans="3:11" x14ac:dyDescent="0.25">
      <c r="C3455" s="79"/>
      <c r="D3455" s="248"/>
      <c r="E3455" s="248"/>
      <c r="F3455" s="47"/>
      <c r="G3455" s="79"/>
      <c r="J3455" s="99"/>
      <c r="K3455" s="4"/>
    </row>
    <row r="3456" spans="3:11" x14ac:dyDescent="0.25">
      <c r="C3456" s="79"/>
      <c r="D3456" s="248"/>
      <c r="E3456" s="248"/>
      <c r="F3456" s="47"/>
      <c r="G3456" s="79"/>
      <c r="J3456" s="99"/>
      <c r="K3456" s="4"/>
    </row>
    <row r="3457" spans="3:11" x14ac:dyDescent="0.25">
      <c r="C3457" s="79"/>
      <c r="D3457" s="248"/>
      <c r="E3457" s="248"/>
      <c r="F3457" s="47"/>
      <c r="G3457" s="79"/>
      <c r="J3457" s="99"/>
      <c r="K3457" s="4"/>
    </row>
    <row r="3458" spans="3:11" x14ac:dyDescent="0.25">
      <c r="C3458" s="79"/>
      <c r="D3458" s="248"/>
      <c r="E3458" s="248"/>
      <c r="F3458" s="47"/>
      <c r="G3458" s="79"/>
      <c r="J3458" s="99"/>
      <c r="K3458" s="4"/>
    </row>
    <row r="3459" spans="3:11" x14ac:dyDescent="0.25">
      <c r="C3459" s="79"/>
      <c r="D3459" s="248"/>
      <c r="E3459" s="248"/>
      <c r="F3459" s="47"/>
      <c r="G3459" s="79"/>
      <c r="J3459" s="99"/>
      <c r="K3459" s="4"/>
    </row>
    <row r="3460" spans="3:11" x14ac:dyDescent="0.25">
      <c r="C3460" s="79"/>
      <c r="D3460" s="248"/>
      <c r="E3460" s="248"/>
      <c r="F3460" s="47"/>
      <c r="G3460" s="79"/>
      <c r="J3460" s="99"/>
      <c r="K3460" s="4"/>
    </row>
    <row r="3461" spans="3:11" x14ac:dyDescent="0.25">
      <c r="C3461" s="79"/>
      <c r="D3461" s="248"/>
      <c r="E3461" s="248"/>
      <c r="F3461" s="47"/>
      <c r="G3461" s="79"/>
      <c r="J3461" s="99"/>
      <c r="K3461" s="4"/>
    </row>
    <row r="3462" spans="3:11" x14ac:dyDescent="0.25">
      <c r="C3462" s="79"/>
      <c r="D3462" s="248"/>
      <c r="E3462" s="248"/>
      <c r="F3462" s="47"/>
      <c r="G3462" s="79"/>
      <c r="J3462" s="99"/>
      <c r="K3462" s="4"/>
    </row>
    <row r="3463" spans="3:11" x14ac:dyDescent="0.25">
      <c r="C3463" s="79"/>
      <c r="D3463" s="248"/>
      <c r="E3463" s="248"/>
      <c r="F3463" s="47"/>
      <c r="G3463" s="79"/>
      <c r="J3463" s="99"/>
      <c r="K3463" s="4"/>
    </row>
    <row r="3464" spans="3:11" x14ac:dyDescent="0.25">
      <c r="C3464" s="79"/>
      <c r="D3464" s="248"/>
      <c r="E3464" s="248"/>
      <c r="F3464" s="47"/>
      <c r="G3464" s="79"/>
      <c r="J3464" s="99"/>
      <c r="K3464" s="4"/>
    </row>
    <row r="3465" spans="3:11" x14ac:dyDescent="0.25">
      <c r="C3465" s="79"/>
      <c r="D3465" s="248"/>
      <c r="E3465" s="248"/>
      <c r="F3465" s="47"/>
      <c r="G3465" s="79"/>
      <c r="J3465" s="99"/>
      <c r="K3465" s="4"/>
    </row>
    <row r="3466" spans="3:11" x14ac:dyDescent="0.25">
      <c r="C3466" s="79"/>
      <c r="D3466" s="248"/>
      <c r="E3466" s="248"/>
      <c r="F3466" s="47"/>
      <c r="G3466" s="79"/>
      <c r="J3466" s="99"/>
      <c r="K3466" s="4"/>
    </row>
    <row r="3467" spans="3:11" x14ac:dyDescent="0.25">
      <c r="C3467" s="79"/>
      <c r="D3467" s="248"/>
      <c r="E3467" s="248"/>
      <c r="F3467" s="47"/>
      <c r="G3467" s="79"/>
      <c r="J3467" s="99"/>
      <c r="K3467" s="4"/>
    </row>
    <row r="3468" spans="3:11" x14ac:dyDescent="0.25">
      <c r="C3468" s="79"/>
      <c r="D3468" s="248"/>
      <c r="E3468" s="248"/>
      <c r="F3468" s="47"/>
      <c r="G3468" s="79"/>
      <c r="J3468" s="99"/>
      <c r="K3468" s="4"/>
    </row>
    <row r="3469" spans="3:11" x14ac:dyDescent="0.25">
      <c r="C3469" s="79"/>
      <c r="D3469" s="248"/>
      <c r="E3469" s="248"/>
      <c r="F3469" s="47"/>
      <c r="G3469" s="79"/>
      <c r="J3469" s="99"/>
      <c r="K3469" s="4"/>
    </row>
    <row r="3470" spans="3:11" x14ac:dyDescent="0.25">
      <c r="C3470" s="79"/>
      <c r="D3470" s="248"/>
      <c r="E3470" s="248"/>
      <c r="F3470" s="47"/>
      <c r="G3470" s="79"/>
      <c r="J3470" s="99"/>
      <c r="K3470" s="4"/>
    </row>
    <row r="3471" spans="3:11" x14ac:dyDescent="0.25">
      <c r="C3471" s="79"/>
      <c r="D3471" s="248"/>
      <c r="E3471" s="248"/>
      <c r="F3471" s="47"/>
      <c r="G3471" s="79"/>
      <c r="J3471" s="99"/>
      <c r="K3471" s="4"/>
    </row>
    <row r="3472" spans="3:11" x14ac:dyDescent="0.25">
      <c r="C3472" s="79"/>
      <c r="D3472" s="248"/>
      <c r="E3472" s="248"/>
      <c r="F3472" s="47"/>
      <c r="G3472" s="79"/>
      <c r="J3472" s="99"/>
      <c r="K3472" s="4"/>
    </row>
    <row r="3473" spans="3:11" x14ac:dyDescent="0.25">
      <c r="C3473" s="79"/>
      <c r="D3473" s="248"/>
      <c r="E3473" s="248"/>
      <c r="F3473" s="47"/>
      <c r="G3473" s="79"/>
      <c r="J3473" s="99"/>
      <c r="K3473" s="4"/>
    </row>
    <row r="3474" spans="3:11" x14ac:dyDescent="0.25">
      <c r="C3474" s="79"/>
      <c r="D3474" s="248"/>
      <c r="E3474" s="248"/>
      <c r="F3474" s="47"/>
      <c r="G3474" s="79"/>
      <c r="J3474" s="99"/>
      <c r="K3474" s="4"/>
    </row>
    <row r="3475" spans="3:11" x14ac:dyDescent="0.25">
      <c r="C3475" s="79"/>
      <c r="D3475" s="248"/>
      <c r="E3475" s="248"/>
      <c r="F3475" s="47"/>
      <c r="G3475" s="79"/>
      <c r="J3475" s="99"/>
      <c r="K3475" s="4"/>
    </row>
    <row r="3476" spans="3:11" x14ac:dyDescent="0.25">
      <c r="C3476" s="79"/>
      <c r="D3476" s="248"/>
      <c r="E3476" s="248"/>
      <c r="F3476" s="47"/>
      <c r="G3476" s="79"/>
      <c r="J3476" s="99"/>
      <c r="K3476" s="4"/>
    </row>
    <row r="3477" spans="3:11" x14ac:dyDescent="0.25">
      <c r="C3477" s="79"/>
      <c r="D3477" s="248"/>
      <c r="E3477" s="248"/>
      <c r="F3477" s="47"/>
      <c r="G3477" s="79"/>
      <c r="J3477" s="99"/>
      <c r="K3477" s="4"/>
    </row>
    <row r="3478" spans="3:11" x14ac:dyDescent="0.25">
      <c r="C3478" s="79"/>
      <c r="D3478" s="248"/>
      <c r="E3478" s="248"/>
      <c r="F3478" s="47"/>
      <c r="G3478" s="79"/>
      <c r="J3478" s="99"/>
      <c r="K3478" s="4"/>
    </row>
    <row r="3479" spans="3:11" x14ac:dyDescent="0.25">
      <c r="C3479" s="79"/>
      <c r="D3479" s="248"/>
      <c r="E3479" s="248"/>
      <c r="F3479" s="47"/>
      <c r="G3479" s="79"/>
      <c r="J3479" s="99"/>
      <c r="K3479" s="4"/>
    </row>
    <row r="3480" spans="3:11" x14ac:dyDescent="0.25">
      <c r="C3480" s="79"/>
      <c r="D3480" s="248"/>
      <c r="E3480" s="248"/>
      <c r="F3480" s="47"/>
      <c r="G3480" s="79"/>
      <c r="J3480" s="99"/>
      <c r="K3480" s="4"/>
    </row>
    <row r="3481" spans="3:11" x14ac:dyDescent="0.25">
      <c r="C3481" s="79"/>
      <c r="D3481" s="248"/>
      <c r="E3481" s="248"/>
      <c r="F3481" s="47"/>
      <c r="G3481" s="79"/>
      <c r="J3481" s="99"/>
      <c r="K3481" s="4"/>
    </row>
    <row r="3482" spans="3:11" x14ac:dyDescent="0.25">
      <c r="C3482" s="79"/>
      <c r="D3482" s="248"/>
      <c r="E3482" s="248"/>
      <c r="F3482" s="47"/>
      <c r="G3482" s="79"/>
      <c r="J3482" s="99"/>
      <c r="K3482" s="4"/>
    </row>
    <row r="3483" spans="3:11" x14ac:dyDescent="0.25">
      <c r="C3483" s="79"/>
      <c r="D3483" s="248"/>
      <c r="E3483" s="248"/>
      <c r="F3483" s="47"/>
      <c r="G3483" s="79"/>
      <c r="J3483" s="99"/>
      <c r="K3483" s="4"/>
    </row>
    <row r="3484" spans="3:11" x14ac:dyDescent="0.25">
      <c r="C3484" s="79"/>
      <c r="D3484" s="248"/>
      <c r="E3484" s="248"/>
      <c r="F3484" s="47"/>
      <c r="G3484" s="79"/>
      <c r="J3484" s="99"/>
      <c r="K3484" s="4"/>
    </row>
    <row r="3485" spans="3:11" x14ac:dyDescent="0.25">
      <c r="C3485" s="79"/>
      <c r="D3485" s="248"/>
      <c r="E3485" s="248"/>
      <c r="F3485" s="47"/>
      <c r="G3485" s="79"/>
      <c r="J3485" s="99"/>
      <c r="K3485" s="4"/>
    </row>
    <row r="3486" spans="3:11" x14ac:dyDescent="0.25">
      <c r="C3486" s="79"/>
      <c r="D3486" s="248"/>
      <c r="E3486" s="248"/>
      <c r="F3486" s="47"/>
      <c r="G3486" s="79"/>
      <c r="J3486" s="99"/>
      <c r="K3486" s="4"/>
    </row>
    <row r="3487" spans="3:11" x14ac:dyDescent="0.25">
      <c r="C3487" s="79"/>
      <c r="D3487" s="248"/>
      <c r="E3487" s="248"/>
      <c r="F3487" s="47"/>
      <c r="G3487" s="79"/>
      <c r="J3487" s="99"/>
      <c r="K3487" s="4"/>
    </row>
    <row r="3488" spans="3:11" x14ac:dyDescent="0.25">
      <c r="C3488" s="79"/>
      <c r="D3488" s="248"/>
      <c r="E3488" s="248"/>
      <c r="F3488" s="47"/>
      <c r="G3488" s="79"/>
      <c r="J3488" s="99"/>
      <c r="K3488" s="4"/>
    </row>
    <row r="3489" spans="3:11" x14ac:dyDescent="0.25">
      <c r="C3489" s="79"/>
      <c r="D3489" s="248"/>
      <c r="E3489" s="248"/>
      <c r="F3489" s="47"/>
      <c r="G3489" s="79"/>
      <c r="J3489" s="99"/>
      <c r="K3489" s="4"/>
    </row>
    <row r="3490" spans="3:11" x14ac:dyDescent="0.25">
      <c r="C3490" s="79"/>
      <c r="D3490" s="248"/>
      <c r="E3490" s="248"/>
      <c r="F3490" s="47"/>
      <c r="G3490" s="79"/>
      <c r="J3490" s="99"/>
      <c r="K3490" s="4"/>
    </row>
    <row r="3491" spans="3:11" x14ac:dyDescent="0.25">
      <c r="C3491" s="79"/>
      <c r="D3491" s="248"/>
      <c r="E3491" s="248"/>
      <c r="F3491" s="47"/>
      <c r="G3491" s="79"/>
      <c r="J3491" s="99"/>
      <c r="K3491" s="4"/>
    </row>
    <row r="3492" spans="3:11" x14ac:dyDescent="0.25">
      <c r="C3492" s="79"/>
      <c r="D3492" s="248"/>
      <c r="E3492" s="248"/>
      <c r="F3492" s="47"/>
      <c r="G3492" s="79"/>
      <c r="J3492" s="99"/>
      <c r="K3492" s="4"/>
    </row>
    <row r="3493" spans="3:11" x14ac:dyDescent="0.25">
      <c r="C3493" s="79"/>
      <c r="D3493" s="248"/>
      <c r="E3493" s="248"/>
      <c r="F3493" s="47"/>
      <c r="G3493" s="79"/>
      <c r="J3493" s="99"/>
      <c r="K3493" s="4"/>
    </row>
    <row r="3494" spans="3:11" x14ac:dyDescent="0.25">
      <c r="C3494" s="79"/>
      <c r="D3494" s="248"/>
      <c r="E3494" s="248"/>
      <c r="F3494" s="47"/>
      <c r="G3494" s="79"/>
      <c r="J3494" s="99"/>
      <c r="K3494" s="4"/>
    </row>
    <row r="3495" spans="3:11" x14ac:dyDescent="0.25">
      <c r="C3495" s="79"/>
      <c r="D3495" s="248"/>
      <c r="E3495" s="248"/>
      <c r="F3495" s="47"/>
      <c r="G3495" s="79"/>
      <c r="J3495" s="99"/>
      <c r="K3495" s="4"/>
    </row>
    <row r="3496" spans="3:11" x14ac:dyDescent="0.25">
      <c r="C3496" s="79"/>
      <c r="D3496" s="248"/>
      <c r="E3496" s="248"/>
      <c r="F3496" s="47"/>
      <c r="G3496" s="79"/>
      <c r="J3496" s="99"/>
      <c r="K3496" s="4"/>
    </row>
    <row r="3497" spans="3:11" x14ac:dyDescent="0.25">
      <c r="C3497" s="79"/>
      <c r="D3497" s="248"/>
      <c r="E3497" s="248"/>
      <c r="F3497" s="47"/>
      <c r="G3497" s="79"/>
      <c r="J3497" s="99"/>
      <c r="K3497" s="4"/>
    </row>
    <row r="3498" spans="3:11" x14ac:dyDescent="0.25">
      <c r="C3498" s="79"/>
      <c r="D3498" s="248"/>
      <c r="E3498" s="248"/>
      <c r="F3498" s="47"/>
      <c r="G3498" s="79"/>
      <c r="J3498" s="99"/>
      <c r="K3498" s="4"/>
    </row>
    <row r="3499" spans="3:11" x14ac:dyDescent="0.25">
      <c r="C3499" s="79"/>
      <c r="D3499" s="248"/>
      <c r="E3499" s="248"/>
      <c r="F3499" s="47"/>
      <c r="G3499" s="79"/>
      <c r="J3499" s="99"/>
      <c r="K3499" s="4"/>
    </row>
    <row r="3500" spans="3:11" x14ac:dyDescent="0.25">
      <c r="C3500" s="79"/>
      <c r="D3500" s="248"/>
      <c r="E3500" s="248"/>
      <c r="F3500" s="47"/>
      <c r="G3500" s="79"/>
      <c r="J3500" s="99"/>
      <c r="K3500" s="4"/>
    </row>
    <row r="3501" spans="3:11" x14ac:dyDescent="0.25">
      <c r="C3501" s="79"/>
      <c r="D3501" s="248"/>
      <c r="E3501" s="248"/>
      <c r="F3501" s="47"/>
      <c r="G3501" s="79"/>
      <c r="J3501" s="99"/>
      <c r="K3501" s="4"/>
    </row>
    <row r="3502" spans="3:11" x14ac:dyDescent="0.25">
      <c r="C3502" s="79"/>
      <c r="D3502" s="248"/>
      <c r="E3502" s="248"/>
      <c r="F3502" s="47"/>
      <c r="G3502" s="79"/>
      <c r="J3502" s="99"/>
      <c r="K3502" s="4"/>
    </row>
    <row r="3503" spans="3:11" x14ac:dyDescent="0.25">
      <c r="C3503" s="79"/>
      <c r="D3503" s="248"/>
      <c r="E3503" s="248"/>
      <c r="F3503" s="47"/>
      <c r="G3503" s="79"/>
      <c r="J3503" s="99"/>
      <c r="K3503" s="4"/>
    </row>
    <row r="3504" spans="3:11" x14ac:dyDescent="0.25">
      <c r="C3504" s="79"/>
      <c r="D3504" s="248"/>
      <c r="E3504" s="248"/>
      <c r="F3504" s="47"/>
      <c r="G3504" s="79"/>
      <c r="J3504" s="99"/>
      <c r="K3504" s="4"/>
    </row>
    <row r="3505" spans="3:11" x14ac:dyDescent="0.25">
      <c r="C3505" s="79"/>
      <c r="D3505" s="248"/>
      <c r="E3505" s="248"/>
      <c r="F3505" s="47"/>
      <c r="G3505" s="79"/>
      <c r="J3505" s="99"/>
      <c r="K3505" s="4"/>
    </row>
    <row r="3506" spans="3:11" x14ac:dyDescent="0.25">
      <c r="C3506" s="79"/>
      <c r="D3506" s="248"/>
      <c r="E3506" s="248"/>
      <c r="F3506" s="47"/>
      <c r="G3506" s="79"/>
      <c r="J3506" s="99"/>
      <c r="K3506" s="4"/>
    </row>
    <row r="3507" spans="3:11" x14ac:dyDescent="0.25">
      <c r="C3507" s="79"/>
      <c r="D3507" s="248"/>
      <c r="E3507" s="248"/>
      <c r="F3507" s="47"/>
      <c r="G3507" s="79"/>
      <c r="J3507" s="99"/>
      <c r="K3507" s="4"/>
    </row>
    <row r="3508" spans="3:11" x14ac:dyDescent="0.25">
      <c r="C3508" s="79"/>
      <c r="D3508" s="248"/>
      <c r="E3508" s="248"/>
      <c r="F3508" s="47"/>
      <c r="G3508" s="79"/>
      <c r="J3508" s="99"/>
      <c r="K3508" s="4"/>
    </row>
    <row r="3509" spans="3:11" x14ac:dyDescent="0.25">
      <c r="C3509" s="79"/>
      <c r="D3509" s="248"/>
      <c r="E3509" s="248"/>
      <c r="F3509" s="47"/>
      <c r="G3509" s="79"/>
      <c r="J3509" s="99"/>
      <c r="K3509" s="4"/>
    </row>
    <row r="3510" spans="3:11" x14ac:dyDescent="0.25">
      <c r="C3510" s="79"/>
      <c r="D3510" s="248"/>
      <c r="E3510" s="248"/>
      <c r="F3510" s="47"/>
      <c r="G3510" s="79"/>
      <c r="J3510" s="99"/>
      <c r="K3510" s="4"/>
    </row>
    <row r="3511" spans="3:11" x14ac:dyDescent="0.25">
      <c r="C3511" s="79"/>
      <c r="D3511" s="248"/>
      <c r="E3511" s="248"/>
      <c r="F3511" s="47"/>
      <c r="G3511" s="79"/>
      <c r="J3511" s="99"/>
      <c r="K3511" s="4"/>
    </row>
    <row r="3512" spans="3:11" x14ac:dyDescent="0.25">
      <c r="C3512" s="79"/>
      <c r="D3512" s="248"/>
      <c r="E3512" s="248"/>
      <c r="F3512" s="47"/>
      <c r="G3512" s="79"/>
      <c r="J3512" s="99"/>
      <c r="K3512" s="4"/>
    </row>
    <row r="3513" spans="3:11" x14ac:dyDescent="0.25">
      <c r="C3513" s="79"/>
      <c r="D3513" s="248"/>
      <c r="E3513" s="248"/>
      <c r="F3513" s="47"/>
      <c r="G3513" s="79"/>
      <c r="J3513" s="99"/>
      <c r="K3513" s="4"/>
    </row>
    <row r="3514" spans="3:11" x14ac:dyDescent="0.25">
      <c r="C3514" s="79"/>
      <c r="D3514" s="248"/>
      <c r="E3514" s="248"/>
      <c r="F3514" s="47"/>
      <c r="G3514" s="79"/>
      <c r="J3514" s="99"/>
      <c r="K3514" s="4"/>
    </row>
    <row r="3515" spans="3:11" x14ac:dyDescent="0.25">
      <c r="C3515" s="79"/>
      <c r="D3515" s="248"/>
      <c r="E3515" s="248"/>
      <c r="F3515" s="47"/>
      <c r="G3515" s="79"/>
      <c r="J3515" s="99"/>
      <c r="K3515" s="4"/>
    </row>
    <row r="3516" spans="3:11" x14ac:dyDescent="0.25">
      <c r="C3516" s="79"/>
      <c r="D3516" s="248"/>
      <c r="E3516" s="248"/>
      <c r="F3516" s="47"/>
      <c r="G3516" s="79"/>
      <c r="J3516" s="99"/>
      <c r="K3516" s="4"/>
    </row>
    <row r="3517" spans="3:11" x14ac:dyDescent="0.25">
      <c r="C3517" s="79"/>
      <c r="D3517" s="248"/>
      <c r="E3517" s="248"/>
      <c r="F3517" s="47"/>
      <c r="G3517" s="79"/>
      <c r="J3517" s="99"/>
      <c r="K3517" s="4"/>
    </row>
    <row r="3518" spans="3:11" x14ac:dyDescent="0.25">
      <c r="C3518" s="79"/>
      <c r="D3518" s="248"/>
      <c r="E3518" s="248"/>
      <c r="F3518" s="47"/>
      <c r="G3518" s="79"/>
      <c r="J3518" s="99"/>
      <c r="K3518" s="4"/>
    </row>
    <row r="3519" spans="3:11" x14ac:dyDescent="0.25">
      <c r="C3519" s="79"/>
      <c r="D3519" s="248"/>
      <c r="E3519" s="248"/>
      <c r="F3519" s="47"/>
      <c r="G3519" s="79"/>
      <c r="J3519" s="99"/>
      <c r="K3519" s="4"/>
    </row>
    <row r="3520" spans="3:11" x14ac:dyDescent="0.25">
      <c r="C3520" s="79"/>
      <c r="D3520" s="248"/>
      <c r="E3520" s="248"/>
      <c r="F3520" s="47"/>
      <c r="G3520" s="79"/>
      <c r="J3520" s="99"/>
      <c r="K3520" s="4"/>
    </row>
    <row r="3521" spans="3:11" x14ac:dyDescent="0.25">
      <c r="C3521" s="79"/>
      <c r="D3521" s="248"/>
      <c r="E3521" s="248"/>
      <c r="F3521" s="47"/>
      <c r="G3521" s="79"/>
      <c r="J3521" s="99"/>
      <c r="K3521" s="4"/>
    </row>
    <row r="3522" spans="3:11" x14ac:dyDescent="0.25">
      <c r="C3522" s="79"/>
      <c r="D3522" s="248"/>
      <c r="E3522" s="248"/>
      <c r="F3522" s="47"/>
      <c r="G3522" s="79"/>
      <c r="J3522" s="99"/>
      <c r="K3522" s="4"/>
    </row>
    <row r="3523" spans="3:11" x14ac:dyDescent="0.25">
      <c r="C3523" s="79"/>
      <c r="D3523" s="248"/>
      <c r="E3523" s="248"/>
      <c r="F3523" s="47"/>
      <c r="G3523" s="79"/>
      <c r="J3523" s="99"/>
      <c r="K3523" s="4"/>
    </row>
    <row r="3524" spans="3:11" x14ac:dyDescent="0.25">
      <c r="C3524" s="79"/>
      <c r="D3524" s="248"/>
      <c r="E3524" s="248"/>
      <c r="F3524" s="47"/>
      <c r="G3524" s="79"/>
      <c r="J3524" s="99"/>
      <c r="K3524" s="4"/>
    </row>
    <row r="3525" spans="3:11" x14ac:dyDescent="0.25">
      <c r="C3525" s="79"/>
      <c r="D3525" s="248"/>
      <c r="E3525" s="248"/>
      <c r="F3525" s="47"/>
      <c r="G3525" s="79"/>
      <c r="J3525" s="99"/>
      <c r="K3525" s="4"/>
    </row>
    <row r="3526" spans="3:11" x14ac:dyDescent="0.25">
      <c r="C3526" s="79"/>
      <c r="D3526" s="248"/>
      <c r="E3526" s="248"/>
      <c r="F3526" s="47"/>
      <c r="G3526" s="79"/>
      <c r="J3526" s="99"/>
      <c r="K3526" s="4"/>
    </row>
    <row r="3527" spans="3:11" x14ac:dyDescent="0.25">
      <c r="C3527" s="79"/>
      <c r="D3527" s="248"/>
      <c r="E3527" s="248"/>
      <c r="F3527" s="47"/>
      <c r="G3527" s="79"/>
      <c r="J3527" s="99"/>
      <c r="K3527" s="4"/>
    </row>
    <row r="3528" spans="3:11" x14ac:dyDescent="0.25">
      <c r="C3528" s="79"/>
      <c r="D3528" s="248"/>
      <c r="E3528" s="248"/>
      <c r="F3528" s="47"/>
      <c r="G3528" s="79"/>
      <c r="J3528" s="99"/>
      <c r="K3528" s="4"/>
    </row>
    <row r="3529" spans="3:11" x14ac:dyDescent="0.25">
      <c r="C3529" s="79"/>
      <c r="D3529" s="248"/>
      <c r="E3529" s="248"/>
      <c r="F3529" s="47"/>
      <c r="G3529" s="79"/>
      <c r="J3529" s="99"/>
      <c r="K3529" s="4"/>
    </row>
    <row r="3530" spans="3:11" x14ac:dyDescent="0.25">
      <c r="C3530" s="79"/>
      <c r="D3530" s="248"/>
      <c r="E3530" s="248"/>
      <c r="F3530" s="47"/>
      <c r="G3530" s="79"/>
      <c r="J3530" s="99"/>
      <c r="K3530" s="4"/>
    </row>
    <row r="3531" spans="3:11" x14ac:dyDescent="0.25">
      <c r="C3531" s="79"/>
      <c r="D3531" s="248"/>
      <c r="E3531" s="248"/>
      <c r="F3531" s="47"/>
      <c r="G3531" s="79"/>
      <c r="J3531" s="99"/>
      <c r="K3531" s="4"/>
    </row>
    <row r="3532" spans="3:11" x14ac:dyDescent="0.25">
      <c r="C3532" s="79"/>
      <c r="D3532" s="248"/>
      <c r="E3532" s="248"/>
      <c r="F3532" s="47"/>
      <c r="G3532" s="79"/>
      <c r="J3532" s="99"/>
      <c r="K3532" s="4"/>
    </row>
    <row r="3533" spans="3:11" x14ac:dyDescent="0.25">
      <c r="C3533" s="79"/>
      <c r="D3533" s="248"/>
      <c r="E3533" s="248"/>
      <c r="F3533" s="47"/>
      <c r="G3533" s="79"/>
      <c r="J3533" s="99"/>
      <c r="K3533" s="4"/>
    </row>
    <row r="3534" spans="3:11" x14ac:dyDescent="0.25">
      <c r="C3534" s="79"/>
      <c r="D3534" s="248"/>
      <c r="E3534" s="248"/>
      <c r="F3534" s="47"/>
      <c r="G3534" s="79"/>
      <c r="J3534" s="99"/>
      <c r="K3534" s="4"/>
    </row>
    <row r="3535" spans="3:11" x14ac:dyDescent="0.25">
      <c r="C3535" s="79"/>
      <c r="D3535" s="248"/>
      <c r="E3535" s="248"/>
      <c r="F3535" s="47"/>
      <c r="G3535" s="79"/>
      <c r="J3535" s="99"/>
      <c r="K3535" s="4"/>
    </row>
    <row r="3536" spans="3:11" x14ac:dyDescent="0.25">
      <c r="C3536" s="79"/>
      <c r="D3536" s="248"/>
      <c r="E3536" s="248"/>
      <c r="F3536" s="47"/>
      <c r="G3536" s="79"/>
      <c r="J3536" s="99"/>
      <c r="K3536" s="4"/>
    </row>
    <row r="3537" spans="3:11" x14ac:dyDescent="0.25">
      <c r="C3537" s="79"/>
      <c r="D3537" s="248"/>
      <c r="E3537" s="248"/>
      <c r="F3537" s="47"/>
      <c r="G3537" s="79"/>
      <c r="J3537" s="99"/>
      <c r="K3537" s="4"/>
    </row>
    <row r="3538" spans="3:11" x14ac:dyDescent="0.25">
      <c r="C3538" s="79"/>
      <c r="D3538" s="248"/>
      <c r="E3538" s="248"/>
      <c r="F3538" s="47"/>
      <c r="G3538" s="79"/>
      <c r="J3538" s="99"/>
      <c r="K3538" s="4"/>
    </row>
    <row r="3539" spans="3:11" x14ac:dyDescent="0.25">
      <c r="C3539" s="79"/>
      <c r="D3539" s="248"/>
      <c r="E3539" s="248"/>
      <c r="F3539" s="47"/>
      <c r="G3539" s="79"/>
      <c r="J3539" s="99"/>
      <c r="K3539" s="4"/>
    </row>
    <row r="3540" spans="3:11" x14ac:dyDescent="0.25">
      <c r="C3540" s="79"/>
      <c r="D3540" s="248"/>
      <c r="E3540" s="248"/>
      <c r="F3540" s="47"/>
      <c r="G3540" s="79"/>
      <c r="J3540" s="99"/>
      <c r="K3540" s="4"/>
    </row>
    <row r="3541" spans="3:11" x14ac:dyDescent="0.25">
      <c r="C3541" s="79"/>
      <c r="D3541" s="248"/>
      <c r="E3541" s="248"/>
      <c r="F3541" s="47"/>
      <c r="G3541" s="79"/>
      <c r="J3541" s="99"/>
      <c r="K3541" s="4"/>
    </row>
    <row r="3542" spans="3:11" x14ac:dyDescent="0.25">
      <c r="C3542" s="79"/>
      <c r="D3542" s="248"/>
      <c r="E3542" s="248"/>
      <c r="F3542" s="47"/>
      <c r="G3542" s="79"/>
      <c r="J3542" s="99"/>
      <c r="K3542" s="4"/>
    </row>
    <row r="3543" spans="3:11" x14ac:dyDescent="0.25">
      <c r="C3543" s="79"/>
      <c r="D3543" s="248"/>
      <c r="E3543" s="248"/>
      <c r="F3543" s="47"/>
      <c r="G3543" s="79"/>
      <c r="J3543" s="99"/>
      <c r="K3543" s="4"/>
    </row>
    <row r="3544" spans="3:11" x14ac:dyDescent="0.25">
      <c r="C3544" s="79"/>
      <c r="D3544" s="248"/>
      <c r="E3544" s="248"/>
      <c r="F3544" s="47"/>
      <c r="G3544" s="79"/>
      <c r="J3544" s="99"/>
      <c r="K3544" s="4"/>
    </row>
    <row r="3545" spans="3:11" x14ac:dyDescent="0.25">
      <c r="C3545" s="79"/>
      <c r="D3545" s="248"/>
      <c r="E3545" s="248"/>
      <c r="F3545" s="47"/>
      <c r="G3545" s="79"/>
      <c r="J3545" s="99"/>
      <c r="K3545" s="4"/>
    </row>
    <row r="3546" spans="3:11" x14ac:dyDescent="0.25">
      <c r="C3546" s="79"/>
      <c r="D3546" s="248"/>
      <c r="E3546" s="248"/>
      <c r="F3546" s="47"/>
      <c r="G3546" s="79"/>
      <c r="J3546" s="99"/>
      <c r="K3546" s="4"/>
    </row>
    <row r="3547" spans="3:11" x14ac:dyDescent="0.25">
      <c r="C3547" s="79"/>
      <c r="D3547" s="248"/>
      <c r="E3547" s="248"/>
      <c r="F3547" s="47"/>
      <c r="G3547" s="79"/>
      <c r="J3547" s="99"/>
      <c r="K3547" s="4"/>
    </row>
    <row r="3548" spans="3:11" x14ac:dyDescent="0.25">
      <c r="C3548" s="79"/>
      <c r="D3548" s="248"/>
      <c r="E3548" s="248"/>
      <c r="F3548" s="47"/>
      <c r="G3548" s="79"/>
      <c r="J3548" s="99"/>
      <c r="K3548" s="4"/>
    </row>
    <row r="3549" spans="3:11" x14ac:dyDescent="0.25">
      <c r="C3549" s="79"/>
      <c r="D3549" s="248"/>
      <c r="E3549" s="248"/>
      <c r="F3549" s="47"/>
      <c r="G3549" s="79"/>
      <c r="J3549" s="99"/>
      <c r="K3549" s="4"/>
    </row>
    <row r="3550" spans="3:11" x14ac:dyDescent="0.25">
      <c r="C3550" s="79"/>
      <c r="D3550" s="248"/>
      <c r="E3550" s="248"/>
      <c r="F3550" s="47"/>
      <c r="G3550" s="79"/>
      <c r="J3550" s="99"/>
      <c r="K3550" s="4"/>
    </row>
    <row r="3551" spans="3:11" x14ac:dyDescent="0.25">
      <c r="C3551" s="79"/>
      <c r="D3551" s="248"/>
      <c r="E3551" s="248"/>
      <c r="F3551" s="47"/>
      <c r="G3551" s="79"/>
      <c r="J3551" s="99"/>
      <c r="K3551" s="4"/>
    </row>
    <row r="3552" spans="3:11" x14ac:dyDescent="0.25">
      <c r="C3552" s="79"/>
      <c r="D3552" s="248"/>
      <c r="E3552" s="248"/>
      <c r="F3552" s="47"/>
      <c r="G3552" s="79"/>
      <c r="J3552" s="99"/>
      <c r="K3552" s="4"/>
    </row>
    <row r="3553" spans="3:11" x14ac:dyDescent="0.25">
      <c r="C3553" s="79"/>
      <c r="D3553" s="248"/>
      <c r="E3553" s="248"/>
      <c r="F3553" s="47"/>
      <c r="G3553" s="79"/>
      <c r="J3553" s="99"/>
      <c r="K3553" s="4"/>
    </row>
    <row r="3554" spans="3:11" x14ac:dyDescent="0.25">
      <c r="C3554" s="79"/>
      <c r="D3554" s="248"/>
      <c r="E3554" s="248"/>
      <c r="F3554" s="47"/>
      <c r="G3554" s="79"/>
      <c r="J3554" s="99"/>
      <c r="K3554" s="4"/>
    </row>
    <row r="3555" spans="3:11" x14ac:dyDescent="0.25">
      <c r="C3555" s="79"/>
      <c r="D3555" s="248"/>
      <c r="E3555" s="248"/>
      <c r="F3555" s="47"/>
      <c r="G3555" s="79"/>
      <c r="J3555" s="99"/>
      <c r="K3555" s="4"/>
    </row>
    <row r="3556" spans="3:11" x14ac:dyDescent="0.25">
      <c r="C3556" s="79"/>
      <c r="D3556" s="248"/>
      <c r="E3556" s="248"/>
      <c r="F3556" s="47"/>
      <c r="G3556" s="79"/>
      <c r="J3556" s="99"/>
      <c r="K3556" s="4"/>
    </row>
    <row r="3557" spans="3:11" x14ac:dyDescent="0.25">
      <c r="C3557" s="79"/>
      <c r="D3557" s="248"/>
      <c r="E3557" s="248"/>
      <c r="F3557" s="47"/>
      <c r="G3557" s="79"/>
      <c r="J3557" s="99"/>
      <c r="K3557" s="4"/>
    </row>
    <row r="3558" spans="3:11" x14ac:dyDescent="0.25">
      <c r="C3558" s="79"/>
      <c r="D3558" s="248"/>
      <c r="E3558" s="248"/>
      <c r="F3558" s="47"/>
      <c r="G3558" s="79"/>
      <c r="J3558" s="99"/>
      <c r="K3558" s="4"/>
    </row>
    <row r="3559" spans="3:11" x14ac:dyDescent="0.25">
      <c r="C3559" s="79"/>
      <c r="D3559" s="248"/>
      <c r="E3559" s="248"/>
      <c r="F3559" s="47"/>
      <c r="G3559" s="79"/>
      <c r="J3559" s="99"/>
      <c r="K3559" s="4"/>
    </row>
    <row r="3560" spans="3:11" x14ac:dyDescent="0.25">
      <c r="C3560" s="79"/>
      <c r="D3560" s="248"/>
      <c r="E3560" s="248"/>
      <c r="F3560" s="47"/>
      <c r="G3560" s="79"/>
      <c r="J3560" s="99"/>
      <c r="K3560" s="4"/>
    </row>
    <row r="3561" spans="3:11" x14ac:dyDescent="0.25">
      <c r="C3561" s="79"/>
      <c r="D3561" s="248"/>
      <c r="E3561" s="248"/>
      <c r="F3561" s="47"/>
      <c r="G3561" s="79"/>
      <c r="J3561" s="99"/>
      <c r="K3561" s="4"/>
    </row>
    <row r="3562" spans="3:11" x14ac:dyDescent="0.25">
      <c r="C3562" s="79"/>
      <c r="D3562" s="248"/>
      <c r="E3562" s="248"/>
      <c r="F3562" s="47"/>
      <c r="G3562" s="79"/>
      <c r="J3562" s="99"/>
      <c r="K3562" s="4"/>
    </row>
    <row r="3563" spans="3:11" x14ac:dyDescent="0.25">
      <c r="C3563" s="79"/>
      <c r="D3563" s="248"/>
      <c r="E3563" s="248"/>
      <c r="F3563" s="47"/>
      <c r="G3563" s="79"/>
      <c r="J3563" s="99"/>
      <c r="K3563" s="4"/>
    </row>
    <row r="3564" spans="3:11" x14ac:dyDescent="0.25">
      <c r="C3564" s="79"/>
      <c r="D3564" s="248"/>
      <c r="E3564" s="248"/>
      <c r="F3564" s="47"/>
      <c r="G3564" s="79"/>
      <c r="J3564" s="99"/>
      <c r="K3564" s="4"/>
    </row>
    <row r="3565" spans="3:11" x14ac:dyDescent="0.25">
      <c r="C3565" s="79"/>
      <c r="D3565" s="248"/>
      <c r="E3565" s="248"/>
      <c r="F3565" s="47"/>
      <c r="G3565" s="79"/>
      <c r="J3565" s="99"/>
      <c r="K3565" s="4"/>
    </row>
    <row r="3566" spans="3:11" x14ac:dyDescent="0.25">
      <c r="C3566" s="79"/>
      <c r="D3566" s="248"/>
      <c r="E3566" s="248"/>
      <c r="F3566" s="47"/>
      <c r="G3566" s="79"/>
      <c r="J3566" s="99"/>
      <c r="K3566" s="4"/>
    </row>
    <row r="3567" spans="3:11" x14ac:dyDescent="0.25">
      <c r="C3567" s="79"/>
      <c r="D3567" s="248"/>
      <c r="E3567" s="248"/>
      <c r="F3567" s="47"/>
      <c r="G3567" s="79"/>
      <c r="J3567" s="99"/>
      <c r="K3567" s="4"/>
    </row>
    <row r="3568" spans="3:11" x14ac:dyDescent="0.25">
      <c r="C3568" s="79"/>
      <c r="D3568" s="248"/>
      <c r="E3568" s="248"/>
      <c r="F3568" s="47"/>
      <c r="G3568" s="79"/>
      <c r="J3568" s="99"/>
      <c r="K3568" s="4"/>
    </row>
    <row r="3569" spans="3:11" x14ac:dyDescent="0.25">
      <c r="C3569" s="79"/>
      <c r="D3569" s="248"/>
      <c r="E3569" s="248"/>
      <c r="F3569" s="47"/>
      <c r="G3569" s="79"/>
      <c r="J3569" s="99"/>
      <c r="K3569" s="4"/>
    </row>
    <row r="3570" spans="3:11" x14ac:dyDescent="0.25">
      <c r="C3570" s="79"/>
      <c r="D3570" s="248"/>
      <c r="E3570" s="248"/>
      <c r="F3570" s="47"/>
      <c r="G3570" s="79"/>
      <c r="J3570" s="99"/>
      <c r="K3570" s="4"/>
    </row>
    <row r="3571" spans="3:11" x14ac:dyDescent="0.25">
      <c r="C3571" s="79"/>
      <c r="D3571" s="248"/>
      <c r="E3571" s="248"/>
      <c r="F3571" s="47"/>
      <c r="G3571" s="79"/>
      <c r="J3571" s="99"/>
      <c r="K3571" s="4"/>
    </row>
    <row r="3572" spans="3:11" x14ac:dyDescent="0.25">
      <c r="C3572" s="79"/>
      <c r="D3572" s="248"/>
      <c r="E3572" s="248"/>
      <c r="F3572" s="47"/>
      <c r="G3572" s="79"/>
      <c r="J3572" s="99"/>
      <c r="K3572" s="4"/>
    </row>
    <row r="3573" spans="3:11" x14ac:dyDescent="0.25">
      <c r="C3573" s="79"/>
      <c r="D3573" s="248"/>
      <c r="E3573" s="248"/>
      <c r="F3573" s="47"/>
      <c r="G3573" s="79"/>
      <c r="J3573" s="99"/>
      <c r="K3573" s="4"/>
    </row>
    <row r="3574" spans="3:11" x14ac:dyDescent="0.25">
      <c r="C3574" s="79"/>
      <c r="D3574" s="248"/>
      <c r="E3574" s="248"/>
      <c r="F3574" s="47"/>
      <c r="G3574" s="79"/>
      <c r="J3574" s="99"/>
      <c r="K3574" s="4"/>
    </row>
    <row r="3575" spans="3:11" x14ac:dyDescent="0.25">
      <c r="C3575" s="79"/>
      <c r="D3575" s="248"/>
      <c r="E3575" s="248"/>
      <c r="F3575" s="47"/>
      <c r="G3575" s="79"/>
      <c r="J3575" s="99"/>
      <c r="K3575" s="4"/>
    </row>
    <row r="3576" spans="3:11" x14ac:dyDescent="0.25">
      <c r="C3576" s="79"/>
      <c r="D3576" s="248"/>
      <c r="E3576" s="248"/>
      <c r="F3576" s="47"/>
      <c r="G3576" s="79"/>
      <c r="J3576" s="99"/>
      <c r="K3576" s="4"/>
    </row>
    <row r="3577" spans="3:11" x14ac:dyDescent="0.25">
      <c r="C3577" s="79"/>
      <c r="D3577" s="248"/>
      <c r="E3577" s="248"/>
      <c r="F3577" s="47"/>
      <c r="G3577" s="79"/>
      <c r="J3577" s="99"/>
      <c r="K3577" s="4"/>
    </row>
    <row r="3578" spans="3:11" x14ac:dyDescent="0.25">
      <c r="C3578" s="79"/>
      <c r="D3578" s="248"/>
      <c r="E3578" s="248"/>
      <c r="F3578" s="47"/>
      <c r="G3578" s="79"/>
      <c r="J3578" s="99"/>
      <c r="K3578" s="4"/>
    </row>
    <row r="3579" spans="3:11" x14ac:dyDescent="0.25">
      <c r="C3579" s="79"/>
      <c r="D3579" s="248"/>
      <c r="E3579" s="248"/>
      <c r="F3579" s="47"/>
      <c r="G3579" s="79"/>
      <c r="J3579" s="99"/>
      <c r="K3579" s="4"/>
    </row>
    <row r="3580" spans="3:11" x14ac:dyDescent="0.25">
      <c r="C3580" s="79"/>
      <c r="D3580" s="248"/>
      <c r="E3580" s="248"/>
      <c r="F3580" s="47"/>
      <c r="G3580" s="79"/>
      <c r="J3580" s="99"/>
      <c r="K3580" s="4"/>
    </row>
    <row r="3581" spans="3:11" x14ac:dyDescent="0.25">
      <c r="C3581" s="79"/>
      <c r="D3581" s="248"/>
      <c r="E3581" s="248"/>
      <c r="F3581" s="47"/>
      <c r="G3581" s="79"/>
      <c r="J3581" s="99"/>
      <c r="K3581" s="4"/>
    </row>
    <row r="3582" spans="3:11" x14ac:dyDescent="0.25">
      <c r="C3582" s="79"/>
      <c r="D3582" s="248"/>
      <c r="E3582" s="248"/>
      <c r="F3582" s="47"/>
      <c r="G3582" s="79"/>
      <c r="J3582" s="99"/>
      <c r="K3582" s="4"/>
    </row>
    <row r="3583" spans="3:11" x14ac:dyDescent="0.25">
      <c r="C3583" s="79"/>
      <c r="D3583" s="248"/>
      <c r="E3583" s="248"/>
      <c r="F3583" s="47"/>
      <c r="G3583" s="79"/>
      <c r="J3583" s="99"/>
      <c r="K3583" s="4"/>
    </row>
    <row r="3584" spans="3:11" x14ac:dyDescent="0.25">
      <c r="C3584" s="79"/>
      <c r="D3584" s="248"/>
      <c r="E3584" s="248"/>
      <c r="F3584" s="47"/>
      <c r="G3584" s="79"/>
      <c r="J3584" s="99"/>
      <c r="K3584" s="4"/>
    </row>
    <row r="3585" spans="3:11" x14ac:dyDescent="0.25">
      <c r="C3585" s="79"/>
      <c r="D3585" s="248"/>
      <c r="E3585" s="248"/>
      <c r="F3585" s="47"/>
      <c r="G3585" s="79"/>
      <c r="J3585" s="99"/>
      <c r="K3585" s="4"/>
    </row>
    <row r="3586" spans="3:11" x14ac:dyDescent="0.25">
      <c r="C3586" s="79"/>
      <c r="D3586" s="248"/>
      <c r="E3586" s="248"/>
      <c r="F3586" s="47"/>
      <c r="G3586" s="79"/>
      <c r="J3586" s="99"/>
      <c r="K3586" s="4"/>
    </row>
    <row r="3587" spans="3:11" x14ac:dyDescent="0.25">
      <c r="C3587" s="79"/>
      <c r="D3587" s="248"/>
      <c r="E3587" s="248"/>
      <c r="F3587" s="47"/>
      <c r="G3587" s="79"/>
      <c r="J3587" s="99"/>
      <c r="K3587" s="4"/>
    </row>
    <row r="3588" spans="3:11" x14ac:dyDescent="0.25">
      <c r="C3588" s="79"/>
      <c r="D3588" s="248"/>
      <c r="E3588" s="248"/>
      <c r="F3588" s="47"/>
      <c r="G3588" s="79"/>
      <c r="J3588" s="99"/>
      <c r="K3588" s="4"/>
    </row>
    <row r="3589" spans="3:11" x14ac:dyDescent="0.25">
      <c r="C3589" s="79"/>
      <c r="D3589" s="248"/>
      <c r="E3589" s="248"/>
      <c r="F3589" s="47"/>
      <c r="G3589" s="79"/>
      <c r="J3589" s="99"/>
      <c r="K3589" s="4"/>
    </row>
    <row r="3590" spans="3:11" x14ac:dyDescent="0.25">
      <c r="C3590" s="79"/>
      <c r="D3590" s="248"/>
      <c r="E3590" s="248"/>
      <c r="F3590" s="47"/>
      <c r="G3590" s="79"/>
      <c r="J3590" s="99"/>
      <c r="K3590" s="4"/>
    </row>
    <row r="3591" spans="3:11" x14ac:dyDescent="0.25">
      <c r="C3591" s="79"/>
      <c r="D3591" s="248"/>
      <c r="E3591" s="248"/>
      <c r="F3591" s="47"/>
      <c r="G3591" s="79"/>
      <c r="J3591" s="99"/>
      <c r="K3591" s="4"/>
    </row>
    <row r="3592" spans="3:11" x14ac:dyDescent="0.25">
      <c r="C3592" s="79"/>
      <c r="D3592" s="248"/>
      <c r="E3592" s="248"/>
      <c r="F3592" s="47"/>
      <c r="G3592" s="79"/>
      <c r="J3592" s="99"/>
      <c r="K3592" s="4"/>
    </row>
    <row r="3593" spans="3:11" x14ac:dyDescent="0.25">
      <c r="C3593" s="79"/>
      <c r="D3593" s="248"/>
      <c r="E3593" s="248"/>
      <c r="F3593" s="47"/>
      <c r="G3593" s="79"/>
      <c r="J3593" s="99"/>
      <c r="K3593" s="4"/>
    </row>
    <row r="3594" spans="3:11" x14ac:dyDescent="0.25">
      <c r="C3594" s="79"/>
      <c r="D3594" s="248"/>
      <c r="E3594" s="248"/>
      <c r="F3594" s="47"/>
      <c r="G3594" s="79"/>
      <c r="J3594" s="99"/>
      <c r="K3594" s="4"/>
    </row>
    <row r="3595" spans="3:11" x14ac:dyDescent="0.25">
      <c r="C3595" s="79"/>
      <c r="D3595" s="248"/>
      <c r="E3595" s="248"/>
      <c r="F3595" s="47"/>
      <c r="G3595" s="79"/>
      <c r="J3595" s="99"/>
      <c r="K3595" s="4"/>
    </row>
    <row r="3596" spans="3:11" x14ac:dyDescent="0.25">
      <c r="C3596" s="79"/>
      <c r="D3596" s="248"/>
      <c r="E3596" s="248"/>
      <c r="F3596" s="47"/>
      <c r="G3596" s="79"/>
      <c r="J3596" s="99"/>
      <c r="K3596" s="4"/>
    </row>
    <row r="3597" spans="3:11" x14ac:dyDescent="0.25">
      <c r="C3597" s="79"/>
      <c r="D3597" s="248"/>
      <c r="E3597" s="248"/>
      <c r="F3597" s="47"/>
      <c r="G3597" s="79"/>
      <c r="J3597" s="99"/>
      <c r="K3597" s="4"/>
    </row>
    <row r="3598" spans="3:11" x14ac:dyDescent="0.25">
      <c r="C3598" s="79"/>
      <c r="D3598" s="248"/>
      <c r="E3598" s="248"/>
      <c r="F3598" s="47"/>
      <c r="G3598" s="79"/>
      <c r="J3598" s="99"/>
      <c r="K3598" s="4"/>
    </row>
    <row r="3599" spans="3:11" x14ac:dyDescent="0.25">
      <c r="C3599" s="79"/>
      <c r="D3599" s="248"/>
      <c r="E3599" s="248"/>
      <c r="F3599" s="47"/>
      <c r="G3599" s="79"/>
      <c r="J3599" s="99"/>
      <c r="K3599" s="4"/>
    </row>
    <row r="3600" spans="3:11" x14ac:dyDescent="0.25">
      <c r="C3600" s="79"/>
      <c r="D3600" s="248"/>
      <c r="E3600" s="248"/>
      <c r="F3600" s="47"/>
      <c r="G3600" s="79"/>
      <c r="J3600" s="99"/>
      <c r="K3600" s="4"/>
    </row>
    <row r="3601" spans="3:11" x14ac:dyDescent="0.25">
      <c r="C3601" s="79"/>
      <c r="D3601" s="248"/>
      <c r="E3601" s="248"/>
      <c r="F3601" s="47"/>
      <c r="G3601" s="79"/>
      <c r="J3601" s="99"/>
      <c r="K3601" s="4"/>
    </row>
    <row r="3602" spans="3:11" x14ac:dyDescent="0.25">
      <c r="C3602" s="79"/>
      <c r="D3602" s="248"/>
      <c r="E3602" s="248"/>
      <c r="F3602" s="47"/>
      <c r="G3602" s="79"/>
      <c r="J3602" s="99"/>
      <c r="K3602" s="4"/>
    </row>
    <row r="3603" spans="3:11" x14ac:dyDescent="0.25">
      <c r="C3603" s="79"/>
      <c r="D3603" s="248"/>
      <c r="E3603" s="248"/>
      <c r="F3603" s="47"/>
      <c r="G3603" s="79"/>
      <c r="J3603" s="99"/>
      <c r="K3603" s="4"/>
    </row>
    <row r="3604" spans="3:11" x14ac:dyDescent="0.25">
      <c r="C3604" s="79"/>
      <c r="D3604" s="248"/>
      <c r="E3604" s="248"/>
      <c r="F3604" s="47"/>
      <c r="G3604" s="79"/>
      <c r="J3604" s="99"/>
      <c r="K3604" s="4"/>
    </row>
    <row r="3605" spans="3:11" x14ac:dyDescent="0.25">
      <c r="C3605" s="79"/>
      <c r="D3605" s="248"/>
      <c r="E3605" s="248"/>
      <c r="F3605" s="47"/>
      <c r="G3605" s="79"/>
      <c r="J3605" s="99"/>
      <c r="K3605" s="4"/>
    </row>
    <row r="3606" spans="3:11" x14ac:dyDescent="0.25">
      <c r="C3606" s="79"/>
      <c r="D3606" s="248"/>
      <c r="E3606" s="248"/>
      <c r="F3606" s="47"/>
      <c r="G3606" s="79"/>
      <c r="J3606" s="99"/>
      <c r="K3606" s="4"/>
    </row>
    <row r="3607" spans="3:11" x14ac:dyDescent="0.25">
      <c r="C3607" s="79"/>
      <c r="D3607" s="248"/>
      <c r="E3607" s="248"/>
      <c r="F3607" s="47"/>
      <c r="G3607" s="79"/>
      <c r="J3607" s="99"/>
      <c r="K3607" s="4"/>
    </row>
    <row r="3608" spans="3:11" x14ac:dyDescent="0.25">
      <c r="C3608" s="79"/>
      <c r="D3608" s="248"/>
      <c r="E3608" s="248"/>
      <c r="F3608" s="47"/>
      <c r="G3608" s="79"/>
      <c r="J3608" s="99"/>
      <c r="K3608" s="4"/>
    </row>
    <row r="3609" spans="3:11" x14ac:dyDescent="0.25">
      <c r="C3609" s="79"/>
      <c r="D3609" s="248"/>
      <c r="E3609" s="248"/>
      <c r="F3609" s="47"/>
      <c r="G3609" s="79"/>
      <c r="J3609" s="99"/>
      <c r="K3609" s="4"/>
    </row>
    <row r="3610" spans="3:11" x14ac:dyDescent="0.25">
      <c r="C3610" s="79"/>
      <c r="D3610" s="248"/>
      <c r="E3610" s="248"/>
      <c r="F3610" s="47"/>
      <c r="G3610" s="79"/>
      <c r="J3610" s="99"/>
      <c r="K3610" s="4"/>
    </row>
    <row r="3611" spans="3:11" x14ac:dyDescent="0.25">
      <c r="C3611" s="79"/>
      <c r="D3611" s="248"/>
      <c r="E3611" s="248"/>
      <c r="F3611" s="47"/>
      <c r="G3611" s="79"/>
      <c r="J3611" s="99"/>
      <c r="K3611" s="4"/>
    </row>
    <row r="3612" spans="3:11" x14ac:dyDescent="0.25">
      <c r="C3612" s="79"/>
      <c r="D3612" s="248"/>
      <c r="E3612" s="248"/>
      <c r="F3612" s="47"/>
      <c r="G3612" s="79"/>
      <c r="J3612" s="99"/>
      <c r="K3612" s="4"/>
    </row>
    <row r="3613" spans="3:11" x14ac:dyDescent="0.25">
      <c r="C3613" s="79"/>
      <c r="D3613" s="248"/>
      <c r="E3613" s="248"/>
      <c r="F3613" s="47"/>
      <c r="G3613" s="79"/>
      <c r="J3613" s="99"/>
      <c r="K3613" s="4"/>
    </row>
    <row r="3614" spans="3:11" x14ac:dyDescent="0.25">
      <c r="C3614" s="79"/>
      <c r="D3614" s="248"/>
      <c r="E3614" s="248"/>
      <c r="F3614" s="47"/>
      <c r="G3614" s="79"/>
      <c r="J3614" s="99"/>
      <c r="K3614" s="4"/>
    </row>
    <row r="3615" spans="3:11" x14ac:dyDescent="0.25">
      <c r="C3615" s="79"/>
      <c r="D3615" s="248"/>
      <c r="E3615" s="248"/>
      <c r="F3615" s="47"/>
      <c r="G3615" s="79"/>
      <c r="J3615" s="99"/>
      <c r="K3615" s="4"/>
    </row>
    <row r="3616" spans="3:11" x14ac:dyDescent="0.25">
      <c r="C3616" s="79"/>
      <c r="D3616" s="248"/>
      <c r="E3616" s="248"/>
      <c r="F3616" s="47"/>
      <c r="G3616" s="79"/>
      <c r="J3616" s="99"/>
      <c r="K3616" s="4"/>
    </row>
    <row r="3617" spans="3:11" x14ac:dyDescent="0.25">
      <c r="C3617" s="79"/>
      <c r="D3617" s="248"/>
      <c r="E3617" s="248"/>
      <c r="F3617" s="47"/>
      <c r="G3617" s="79"/>
      <c r="J3617" s="99"/>
      <c r="K3617" s="4"/>
    </row>
    <row r="3618" spans="3:11" x14ac:dyDescent="0.25">
      <c r="C3618" s="79"/>
      <c r="D3618" s="248"/>
      <c r="E3618" s="248"/>
      <c r="F3618" s="47"/>
      <c r="G3618" s="79"/>
      <c r="J3618" s="99"/>
      <c r="K3618" s="4"/>
    </row>
    <row r="3619" spans="3:11" x14ac:dyDescent="0.25">
      <c r="C3619" s="79"/>
      <c r="D3619" s="248"/>
      <c r="E3619" s="248"/>
      <c r="F3619" s="47"/>
      <c r="G3619" s="79"/>
      <c r="J3619" s="99"/>
      <c r="K3619" s="4"/>
    </row>
    <row r="3620" spans="3:11" x14ac:dyDescent="0.25">
      <c r="C3620" s="79"/>
      <c r="D3620" s="248"/>
      <c r="E3620" s="248"/>
      <c r="F3620" s="47"/>
      <c r="G3620" s="79"/>
      <c r="J3620" s="99"/>
      <c r="K3620" s="4"/>
    </row>
    <row r="3621" spans="3:11" x14ac:dyDescent="0.25">
      <c r="C3621" s="79"/>
      <c r="D3621" s="248"/>
      <c r="E3621" s="248"/>
      <c r="F3621" s="47"/>
      <c r="G3621" s="79"/>
      <c r="J3621" s="99"/>
      <c r="K3621" s="4"/>
    </row>
    <row r="3622" spans="3:11" x14ac:dyDescent="0.25">
      <c r="C3622" s="79"/>
      <c r="D3622" s="248"/>
      <c r="E3622" s="248"/>
      <c r="F3622" s="47"/>
      <c r="G3622" s="79"/>
      <c r="J3622" s="99"/>
      <c r="K3622" s="4"/>
    </row>
    <row r="3623" spans="3:11" x14ac:dyDescent="0.25">
      <c r="C3623" s="79"/>
      <c r="D3623" s="248"/>
      <c r="E3623" s="248"/>
      <c r="F3623" s="47"/>
      <c r="G3623" s="79"/>
      <c r="J3623" s="99"/>
      <c r="K3623" s="4"/>
    </row>
    <row r="3624" spans="3:11" x14ac:dyDescent="0.25">
      <c r="C3624" s="79"/>
      <c r="D3624" s="248"/>
      <c r="E3624" s="248"/>
      <c r="F3624" s="47"/>
      <c r="G3624" s="79"/>
      <c r="J3624" s="99"/>
      <c r="K3624" s="4"/>
    </row>
    <row r="3625" spans="3:11" x14ac:dyDescent="0.25">
      <c r="C3625" s="79"/>
      <c r="D3625" s="248"/>
      <c r="E3625" s="248"/>
      <c r="F3625" s="47"/>
      <c r="G3625" s="79"/>
      <c r="J3625" s="99"/>
      <c r="K3625" s="4"/>
    </row>
    <row r="3626" spans="3:11" x14ac:dyDescent="0.25">
      <c r="C3626" s="79"/>
      <c r="D3626" s="248"/>
      <c r="E3626" s="248"/>
      <c r="F3626" s="47"/>
      <c r="G3626" s="79"/>
      <c r="J3626" s="99"/>
      <c r="K3626" s="4"/>
    </row>
    <row r="3627" spans="3:11" x14ac:dyDescent="0.25">
      <c r="C3627" s="79"/>
      <c r="D3627" s="248"/>
      <c r="E3627" s="248"/>
      <c r="F3627" s="47"/>
      <c r="G3627" s="79"/>
      <c r="J3627" s="99"/>
      <c r="K3627" s="4"/>
    </row>
    <row r="3628" spans="3:11" x14ac:dyDescent="0.25">
      <c r="C3628" s="79"/>
      <c r="D3628" s="248"/>
      <c r="E3628" s="248"/>
      <c r="F3628" s="47"/>
      <c r="G3628" s="79"/>
      <c r="J3628" s="99"/>
      <c r="K3628" s="4"/>
    </row>
    <row r="3629" spans="3:11" x14ac:dyDescent="0.25">
      <c r="C3629" s="79"/>
      <c r="D3629" s="248"/>
      <c r="E3629" s="248"/>
      <c r="F3629" s="47"/>
      <c r="G3629" s="79"/>
      <c r="J3629" s="99"/>
      <c r="K3629" s="4"/>
    </row>
    <row r="3630" spans="3:11" x14ac:dyDescent="0.25">
      <c r="C3630" s="79"/>
      <c r="D3630" s="248"/>
      <c r="E3630" s="248"/>
      <c r="F3630" s="47"/>
      <c r="G3630" s="79"/>
      <c r="J3630" s="99"/>
      <c r="K3630" s="4"/>
    </row>
    <row r="3631" spans="3:11" x14ac:dyDescent="0.25">
      <c r="C3631" s="79"/>
      <c r="D3631" s="248"/>
      <c r="E3631" s="248"/>
      <c r="F3631" s="47"/>
      <c r="G3631" s="79"/>
      <c r="J3631" s="99"/>
      <c r="K3631" s="4"/>
    </row>
    <row r="3632" spans="3:11" x14ac:dyDescent="0.25">
      <c r="C3632" s="79"/>
      <c r="D3632" s="248"/>
      <c r="E3632" s="248"/>
      <c r="F3632" s="47"/>
      <c r="G3632" s="79"/>
      <c r="J3632" s="99"/>
      <c r="K3632" s="4"/>
    </row>
    <row r="3633" spans="3:11" x14ac:dyDescent="0.25">
      <c r="C3633" s="79"/>
      <c r="D3633" s="248"/>
      <c r="E3633" s="248"/>
      <c r="F3633" s="47"/>
      <c r="G3633" s="79"/>
      <c r="J3633" s="99"/>
      <c r="K3633" s="4"/>
    </row>
    <row r="3634" spans="3:11" x14ac:dyDescent="0.25">
      <c r="C3634" s="79"/>
      <c r="D3634" s="248"/>
      <c r="E3634" s="248"/>
      <c r="F3634" s="47"/>
      <c r="G3634" s="79"/>
      <c r="J3634" s="99"/>
      <c r="K3634" s="4"/>
    </row>
    <row r="3635" spans="3:11" x14ac:dyDescent="0.25">
      <c r="C3635" s="79"/>
      <c r="D3635" s="248"/>
      <c r="E3635" s="248"/>
      <c r="F3635" s="47"/>
      <c r="G3635" s="79"/>
      <c r="J3635" s="99"/>
      <c r="K3635" s="4"/>
    </row>
    <row r="3636" spans="3:11" x14ac:dyDescent="0.25">
      <c r="C3636" s="79"/>
      <c r="D3636" s="248"/>
      <c r="E3636" s="248"/>
      <c r="F3636" s="47"/>
      <c r="G3636" s="79"/>
      <c r="J3636" s="99"/>
      <c r="K3636" s="4"/>
    </row>
    <row r="3637" spans="3:11" x14ac:dyDescent="0.25">
      <c r="C3637" s="79"/>
      <c r="D3637" s="248"/>
      <c r="E3637" s="248"/>
      <c r="F3637" s="47"/>
      <c r="G3637" s="79"/>
      <c r="J3637" s="99"/>
      <c r="K3637" s="4"/>
    </row>
    <row r="3638" spans="3:11" x14ac:dyDescent="0.25">
      <c r="C3638" s="79"/>
      <c r="D3638" s="248"/>
      <c r="E3638" s="248"/>
      <c r="F3638" s="47"/>
      <c r="G3638" s="79"/>
      <c r="J3638" s="99"/>
      <c r="K3638" s="4"/>
    </row>
    <row r="3639" spans="3:11" x14ac:dyDescent="0.25">
      <c r="C3639" s="79"/>
      <c r="D3639" s="248"/>
      <c r="E3639" s="248"/>
      <c r="F3639" s="47"/>
      <c r="G3639" s="79"/>
      <c r="J3639" s="99"/>
      <c r="K3639" s="4"/>
    </row>
    <row r="3640" spans="3:11" x14ac:dyDescent="0.25">
      <c r="C3640" s="79"/>
      <c r="D3640" s="248"/>
      <c r="E3640" s="248"/>
      <c r="F3640" s="47"/>
      <c r="G3640" s="79"/>
      <c r="J3640" s="99"/>
      <c r="K3640" s="4"/>
    </row>
    <row r="3641" spans="3:11" x14ac:dyDescent="0.25">
      <c r="C3641" s="79"/>
      <c r="D3641" s="248"/>
      <c r="E3641" s="248"/>
      <c r="F3641" s="47"/>
      <c r="G3641" s="79"/>
      <c r="J3641" s="99"/>
      <c r="K3641" s="4"/>
    </row>
    <row r="3642" spans="3:11" x14ac:dyDescent="0.25">
      <c r="C3642" s="79"/>
      <c r="D3642" s="248"/>
      <c r="E3642" s="248"/>
      <c r="F3642" s="47"/>
      <c r="G3642" s="79"/>
      <c r="J3642" s="99"/>
      <c r="K3642" s="4"/>
    </row>
    <row r="3643" spans="3:11" x14ac:dyDescent="0.25">
      <c r="C3643" s="79"/>
      <c r="D3643" s="248"/>
      <c r="E3643" s="248"/>
      <c r="F3643" s="47"/>
      <c r="G3643" s="79"/>
      <c r="J3643" s="99"/>
      <c r="K3643" s="4"/>
    </row>
    <row r="3644" spans="3:11" x14ac:dyDescent="0.25">
      <c r="C3644" s="79"/>
      <c r="D3644" s="248"/>
      <c r="E3644" s="248"/>
      <c r="F3644" s="47"/>
      <c r="G3644" s="79"/>
      <c r="J3644" s="99"/>
      <c r="K3644" s="4"/>
    </row>
    <row r="3645" spans="3:11" x14ac:dyDescent="0.25">
      <c r="C3645" s="79"/>
      <c r="D3645" s="248"/>
      <c r="E3645" s="248"/>
      <c r="F3645" s="47"/>
      <c r="G3645" s="79"/>
      <c r="J3645" s="99"/>
      <c r="K3645" s="4"/>
    </row>
    <row r="3646" spans="3:11" x14ac:dyDescent="0.25">
      <c r="C3646" s="79"/>
      <c r="D3646" s="248"/>
      <c r="E3646" s="248"/>
      <c r="F3646" s="47"/>
      <c r="G3646" s="79"/>
      <c r="J3646" s="99"/>
      <c r="K3646" s="4"/>
    </row>
    <row r="3647" spans="3:11" x14ac:dyDescent="0.25">
      <c r="C3647" s="79"/>
      <c r="D3647" s="248"/>
      <c r="E3647" s="248"/>
      <c r="F3647" s="47"/>
      <c r="G3647" s="79"/>
      <c r="J3647" s="99"/>
      <c r="K3647" s="4"/>
    </row>
    <row r="3648" spans="3:11" x14ac:dyDescent="0.25">
      <c r="C3648" s="79"/>
      <c r="D3648" s="248"/>
      <c r="E3648" s="248"/>
      <c r="F3648" s="47"/>
      <c r="G3648" s="79"/>
      <c r="J3648" s="99"/>
      <c r="K3648" s="4"/>
    </row>
    <row r="3649" spans="3:11" x14ac:dyDescent="0.25">
      <c r="C3649" s="79"/>
      <c r="D3649" s="248"/>
      <c r="E3649" s="248"/>
      <c r="F3649" s="47"/>
      <c r="G3649" s="79"/>
      <c r="J3649" s="99"/>
      <c r="K3649" s="4"/>
    </row>
    <row r="3650" spans="3:11" x14ac:dyDescent="0.25">
      <c r="C3650" s="79"/>
      <c r="D3650" s="248"/>
      <c r="E3650" s="248"/>
      <c r="F3650" s="47"/>
      <c r="G3650" s="79"/>
      <c r="J3650" s="99"/>
      <c r="K3650" s="4"/>
    </row>
    <row r="3651" spans="3:11" x14ac:dyDescent="0.25">
      <c r="C3651" s="79"/>
      <c r="D3651" s="248"/>
      <c r="E3651" s="248"/>
      <c r="F3651" s="47"/>
      <c r="G3651" s="79"/>
      <c r="J3651" s="99"/>
      <c r="K3651" s="4"/>
    </row>
    <row r="3652" spans="3:11" x14ac:dyDescent="0.25">
      <c r="C3652" s="79"/>
      <c r="D3652" s="248"/>
      <c r="E3652" s="248"/>
      <c r="F3652" s="47"/>
      <c r="G3652" s="79"/>
      <c r="J3652" s="99"/>
      <c r="K3652" s="4"/>
    </row>
    <row r="3653" spans="3:11" x14ac:dyDescent="0.25">
      <c r="C3653" s="79"/>
      <c r="D3653" s="248"/>
      <c r="E3653" s="248"/>
      <c r="F3653" s="47"/>
      <c r="G3653" s="79"/>
      <c r="J3653" s="99"/>
      <c r="K3653" s="4"/>
    </row>
    <row r="3654" spans="3:11" x14ac:dyDescent="0.25">
      <c r="C3654" s="79"/>
      <c r="D3654" s="248"/>
      <c r="E3654" s="248"/>
      <c r="F3654" s="47"/>
      <c r="G3654" s="79"/>
      <c r="J3654" s="99"/>
      <c r="K3654" s="4"/>
    </row>
    <row r="3655" spans="3:11" x14ac:dyDescent="0.25">
      <c r="C3655" s="79"/>
      <c r="D3655" s="248"/>
      <c r="E3655" s="248"/>
      <c r="F3655" s="47"/>
      <c r="G3655" s="79"/>
      <c r="J3655" s="99"/>
      <c r="K3655" s="4"/>
    </row>
    <row r="3656" spans="3:11" x14ac:dyDescent="0.25">
      <c r="C3656" s="79"/>
      <c r="D3656" s="248"/>
      <c r="E3656" s="248"/>
      <c r="F3656" s="47"/>
      <c r="G3656" s="79"/>
      <c r="J3656" s="99"/>
      <c r="K3656" s="4"/>
    </row>
    <row r="3657" spans="3:11" x14ac:dyDescent="0.25">
      <c r="C3657" s="79"/>
      <c r="D3657" s="248"/>
      <c r="E3657" s="248"/>
      <c r="F3657" s="47"/>
      <c r="G3657" s="79"/>
      <c r="J3657" s="99"/>
      <c r="K3657" s="4"/>
    </row>
    <row r="3658" spans="3:11" x14ac:dyDescent="0.25">
      <c r="C3658" s="79"/>
      <c r="D3658" s="248"/>
      <c r="E3658" s="248"/>
      <c r="F3658" s="47"/>
      <c r="G3658" s="79"/>
      <c r="J3658" s="99"/>
      <c r="K3658" s="4"/>
    </row>
    <row r="3659" spans="3:11" x14ac:dyDescent="0.25">
      <c r="C3659" s="79"/>
      <c r="D3659" s="248"/>
      <c r="E3659" s="248"/>
      <c r="F3659" s="47"/>
      <c r="G3659" s="79"/>
      <c r="J3659" s="99"/>
      <c r="K3659" s="4"/>
    </row>
    <row r="3660" spans="3:11" x14ac:dyDescent="0.25">
      <c r="C3660" s="79"/>
      <c r="D3660" s="248"/>
      <c r="E3660" s="248"/>
      <c r="F3660" s="47"/>
      <c r="G3660" s="79"/>
      <c r="J3660" s="99"/>
      <c r="K3660" s="4"/>
    </row>
    <row r="3661" spans="3:11" x14ac:dyDescent="0.25">
      <c r="C3661" s="79"/>
      <c r="D3661" s="248"/>
      <c r="E3661" s="248"/>
      <c r="F3661" s="47"/>
      <c r="G3661" s="79"/>
      <c r="J3661" s="99"/>
      <c r="K3661" s="4"/>
    </row>
    <row r="3662" spans="3:11" x14ac:dyDescent="0.25">
      <c r="C3662" s="79"/>
      <c r="D3662" s="248"/>
      <c r="E3662" s="248"/>
      <c r="F3662" s="47"/>
      <c r="G3662" s="79"/>
      <c r="J3662" s="99"/>
      <c r="K3662" s="4"/>
    </row>
    <row r="3663" spans="3:11" x14ac:dyDescent="0.25">
      <c r="C3663" s="79"/>
      <c r="D3663" s="248"/>
      <c r="E3663" s="248"/>
      <c r="F3663" s="47"/>
      <c r="G3663" s="79"/>
      <c r="J3663" s="99"/>
      <c r="K3663" s="4"/>
    </row>
    <row r="3664" spans="3:11" x14ac:dyDescent="0.25">
      <c r="C3664" s="79"/>
      <c r="D3664" s="248"/>
      <c r="E3664" s="248"/>
      <c r="F3664" s="47"/>
      <c r="G3664" s="79"/>
      <c r="J3664" s="99"/>
      <c r="K3664" s="4"/>
    </row>
    <row r="3665" spans="3:11" x14ac:dyDescent="0.25">
      <c r="C3665" s="79"/>
      <c r="D3665" s="248"/>
      <c r="E3665" s="248"/>
      <c r="F3665" s="47"/>
      <c r="G3665" s="79"/>
      <c r="J3665" s="99"/>
      <c r="K3665" s="4"/>
    </row>
    <row r="3666" spans="3:11" x14ac:dyDescent="0.25">
      <c r="C3666" s="79"/>
      <c r="D3666" s="248"/>
      <c r="E3666" s="248"/>
      <c r="F3666" s="47"/>
      <c r="G3666" s="79"/>
      <c r="J3666" s="99"/>
      <c r="K3666" s="4"/>
    </row>
    <row r="3667" spans="3:11" x14ac:dyDescent="0.25">
      <c r="C3667" s="79"/>
      <c r="D3667" s="248"/>
      <c r="E3667" s="248"/>
      <c r="F3667" s="47"/>
      <c r="G3667" s="79"/>
      <c r="J3667" s="99"/>
      <c r="K3667" s="4"/>
    </row>
    <row r="3668" spans="3:11" x14ac:dyDescent="0.25">
      <c r="C3668" s="79"/>
      <c r="D3668" s="248"/>
      <c r="E3668" s="248"/>
      <c r="F3668" s="47"/>
      <c r="G3668" s="79"/>
      <c r="J3668" s="99"/>
      <c r="K3668" s="4"/>
    </row>
    <row r="3669" spans="3:11" x14ac:dyDescent="0.25">
      <c r="C3669" s="79"/>
      <c r="D3669" s="248"/>
      <c r="E3669" s="248"/>
      <c r="F3669" s="47"/>
      <c r="G3669" s="79"/>
      <c r="J3669" s="99"/>
      <c r="K3669" s="4"/>
    </row>
    <row r="3670" spans="3:11" x14ac:dyDescent="0.25">
      <c r="C3670" s="79"/>
      <c r="D3670" s="248"/>
      <c r="E3670" s="248"/>
      <c r="F3670" s="47"/>
      <c r="G3670" s="79"/>
      <c r="J3670" s="99"/>
      <c r="K3670" s="4"/>
    </row>
    <row r="3671" spans="3:11" x14ac:dyDescent="0.25">
      <c r="C3671" s="79"/>
      <c r="D3671" s="248"/>
      <c r="E3671" s="248"/>
      <c r="F3671" s="47"/>
      <c r="G3671" s="79"/>
      <c r="J3671" s="99"/>
      <c r="K3671" s="4"/>
    </row>
    <row r="3672" spans="3:11" x14ac:dyDescent="0.25">
      <c r="C3672" s="79"/>
      <c r="D3672" s="248"/>
      <c r="E3672" s="248"/>
      <c r="F3672" s="47"/>
      <c r="G3672" s="79"/>
      <c r="J3672" s="99"/>
      <c r="K3672" s="4"/>
    </row>
    <row r="3673" spans="3:11" x14ac:dyDescent="0.25">
      <c r="C3673" s="79"/>
      <c r="D3673" s="248"/>
      <c r="E3673" s="248"/>
      <c r="F3673" s="47"/>
      <c r="G3673" s="79"/>
      <c r="J3673" s="99"/>
      <c r="K3673" s="4"/>
    </row>
    <row r="3674" spans="3:11" x14ac:dyDescent="0.25">
      <c r="C3674" s="79"/>
      <c r="D3674" s="248"/>
      <c r="E3674" s="248"/>
      <c r="F3674" s="47"/>
      <c r="G3674" s="79"/>
      <c r="J3674" s="99"/>
      <c r="K3674" s="4"/>
    </row>
    <row r="3675" spans="3:11" x14ac:dyDescent="0.25">
      <c r="C3675" s="79"/>
      <c r="D3675" s="248"/>
      <c r="E3675" s="248"/>
      <c r="F3675" s="47"/>
      <c r="G3675" s="79"/>
      <c r="J3675" s="99"/>
      <c r="K3675" s="4"/>
    </row>
    <row r="3676" spans="3:11" x14ac:dyDescent="0.25">
      <c r="C3676" s="79"/>
      <c r="D3676" s="248"/>
      <c r="E3676" s="248"/>
      <c r="F3676" s="47"/>
      <c r="G3676" s="79"/>
      <c r="J3676" s="99"/>
      <c r="K3676" s="4"/>
    </row>
    <row r="3677" spans="3:11" x14ac:dyDescent="0.25">
      <c r="C3677" s="79"/>
      <c r="D3677" s="248"/>
      <c r="E3677" s="248"/>
      <c r="F3677" s="47"/>
      <c r="G3677" s="79"/>
      <c r="J3677" s="99"/>
      <c r="K3677" s="4"/>
    </row>
    <row r="3678" spans="3:11" x14ac:dyDescent="0.25">
      <c r="C3678" s="79"/>
      <c r="D3678" s="248"/>
      <c r="E3678" s="248"/>
      <c r="F3678" s="47"/>
      <c r="G3678" s="79"/>
      <c r="J3678" s="99"/>
      <c r="K3678" s="4"/>
    </row>
    <row r="3679" spans="3:11" x14ac:dyDescent="0.25">
      <c r="C3679" s="79"/>
      <c r="D3679" s="248"/>
      <c r="E3679" s="248"/>
      <c r="F3679" s="47"/>
      <c r="G3679" s="79"/>
      <c r="J3679" s="99"/>
      <c r="K3679" s="4"/>
    </row>
    <row r="3680" spans="3:11" x14ac:dyDescent="0.25">
      <c r="C3680" s="79"/>
      <c r="D3680" s="248"/>
      <c r="E3680" s="248"/>
      <c r="F3680" s="47"/>
      <c r="G3680" s="79"/>
      <c r="J3680" s="99"/>
      <c r="K3680" s="4"/>
    </row>
    <row r="3681" spans="3:11" x14ac:dyDescent="0.25">
      <c r="C3681" s="79"/>
      <c r="D3681" s="248"/>
      <c r="E3681" s="248"/>
      <c r="F3681" s="47"/>
      <c r="G3681" s="79"/>
      <c r="J3681" s="99"/>
      <c r="K3681" s="4"/>
    </row>
    <row r="3682" spans="3:11" x14ac:dyDescent="0.25">
      <c r="C3682" s="79"/>
      <c r="D3682" s="248"/>
      <c r="E3682" s="248"/>
      <c r="F3682" s="47"/>
      <c r="G3682" s="79"/>
      <c r="J3682" s="99"/>
      <c r="K3682" s="4"/>
    </row>
    <row r="3683" spans="3:11" x14ac:dyDescent="0.25">
      <c r="C3683" s="79"/>
      <c r="D3683" s="248"/>
      <c r="E3683" s="248"/>
      <c r="F3683" s="47"/>
      <c r="G3683" s="79"/>
      <c r="J3683" s="99"/>
      <c r="K3683" s="4"/>
    </row>
    <row r="3684" spans="3:11" x14ac:dyDescent="0.25">
      <c r="C3684" s="79"/>
      <c r="D3684" s="248"/>
      <c r="E3684" s="248"/>
      <c r="F3684" s="47"/>
      <c r="G3684" s="79"/>
      <c r="J3684" s="99"/>
      <c r="K3684" s="4"/>
    </row>
    <row r="3685" spans="3:11" x14ac:dyDescent="0.25">
      <c r="C3685" s="79"/>
      <c r="D3685" s="248"/>
      <c r="E3685" s="248"/>
      <c r="F3685" s="47"/>
      <c r="G3685" s="79"/>
      <c r="J3685" s="99"/>
      <c r="K3685" s="4"/>
    </row>
    <row r="3686" spans="3:11" x14ac:dyDescent="0.25">
      <c r="C3686" s="79"/>
      <c r="D3686" s="248"/>
      <c r="E3686" s="248"/>
      <c r="F3686" s="47"/>
      <c r="G3686" s="79"/>
      <c r="J3686" s="99"/>
      <c r="K3686" s="4"/>
    </row>
    <row r="3687" spans="3:11" x14ac:dyDescent="0.25">
      <c r="C3687" s="79"/>
      <c r="D3687" s="248"/>
      <c r="E3687" s="248"/>
      <c r="F3687" s="47"/>
      <c r="G3687" s="79"/>
      <c r="J3687" s="99"/>
      <c r="K3687" s="4"/>
    </row>
    <row r="3688" spans="3:11" x14ac:dyDescent="0.25">
      <c r="C3688" s="79"/>
      <c r="D3688" s="248"/>
      <c r="E3688" s="248"/>
      <c r="F3688" s="47"/>
      <c r="G3688" s="79"/>
      <c r="J3688" s="99"/>
      <c r="K3688" s="4"/>
    </row>
    <row r="3689" spans="3:11" x14ac:dyDescent="0.25">
      <c r="C3689" s="79"/>
      <c r="D3689" s="248"/>
      <c r="E3689" s="248"/>
      <c r="F3689" s="47"/>
      <c r="G3689" s="79"/>
      <c r="J3689" s="99"/>
      <c r="K3689" s="4"/>
    </row>
    <row r="3690" spans="3:11" x14ac:dyDescent="0.25">
      <c r="C3690" s="79"/>
      <c r="D3690" s="248"/>
      <c r="E3690" s="248"/>
      <c r="F3690" s="47"/>
      <c r="G3690" s="79"/>
      <c r="J3690" s="99"/>
      <c r="K3690" s="4"/>
    </row>
    <row r="3691" spans="3:11" x14ac:dyDescent="0.25">
      <c r="C3691" s="79"/>
      <c r="D3691" s="248"/>
      <c r="E3691" s="248"/>
      <c r="F3691" s="47"/>
      <c r="G3691" s="79"/>
      <c r="J3691" s="99"/>
      <c r="K3691" s="4"/>
    </row>
    <row r="3692" spans="3:11" x14ac:dyDescent="0.25">
      <c r="C3692" s="79"/>
      <c r="D3692" s="248"/>
      <c r="E3692" s="248"/>
      <c r="F3692" s="47"/>
      <c r="G3692" s="79"/>
      <c r="J3692" s="99"/>
      <c r="K3692" s="4"/>
    </row>
    <row r="3693" spans="3:11" x14ac:dyDescent="0.25">
      <c r="C3693" s="79"/>
      <c r="D3693" s="248"/>
      <c r="E3693" s="248"/>
      <c r="F3693" s="47"/>
      <c r="G3693" s="79"/>
      <c r="J3693" s="99"/>
      <c r="K3693" s="4"/>
    </row>
    <row r="3694" spans="3:11" x14ac:dyDescent="0.25">
      <c r="C3694" s="79"/>
      <c r="D3694" s="248"/>
      <c r="E3694" s="248"/>
      <c r="F3694" s="47"/>
      <c r="G3694" s="79"/>
      <c r="J3694" s="99"/>
      <c r="K3694" s="4"/>
    </row>
    <row r="3695" spans="3:11" x14ac:dyDescent="0.25">
      <c r="C3695" s="79"/>
      <c r="D3695" s="248"/>
      <c r="E3695" s="248"/>
      <c r="F3695" s="47"/>
      <c r="G3695" s="79"/>
      <c r="J3695" s="99"/>
      <c r="K3695" s="4"/>
    </row>
    <row r="3696" spans="3:11" x14ac:dyDescent="0.25">
      <c r="C3696" s="79"/>
      <c r="D3696" s="248"/>
      <c r="E3696" s="248"/>
      <c r="F3696" s="47"/>
      <c r="G3696" s="79"/>
      <c r="J3696" s="99"/>
      <c r="K3696" s="4"/>
    </row>
    <row r="3697" spans="3:11" x14ac:dyDescent="0.25">
      <c r="C3697" s="79"/>
      <c r="D3697" s="248"/>
      <c r="E3697" s="248"/>
      <c r="F3697" s="47"/>
      <c r="G3697" s="79"/>
      <c r="J3697" s="99"/>
      <c r="K3697" s="4"/>
    </row>
    <row r="3698" spans="3:11" x14ac:dyDescent="0.25">
      <c r="C3698" s="79"/>
      <c r="D3698" s="248"/>
      <c r="E3698" s="248"/>
      <c r="F3698" s="47"/>
      <c r="G3698" s="79"/>
      <c r="J3698" s="99"/>
      <c r="K3698" s="4"/>
    </row>
    <row r="3699" spans="3:11" x14ac:dyDescent="0.25">
      <c r="C3699" s="79"/>
      <c r="D3699" s="248"/>
      <c r="E3699" s="248"/>
      <c r="F3699" s="47"/>
      <c r="G3699" s="79"/>
      <c r="J3699" s="99"/>
      <c r="K3699" s="4"/>
    </row>
    <row r="3700" spans="3:11" x14ac:dyDescent="0.25">
      <c r="C3700" s="79"/>
      <c r="D3700" s="248"/>
      <c r="E3700" s="248"/>
      <c r="F3700" s="47"/>
      <c r="G3700" s="79"/>
      <c r="J3700" s="99"/>
      <c r="K3700" s="4"/>
    </row>
    <row r="3701" spans="3:11" x14ac:dyDescent="0.25">
      <c r="C3701" s="79"/>
      <c r="D3701" s="248"/>
      <c r="E3701" s="248"/>
      <c r="F3701" s="47"/>
      <c r="G3701" s="79"/>
      <c r="J3701" s="99"/>
      <c r="K3701" s="4"/>
    </row>
    <row r="3702" spans="3:11" x14ac:dyDescent="0.25">
      <c r="C3702" s="79"/>
      <c r="D3702" s="248"/>
      <c r="E3702" s="248"/>
      <c r="F3702" s="47"/>
      <c r="G3702" s="79"/>
      <c r="J3702" s="99"/>
      <c r="K3702" s="4"/>
    </row>
    <row r="3703" spans="3:11" x14ac:dyDescent="0.25">
      <c r="C3703" s="79"/>
      <c r="D3703" s="248"/>
      <c r="E3703" s="248"/>
      <c r="F3703" s="47"/>
      <c r="G3703" s="79"/>
      <c r="J3703" s="99"/>
      <c r="K3703" s="4"/>
    </row>
    <row r="3704" spans="3:11" x14ac:dyDescent="0.25">
      <c r="C3704" s="79"/>
      <c r="D3704" s="248"/>
      <c r="E3704" s="248"/>
      <c r="F3704" s="47"/>
      <c r="G3704" s="79"/>
      <c r="J3704" s="99"/>
      <c r="K3704" s="4"/>
    </row>
    <row r="3705" spans="3:11" x14ac:dyDescent="0.25">
      <c r="C3705" s="79"/>
      <c r="D3705" s="248"/>
      <c r="E3705" s="248"/>
      <c r="F3705" s="47"/>
      <c r="G3705" s="79"/>
      <c r="J3705" s="99"/>
      <c r="K3705" s="4"/>
    </row>
    <row r="3706" spans="3:11" x14ac:dyDescent="0.25">
      <c r="C3706" s="79"/>
      <c r="D3706" s="248"/>
      <c r="E3706" s="248"/>
      <c r="F3706" s="47"/>
      <c r="G3706" s="79"/>
      <c r="J3706" s="99"/>
      <c r="K3706" s="4"/>
    </row>
    <row r="3707" spans="3:11" x14ac:dyDescent="0.25">
      <c r="C3707" s="79"/>
      <c r="D3707" s="248"/>
      <c r="E3707" s="248"/>
      <c r="F3707" s="47"/>
      <c r="G3707" s="79"/>
      <c r="J3707" s="99"/>
      <c r="K3707" s="4"/>
    </row>
    <row r="3708" spans="3:11" x14ac:dyDescent="0.25">
      <c r="C3708" s="79"/>
      <c r="D3708" s="248"/>
      <c r="E3708" s="248"/>
      <c r="F3708" s="47"/>
      <c r="G3708" s="79"/>
      <c r="J3708" s="99"/>
      <c r="K3708" s="4"/>
    </row>
    <row r="3709" spans="3:11" x14ac:dyDescent="0.25">
      <c r="C3709" s="79"/>
      <c r="D3709" s="248"/>
      <c r="E3709" s="248"/>
      <c r="F3709" s="47"/>
      <c r="G3709" s="79"/>
      <c r="J3709" s="99"/>
      <c r="K3709" s="4"/>
    </row>
    <row r="3710" spans="3:11" x14ac:dyDescent="0.25">
      <c r="C3710" s="79"/>
      <c r="D3710" s="248"/>
      <c r="E3710" s="248"/>
      <c r="F3710" s="47"/>
      <c r="G3710" s="79"/>
      <c r="J3710" s="99"/>
      <c r="K3710" s="4"/>
    </row>
    <row r="3711" spans="3:11" x14ac:dyDescent="0.25">
      <c r="C3711" s="79"/>
      <c r="D3711" s="248"/>
      <c r="E3711" s="248"/>
      <c r="F3711" s="47"/>
      <c r="G3711" s="79"/>
      <c r="J3711" s="99"/>
      <c r="K3711" s="4"/>
    </row>
    <row r="3712" spans="3:11" x14ac:dyDescent="0.25">
      <c r="C3712" s="79"/>
      <c r="D3712" s="248"/>
      <c r="E3712" s="248"/>
      <c r="F3712" s="47"/>
      <c r="G3712" s="79"/>
      <c r="J3712" s="99"/>
      <c r="K3712" s="4"/>
    </row>
    <row r="3713" spans="3:11" x14ac:dyDescent="0.25">
      <c r="C3713" s="79"/>
      <c r="D3713" s="248"/>
      <c r="E3713" s="248"/>
      <c r="F3713" s="47"/>
      <c r="G3713" s="79"/>
      <c r="J3713" s="99"/>
      <c r="K3713" s="4"/>
    </row>
    <row r="3714" spans="3:11" x14ac:dyDescent="0.25">
      <c r="C3714" s="79"/>
      <c r="D3714" s="248"/>
      <c r="E3714" s="248"/>
      <c r="F3714" s="47"/>
      <c r="G3714" s="79"/>
      <c r="J3714" s="99"/>
      <c r="K3714" s="4"/>
    </row>
    <row r="3715" spans="3:11" x14ac:dyDescent="0.25">
      <c r="C3715" s="79"/>
      <c r="D3715" s="248"/>
      <c r="E3715" s="248"/>
      <c r="F3715" s="47"/>
      <c r="G3715" s="79"/>
      <c r="J3715" s="99"/>
      <c r="K3715" s="4"/>
    </row>
    <row r="3716" spans="3:11" x14ac:dyDescent="0.25">
      <c r="C3716" s="79"/>
      <c r="D3716" s="248"/>
      <c r="E3716" s="248"/>
      <c r="F3716" s="47"/>
      <c r="G3716" s="79"/>
      <c r="J3716" s="99"/>
      <c r="K3716" s="4"/>
    </row>
    <row r="3717" spans="3:11" x14ac:dyDescent="0.25">
      <c r="C3717" s="79"/>
      <c r="D3717" s="248"/>
      <c r="E3717" s="248"/>
      <c r="F3717" s="47"/>
      <c r="G3717" s="79"/>
      <c r="J3717" s="99"/>
      <c r="K3717" s="4"/>
    </row>
    <row r="3718" spans="3:11" x14ac:dyDescent="0.25">
      <c r="C3718" s="79"/>
      <c r="D3718" s="248"/>
      <c r="E3718" s="248"/>
      <c r="F3718" s="47"/>
      <c r="G3718" s="79"/>
      <c r="J3718" s="99"/>
      <c r="K3718" s="4"/>
    </row>
    <row r="3719" spans="3:11" x14ac:dyDescent="0.25">
      <c r="C3719" s="79"/>
      <c r="D3719" s="248"/>
      <c r="E3719" s="248"/>
      <c r="F3719" s="47"/>
      <c r="G3719" s="79"/>
      <c r="J3719" s="99"/>
      <c r="K3719" s="4"/>
    </row>
    <row r="3720" spans="3:11" x14ac:dyDescent="0.25">
      <c r="C3720" s="79"/>
      <c r="D3720" s="248"/>
      <c r="E3720" s="248"/>
      <c r="F3720" s="47"/>
      <c r="G3720" s="79"/>
      <c r="J3720" s="99"/>
      <c r="K3720" s="4"/>
    </row>
    <row r="3721" spans="3:11" x14ac:dyDescent="0.25">
      <c r="C3721" s="79"/>
      <c r="D3721" s="248"/>
      <c r="E3721" s="248"/>
      <c r="F3721" s="47"/>
      <c r="G3721" s="79"/>
      <c r="J3721" s="99"/>
      <c r="K3721" s="4"/>
    </row>
    <row r="3722" spans="3:11" x14ac:dyDescent="0.25">
      <c r="C3722" s="79"/>
      <c r="D3722" s="248"/>
      <c r="E3722" s="248"/>
      <c r="F3722" s="47"/>
      <c r="G3722" s="79"/>
      <c r="J3722" s="99"/>
      <c r="K3722" s="4"/>
    </row>
    <row r="3723" spans="3:11" x14ac:dyDescent="0.25">
      <c r="C3723" s="79"/>
      <c r="D3723" s="248"/>
      <c r="E3723" s="248"/>
      <c r="F3723" s="47"/>
      <c r="G3723" s="79"/>
      <c r="J3723" s="99"/>
      <c r="K3723" s="4"/>
    </row>
    <row r="3724" spans="3:11" x14ac:dyDescent="0.25">
      <c r="C3724" s="79"/>
      <c r="D3724" s="248"/>
      <c r="E3724" s="248"/>
      <c r="F3724" s="47"/>
      <c r="G3724" s="79"/>
      <c r="J3724" s="99"/>
      <c r="K3724" s="4"/>
    </row>
    <row r="3725" spans="3:11" x14ac:dyDescent="0.25">
      <c r="C3725" s="79"/>
      <c r="D3725" s="248"/>
      <c r="E3725" s="248"/>
      <c r="F3725" s="47"/>
      <c r="G3725" s="79"/>
      <c r="J3725" s="99"/>
      <c r="K3725" s="4"/>
    </row>
    <row r="3726" spans="3:11" x14ac:dyDescent="0.25">
      <c r="C3726" s="79"/>
      <c r="D3726" s="248"/>
      <c r="E3726" s="248"/>
      <c r="F3726" s="47"/>
      <c r="G3726" s="79"/>
      <c r="J3726" s="99"/>
      <c r="K3726" s="4"/>
    </row>
    <row r="3727" spans="3:11" x14ac:dyDescent="0.25">
      <c r="C3727" s="79"/>
      <c r="D3727" s="248"/>
      <c r="E3727" s="248"/>
      <c r="F3727" s="47"/>
      <c r="G3727" s="79"/>
      <c r="J3727" s="99"/>
      <c r="K3727" s="4"/>
    </row>
    <row r="3728" spans="3:11" x14ac:dyDescent="0.25">
      <c r="C3728" s="79"/>
      <c r="D3728" s="248"/>
      <c r="E3728" s="248"/>
      <c r="F3728" s="47"/>
      <c r="G3728" s="79"/>
      <c r="J3728" s="99"/>
      <c r="K3728" s="4"/>
    </row>
    <row r="3729" spans="3:11" x14ac:dyDescent="0.25">
      <c r="C3729" s="79"/>
      <c r="D3729" s="248"/>
      <c r="E3729" s="248"/>
      <c r="F3729" s="47"/>
      <c r="G3729" s="79"/>
      <c r="J3729" s="99"/>
      <c r="K3729" s="4"/>
    </row>
    <row r="3730" spans="3:11" x14ac:dyDescent="0.25">
      <c r="C3730" s="79"/>
      <c r="D3730" s="248"/>
      <c r="E3730" s="248"/>
      <c r="F3730" s="47"/>
      <c r="G3730" s="79"/>
      <c r="J3730" s="99"/>
      <c r="K3730" s="4"/>
    </row>
    <row r="3731" spans="3:11" x14ac:dyDescent="0.25">
      <c r="C3731" s="79"/>
      <c r="D3731" s="248"/>
      <c r="E3731" s="248"/>
      <c r="F3731" s="47"/>
      <c r="G3731" s="79"/>
      <c r="J3731" s="99"/>
      <c r="K3731" s="4"/>
    </row>
    <row r="3732" spans="3:11" x14ac:dyDescent="0.25">
      <c r="C3732" s="79"/>
      <c r="D3732" s="248"/>
      <c r="E3732" s="248"/>
      <c r="F3732" s="47"/>
      <c r="G3732" s="79"/>
      <c r="J3732" s="99"/>
      <c r="K3732" s="4"/>
    </row>
    <row r="3733" spans="3:11" x14ac:dyDescent="0.25">
      <c r="C3733" s="79"/>
      <c r="D3733" s="248"/>
      <c r="E3733" s="248"/>
      <c r="F3733" s="47"/>
      <c r="G3733" s="79"/>
      <c r="J3733" s="99"/>
      <c r="K3733" s="4"/>
    </row>
    <row r="3734" spans="3:11" x14ac:dyDescent="0.25">
      <c r="C3734" s="79"/>
      <c r="D3734" s="248"/>
      <c r="E3734" s="248"/>
      <c r="F3734" s="47"/>
      <c r="G3734" s="79"/>
      <c r="J3734" s="99"/>
      <c r="K3734" s="4"/>
    </row>
    <row r="3735" spans="3:11" x14ac:dyDescent="0.25">
      <c r="C3735" s="79"/>
      <c r="D3735" s="248"/>
      <c r="E3735" s="248"/>
      <c r="F3735" s="47"/>
      <c r="G3735" s="79"/>
      <c r="J3735" s="99"/>
      <c r="K3735" s="4"/>
    </row>
    <row r="3736" spans="3:11" x14ac:dyDescent="0.25">
      <c r="C3736" s="79"/>
      <c r="D3736" s="248"/>
      <c r="E3736" s="248"/>
      <c r="F3736" s="47"/>
      <c r="G3736" s="79"/>
      <c r="J3736" s="99"/>
      <c r="K3736" s="4"/>
    </row>
    <row r="3737" spans="3:11" x14ac:dyDescent="0.25">
      <c r="C3737" s="79"/>
      <c r="D3737" s="248"/>
      <c r="E3737" s="248"/>
      <c r="F3737" s="47"/>
      <c r="G3737" s="79"/>
      <c r="J3737" s="99"/>
      <c r="K3737" s="4"/>
    </row>
    <row r="3738" spans="3:11" x14ac:dyDescent="0.25">
      <c r="C3738" s="79"/>
      <c r="D3738" s="248"/>
      <c r="E3738" s="248"/>
      <c r="F3738" s="47"/>
      <c r="G3738" s="79"/>
      <c r="J3738" s="99"/>
      <c r="K3738" s="4"/>
    </row>
    <row r="3739" spans="3:11" x14ac:dyDescent="0.25">
      <c r="C3739" s="79"/>
      <c r="D3739" s="248"/>
      <c r="E3739" s="248"/>
      <c r="F3739" s="47"/>
      <c r="G3739" s="79"/>
      <c r="J3739" s="99"/>
      <c r="K3739" s="4"/>
    </row>
    <row r="3740" spans="3:11" x14ac:dyDescent="0.25">
      <c r="C3740" s="79"/>
      <c r="D3740" s="248"/>
      <c r="E3740" s="248"/>
      <c r="F3740" s="47"/>
      <c r="G3740" s="79"/>
      <c r="J3740" s="99"/>
      <c r="K3740" s="4"/>
    </row>
    <row r="3741" spans="3:11" x14ac:dyDescent="0.25">
      <c r="C3741" s="79"/>
      <c r="D3741" s="248"/>
      <c r="E3741" s="248"/>
      <c r="F3741" s="47"/>
      <c r="G3741" s="79"/>
      <c r="J3741" s="99"/>
      <c r="K3741" s="4"/>
    </row>
    <row r="3742" spans="3:11" x14ac:dyDescent="0.25">
      <c r="C3742" s="79"/>
      <c r="D3742" s="248"/>
      <c r="E3742" s="248"/>
      <c r="F3742" s="47"/>
      <c r="G3742" s="79"/>
      <c r="J3742" s="99"/>
      <c r="K3742" s="4"/>
    </row>
    <row r="3743" spans="3:11" x14ac:dyDescent="0.25">
      <c r="C3743" s="79"/>
      <c r="D3743" s="248"/>
      <c r="E3743" s="248"/>
      <c r="F3743" s="47"/>
      <c r="G3743" s="79"/>
      <c r="J3743" s="99"/>
      <c r="K3743" s="4"/>
    </row>
    <row r="3744" spans="3:11" x14ac:dyDescent="0.25">
      <c r="C3744" s="79"/>
      <c r="D3744" s="248"/>
      <c r="E3744" s="248"/>
      <c r="F3744" s="47"/>
      <c r="G3744" s="79"/>
      <c r="J3744" s="99"/>
      <c r="K3744" s="4"/>
    </row>
    <row r="3745" spans="3:11" x14ac:dyDescent="0.25">
      <c r="C3745" s="79"/>
      <c r="D3745" s="248"/>
      <c r="E3745" s="248"/>
      <c r="F3745" s="47"/>
      <c r="G3745" s="79"/>
      <c r="J3745" s="99"/>
      <c r="K3745" s="4"/>
    </row>
    <row r="3746" spans="3:11" x14ac:dyDescent="0.25">
      <c r="C3746" s="79"/>
      <c r="D3746" s="248"/>
      <c r="E3746" s="248"/>
      <c r="F3746" s="47"/>
      <c r="G3746" s="79"/>
      <c r="J3746" s="99"/>
      <c r="K3746" s="4"/>
    </row>
    <row r="3747" spans="3:11" x14ac:dyDescent="0.25">
      <c r="C3747" s="79"/>
      <c r="D3747" s="248"/>
      <c r="E3747" s="248"/>
      <c r="F3747" s="47"/>
      <c r="G3747" s="79"/>
      <c r="J3747" s="99"/>
      <c r="K3747" s="4"/>
    </row>
    <row r="3748" spans="3:11" x14ac:dyDescent="0.25">
      <c r="C3748" s="79"/>
      <c r="D3748" s="248"/>
      <c r="E3748" s="248"/>
      <c r="F3748" s="47"/>
      <c r="G3748" s="79"/>
      <c r="J3748" s="99"/>
      <c r="K3748" s="4"/>
    </row>
    <row r="3749" spans="3:11" x14ac:dyDescent="0.25">
      <c r="C3749" s="79"/>
      <c r="D3749" s="248"/>
      <c r="E3749" s="248"/>
      <c r="F3749" s="47"/>
      <c r="G3749" s="79"/>
      <c r="J3749" s="99"/>
      <c r="K3749" s="4"/>
    </row>
    <row r="3750" spans="3:11" x14ac:dyDescent="0.25">
      <c r="C3750" s="79"/>
      <c r="D3750" s="248"/>
      <c r="E3750" s="248"/>
      <c r="F3750" s="47"/>
      <c r="G3750" s="79"/>
      <c r="J3750" s="99"/>
      <c r="K3750" s="4"/>
    </row>
    <row r="3751" spans="3:11" x14ac:dyDescent="0.25">
      <c r="C3751" s="79"/>
      <c r="D3751" s="248"/>
      <c r="E3751" s="248"/>
      <c r="F3751" s="47"/>
      <c r="G3751" s="79"/>
      <c r="J3751" s="99"/>
      <c r="K3751" s="4"/>
    </row>
    <row r="3752" spans="3:11" x14ac:dyDescent="0.25">
      <c r="C3752" s="79"/>
      <c r="D3752" s="248"/>
      <c r="E3752" s="248"/>
      <c r="F3752" s="47"/>
      <c r="G3752" s="79"/>
      <c r="J3752" s="99"/>
      <c r="K3752" s="4"/>
    </row>
    <row r="3753" spans="3:11" x14ac:dyDescent="0.25">
      <c r="C3753" s="79"/>
      <c r="D3753" s="248"/>
      <c r="E3753" s="248"/>
      <c r="F3753" s="47"/>
      <c r="G3753" s="79"/>
      <c r="J3753" s="99"/>
      <c r="K3753" s="4"/>
    </row>
    <row r="3754" spans="3:11" x14ac:dyDescent="0.25">
      <c r="C3754" s="79"/>
      <c r="D3754" s="248"/>
      <c r="E3754" s="248"/>
      <c r="F3754" s="47"/>
      <c r="G3754" s="79"/>
      <c r="J3754" s="99"/>
      <c r="K3754" s="4"/>
    </row>
    <row r="3755" spans="3:11" x14ac:dyDescent="0.25">
      <c r="C3755" s="79"/>
      <c r="D3755" s="248"/>
      <c r="E3755" s="248"/>
      <c r="F3755" s="47"/>
      <c r="G3755" s="79"/>
      <c r="J3755" s="99"/>
      <c r="K3755" s="4"/>
    </row>
    <row r="3756" spans="3:11" x14ac:dyDescent="0.25">
      <c r="C3756" s="79"/>
      <c r="D3756" s="248"/>
      <c r="E3756" s="248"/>
      <c r="F3756" s="47"/>
      <c r="G3756" s="79"/>
      <c r="J3756" s="99"/>
      <c r="K3756" s="4"/>
    </row>
    <row r="3757" spans="3:11" x14ac:dyDescent="0.25">
      <c r="C3757" s="79"/>
      <c r="D3757" s="248"/>
      <c r="E3757" s="248"/>
      <c r="F3757" s="47"/>
      <c r="G3757" s="79"/>
      <c r="J3757" s="99"/>
      <c r="K3757" s="4"/>
    </row>
    <row r="3758" spans="3:11" x14ac:dyDescent="0.25">
      <c r="C3758" s="79"/>
      <c r="D3758" s="248"/>
      <c r="E3758" s="248"/>
      <c r="F3758" s="47"/>
      <c r="G3758" s="79"/>
      <c r="J3758" s="99"/>
      <c r="K3758" s="4"/>
    </row>
    <row r="3759" spans="3:11" x14ac:dyDescent="0.25">
      <c r="C3759" s="79"/>
      <c r="D3759" s="248"/>
      <c r="E3759" s="248"/>
      <c r="F3759" s="47"/>
      <c r="G3759" s="79"/>
      <c r="J3759" s="99"/>
      <c r="K3759" s="4"/>
    </row>
    <row r="3760" spans="3:11" x14ac:dyDescent="0.25">
      <c r="C3760" s="79"/>
      <c r="D3760" s="248"/>
      <c r="E3760" s="248"/>
      <c r="F3760" s="47"/>
      <c r="G3760" s="79"/>
      <c r="J3760" s="99"/>
      <c r="K3760" s="4"/>
    </row>
    <row r="3761" spans="3:11" x14ac:dyDescent="0.25">
      <c r="C3761" s="79"/>
      <c r="D3761" s="248"/>
      <c r="E3761" s="248"/>
      <c r="F3761" s="47"/>
      <c r="G3761" s="79"/>
      <c r="J3761" s="99"/>
      <c r="K3761" s="4"/>
    </row>
    <row r="3762" spans="3:11" x14ac:dyDescent="0.25">
      <c r="C3762" s="79"/>
      <c r="D3762" s="248"/>
      <c r="E3762" s="248"/>
      <c r="F3762" s="47"/>
      <c r="G3762" s="79"/>
      <c r="J3762" s="99"/>
      <c r="K3762" s="4"/>
    </row>
    <row r="3763" spans="3:11" x14ac:dyDescent="0.25">
      <c r="C3763" s="79"/>
      <c r="D3763" s="248"/>
      <c r="E3763" s="248"/>
      <c r="F3763" s="47"/>
      <c r="G3763" s="79"/>
      <c r="J3763" s="99"/>
      <c r="K3763" s="4"/>
    </row>
    <row r="3764" spans="3:11" x14ac:dyDescent="0.25">
      <c r="C3764" s="79"/>
      <c r="D3764" s="248"/>
      <c r="E3764" s="248"/>
      <c r="F3764" s="47"/>
      <c r="G3764" s="79"/>
      <c r="J3764" s="99"/>
      <c r="K3764" s="4"/>
    </row>
    <row r="3765" spans="3:11" x14ac:dyDescent="0.25">
      <c r="C3765" s="79"/>
      <c r="D3765" s="248"/>
      <c r="E3765" s="248"/>
      <c r="F3765" s="47"/>
      <c r="G3765" s="79"/>
      <c r="J3765" s="99"/>
      <c r="K3765" s="4"/>
    </row>
    <row r="3766" spans="3:11" x14ac:dyDescent="0.25">
      <c r="C3766" s="79"/>
      <c r="D3766" s="248"/>
      <c r="E3766" s="248"/>
      <c r="F3766" s="47"/>
      <c r="G3766" s="79"/>
      <c r="J3766" s="99"/>
      <c r="K3766" s="4"/>
    </row>
    <row r="3767" spans="3:11" x14ac:dyDescent="0.25">
      <c r="C3767" s="79"/>
      <c r="D3767" s="248"/>
      <c r="E3767" s="248"/>
      <c r="F3767" s="47"/>
      <c r="G3767" s="79"/>
      <c r="J3767" s="99"/>
      <c r="K3767" s="4"/>
    </row>
    <row r="3768" spans="3:11" x14ac:dyDescent="0.25">
      <c r="C3768" s="79"/>
      <c r="D3768" s="248"/>
      <c r="E3768" s="248"/>
      <c r="F3768" s="47"/>
      <c r="G3768" s="79"/>
      <c r="J3768" s="99"/>
      <c r="K3768" s="4"/>
    </row>
    <row r="3769" spans="3:11" x14ac:dyDescent="0.25">
      <c r="C3769" s="79"/>
      <c r="D3769" s="248"/>
      <c r="E3769" s="248"/>
      <c r="F3769" s="47"/>
      <c r="G3769" s="79"/>
      <c r="J3769" s="99"/>
      <c r="K3769" s="4"/>
    </row>
    <row r="3770" spans="3:11" x14ac:dyDescent="0.25">
      <c r="C3770" s="79"/>
      <c r="D3770" s="248"/>
      <c r="E3770" s="248"/>
      <c r="F3770" s="47"/>
      <c r="G3770" s="79"/>
      <c r="J3770" s="99"/>
      <c r="K3770" s="4"/>
    </row>
    <row r="3771" spans="3:11" x14ac:dyDescent="0.25">
      <c r="C3771" s="79"/>
      <c r="D3771" s="248"/>
      <c r="E3771" s="248"/>
      <c r="F3771" s="47"/>
      <c r="G3771" s="79"/>
      <c r="J3771" s="99"/>
      <c r="K3771" s="4"/>
    </row>
    <row r="3772" spans="3:11" x14ac:dyDescent="0.25">
      <c r="C3772" s="79"/>
      <c r="D3772" s="248"/>
      <c r="E3772" s="248"/>
      <c r="F3772" s="47"/>
      <c r="G3772" s="79"/>
      <c r="J3772" s="99"/>
      <c r="K3772" s="4"/>
    </row>
    <row r="3773" spans="3:11" x14ac:dyDescent="0.25">
      <c r="C3773" s="79"/>
      <c r="D3773" s="248"/>
      <c r="E3773" s="248"/>
      <c r="F3773" s="47"/>
      <c r="G3773" s="79"/>
      <c r="J3773" s="99"/>
      <c r="K3773" s="4"/>
    </row>
    <row r="3774" spans="3:11" x14ac:dyDescent="0.25">
      <c r="C3774" s="79"/>
      <c r="D3774" s="248"/>
      <c r="E3774" s="248"/>
      <c r="F3774" s="47"/>
      <c r="G3774" s="79"/>
      <c r="J3774" s="99"/>
      <c r="K3774" s="4"/>
    </row>
    <row r="3775" spans="3:11" x14ac:dyDescent="0.25">
      <c r="C3775" s="79"/>
      <c r="D3775" s="248"/>
      <c r="E3775" s="248"/>
      <c r="F3775" s="47"/>
      <c r="G3775" s="79"/>
      <c r="J3775" s="99"/>
      <c r="K3775" s="4"/>
    </row>
    <row r="3776" spans="3:11" x14ac:dyDescent="0.25">
      <c r="C3776" s="79"/>
      <c r="D3776" s="248"/>
      <c r="E3776" s="248"/>
      <c r="F3776" s="47"/>
      <c r="G3776" s="79"/>
      <c r="J3776" s="99"/>
      <c r="K3776" s="4"/>
    </row>
    <row r="3777" spans="3:11" x14ac:dyDescent="0.25">
      <c r="C3777" s="79"/>
      <c r="D3777" s="248"/>
      <c r="E3777" s="248"/>
      <c r="F3777" s="47"/>
      <c r="G3777" s="79"/>
      <c r="J3777" s="99"/>
      <c r="K3777" s="4"/>
    </row>
    <row r="3778" spans="3:11" x14ac:dyDescent="0.25">
      <c r="C3778" s="79"/>
      <c r="D3778" s="248"/>
      <c r="E3778" s="248"/>
      <c r="F3778" s="47"/>
      <c r="G3778" s="79"/>
      <c r="J3778" s="99"/>
      <c r="K3778" s="4"/>
    </row>
    <row r="3779" spans="3:11" x14ac:dyDescent="0.25">
      <c r="C3779" s="79"/>
      <c r="D3779" s="248"/>
      <c r="E3779" s="248"/>
      <c r="F3779" s="47"/>
      <c r="G3779" s="79"/>
      <c r="J3779" s="99"/>
      <c r="K3779" s="4"/>
    </row>
    <row r="3780" spans="3:11" x14ac:dyDescent="0.25">
      <c r="C3780" s="79"/>
      <c r="D3780" s="248"/>
      <c r="E3780" s="248"/>
      <c r="F3780" s="47"/>
      <c r="G3780" s="79"/>
      <c r="J3780" s="99"/>
      <c r="K3780" s="4"/>
    </row>
    <row r="3781" spans="3:11" x14ac:dyDescent="0.25">
      <c r="C3781" s="79"/>
      <c r="D3781" s="248"/>
      <c r="E3781" s="248"/>
      <c r="F3781" s="47"/>
      <c r="G3781" s="79"/>
      <c r="J3781" s="99"/>
      <c r="K3781" s="4"/>
    </row>
    <row r="3782" spans="3:11" x14ac:dyDescent="0.25">
      <c r="C3782" s="79"/>
      <c r="D3782" s="248"/>
      <c r="E3782" s="248"/>
      <c r="F3782" s="47"/>
      <c r="G3782" s="79"/>
      <c r="J3782" s="99"/>
      <c r="K3782" s="4"/>
    </row>
    <row r="3783" spans="3:11" x14ac:dyDescent="0.25">
      <c r="C3783" s="79"/>
      <c r="D3783" s="248"/>
      <c r="E3783" s="248"/>
      <c r="F3783" s="47"/>
      <c r="G3783" s="79"/>
      <c r="J3783" s="99"/>
      <c r="K3783" s="4"/>
    </row>
    <row r="3784" spans="3:11" x14ac:dyDescent="0.25">
      <c r="C3784" s="79"/>
      <c r="D3784" s="248"/>
      <c r="E3784" s="248"/>
      <c r="F3784" s="47"/>
      <c r="G3784" s="79"/>
      <c r="J3784" s="99"/>
      <c r="K3784" s="4"/>
    </row>
    <row r="3785" spans="3:11" x14ac:dyDescent="0.25">
      <c r="C3785" s="79"/>
      <c r="D3785" s="248"/>
      <c r="E3785" s="248"/>
      <c r="F3785" s="47"/>
      <c r="G3785" s="79"/>
      <c r="J3785" s="99"/>
      <c r="K3785" s="4"/>
    </row>
    <row r="3786" spans="3:11" x14ac:dyDescent="0.25">
      <c r="C3786" s="79"/>
      <c r="D3786" s="248"/>
      <c r="E3786" s="248"/>
      <c r="F3786" s="47"/>
      <c r="G3786" s="79"/>
      <c r="J3786" s="99"/>
      <c r="K3786" s="4"/>
    </row>
    <row r="3787" spans="3:11" x14ac:dyDescent="0.25">
      <c r="C3787" s="79"/>
      <c r="D3787" s="248"/>
      <c r="E3787" s="248"/>
      <c r="F3787" s="47"/>
      <c r="G3787" s="79"/>
      <c r="J3787" s="99"/>
      <c r="K3787" s="4"/>
    </row>
    <row r="3788" spans="3:11" x14ac:dyDescent="0.25">
      <c r="C3788" s="79"/>
      <c r="D3788" s="248"/>
      <c r="E3788" s="248"/>
      <c r="F3788" s="47"/>
      <c r="G3788" s="79"/>
      <c r="J3788" s="99"/>
      <c r="K3788" s="4"/>
    </row>
    <row r="3789" spans="3:11" x14ac:dyDescent="0.25">
      <c r="C3789" s="79"/>
      <c r="D3789" s="248"/>
      <c r="E3789" s="248"/>
      <c r="F3789" s="47"/>
      <c r="G3789" s="79"/>
      <c r="J3789" s="99"/>
      <c r="K3789" s="4"/>
    </row>
    <row r="3790" spans="3:11" x14ac:dyDescent="0.25">
      <c r="C3790" s="79"/>
      <c r="D3790" s="248"/>
      <c r="E3790" s="248"/>
      <c r="F3790" s="47"/>
      <c r="G3790" s="79"/>
      <c r="J3790" s="99"/>
      <c r="K3790" s="4"/>
    </row>
    <row r="3791" spans="3:11" x14ac:dyDescent="0.25">
      <c r="C3791" s="79"/>
      <c r="D3791" s="248"/>
      <c r="E3791" s="248"/>
      <c r="F3791" s="47"/>
      <c r="G3791" s="79"/>
      <c r="J3791" s="99"/>
      <c r="K3791" s="4"/>
    </row>
    <row r="3792" spans="3:11" x14ac:dyDescent="0.25">
      <c r="C3792" s="79"/>
      <c r="D3792" s="248"/>
      <c r="E3792" s="248"/>
      <c r="F3792" s="47"/>
      <c r="G3792" s="79"/>
      <c r="J3792" s="99"/>
      <c r="K3792" s="4"/>
    </row>
    <row r="3793" spans="3:11" x14ac:dyDescent="0.25">
      <c r="C3793" s="79"/>
      <c r="D3793" s="248"/>
      <c r="E3793" s="248"/>
      <c r="F3793" s="47"/>
      <c r="G3793" s="79"/>
      <c r="J3793" s="99"/>
      <c r="K3793" s="4"/>
    </row>
    <row r="3794" spans="3:11" x14ac:dyDescent="0.25">
      <c r="C3794" s="79"/>
      <c r="D3794" s="248"/>
      <c r="E3794" s="248"/>
      <c r="F3794" s="47"/>
      <c r="G3794" s="79"/>
      <c r="J3794" s="99"/>
      <c r="K3794" s="4"/>
    </row>
    <row r="3795" spans="3:11" x14ac:dyDescent="0.25">
      <c r="C3795" s="79"/>
      <c r="D3795" s="248"/>
      <c r="E3795" s="248"/>
      <c r="F3795" s="47"/>
      <c r="G3795" s="79"/>
      <c r="J3795" s="99"/>
      <c r="K3795" s="4"/>
    </row>
    <row r="3796" spans="3:11" x14ac:dyDescent="0.25">
      <c r="C3796" s="79"/>
      <c r="D3796" s="248"/>
      <c r="E3796" s="248"/>
      <c r="F3796" s="47"/>
      <c r="G3796" s="79"/>
      <c r="J3796" s="99"/>
      <c r="K3796" s="4"/>
    </row>
    <row r="3797" spans="3:11" x14ac:dyDescent="0.25">
      <c r="C3797" s="79"/>
      <c r="D3797" s="248"/>
      <c r="E3797" s="248"/>
      <c r="F3797" s="47"/>
      <c r="G3797" s="79"/>
      <c r="J3797" s="99"/>
      <c r="K3797" s="4"/>
    </row>
    <row r="3798" spans="3:11" x14ac:dyDescent="0.25">
      <c r="C3798" s="79"/>
      <c r="D3798" s="248"/>
      <c r="E3798" s="248"/>
      <c r="F3798" s="47"/>
      <c r="G3798" s="79"/>
      <c r="J3798" s="99"/>
      <c r="K3798" s="4"/>
    </row>
    <row r="3799" spans="3:11" x14ac:dyDescent="0.25">
      <c r="C3799" s="79"/>
      <c r="D3799" s="248"/>
      <c r="E3799" s="248"/>
      <c r="F3799" s="47"/>
      <c r="G3799" s="79"/>
      <c r="J3799" s="99"/>
      <c r="K3799" s="4"/>
    </row>
    <row r="3800" spans="3:11" x14ac:dyDescent="0.25">
      <c r="C3800" s="79"/>
      <c r="D3800" s="248"/>
      <c r="E3800" s="248"/>
      <c r="F3800" s="47"/>
      <c r="G3800" s="79"/>
      <c r="J3800" s="99"/>
      <c r="K3800" s="4"/>
    </row>
    <row r="3801" spans="3:11" x14ac:dyDescent="0.25">
      <c r="C3801" s="79"/>
      <c r="D3801" s="248"/>
      <c r="E3801" s="248"/>
      <c r="F3801" s="47"/>
      <c r="G3801" s="79"/>
      <c r="J3801" s="99"/>
      <c r="K3801" s="4"/>
    </row>
    <row r="3802" spans="3:11" x14ac:dyDescent="0.25">
      <c r="C3802" s="79"/>
      <c r="D3802" s="248"/>
      <c r="E3802" s="248"/>
      <c r="F3802" s="47"/>
      <c r="G3802" s="79"/>
      <c r="J3802" s="99"/>
      <c r="K3802" s="4"/>
    </row>
    <row r="3803" spans="3:11" x14ac:dyDescent="0.25">
      <c r="C3803" s="79"/>
      <c r="D3803" s="248"/>
      <c r="E3803" s="248"/>
      <c r="F3803" s="47"/>
      <c r="G3803" s="79"/>
      <c r="J3803" s="99"/>
      <c r="K3803" s="4"/>
    </row>
    <row r="3804" spans="3:11" x14ac:dyDescent="0.25">
      <c r="C3804" s="79"/>
      <c r="D3804" s="248"/>
      <c r="E3804" s="248"/>
      <c r="F3804" s="47"/>
      <c r="G3804" s="79"/>
      <c r="J3804" s="99"/>
      <c r="K3804" s="4"/>
    </row>
    <row r="3805" spans="3:11" x14ac:dyDescent="0.25">
      <c r="C3805" s="79"/>
      <c r="D3805" s="248"/>
      <c r="E3805" s="248"/>
      <c r="F3805" s="47"/>
      <c r="G3805" s="79"/>
      <c r="J3805" s="99"/>
      <c r="K3805" s="4"/>
    </row>
    <row r="3806" spans="3:11" x14ac:dyDescent="0.25">
      <c r="C3806" s="79"/>
      <c r="D3806" s="248"/>
      <c r="E3806" s="248"/>
      <c r="F3806" s="47"/>
      <c r="G3806" s="79"/>
      <c r="J3806" s="99"/>
      <c r="K3806" s="4"/>
    </row>
    <row r="3807" spans="3:11" x14ac:dyDescent="0.25">
      <c r="C3807" s="79"/>
      <c r="D3807" s="248"/>
      <c r="E3807" s="248"/>
      <c r="F3807" s="47"/>
      <c r="G3807" s="79"/>
      <c r="J3807" s="99"/>
      <c r="K3807" s="4"/>
    </row>
    <row r="3808" spans="3:11" x14ac:dyDescent="0.25">
      <c r="C3808" s="79"/>
      <c r="D3808" s="248"/>
      <c r="E3808" s="248"/>
      <c r="F3808" s="47"/>
      <c r="G3808" s="79"/>
      <c r="J3808" s="99"/>
      <c r="K3808" s="4"/>
    </row>
    <row r="3809" spans="3:11" x14ac:dyDescent="0.25">
      <c r="C3809" s="79"/>
      <c r="D3809" s="248"/>
      <c r="E3809" s="248"/>
      <c r="F3809" s="47"/>
      <c r="G3809" s="79"/>
      <c r="J3809" s="99"/>
      <c r="K3809" s="4"/>
    </row>
    <row r="3810" spans="3:11" x14ac:dyDescent="0.25">
      <c r="C3810" s="79"/>
      <c r="D3810" s="248"/>
      <c r="E3810" s="248"/>
      <c r="F3810" s="47"/>
      <c r="G3810" s="79"/>
      <c r="J3810" s="99"/>
      <c r="K3810" s="4"/>
    </row>
    <row r="3811" spans="3:11" x14ac:dyDescent="0.25">
      <c r="C3811" s="79"/>
      <c r="D3811" s="248"/>
      <c r="E3811" s="248"/>
      <c r="F3811" s="47"/>
      <c r="G3811" s="79"/>
      <c r="J3811" s="99"/>
      <c r="K3811" s="4"/>
    </row>
    <row r="3812" spans="3:11" x14ac:dyDescent="0.25">
      <c r="C3812" s="79"/>
      <c r="D3812" s="248"/>
      <c r="E3812" s="248"/>
      <c r="F3812" s="47"/>
      <c r="G3812" s="79"/>
      <c r="J3812" s="99"/>
      <c r="K3812" s="4"/>
    </row>
    <row r="3813" spans="3:11" x14ac:dyDescent="0.25">
      <c r="C3813" s="79"/>
      <c r="D3813" s="248"/>
      <c r="E3813" s="248"/>
      <c r="F3813" s="47"/>
      <c r="G3813" s="79"/>
      <c r="J3813" s="99"/>
      <c r="K3813" s="4"/>
    </row>
    <row r="3814" spans="3:11" x14ac:dyDescent="0.25">
      <c r="C3814" s="79"/>
      <c r="D3814" s="248"/>
      <c r="E3814" s="248"/>
      <c r="F3814" s="47"/>
      <c r="G3814" s="79"/>
      <c r="J3814" s="99"/>
      <c r="K3814" s="4"/>
    </row>
    <row r="3815" spans="3:11" x14ac:dyDescent="0.25">
      <c r="C3815" s="79"/>
      <c r="D3815" s="248"/>
      <c r="E3815" s="248"/>
      <c r="F3815" s="47"/>
      <c r="G3815" s="79"/>
      <c r="J3815" s="99"/>
      <c r="K3815" s="4"/>
    </row>
    <row r="3816" spans="3:11" x14ac:dyDescent="0.25">
      <c r="C3816" s="79"/>
      <c r="D3816" s="248"/>
      <c r="E3816" s="248"/>
      <c r="F3816" s="47"/>
      <c r="G3816" s="79"/>
      <c r="J3816" s="99"/>
      <c r="K3816" s="4"/>
    </row>
    <row r="3817" spans="3:11" x14ac:dyDescent="0.25">
      <c r="C3817" s="79"/>
      <c r="D3817" s="248"/>
      <c r="E3817" s="248"/>
      <c r="F3817" s="47"/>
      <c r="G3817" s="79"/>
      <c r="J3817" s="99"/>
      <c r="K3817" s="4"/>
    </row>
    <row r="3818" spans="3:11" x14ac:dyDescent="0.25">
      <c r="C3818" s="79"/>
      <c r="D3818" s="248"/>
      <c r="E3818" s="248"/>
      <c r="F3818" s="47"/>
      <c r="G3818" s="79"/>
      <c r="J3818" s="99"/>
      <c r="K3818" s="4"/>
    </row>
    <row r="3819" spans="3:11" x14ac:dyDescent="0.25">
      <c r="C3819" s="79"/>
      <c r="D3819" s="248"/>
      <c r="E3819" s="248"/>
      <c r="F3819" s="47"/>
      <c r="G3819" s="79"/>
      <c r="J3819" s="99"/>
      <c r="K3819" s="4"/>
    </row>
    <row r="3820" spans="3:11" x14ac:dyDescent="0.25">
      <c r="C3820" s="79"/>
      <c r="D3820" s="248"/>
      <c r="E3820" s="248"/>
      <c r="F3820" s="47"/>
      <c r="G3820" s="79"/>
      <c r="J3820" s="99"/>
      <c r="K3820" s="4"/>
    </row>
    <row r="3821" spans="3:11" x14ac:dyDescent="0.25">
      <c r="C3821" s="79"/>
      <c r="D3821" s="248"/>
      <c r="E3821" s="248"/>
      <c r="F3821" s="47"/>
      <c r="G3821" s="79"/>
      <c r="J3821" s="99"/>
      <c r="K3821" s="4"/>
    </row>
    <row r="3822" spans="3:11" x14ac:dyDescent="0.25">
      <c r="C3822" s="79"/>
      <c r="D3822" s="248"/>
      <c r="E3822" s="248"/>
      <c r="F3822" s="47"/>
      <c r="G3822" s="79"/>
      <c r="J3822" s="99"/>
      <c r="K3822" s="4"/>
    </row>
    <row r="3823" spans="3:11" x14ac:dyDescent="0.25">
      <c r="C3823" s="79"/>
      <c r="D3823" s="248"/>
      <c r="E3823" s="248"/>
      <c r="F3823" s="47"/>
      <c r="G3823" s="79"/>
      <c r="J3823" s="99"/>
      <c r="K3823" s="4"/>
    </row>
    <row r="3824" spans="3:11" x14ac:dyDescent="0.25">
      <c r="C3824" s="79"/>
      <c r="D3824" s="248"/>
      <c r="E3824" s="248"/>
      <c r="F3824" s="47"/>
      <c r="G3824" s="79"/>
      <c r="J3824" s="99"/>
      <c r="K3824" s="4"/>
    </row>
    <row r="3825" spans="3:11" x14ac:dyDescent="0.25">
      <c r="C3825" s="79"/>
      <c r="D3825" s="248"/>
      <c r="E3825" s="248"/>
      <c r="F3825" s="47"/>
      <c r="G3825" s="79"/>
      <c r="J3825" s="99"/>
      <c r="K3825" s="4"/>
    </row>
    <row r="3826" spans="3:11" x14ac:dyDescent="0.25">
      <c r="C3826" s="79"/>
      <c r="D3826" s="248"/>
      <c r="E3826" s="248"/>
      <c r="F3826" s="47"/>
      <c r="G3826" s="79"/>
      <c r="J3826" s="99"/>
      <c r="K3826" s="4"/>
    </row>
    <row r="3827" spans="3:11" x14ac:dyDescent="0.25">
      <c r="C3827" s="79"/>
      <c r="D3827" s="248"/>
      <c r="E3827" s="248"/>
      <c r="F3827" s="47"/>
      <c r="G3827" s="79"/>
      <c r="J3827" s="99"/>
      <c r="K3827" s="4"/>
    </row>
    <row r="3828" spans="3:11" x14ac:dyDescent="0.25">
      <c r="C3828" s="79"/>
      <c r="D3828" s="248"/>
      <c r="E3828" s="248"/>
      <c r="F3828" s="47"/>
      <c r="G3828" s="79"/>
      <c r="J3828" s="99"/>
      <c r="K3828" s="4"/>
    </row>
    <row r="3829" spans="3:11" x14ac:dyDescent="0.25">
      <c r="C3829" s="79"/>
      <c r="D3829" s="248"/>
      <c r="E3829" s="248"/>
      <c r="F3829" s="47"/>
      <c r="G3829" s="79"/>
      <c r="J3829" s="99"/>
      <c r="K3829" s="4"/>
    </row>
    <row r="3830" spans="3:11" x14ac:dyDescent="0.25">
      <c r="C3830" s="79"/>
      <c r="D3830" s="248"/>
      <c r="E3830" s="248"/>
      <c r="F3830" s="47"/>
      <c r="G3830" s="79"/>
      <c r="J3830" s="99"/>
      <c r="K3830" s="4"/>
    </row>
    <row r="3831" spans="3:11" x14ac:dyDescent="0.25">
      <c r="C3831" s="79"/>
      <c r="D3831" s="248"/>
      <c r="E3831" s="248"/>
      <c r="F3831" s="47"/>
      <c r="G3831" s="79"/>
      <c r="J3831" s="99"/>
      <c r="K3831" s="4"/>
    </row>
    <row r="3832" spans="3:11" x14ac:dyDescent="0.25">
      <c r="C3832" s="79"/>
      <c r="D3832" s="248"/>
      <c r="E3832" s="248"/>
      <c r="F3832" s="47"/>
      <c r="G3832" s="79"/>
      <c r="J3832" s="99"/>
      <c r="K3832" s="4"/>
    </row>
    <row r="3833" spans="3:11" x14ac:dyDescent="0.25">
      <c r="C3833" s="79"/>
      <c r="D3833" s="248"/>
      <c r="E3833" s="248"/>
      <c r="F3833" s="47"/>
      <c r="G3833" s="79"/>
      <c r="J3833" s="99"/>
      <c r="K3833" s="4"/>
    </row>
    <row r="3834" spans="3:11" x14ac:dyDescent="0.25">
      <c r="C3834" s="79"/>
      <c r="D3834" s="248"/>
      <c r="E3834" s="248"/>
      <c r="F3834" s="47"/>
      <c r="G3834" s="79"/>
      <c r="J3834" s="99"/>
      <c r="K3834" s="4"/>
    </row>
    <row r="3835" spans="3:11" x14ac:dyDescent="0.25">
      <c r="C3835" s="79"/>
      <c r="D3835" s="248"/>
      <c r="E3835" s="248"/>
      <c r="F3835" s="47"/>
      <c r="G3835" s="79"/>
      <c r="J3835" s="99"/>
      <c r="K3835" s="4"/>
    </row>
    <row r="3836" spans="3:11" x14ac:dyDescent="0.25">
      <c r="C3836" s="79"/>
      <c r="D3836" s="248"/>
      <c r="E3836" s="248"/>
      <c r="F3836" s="47"/>
      <c r="G3836" s="79"/>
      <c r="J3836" s="99"/>
      <c r="K3836" s="4"/>
    </row>
    <row r="3837" spans="3:11" x14ac:dyDescent="0.25">
      <c r="C3837" s="79"/>
      <c r="D3837" s="248"/>
      <c r="E3837" s="248"/>
      <c r="F3837" s="47"/>
      <c r="G3837" s="79"/>
      <c r="J3837" s="99"/>
      <c r="K3837" s="4"/>
    </row>
    <row r="3838" spans="3:11" x14ac:dyDescent="0.25">
      <c r="C3838" s="79"/>
      <c r="D3838" s="248"/>
      <c r="E3838" s="248"/>
      <c r="F3838" s="47"/>
      <c r="G3838" s="79"/>
      <c r="J3838" s="99"/>
      <c r="K3838" s="4"/>
    </row>
    <row r="3839" spans="3:11" x14ac:dyDescent="0.25">
      <c r="C3839" s="79"/>
      <c r="D3839" s="248"/>
      <c r="E3839" s="248"/>
      <c r="F3839" s="47"/>
      <c r="G3839" s="79"/>
      <c r="J3839" s="99"/>
      <c r="K3839" s="4"/>
    </row>
    <row r="3840" spans="3:11" x14ac:dyDescent="0.25">
      <c r="C3840" s="79"/>
      <c r="D3840" s="248"/>
      <c r="E3840" s="248"/>
      <c r="F3840" s="47"/>
      <c r="G3840" s="79"/>
      <c r="J3840" s="99"/>
      <c r="K3840" s="4"/>
    </row>
    <row r="3841" spans="3:11" x14ac:dyDescent="0.25">
      <c r="C3841" s="79"/>
      <c r="D3841" s="248"/>
      <c r="E3841" s="248"/>
      <c r="F3841" s="47"/>
      <c r="G3841" s="79"/>
      <c r="J3841" s="99"/>
      <c r="K3841" s="4"/>
    </row>
    <row r="3842" spans="3:11" x14ac:dyDescent="0.25">
      <c r="C3842" s="79"/>
      <c r="D3842" s="248"/>
      <c r="E3842" s="248"/>
      <c r="F3842" s="47"/>
      <c r="G3842" s="79"/>
      <c r="J3842" s="99"/>
      <c r="K3842" s="4"/>
    </row>
    <row r="3843" spans="3:11" x14ac:dyDescent="0.25">
      <c r="C3843" s="79"/>
      <c r="D3843" s="248"/>
      <c r="E3843" s="248"/>
      <c r="F3843" s="47"/>
      <c r="G3843" s="79"/>
      <c r="J3843" s="99"/>
      <c r="K3843" s="4"/>
    </row>
    <row r="3844" spans="3:11" x14ac:dyDescent="0.25">
      <c r="C3844" s="79"/>
      <c r="D3844" s="248"/>
      <c r="E3844" s="248"/>
      <c r="F3844" s="47"/>
      <c r="G3844" s="79"/>
      <c r="J3844" s="99"/>
      <c r="K3844" s="4"/>
    </row>
    <row r="3845" spans="3:11" x14ac:dyDescent="0.25">
      <c r="C3845" s="79"/>
      <c r="D3845" s="248"/>
      <c r="E3845" s="248"/>
      <c r="F3845" s="47"/>
      <c r="G3845" s="79"/>
      <c r="J3845" s="99"/>
      <c r="K3845" s="4"/>
    </row>
    <row r="3846" spans="3:11" x14ac:dyDescent="0.25">
      <c r="C3846" s="79"/>
      <c r="D3846" s="248"/>
      <c r="E3846" s="248"/>
      <c r="F3846" s="47"/>
      <c r="G3846" s="79"/>
      <c r="J3846" s="99"/>
      <c r="K3846" s="4"/>
    </row>
    <row r="3847" spans="3:11" x14ac:dyDescent="0.25">
      <c r="C3847" s="79"/>
      <c r="D3847" s="248"/>
      <c r="E3847" s="248"/>
      <c r="F3847" s="47"/>
      <c r="G3847" s="79"/>
      <c r="J3847" s="99"/>
      <c r="K3847" s="4"/>
    </row>
    <row r="3848" spans="3:11" x14ac:dyDescent="0.25">
      <c r="C3848" s="79"/>
      <c r="D3848" s="248"/>
      <c r="E3848" s="248"/>
      <c r="F3848" s="47"/>
      <c r="G3848" s="79"/>
      <c r="J3848" s="99"/>
      <c r="K3848" s="4"/>
    </row>
    <row r="3849" spans="3:11" x14ac:dyDescent="0.25">
      <c r="C3849" s="79"/>
      <c r="D3849" s="248"/>
      <c r="E3849" s="248"/>
      <c r="F3849" s="47"/>
      <c r="G3849" s="79"/>
      <c r="J3849" s="99"/>
      <c r="K3849" s="4"/>
    </row>
    <row r="3850" spans="3:11" x14ac:dyDescent="0.25">
      <c r="C3850" s="79"/>
      <c r="D3850" s="248"/>
      <c r="E3850" s="248"/>
      <c r="F3850" s="47"/>
      <c r="G3850" s="79"/>
      <c r="J3850" s="99"/>
      <c r="K3850" s="4"/>
    </row>
    <row r="3851" spans="3:11" x14ac:dyDescent="0.25">
      <c r="C3851" s="79"/>
      <c r="D3851" s="248"/>
      <c r="E3851" s="248"/>
      <c r="F3851" s="47"/>
      <c r="G3851" s="79"/>
      <c r="J3851" s="99"/>
      <c r="K3851" s="4"/>
    </row>
    <row r="3852" spans="3:11" x14ac:dyDescent="0.25">
      <c r="C3852" s="79"/>
      <c r="D3852" s="248"/>
      <c r="E3852" s="248"/>
      <c r="F3852" s="47"/>
      <c r="G3852" s="79"/>
      <c r="J3852" s="99"/>
      <c r="K3852" s="4"/>
    </row>
    <row r="3853" spans="3:11" x14ac:dyDescent="0.25">
      <c r="C3853" s="79"/>
      <c r="D3853" s="248"/>
      <c r="E3853" s="248"/>
      <c r="F3853" s="47"/>
      <c r="G3853" s="79"/>
      <c r="J3853" s="99"/>
      <c r="K3853" s="4"/>
    </row>
    <row r="3854" spans="3:11" x14ac:dyDescent="0.25">
      <c r="C3854" s="79"/>
      <c r="D3854" s="248"/>
      <c r="E3854" s="248"/>
      <c r="F3854" s="47"/>
      <c r="G3854" s="79"/>
      <c r="J3854" s="99"/>
      <c r="K3854" s="4"/>
    </row>
    <row r="3855" spans="3:11" x14ac:dyDescent="0.25">
      <c r="C3855" s="79"/>
      <c r="D3855" s="248"/>
      <c r="E3855" s="248"/>
      <c r="F3855" s="47"/>
      <c r="G3855" s="79"/>
      <c r="J3855" s="99"/>
      <c r="K3855" s="4"/>
    </row>
    <row r="3856" spans="3:11" x14ac:dyDescent="0.25">
      <c r="C3856" s="79"/>
      <c r="D3856" s="248"/>
      <c r="E3856" s="248"/>
      <c r="F3856" s="47"/>
      <c r="G3856" s="79"/>
      <c r="J3856" s="99"/>
      <c r="K3856" s="4"/>
    </row>
    <row r="3857" spans="3:11" x14ac:dyDescent="0.25">
      <c r="C3857" s="79"/>
      <c r="D3857" s="248"/>
      <c r="E3857" s="248"/>
      <c r="F3857" s="47"/>
      <c r="G3857" s="79"/>
      <c r="J3857" s="99"/>
      <c r="K3857" s="4"/>
    </row>
    <row r="3858" spans="3:11" x14ac:dyDescent="0.25">
      <c r="C3858" s="79"/>
      <c r="D3858" s="248"/>
      <c r="E3858" s="248"/>
      <c r="F3858" s="47"/>
      <c r="G3858" s="79"/>
      <c r="J3858" s="99"/>
      <c r="K3858" s="4"/>
    </row>
    <row r="3859" spans="3:11" x14ac:dyDescent="0.25">
      <c r="C3859" s="79"/>
      <c r="D3859" s="248"/>
      <c r="E3859" s="248"/>
      <c r="F3859" s="47"/>
      <c r="G3859" s="79"/>
      <c r="J3859" s="99"/>
      <c r="K3859" s="4"/>
    </row>
    <row r="3860" spans="3:11" x14ac:dyDescent="0.25">
      <c r="C3860" s="79"/>
      <c r="D3860" s="248"/>
      <c r="E3860" s="248"/>
      <c r="F3860" s="47"/>
      <c r="G3860" s="79"/>
      <c r="J3860" s="99"/>
      <c r="K3860" s="4"/>
    </row>
    <row r="3861" spans="3:11" x14ac:dyDescent="0.25">
      <c r="C3861" s="79"/>
      <c r="D3861" s="248"/>
      <c r="E3861" s="248"/>
      <c r="F3861" s="47"/>
      <c r="G3861" s="79"/>
      <c r="J3861" s="99"/>
      <c r="K3861" s="4"/>
    </row>
    <row r="3862" spans="3:11" x14ac:dyDescent="0.25">
      <c r="C3862" s="79"/>
      <c r="D3862" s="248"/>
      <c r="E3862" s="248"/>
      <c r="F3862" s="47"/>
      <c r="G3862" s="79"/>
      <c r="J3862" s="99"/>
      <c r="K3862" s="4"/>
    </row>
    <row r="3863" spans="3:11" x14ac:dyDescent="0.25">
      <c r="C3863" s="79"/>
      <c r="D3863" s="248"/>
      <c r="E3863" s="248"/>
      <c r="F3863" s="47"/>
      <c r="G3863" s="79"/>
      <c r="J3863" s="99"/>
      <c r="K3863" s="4"/>
    </row>
    <row r="3864" spans="3:11" x14ac:dyDescent="0.25">
      <c r="C3864" s="79"/>
      <c r="D3864" s="248"/>
      <c r="E3864" s="248"/>
      <c r="F3864" s="47"/>
      <c r="G3864" s="79"/>
      <c r="J3864" s="99"/>
      <c r="K3864" s="4"/>
    </row>
    <row r="3865" spans="3:11" x14ac:dyDescent="0.25">
      <c r="C3865" s="79"/>
      <c r="D3865" s="248"/>
      <c r="E3865" s="248"/>
      <c r="F3865" s="47"/>
      <c r="G3865" s="79"/>
      <c r="J3865" s="99"/>
      <c r="K3865" s="4"/>
    </row>
    <row r="3866" spans="3:11" x14ac:dyDescent="0.25">
      <c r="C3866" s="79"/>
      <c r="D3866" s="248"/>
      <c r="E3866" s="248"/>
      <c r="F3866" s="47"/>
      <c r="G3866" s="79"/>
      <c r="J3866" s="99"/>
      <c r="K3866" s="4"/>
    </row>
    <row r="3867" spans="3:11" x14ac:dyDescent="0.25">
      <c r="C3867" s="79"/>
      <c r="D3867" s="248"/>
      <c r="E3867" s="248"/>
      <c r="F3867" s="47"/>
      <c r="G3867" s="79"/>
      <c r="J3867" s="99"/>
      <c r="K3867" s="4"/>
    </row>
    <row r="3868" spans="3:11" x14ac:dyDescent="0.25">
      <c r="C3868" s="79"/>
      <c r="D3868" s="248"/>
      <c r="E3868" s="248"/>
      <c r="F3868" s="47"/>
      <c r="G3868" s="79"/>
      <c r="J3868" s="99"/>
      <c r="K3868" s="4"/>
    </row>
    <row r="3869" spans="3:11" x14ac:dyDescent="0.25">
      <c r="C3869" s="79"/>
      <c r="D3869" s="248"/>
      <c r="E3869" s="248"/>
      <c r="F3869" s="47"/>
      <c r="G3869" s="79"/>
      <c r="J3869" s="99"/>
      <c r="K3869" s="4"/>
    </row>
    <row r="3870" spans="3:11" x14ac:dyDescent="0.25">
      <c r="C3870" s="79"/>
      <c r="D3870" s="248"/>
      <c r="E3870" s="248"/>
      <c r="F3870" s="47"/>
      <c r="G3870" s="79"/>
      <c r="J3870" s="99"/>
      <c r="K3870" s="4"/>
    </row>
    <row r="3871" spans="3:11" x14ac:dyDescent="0.25">
      <c r="C3871" s="79"/>
      <c r="D3871" s="248"/>
      <c r="E3871" s="248"/>
      <c r="F3871" s="47"/>
      <c r="G3871" s="79"/>
      <c r="J3871" s="99"/>
      <c r="K3871" s="4"/>
    </row>
    <row r="3872" spans="3:11" x14ac:dyDescent="0.25">
      <c r="C3872" s="79"/>
      <c r="D3872" s="248"/>
      <c r="E3872" s="248"/>
      <c r="F3872" s="47"/>
      <c r="G3872" s="79"/>
      <c r="J3872" s="99"/>
      <c r="K3872" s="4"/>
    </row>
    <row r="3873" spans="3:11" x14ac:dyDescent="0.25">
      <c r="C3873" s="79"/>
      <c r="D3873" s="248"/>
      <c r="E3873" s="248"/>
      <c r="F3873" s="47"/>
      <c r="G3873" s="79"/>
      <c r="J3873" s="99"/>
      <c r="K3873" s="4"/>
    </row>
    <row r="3874" spans="3:11" x14ac:dyDescent="0.25">
      <c r="C3874" s="79"/>
      <c r="D3874" s="248"/>
      <c r="E3874" s="248"/>
      <c r="F3874" s="47"/>
      <c r="G3874" s="79"/>
      <c r="J3874" s="99"/>
      <c r="K3874" s="4"/>
    </row>
    <row r="3875" spans="3:11" x14ac:dyDescent="0.25">
      <c r="C3875" s="79"/>
      <c r="D3875" s="248"/>
      <c r="E3875" s="248"/>
      <c r="F3875" s="47"/>
      <c r="G3875" s="79"/>
      <c r="J3875" s="99"/>
      <c r="K3875" s="4"/>
    </row>
    <row r="3876" spans="3:11" x14ac:dyDescent="0.25">
      <c r="C3876" s="79"/>
      <c r="D3876" s="248"/>
      <c r="E3876" s="248"/>
      <c r="F3876" s="47"/>
      <c r="G3876" s="79"/>
      <c r="J3876" s="99"/>
      <c r="K3876" s="4"/>
    </row>
    <row r="3877" spans="3:11" x14ac:dyDescent="0.25">
      <c r="C3877" s="79"/>
      <c r="D3877" s="248"/>
      <c r="E3877" s="248"/>
      <c r="F3877" s="47"/>
      <c r="G3877" s="79"/>
      <c r="J3877" s="99"/>
      <c r="K3877" s="4"/>
    </row>
    <row r="3878" spans="3:11" x14ac:dyDescent="0.25">
      <c r="C3878" s="79"/>
      <c r="D3878" s="248"/>
      <c r="E3878" s="248"/>
      <c r="F3878" s="47"/>
      <c r="G3878" s="79"/>
      <c r="J3878" s="99"/>
      <c r="K3878" s="4"/>
    </row>
    <row r="3879" spans="3:11" x14ac:dyDescent="0.25">
      <c r="C3879" s="79"/>
      <c r="D3879" s="248"/>
      <c r="E3879" s="248"/>
      <c r="F3879" s="47"/>
      <c r="G3879" s="79"/>
      <c r="J3879" s="99"/>
      <c r="K3879" s="4"/>
    </row>
    <row r="3880" spans="3:11" x14ac:dyDescent="0.25">
      <c r="C3880" s="79"/>
      <c r="D3880" s="248"/>
      <c r="E3880" s="248"/>
      <c r="F3880" s="47"/>
      <c r="G3880" s="79"/>
      <c r="J3880" s="99"/>
      <c r="K3880" s="4"/>
    </row>
    <row r="3881" spans="3:11" x14ac:dyDescent="0.25">
      <c r="C3881" s="79"/>
      <c r="D3881" s="248"/>
      <c r="E3881" s="248"/>
      <c r="F3881" s="47"/>
      <c r="G3881" s="79"/>
      <c r="J3881" s="99"/>
      <c r="K3881" s="4"/>
    </row>
    <row r="3882" spans="3:11" x14ac:dyDescent="0.25">
      <c r="C3882" s="79"/>
      <c r="D3882" s="248"/>
      <c r="E3882" s="248"/>
      <c r="F3882" s="47"/>
      <c r="G3882" s="79"/>
      <c r="J3882" s="99"/>
      <c r="K3882" s="4"/>
    </row>
    <row r="3883" spans="3:11" x14ac:dyDescent="0.25">
      <c r="C3883" s="79"/>
      <c r="D3883" s="248"/>
      <c r="E3883" s="248"/>
      <c r="F3883" s="47"/>
      <c r="G3883" s="79"/>
      <c r="J3883" s="99"/>
      <c r="K3883" s="4"/>
    </row>
    <row r="3884" spans="3:11" x14ac:dyDescent="0.25">
      <c r="C3884" s="79"/>
      <c r="D3884" s="248"/>
      <c r="E3884" s="248"/>
      <c r="F3884" s="47"/>
      <c r="G3884" s="79"/>
      <c r="J3884" s="99"/>
      <c r="K3884" s="4"/>
    </row>
    <row r="3885" spans="3:11" x14ac:dyDescent="0.25">
      <c r="C3885" s="79"/>
      <c r="D3885" s="248"/>
      <c r="E3885" s="248"/>
      <c r="F3885" s="47"/>
      <c r="G3885" s="79"/>
      <c r="J3885" s="99"/>
      <c r="K3885" s="4"/>
    </row>
    <row r="3886" spans="3:11" x14ac:dyDescent="0.25">
      <c r="C3886" s="79"/>
      <c r="D3886" s="248"/>
      <c r="E3886" s="248"/>
      <c r="F3886" s="47"/>
      <c r="G3886" s="79"/>
      <c r="J3886" s="99"/>
      <c r="K3886" s="4"/>
    </row>
    <row r="3887" spans="3:11" x14ac:dyDescent="0.25">
      <c r="C3887" s="79"/>
      <c r="D3887" s="248"/>
      <c r="E3887" s="248"/>
      <c r="F3887" s="47"/>
      <c r="G3887" s="79"/>
      <c r="J3887" s="99"/>
      <c r="K3887" s="4"/>
    </row>
    <row r="3888" spans="3:11" x14ac:dyDescent="0.25">
      <c r="C3888" s="79"/>
      <c r="D3888" s="248"/>
      <c r="E3888" s="248"/>
      <c r="F3888" s="47"/>
      <c r="G3888" s="79"/>
      <c r="J3888" s="99"/>
      <c r="K3888" s="4"/>
    </row>
    <row r="3889" spans="3:11" x14ac:dyDescent="0.25">
      <c r="C3889" s="79"/>
      <c r="D3889" s="248"/>
      <c r="E3889" s="248"/>
      <c r="F3889" s="47"/>
      <c r="G3889" s="79"/>
      <c r="J3889" s="99"/>
      <c r="K3889" s="4"/>
    </row>
    <row r="3890" spans="3:11" x14ac:dyDescent="0.25">
      <c r="C3890" s="79"/>
      <c r="D3890" s="248"/>
      <c r="E3890" s="248"/>
      <c r="F3890" s="47"/>
      <c r="G3890" s="79"/>
      <c r="J3890" s="99"/>
      <c r="K3890" s="4"/>
    </row>
    <row r="3891" spans="3:11" x14ac:dyDescent="0.25">
      <c r="C3891" s="79"/>
      <c r="D3891" s="248"/>
      <c r="E3891" s="248"/>
      <c r="F3891" s="47"/>
      <c r="G3891" s="79"/>
      <c r="J3891" s="99"/>
      <c r="K3891" s="4"/>
    </row>
    <row r="3892" spans="3:11" x14ac:dyDescent="0.25">
      <c r="C3892" s="79"/>
      <c r="D3892" s="248"/>
      <c r="E3892" s="248"/>
      <c r="F3892" s="47"/>
      <c r="G3892" s="79"/>
      <c r="J3892" s="99"/>
      <c r="K3892" s="4"/>
    </row>
    <row r="3893" spans="3:11" x14ac:dyDescent="0.25">
      <c r="C3893" s="79"/>
      <c r="D3893" s="248"/>
      <c r="E3893" s="248"/>
      <c r="F3893" s="47"/>
      <c r="G3893" s="79"/>
      <c r="J3893" s="99"/>
      <c r="K3893" s="4"/>
    </row>
    <row r="3894" spans="3:11" x14ac:dyDescent="0.25">
      <c r="C3894" s="79"/>
      <c r="D3894" s="248"/>
      <c r="E3894" s="248"/>
      <c r="F3894" s="47"/>
      <c r="G3894" s="79"/>
      <c r="J3894" s="99"/>
      <c r="K3894" s="4"/>
    </row>
    <row r="3895" spans="3:11" x14ac:dyDescent="0.25">
      <c r="C3895" s="79"/>
      <c r="D3895" s="248"/>
      <c r="E3895" s="248"/>
      <c r="F3895" s="47"/>
      <c r="G3895" s="79"/>
      <c r="J3895" s="99"/>
      <c r="K3895" s="4"/>
    </row>
    <row r="3896" spans="3:11" x14ac:dyDescent="0.25">
      <c r="C3896" s="79"/>
      <c r="D3896" s="248"/>
      <c r="E3896" s="248"/>
      <c r="F3896" s="47"/>
      <c r="G3896" s="79"/>
      <c r="J3896" s="99"/>
      <c r="K3896" s="4"/>
    </row>
    <row r="3897" spans="3:11" x14ac:dyDescent="0.25">
      <c r="C3897" s="79"/>
      <c r="D3897" s="248"/>
      <c r="E3897" s="248"/>
      <c r="F3897" s="47"/>
      <c r="G3897" s="79"/>
      <c r="J3897" s="99"/>
      <c r="K3897" s="4"/>
    </row>
    <row r="3898" spans="3:11" x14ac:dyDescent="0.25">
      <c r="C3898" s="79"/>
      <c r="D3898" s="248"/>
      <c r="E3898" s="248"/>
      <c r="F3898" s="47"/>
      <c r="G3898" s="79"/>
      <c r="J3898" s="99"/>
      <c r="K3898" s="4"/>
    </row>
    <row r="3899" spans="3:11" x14ac:dyDescent="0.25">
      <c r="C3899" s="79"/>
      <c r="D3899" s="248"/>
      <c r="E3899" s="248"/>
      <c r="F3899" s="47"/>
      <c r="G3899" s="79"/>
      <c r="J3899" s="99"/>
      <c r="K3899" s="4"/>
    </row>
    <row r="3900" spans="3:11" x14ac:dyDescent="0.25">
      <c r="C3900" s="79"/>
      <c r="D3900" s="248"/>
      <c r="E3900" s="248"/>
      <c r="F3900" s="47"/>
      <c r="G3900" s="79"/>
      <c r="J3900" s="99"/>
      <c r="K3900" s="4"/>
    </row>
    <row r="3901" spans="3:11" x14ac:dyDescent="0.25">
      <c r="C3901" s="79"/>
      <c r="D3901" s="248"/>
      <c r="E3901" s="248"/>
      <c r="F3901" s="47"/>
      <c r="G3901" s="79"/>
      <c r="J3901" s="99"/>
      <c r="K3901" s="4"/>
    </row>
    <row r="3902" spans="3:11" x14ac:dyDescent="0.25">
      <c r="C3902" s="79"/>
      <c r="D3902" s="248"/>
      <c r="E3902" s="248"/>
      <c r="F3902" s="47"/>
      <c r="G3902" s="79"/>
      <c r="J3902" s="99"/>
      <c r="K3902" s="4"/>
    </row>
    <row r="3903" spans="3:11" x14ac:dyDescent="0.25">
      <c r="C3903" s="79"/>
      <c r="D3903" s="248"/>
      <c r="E3903" s="248"/>
      <c r="F3903" s="47"/>
      <c r="G3903" s="79"/>
      <c r="J3903" s="99"/>
      <c r="K3903" s="4"/>
    </row>
    <row r="3904" spans="3:11" x14ac:dyDescent="0.25">
      <c r="C3904" s="79"/>
      <c r="D3904" s="248"/>
      <c r="E3904" s="248"/>
      <c r="F3904" s="47"/>
      <c r="G3904" s="79"/>
      <c r="J3904" s="99"/>
      <c r="K3904" s="4"/>
    </row>
    <row r="3905" spans="3:11" x14ac:dyDescent="0.25">
      <c r="C3905" s="79"/>
      <c r="D3905" s="248"/>
      <c r="E3905" s="248"/>
      <c r="F3905" s="47"/>
      <c r="G3905" s="79"/>
      <c r="J3905" s="99"/>
      <c r="K3905" s="4"/>
    </row>
    <row r="3906" spans="3:11" x14ac:dyDescent="0.25">
      <c r="C3906" s="79"/>
      <c r="D3906" s="248"/>
      <c r="E3906" s="248"/>
      <c r="F3906" s="47"/>
      <c r="G3906" s="79"/>
      <c r="J3906" s="99"/>
      <c r="K3906" s="4"/>
    </row>
    <row r="3907" spans="3:11" x14ac:dyDescent="0.25">
      <c r="C3907" s="79"/>
      <c r="D3907" s="248"/>
      <c r="E3907" s="248"/>
      <c r="F3907" s="47"/>
      <c r="G3907" s="79"/>
      <c r="J3907" s="99"/>
      <c r="K3907" s="4"/>
    </row>
    <row r="3908" spans="3:11" x14ac:dyDescent="0.25">
      <c r="C3908" s="79"/>
      <c r="D3908" s="248"/>
      <c r="E3908" s="248"/>
      <c r="F3908" s="47"/>
      <c r="G3908" s="79"/>
      <c r="J3908" s="99"/>
      <c r="K3908" s="4"/>
    </row>
    <row r="3909" spans="3:11" x14ac:dyDescent="0.25">
      <c r="C3909" s="79"/>
      <c r="D3909" s="248"/>
      <c r="E3909" s="248"/>
      <c r="F3909" s="47"/>
      <c r="G3909" s="79"/>
      <c r="J3909" s="99"/>
      <c r="K3909" s="4"/>
    </row>
    <row r="3910" spans="3:11" x14ac:dyDescent="0.25">
      <c r="C3910" s="79"/>
      <c r="D3910" s="248"/>
      <c r="E3910" s="248"/>
      <c r="F3910" s="47"/>
      <c r="G3910" s="79"/>
      <c r="J3910" s="99"/>
      <c r="K3910" s="4"/>
    </row>
    <row r="3911" spans="3:11" x14ac:dyDescent="0.25">
      <c r="C3911" s="79"/>
      <c r="D3911" s="248"/>
      <c r="E3911" s="248"/>
      <c r="F3911" s="47"/>
      <c r="G3911" s="79"/>
      <c r="J3911" s="99"/>
      <c r="K3911" s="4"/>
    </row>
    <row r="3912" spans="3:11" x14ac:dyDescent="0.25">
      <c r="C3912" s="79"/>
      <c r="D3912" s="248"/>
      <c r="E3912" s="248"/>
      <c r="F3912" s="47"/>
      <c r="G3912" s="79"/>
      <c r="J3912" s="99"/>
      <c r="K3912" s="4"/>
    </row>
    <row r="3913" spans="3:11" x14ac:dyDescent="0.25">
      <c r="C3913" s="79"/>
      <c r="D3913" s="248"/>
      <c r="E3913" s="248"/>
      <c r="F3913" s="47"/>
      <c r="G3913" s="79"/>
      <c r="J3913" s="99"/>
      <c r="K3913" s="4"/>
    </row>
    <row r="3914" spans="3:11" x14ac:dyDescent="0.25">
      <c r="C3914" s="79"/>
      <c r="D3914" s="248"/>
      <c r="E3914" s="248"/>
      <c r="F3914" s="47"/>
      <c r="G3914" s="79"/>
      <c r="J3914" s="99"/>
      <c r="K3914" s="4"/>
    </row>
    <row r="3915" spans="3:11" x14ac:dyDescent="0.25">
      <c r="C3915" s="79"/>
      <c r="D3915" s="248"/>
      <c r="E3915" s="248"/>
      <c r="F3915" s="47"/>
      <c r="G3915" s="79"/>
      <c r="J3915" s="99"/>
      <c r="K3915" s="4"/>
    </row>
    <row r="3916" spans="3:11" x14ac:dyDescent="0.25">
      <c r="C3916" s="79"/>
      <c r="D3916" s="248"/>
      <c r="E3916" s="248"/>
      <c r="F3916" s="47"/>
      <c r="G3916" s="79"/>
      <c r="J3916" s="99"/>
      <c r="K3916" s="4"/>
    </row>
    <row r="3917" spans="3:11" x14ac:dyDescent="0.25">
      <c r="C3917" s="79"/>
      <c r="D3917" s="248"/>
      <c r="E3917" s="248"/>
      <c r="F3917" s="47"/>
      <c r="G3917" s="79"/>
      <c r="J3917" s="99"/>
      <c r="K3917" s="4"/>
    </row>
    <row r="3918" spans="3:11" x14ac:dyDescent="0.25">
      <c r="C3918" s="79"/>
      <c r="D3918" s="248"/>
      <c r="E3918" s="248"/>
      <c r="F3918" s="47"/>
      <c r="G3918" s="79"/>
      <c r="J3918" s="99"/>
      <c r="K3918" s="4"/>
    </row>
    <row r="3919" spans="3:11" x14ac:dyDescent="0.25">
      <c r="C3919" s="79"/>
      <c r="D3919" s="248"/>
      <c r="E3919" s="248"/>
      <c r="F3919" s="47"/>
      <c r="G3919" s="79"/>
      <c r="J3919" s="99"/>
      <c r="K3919" s="4"/>
    </row>
    <row r="3920" spans="3:11" x14ac:dyDescent="0.25">
      <c r="C3920" s="79"/>
      <c r="D3920" s="248"/>
      <c r="E3920" s="248"/>
      <c r="F3920" s="47"/>
      <c r="G3920" s="79"/>
      <c r="J3920" s="99"/>
      <c r="K3920" s="4"/>
    </row>
    <row r="3921" spans="3:11" x14ac:dyDescent="0.25">
      <c r="C3921" s="79"/>
      <c r="D3921" s="248"/>
      <c r="E3921" s="248"/>
      <c r="F3921" s="47"/>
      <c r="G3921" s="79"/>
      <c r="J3921" s="99"/>
      <c r="K3921" s="4"/>
    </row>
    <row r="3922" spans="3:11" x14ac:dyDescent="0.25">
      <c r="C3922" s="79"/>
      <c r="D3922" s="248"/>
      <c r="E3922" s="248"/>
      <c r="F3922" s="47"/>
      <c r="G3922" s="79"/>
      <c r="J3922" s="99"/>
      <c r="K3922" s="4"/>
    </row>
    <row r="3923" spans="3:11" x14ac:dyDescent="0.25">
      <c r="C3923" s="79"/>
      <c r="D3923" s="248"/>
      <c r="E3923" s="248"/>
      <c r="F3923" s="47"/>
      <c r="G3923" s="79"/>
      <c r="J3923" s="99"/>
      <c r="K3923" s="4"/>
    </row>
    <row r="3924" spans="3:11" x14ac:dyDescent="0.25">
      <c r="C3924" s="79"/>
      <c r="D3924" s="248"/>
      <c r="E3924" s="248"/>
      <c r="F3924" s="47"/>
      <c r="G3924" s="79"/>
      <c r="J3924" s="99"/>
      <c r="K3924" s="4"/>
    </row>
    <row r="3925" spans="3:11" x14ac:dyDescent="0.25">
      <c r="C3925" s="79"/>
      <c r="D3925" s="248"/>
      <c r="E3925" s="248"/>
      <c r="F3925" s="47"/>
      <c r="G3925" s="79"/>
      <c r="J3925" s="99"/>
      <c r="K3925" s="4"/>
    </row>
    <row r="3926" spans="3:11" x14ac:dyDescent="0.25">
      <c r="C3926" s="79"/>
      <c r="D3926" s="248"/>
      <c r="E3926" s="248"/>
      <c r="F3926" s="47"/>
      <c r="G3926" s="79"/>
      <c r="J3926" s="99"/>
      <c r="K3926" s="4"/>
    </row>
    <row r="3927" spans="3:11" x14ac:dyDescent="0.25">
      <c r="C3927" s="79"/>
      <c r="D3927" s="248"/>
      <c r="E3927" s="248"/>
      <c r="F3927" s="47"/>
      <c r="G3927" s="79"/>
      <c r="J3927" s="99"/>
      <c r="K3927" s="4"/>
    </row>
    <row r="3928" spans="3:11" x14ac:dyDescent="0.25">
      <c r="C3928" s="79"/>
      <c r="D3928" s="248"/>
      <c r="E3928" s="248"/>
      <c r="F3928" s="47"/>
      <c r="G3928" s="79"/>
      <c r="J3928" s="99"/>
      <c r="K3928" s="4"/>
    </row>
    <row r="3929" spans="3:11" x14ac:dyDescent="0.25">
      <c r="C3929" s="79"/>
      <c r="D3929" s="248"/>
      <c r="E3929" s="248"/>
      <c r="F3929" s="47"/>
      <c r="G3929" s="79"/>
      <c r="J3929" s="99"/>
      <c r="K3929" s="4"/>
    </row>
    <row r="3930" spans="3:11" x14ac:dyDescent="0.25">
      <c r="C3930" s="79"/>
      <c r="D3930" s="248"/>
      <c r="E3930" s="248"/>
      <c r="F3930" s="47"/>
      <c r="G3930" s="79"/>
      <c r="J3930" s="99"/>
      <c r="K3930" s="4"/>
    </row>
    <row r="3931" spans="3:11" x14ac:dyDescent="0.25">
      <c r="C3931" s="79"/>
      <c r="D3931" s="248"/>
      <c r="E3931" s="248"/>
      <c r="F3931" s="47"/>
      <c r="G3931" s="79"/>
      <c r="J3931" s="99"/>
      <c r="K3931" s="4"/>
    </row>
    <row r="3932" spans="3:11" x14ac:dyDescent="0.25">
      <c r="C3932" s="79"/>
      <c r="D3932" s="248"/>
      <c r="E3932" s="248"/>
      <c r="F3932" s="47"/>
      <c r="G3932" s="79"/>
      <c r="J3932" s="99"/>
      <c r="K3932" s="4"/>
    </row>
    <row r="3933" spans="3:11" x14ac:dyDescent="0.25">
      <c r="C3933" s="79"/>
      <c r="D3933" s="248"/>
      <c r="E3933" s="248"/>
      <c r="F3933" s="47"/>
      <c r="G3933" s="79"/>
      <c r="J3933" s="99"/>
      <c r="K3933" s="4"/>
    </row>
    <row r="3934" spans="3:11" x14ac:dyDescent="0.25">
      <c r="C3934" s="79"/>
      <c r="D3934" s="248"/>
      <c r="E3934" s="248"/>
      <c r="F3934" s="47"/>
      <c r="G3934" s="79"/>
      <c r="J3934" s="99"/>
      <c r="K3934" s="4"/>
    </row>
    <row r="3935" spans="3:11" x14ac:dyDescent="0.25">
      <c r="C3935" s="79"/>
      <c r="D3935" s="248"/>
      <c r="E3935" s="248"/>
      <c r="F3935" s="47"/>
      <c r="G3935" s="79"/>
      <c r="J3935" s="99"/>
      <c r="K3935" s="4"/>
    </row>
    <row r="3936" spans="3:11" x14ac:dyDescent="0.25">
      <c r="C3936" s="79"/>
      <c r="D3936" s="248"/>
      <c r="E3936" s="248"/>
      <c r="F3936" s="47"/>
      <c r="G3936" s="79"/>
      <c r="J3936" s="99"/>
      <c r="K3936" s="4"/>
    </row>
    <row r="3937" spans="3:11" x14ac:dyDescent="0.25">
      <c r="C3937" s="79"/>
      <c r="D3937" s="248"/>
      <c r="E3937" s="248"/>
      <c r="F3937" s="47"/>
      <c r="G3937" s="79"/>
      <c r="J3937" s="99"/>
      <c r="K3937" s="4"/>
    </row>
    <row r="3938" spans="3:11" x14ac:dyDescent="0.25">
      <c r="C3938" s="79"/>
      <c r="D3938" s="248"/>
      <c r="E3938" s="248"/>
      <c r="F3938" s="47"/>
      <c r="G3938" s="79"/>
      <c r="J3938" s="99"/>
      <c r="K3938" s="4"/>
    </row>
    <row r="3939" spans="3:11" x14ac:dyDescent="0.25">
      <c r="C3939" s="79"/>
      <c r="D3939" s="248"/>
      <c r="E3939" s="248"/>
      <c r="F3939" s="47"/>
      <c r="G3939" s="79"/>
      <c r="J3939" s="99"/>
      <c r="K3939" s="4"/>
    </row>
    <row r="3940" spans="3:11" x14ac:dyDescent="0.25">
      <c r="C3940" s="79"/>
      <c r="D3940" s="248"/>
      <c r="E3940" s="248"/>
      <c r="F3940" s="47"/>
      <c r="G3940" s="79"/>
      <c r="J3940" s="99"/>
      <c r="K3940" s="4"/>
    </row>
    <row r="3941" spans="3:11" x14ac:dyDescent="0.25">
      <c r="C3941" s="79"/>
      <c r="D3941" s="248"/>
      <c r="E3941" s="248"/>
      <c r="F3941" s="47"/>
      <c r="G3941" s="79"/>
      <c r="J3941" s="99"/>
      <c r="K3941" s="4"/>
    </row>
    <row r="3942" spans="3:11" x14ac:dyDescent="0.25">
      <c r="C3942" s="79"/>
      <c r="D3942" s="248"/>
      <c r="E3942" s="248"/>
      <c r="F3942" s="47"/>
      <c r="G3942" s="79"/>
      <c r="J3942" s="99"/>
      <c r="K3942" s="4"/>
    </row>
    <row r="3943" spans="3:11" x14ac:dyDescent="0.25">
      <c r="C3943" s="79"/>
      <c r="D3943" s="248"/>
      <c r="E3943" s="248"/>
      <c r="F3943" s="47"/>
      <c r="G3943" s="79"/>
      <c r="J3943" s="99"/>
      <c r="K3943" s="4"/>
    </row>
    <row r="3944" spans="3:11" x14ac:dyDescent="0.25">
      <c r="C3944" s="79"/>
      <c r="D3944" s="248"/>
      <c r="E3944" s="248"/>
      <c r="F3944" s="47"/>
      <c r="G3944" s="79"/>
      <c r="J3944" s="99"/>
      <c r="K3944" s="4"/>
    </row>
    <row r="3945" spans="3:11" x14ac:dyDescent="0.25">
      <c r="C3945" s="79"/>
      <c r="D3945" s="248"/>
      <c r="E3945" s="248"/>
      <c r="F3945" s="47"/>
      <c r="G3945" s="79"/>
      <c r="J3945" s="99"/>
      <c r="K3945" s="4"/>
    </row>
    <row r="3946" spans="3:11" x14ac:dyDescent="0.25">
      <c r="C3946" s="79"/>
      <c r="D3946" s="248"/>
      <c r="E3946" s="248"/>
      <c r="F3946" s="47"/>
      <c r="G3946" s="79"/>
      <c r="J3946" s="99"/>
      <c r="K3946" s="4"/>
    </row>
    <row r="3947" spans="3:11" x14ac:dyDescent="0.25">
      <c r="C3947" s="79"/>
      <c r="D3947" s="248"/>
      <c r="E3947" s="248"/>
      <c r="F3947" s="47"/>
      <c r="G3947" s="79"/>
      <c r="J3947" s="99"/>
      <c r="K3947" s="4"/>
    </row>
    <row r="3948" spans="3:11" x14ac:dyDescent="0.25">
      <c r="C3948" s="79"/>
      <c r="D3948" s="248"/>
      <c r="E3948" s="248"/>
      <c r="F3948" s="47"/>
      <c r="G3948" s="79"/>
      <c r="J3948" s="99"/>
      <c r="K3948" s="4"/>
    </row>
    <row r="3949" spans="3:11" x14ac:dyDescent="0.25">
      <c r="C3949" s="79"/>
      <c r="D3949" s="248"/>
      <c r="E3949" s="248"/>
      <c r="F3949" s="47"/>
      <c r="G3949" s="79"/>
      <c r="J3949" s="99"/>
      <c r="K3949" s="4"/>
    </row>
    <row r="3950" spans="3:11" x14ac:dyDescent="0.25">
      <c r="C3950" s="79"/>
      <c r="D3950" s="248"/>
      <c r="E3950" s="248"/>
      <c r="F3950" s="47"/>
      <c r="G3950" s="79"/>
      <c r="J3950" s="99"/>
      <c r="K3950" s="4"/>
    </row>
    <row r="3951" spans="3:11" x14ac:dyDescent="0.25">
      <c r="C3951" s="79"/>
      <c r="D3951" s="248"/>
      <c r="E3951" s="248"/>
      <c r="F3951" s="47"/>
      <c r="G3951" s="79"/>
      <c r="J3951" s="99"/>
      <c r="K3951" s="4"/>
    </row>
    <row r="3952" spans="3:11" x14ac:dyDescent="0.25">
      <c r="C3952" s="79"/>
      <c r="D3952" s="248"/>
      <c r="E3952" s="248"/>
      <c r="F3952" s="47"/>
      <c r="G3952" s="79"/>
      <c r="J3952" s="99"/>
      <c r="K3952" s="4"/>
    </row>
    <row r="3953" spans="3:11" x14ac:dyDescent="0.25">
      <c r="C3953" s="79"/>
      <c r="D3953" s="248"/>
      <c r="E3953" s="248"/>
      <c r="F3953" s="47"/>
      <c r="G3953" s="79"/>
      <c r="J3953" s="99"/>
      <c r="K3953" s="4"/>
    </row>
    <row r="3954" spans="3:11" x14ac:dyDescent="0.25">
      <c r="C3954" s="79"/>
      <c r="D3954" s="248"/>
      <c r="E3954" s="248"/>
      <c r="F3954" s="47"/>
      <c r="G3954" s="79"/>
      <c r="J3954" s="99"/>
      <c r="K3954" s="4"/>
    </row>
    <row r="3955" spans="3:11" x14ac:dyDescent="0.25">
      <c r="C3955" s="79"/>
      <c r="D3955" s="248"/>
      <c r="E3955" s="248"/>
      <c r="F3955" s="47"/>
      <c r="G3955" s="79"/>
      <c r="J3955" s="99"/>
      <c r="K3955" s="4"/>
    </row>
    <row r="3956" spans="3:11" x14ac:dyDescent="0.25">
      <c r="C3956" s="79"/>
      <c r="D3956" s="248"/>
      <c r="E3956" s="248"/>
      <c r="F3956" s="47"/>
      <c r="G3956" s="79"/>
      <c r="J3956" s="99"/>
      <c r="K3956" s="4"/>
    </row>
    <row r="3957" spans="3:11" x14ac:dyDescent="0.25">
      <c r="C3957" s="79"/>
      <c r="D3957" s="248"/>
      <c r="E3957" s="248"/>
      <c r="F3957" s="47"/>
      <c r="G3957" s="79"/>
      <c r="J3957" s="99"/>
      <c r="K3957" s="4"/>
    </row>
    <row r="3958" spans="3:11" x14ac:dyDescent="0.25">
      <c r="C3958" s="79"/>
      <c r="D3958" s="248"/>
      <c r="E3958" s="248"/>
      <c r="F3958" s="47"/>
      <c r="G3958" s="79"/>
      <c r="J3958" s="99"/>
      <c r="K3958" s="4"/>
    </row>
    <row r="3959" spans="3:11" x14ac:dyDescent="0.25">
      <c r="C3959" s="79"/>
      <c r="D3959" s="248"/>
      <c r="E3959" s="248"/>
      <c r="F3959" s="47"/>
      <c r="G3959" s="79"/>
      <c r="J3959" s="99"/>
      <c r="K3959" s="4"/>
    </row>
    <row r="3960" spans="3:11" x14ac:dyDescent="0.25">
      <c r="C3960" s="79"/>
      <c r="D3960" s="248"/>
      <c r="E3960" s="248"/>
      <c r="F3960" s="47"/>
      <c r="G3960" s="79"/>
      <c r="J3960" s="99"/>
      <c r="K3960" s="4"/>
    </row>
    <row r="3961" spans="3:11" x14ac:dyDescent="0.25">
      <c r="C3961" s="79"/>
      <c r="D3961" s="248"/>
      <c r="E3961" s="248"/>
      <c r="F3961" s="47"/>
      <c r="G3961" s="79"/>
      <c r="J3961" s="99"/>
      <c r="K3961" s="4"/>
    </row>
    <row r="3962" spans="3:11" x14ac:dyDescent="0.25">
      <c r="C3962" s="79"/>
      <c r="D3962" s="248"/>
      <c r="E3962" s="248"/>
      <c r="F3962" s="47"/>
      <c r="G3962" s="79"/>
      <c r="J3962" s="99"/>
      <c r="K3962" s="4"/>
    </row>
    <row r="3963" spans="3:11" x14ac:dyDescent="0.25">
      <c r="C3963" s="79"/>
      <c r="D3963" s="248"/>
      <c r="E3963" s="248"/>
      <c r="F3963" s="47"/>
      <c r="G3963" s="79"/>
      <c r="J3963" s="99"/>
      <c r="K3963" s="4"/>
    </row>
    <row r="3964" spans="3:11" x14ac:dyDescent="0.25">
      <c r="C3964" s="79"/>
      <c r="D3964" s="248"/>
      <c r="E3964" s="248"/>
      <c r="F3964" s="47"/>
      <c r="G3964" s="79"/>
      <c r="J3964" s="99"/>
      <c r="K3964" s="4"/>
    </row>
    <row r="3965" spans="3:11" x14ac:dyDescent="0.25">
      <c r="C3965" s="79"/>
      <c r="D3965" s="248"/>
      <c r="E3965" s="248"/>
      <c r="F3965" s="47"/>
      <c r="G3965" s="79"/>
      <c r="J3965" s="99"/>
      <c r="K3965" s="4"/>
    </row>
    <row r="3966" spans="3:11" x14ac:dyDescent="0.25">
      <c r="C3966" s="79"/>
      <c r="D3966" s="248"/>
      <c r="E3966" s="248"/>
      <c r="F3966" s="47"/>
      <c r="G3966" s="79"/>
      <c r="J3966" s="99"/>
      <c r="K3966" s="4"/>
    </row>
    <row r="3967" spans="3:11" x14ac:dyDescent="0.25">
      <c r="C3967" s="79"/>
      <c r="D3967" s="248"/>
      <c r="E3967" s="248"/>
      <c r="F3967" s="47"/>
      <c r="G3967" s="79"/>
      <c r="J3967" s="99"/>
      <c r="K3967" s="4"/>
    </row>
    <row r="3968" spans="3:11" x14ac:dyDescent="0.25">
      <c r="C3968" s="79"/>
      <c r="D3968" s="248"/>
      <c r="E3968" s="248"/>
      <c r="F3968" s="47"/>
      <c r="G3968" s="79"/>
      <c r="J3968" s="99"/>
      <c r="K3968" s="4"/>
    </row>
    <row r="3969" spans="3:11" x14ac:dyDescent="0.25">
      <c r="C3969" s="79"/>
      <c r="D3969" s="248"/>
      <c r="E3969" s="248"/>
      <c r="F3969" s="47"/>
      <c r="G3969" s="79"/>
      <c r="J3969" s="99"/>
      <c r="K3969" s="4"/>
    </row>
    <row r="3970" spans="3:11" x14ac:dyDescent="0.25">
      <c r="C3970" s="79"/>
      <c r="D3970" s="248"/>
      <c r="E3970" s="248"/>
      <c r="F3970" s="47"/>
      <c r="G3970" s="79"/>
      <c r="J3970" s="99"/>
      <c r="K3970" s="4"/>
    </row>
    <row r="3971" spans="3:11" x14ac:dyDescent="0.25">
      <c r="C3971" s="79"/>
      <c r="D3971" s="248"/>
      <c r="E3971" s="248"/>
      <c r="F3971" s="47"/>
      <c r="G3971" s="79"/>
      <c r="J3971" s="99"/>
      <c r="K3971" s="4"/>
    </row>
    <row r="3972" spans="3:11" x14ac:dyDescent="0.25">
      <c r="C3972" s="79"/>
      <c r="D3972" s="248"/>
      <c r="E3972" s="248"/>
      <c r="F3972" s="47"/>
      <c r="G3972" s="79"/>
      <c r="J3972" s="99"/>
      <c r="K3972" s="4"/>
    </row>
    <row r="3973" spans="3:11" x14ac:dyDescent="0.25">
      <c r="C3973" s="79"/>
      <c r="D3973" s="248"/>
      <c r="E3973" s="248"/>
      <c r="F3973" s="47"/>
      <c r="G3973" s="79"/>
      <c r="J3973" s="99"/>
      <c r="K3973" s="4"/>
    </row>
    <row r="3974" spans="3:11" x14ac:dyDescent="0.25">
      <c r="C3974" s="79"/>
      <c r="D3974" s="248"/>
      <c r="E3974" s="248"/>
      <c r="F3974" s="47"/>
      <c r="G3974" s="79"/>
      <c r="J3974" s="99"/>
      <c r="K3974" s="4"/>
    </row>
    <row r="3975" spans="3:11" x14ac:dyDescent="0.25">
      <c r="C3975" s="79"/>
      <c r="D3975" s="248"/>
      <c r="E3975" s="248"/>
      <c r="F3975" s="47"/>
      <c r="G3975" s="79"/>
      <c r="J3975" s="99"/>
      <c r="K3975" s="4"/>
    </row>
    <row r="3976" spans="3:11" x14ac:dyDescent="0.25">
      <c r="C3976" s="79"/>
      <c r="D3976" s="248"/>
      <c r="E3976" s="248"/>
      <c r="F3976" s="47"/>
      <c r="G3976" s="79"/>
      <c r="J3976" s="99"/>
      <c r="K3976" s="4"/>
    </row>
    <row r="3977" spans="3:11" x14ac:dyDescent="0.25">
      <c r="C3977" s="79"/>
      <c r="D3977" s="248"/>
      <c r="E3977" s="248"/>
      <c r="F3977" s="47"/>
      <c r="G3977" s="79"/>
      <c r="J3977" s="99"/>
      <c r="K3977" s="4"/>
    </row>
    <row r="3978" spans="3:11" x14ac:dyDescent="0.25">
      <c r="C3978" s="79"/>
      <c r="D3978" s="248"/>
      <c r="E3978" s="248"/>
      <c r="F3978" s="47"/>
      <c r="G3978" s="79"/>
      <c r="J3978" s="99"/>
      <c r="K3978" s="4"/>
    </row>
    <row r="3979" spans="3:11" x14ac:dyDescent="0.25">
      <c r="C3979" s="79"/>
      <c r="D3979" s="248"/>
      <c r="E3979" s="248"/>
      <c r="F3979" s="47"/>
      <c r="G3979" s="79"/>
      <c r="J3979" s="99"/>
      <c r="K3979" s="4"/>
    </row>
    <row r="3980" spans="3:11" x14ac:dyDescent="0.25">
      <c r="C3980" s="79"/>
      <c r="D3980" s="248"/>
      <c r="E3980" s="248"/>
      <c r="F3980" s="47"/>
      <c r="G3980" s="79"/>
      <c r="J3980" s="99"/>
      <c r="K3980" s="4"/>
    </row>
    <row r="3981" spans="3:11" x14ac:dyDescent="0.25">
      <c r="C3981" s="79"/>
      <c r="D3981" s="248"/>
      <c r="E3981" s="248"/>
      <c r="F3981" s="47"/>
      <c r="G3981" s="79"/>
      <c r="J3981" s="99"/>
      <c r="K3981" s="4"/>
    </row>
    <row r="3982" spans="3:11" x14ac:dyDescent="0.25">
      <c r="C3982" s="79"/>
      <c r="D3982" s="248"/>
      <c r="E3982" s="248"/>
      <c r="F3982" s="47"/>
      <c r="G3982" s="79"/>
      <c r="J3982" s="99"/>
      <c r="K3982" s="4"/>
    </row>
    <row r="3983" spans="3:11" x14ac:dyDescent="0.25">
      <c r="C3983" s="79"/>
      <c r="D3983" s="248"/>
      <c r="E3983" s="248"/>
      <c r="F3983" s="47"/>
      <c r="G3983" s="79"/>
      <c r="J3983" s="99"/>
      <c r="K3983" s="4"/>
    </row>
    <row r="3984" spans="3:11" x14ac:dyDescent="0.25">
      <c r="C3984" s="79"/>
      <c r="D3984" s="248"/>
      <c r="E3984" s="248"/>
      <c r="F3984" s="47"/>
      <c r="G3984" s="79"/>
      <c r="J3984" s="99"/>
      <c r="K3984" s="4"/>
    </row>
    <row r="3985" spans="3:11" x14ac:dyDescent="0.25">
      <c r="C3985" s="79"/>
      <c r="D3985" s="248"/>
      <c r="E3985" s="248"/>
      <c r="F3985" s="47"/>
      <c r="G3985" s="79"/>
      <c r="J3985" s="99"/>
      <c r="K3985" s="4"/>
    </row>
    <row r="3986" spans="3:11" x14ac:dyDescent="0.25">
      <c r="C3986" s="79"/>
      <c r="D3986" s="248"/>
      <c r="E3986" s="248"/>
      <c r="F3986" s="47"/>
      <c r="G3986" s="79"/>
      <c r="J3986" s="99"/>
      <c r="K3986" s="4"/>
    </row>
    <row r="3987" spans="3:11" x14ac:dyDescent="0.25">
      <c r="C3987" s="79"/>
      <c r="D3987" s="248"/>
      <c r="E3987" s="248"/>
      <c r="F3987" s="47"/>
      <c r="G3987" s="79"/>
      <c r="J3987" s="99"/>
      <c r="K3987" s="4"/>
    </row>
    <row r="3988" spans="3:11" x14ac:dyDescent="0.25">
      <c r="C3988" s="79"/>
      <c r="D3988" s="248"/>
      <c r="E3988" s="248"/>
      <c r="F3988" s="47"/>
      <c r="G3988" s="79"/>
      <c r="J3988" s="99"/>
      <c r="K3988" s="4"/>
    </row>
    <row r="3989" spans="3:11" x14ac:dyDescent="0.25">
      <c r="C3989" s="79"/>
      <c r="D3989" s="248"/>
      <c r="E3989" s="248"/>
      <c r="F3989" s="47"/>
      <c r="G3989" s="79"/>
      <c r="J3989" s="99"/>
      <c r="K3989" s="4"/>
    </row>
    <row r="3990" spans="3:11" x14ac:dyDescent="0.25">
      <c r="C3990" s="79"/>
      <c r="D3990" s="248"/>
      <c r="E3990" s="248"/>
      <c r="F3990" s="47"/>
      <c r="G3990" s="79"/>
      <c r="J3990" s="99"/>
      <c r="K3990" s="4"/>
    </row>
    <row r="3991" spans="3:11" x14ac:dyDescent="0.25">
      <c r="C3991" s="79"/>
      <c r="D3991" s="248"/>
      <c r="E3991" s="248"/>
      <c r="F3991" s="47"/>
      <c r="G3991" s="79"/>
      <c r="J3991" s="99"/>
      <c r="K3991" s="4"/>
    </row>
    <row r="3992" spans="3:11" x14ac:dyDescent="0.25">
      <c r="C3992" s="79"/>
      <c r="D3992" s="248"/>
      <c r="E3992" s="248"/>
      <c r="F3992" s="47"/>
      <c r="G3992" s="79"/>
      <c r="J3992" s="99"/>
      <c r="K3992" s="4"/>
    </row>
    <row r="3993" spans="3:11" x14ac:dyDescent="0.25">
      <c r="C3993" s="79"/>
      <c r="D3993" s="248"/>
      <c r="E3993" s="248"/>
      <c r="F3993" s="47"/>
      <c r="G3993" s="79"/>
      <c r="J3993" s="99"/>
      <c r="K3993" s="4"/>
    </row>
    <row r="3994" spans="3:11" x14ac:dyDescent="0.25">
      <c r="C3994" s="79"/>
      <c r="D3994" s="248"/>
      <c r="E3994" s="248"/>
      <c r="F3994" s="47"/>
      <c r="G3994" s="79"/>
      <c r="J3994" s="99"/>
      <c r="K3994" s="4"/>
    </row>
    <row r="3995" spans="3:11" x14ac:dyDescent="0.25">
      <c r="C3995" s="79"/>
      <c r="D3995" s="248"/>
      <c r="E3995" s="248"/>
      <c r="F3995" s="47"/>
      <c r="G3995" s="79"/>
      <c r="J3995" s="99"/>
      <c r="K3995" s="4"/>
    </row>
    <row r="3996" spans="3:11" x14ac:dyDescent="0.25">
      <c r="C3996" s="79"/>
      <c r="D3996" s="248"/>
      <c r="E3996" s="248"/>
      <c r="F3996" s="47"/>
      <c r="G3996" s="79"/>
      <c r="J3996" s="99"/>
      <c r="K3996" s="4"/>
    </row>
    <row r="3997" spans="3:11" x14ac:dyDescent="0.25">
      <c r="C3997" s="79"/>
      <c r="D3997" s="248"/>
      <c r="E3997" s="248"/>
      <c r="F3997" s="47"/>
      <c r="G3997" s="79"/>
      <c r="J3997" s="99"/>
      <c r="K3997" s="4"/>
    </row>
    <row r="3998" spans="3:11" x14ac:dyDescent="0.25">
      <c r="C3998" s="79"/>
      <c r="D3998" s="248"/>
      <c r="E3998" s="248"/>
      <c r="F3998" s="47"/>
      <c r="G3998" s="79"/>
      <c r="J3998" s="99"/>
      <c r="K3998" s="4"/>
    </row>
    <row r="3999" spans="3:11" x14ac:dyDescent="0.25">
      <c r="C3999" s="79"/>
      <c r="D3999" s="248"/>
      <c r="E3999" s="248"/>
      <c r="F3999" s="47"/>
      <c r="G3999" s="79"/>
      <c r="J3999" s="99"/>
      <c r="K3999" s="4"/>
    </row>
    <row r="4000" spans="3:11" x14ac:dyDescent="0.25">
      <c r="C4000" s="79"/>
      <c r="D4000" s="248"/>
      <c r="E4000" s="248"/>
      <c r="F4000" s="47"/>
      <c r="G4000" s="79"/>
      <c r="J4000" s="99"/>
      <c r="K4000" s="4"/>
    </row>
    <row r="4001" spans="3:11" x14ac:dyDescent="0.25">
      <c r="C4001" s="79"/>
      <c r="D4001" s="248"/>
      <c r="E4001" s="248"/>
      <c r="F4001" s="47"/>
      <c r="G4001" s="79"/>
      <c r="J4001" s="99"/>
      <c r="K4001" s="4"/>
    </row>
    <row r="4002" spans="3:11" x14ac:dyDescent="0.25">
      <c r="C4002" s="79"/>
      <c r="D4002" s="248"/>
      <c r="E4002" s="248"/>
      <c r="F4002" s="47"/>
      <c r="G4002" s="79"/>
      <c r="J4002" s="99"/>
      <c r="K4002" s="4"/>
    </row>
    <row r="4003" spans="3:11" x14ac:dyDescent="0.25">
      <c r="C4003" s="79"/>
      <c r="D4003" s="248"/>
      <c r="E4003" s="248"/>
      <c r="F4003" s="47"/>
      <c r="G4003" s="79"/>
      <c r="J4003" s="99"/>
      <c r="K4003" s="4"/>
    </row>
    <row r="4004" spans="3:11" x14ac:dyDescent="0.25">
      <c r="C4004" s="79"/>
      <c r="D4004" s="248"/>
      <c r="E4004" s="248"/>
      <c r="F4004" s="47"/>
      <c r="G4004" s="79"/>
      <c r="J4004" s="99"/>
      <c r="K4004" s="4"/>
    </row>
    <row r="4005" spans="3:11" x14ac:dyDescent="0.25">
      <c r="C4005" s="79"/>
      <c r="D4005" s="248"/>
      <c r="E4005" s="248"/>
      <c r="F4005" s="47"/>
      <c r="G4005" s="79"/>
      <c r="J4005" s="99"/>
      <c r="K4005" s="4"/>
    </row>
    <row r="4006" spans="3:11" x14ac:dyDescent="0.25">
      <c r="C4006" s="79"/>
      <c r="D4006" s="248"/>
      <c r="E4006" s="248"/>
      <c r="F4006" s="47"/>
      <c r="G4006" s="79"/>
      <c r="J4006" s="99"/>
      <c r="K4006" s="4"/>
    </row>
    <row r="4007" spans="3:11" x14ac:dyDescent="0.25">
      <c r="C4007" s="79"/>
      <c r="D4007" s="248"/>
      <c r="E4007" s="248"/>
      <c r="F4007" s="47"/>
      <c r="G4007" s="79"/>
      <c r="J4007" s="99"/>
      <c r="K4007" s="4"/>
    </row>
    <row r="4008" spans="3:11" x14ac:dyDescent="0.25">
      <c r="C4008" s="79"/>
      <c r="D4008" s="248"/>
      <c r="E4008" s="248"/>
      <c r="F4008" s="47"/>
      <c r="G4008" s="79"/>
      <c r="J4008" s="99"/>
      <c r="K4008" s="4"/>
    </row>
    <row r="4009" spans="3:11" x14ac:dyDescent="0.25">
      <c r="C4009" s="79"/>
      <c r="D4009" s="248"/>
      <c r="E4009" s="248"/>
      <c r="F4009" s="47"/>
      <c r="G4009" s="79"/>
      <c r="J4009" s="99"/>
      <c r="K4009" s="4"/>
    </row>
    <row r="4010" spans="3:11" x14ac:dyDescent="0.25">
      <c r="C4010" s="79"/>
      <c r="D4010" s="248"/>
      <c r="E4010" s="248"/>
      <c r="F4010" s="47"/>
      <c r="G4010" s="79"/>
      <c r="J4010" s="99"/>
      <c r="K4010" s="4"/>
    </row>
    <row r="4011" spans="3:11" x14ac:dyDescent="0.25">
      <c r="C4011" s="79"/>
      <c r="D4011" s="248"/>
      <c r="E4011" s="248"/>
      <c r="F4011" s="47"/>
      <c r="G4011" s="79"/>
      <c r="J4011" s="99"/>
      <c r="K4011" s="4"/>
    </row>
    <row r="4012" spans="3:11" x14ac:dyDescent="0.25">
      <c r="C4012" s="79"/>
      <c r="D4012" s="248"/>
      <c r="E4012" s="248"/>
      <c r="F4012" s="47"/>
      <c r="G4012" s="79"/>
      <c r="J4012" s="99"/>
      <c r="K4012" s="4"/>
    </row>
    <row r="4013" spans="3:11" x14ac:dyDescent="0.25">
      <c r="C4013" s="79"/>
      <c r="D4013" s="248"/>
      <c r="E4013" s="248"/>
      <c r="F4013" s="47"/>
      <c r="G4013" s="79"/>
      <c r="J4013" s="99"/>
      <c r="K4013" s="4"/>
    </row>
    <row r="4014" spans="3:11" x14ac:dyDescent="0.25">
      <c r="C4014" s="79"/>
      <c r="D4014" s="248"/>
      <c r="E4014" s="248"/>
      <c r="F4014" s="47"/>
      <c r="G4014" s="79"/>
      <c r="J4014" s="99"/>
      <c r="K4014" s="4"/>
    </row>
    <row r="4015" spans="3:11" x14ac:dyDescent="0.25">
      <c r="C4015" s="79"/>
      <c r="D4015" s="248"/>
      <c r="E4015" s="248"/>
      <c r="F4015" s="47"/>
      <c r="G4015" s="79"/>
      <c r="J4015" s="99"/>
      <c r="K4015" s="4"/>
    </row>
    <row r="4016" spans="3:11" x14ac:dyDescent="0.25">
      <c r="C4016" s="79"/>
      <c r="D4016" s="248"/>
      <c r="E4016" s="248"/>
      <c r="F4016" s="47"/>
      <c r="G4016" s="79"/>
      <c r="J4016" s="99"/>
      <c r="K4016" s="4"/>
    </row>
    <row r="4017" spans="3:11" x14ac:dyDescent="0.25">
      <c r="C4017" s="79"/>
      <c r="D4017" s="248"/>
      <c r="E4017" s="248"/>
      <c r="F4017" s="47"/>
      <c r="G4017" s="79"/>
      <c r="J4017" s="99"/>
      <c r="K4017" s="4"/>
    </row>
    <row r="4018" spans="3:11" x14ac:dyDescent="0.25">
      <c r="C4018" s="79"/>
      <c r="D4018" s="248"/>
      <c r="E4018" s="248"/>
      <c r="F4018" s="47"/>
      <c r="G4018" s="79"/>
      <c r="J4018" s="99"/>
      <c r="K4018" s="4"/>
    </row>
    <row r="4019" spans="3:11" x14ac:dyDescent="0.25">
      <c r="C4019" s="79"/>
      <c r="D4019" s="248"/>
      <c r="E4019" s="248"/>
      <c r="F4019" s="47"/>
      <c r="G4019" s="79"/>
      <c r="J4019" s="99"/>
      <c r="K4019" s="4"/>
    </row>
    <row r="4020" spans="3:11" x14ac:dyDescent="0.25">
      <c r="C4020" s="79"/>
      <c r="D4020" s="248"/>
      <c r="E4020" s="248"/>
      <c r="F4020" s="47"/>
      <c r="G4020" s="79"/>
      <c r="J4020" s="99"/>
      <c r="K4020" s="4"/>
    </row>
    <row r="4021" spans="3:11" x14ac:dyDescent="0.25">
      <c r="C4021" s="79"/>
      <c r="D4021" s="248"/>
      <c r="E4021" s="248"/>
      <c r="F4021" s="47"/>
      <c r="G4021" s="79"/>
      <c r="J4021" s="99"/>
      <c r="K4021" s="4"/>
    </row>
    <row r="4022" spans="3:11" x14ac:dyDescent="0.25">
      <c r="C4022" s="79"/>
      <c r="D4022" s="248"/>
      <c r="E4022" s="248"/>
      <c r="F4022" s="47"/>
      <c r="G4022" s="79"/>
      <c r="J4022" s="99"/>
      <c r="K4022" s="4"/>
    </row>
    <row r="4023" spans="3:11" x14ac:dyDescent="0.25">
      <c r="C4023" s="79"/>
      <c r="D4023" s="248"/>
      <c r="E4023" s="248"/>
      <c r="F4023" s="47"/>
      <c r="G4023" s="79"/>
      <c r="J4023" s="99"/>
      <c r="K4023" s="4"/>
    </row>
    <row r="4024" spans="3:11" x14ac:dyDescent="0.25">
      <c r="C4024" s="79"/>
      <c r="D4024" s="248"/>
      <c r="E4024" s="248"/>
      <c r="F4024" s="47"/>
      <c r="G4024" s="79"/>
      <c r="J4024" s="99"/>
      <c r="K4024" s="4"/>
    </row>
    <row r="4025" spans="3:11" x14ac:dyDescent="0.25">
      <c r="C4025" s="79"/>
      <c r="D4025" s="248"/>
      <c r="E4025" s="248"/>
      <c r="F4025" s="47"/>
      <c r="G4025" s="79"/>
      <c r="J4025" s="99"/>
      <c r="K4025" s="4"/>
    </row>
    <row r="4026" spans="3:11" x14ac:dyDescent="0.25">
      <c r="C4026" s="79"/>
      <c r="D4026" s="248"/>
      <c r="E4026" s="248"/>
      <c r="F4026" s="47"/>
      <c r="G4026" s="79"/>
      <c r="J4026" s="99"/>
      <c r="K4026" s="4"/>
    </row>
    <row r="4027" spans="3:11" x14ac:dyDescent="0.25">
      <c r="C4027" s="79"/>
      <c r="D4027" s="248"/>
      <c r="E4027" s="248"/>
      <c r="F4027" s="47"/>
      <c r="G4027" s="79"/>
      <c r="J4027" s="99"/>
      <c r="K4027" s="4"/>
    </row>
    <row r="4028" spans="3:11" x14ac:dyDescent="0.25">
      <c r="C4028" s="79"/>
      <c r="D4028" s="248"/>
      <c r="E4028" s="248"/>
      <c r="F4028" s="47"/>
      <c r="G4028" s="79"/>
      <c r="J4028" s="99"/>
      <c r="K4028" s="4"/>
    </row>
    <row r="4029" spans="3:11" x14ac:dyDescent="0.25">
      <c r="C4029" s="79"/>
      <c r="D4029" s="248"/>
      <c r="E4029" s="248"/>
      <c r="F4029" s="47"/>
      <c r="G4029" s="79"/>
      <c r="J4029" s="99"/>
      <c r="K4029" s="4"/>
    </row>
    <row r="4030" spans="3:11" x14ac:dyDescent="0.25">
      <c r="C4030" s="79"/>
      <c r="D4030" s="248"/>
      <c r="E4030" s="248"/>
      <c r="F4030" s="47"/>
      <c r="G4030" s="79"/>
      <c r="J4030" s="99"/>
      <c r="K4030" s="4"/>
    </row>
    <row r="4031" spans="3:11" x14ac:dyDescent="0.25">
      <c r="C4031" s="79"/>
      <c r="D4031" s="248"/>
      <c r="E4031" s="248"/>
      <c r="F4031" s="47"/>
      <c r="G4031" s="79"/>
      <c r="J4031" s="99"/>
      <c r="K4031" s="4"/>
    </row>
    <row r="4032" spans="3:11" x14ac:dyDescent="0.25">
      <c r="C4032" s="79"/>
      <c r="D4032" s="248"/>
      <c r="E4032" s="248"/>
      <c r="F4032" s="47"/>
      <c r="G4032" s="79"/>
      <c r="J4032" s="99"/>
      <c r="K4032" s="4"/>
    </row>
    <row r="4033" spans="3:11" x14ac:dyDescent="0.25">
      <c r="C4033" s="79"/>
      <c r="D4033" s="248"/>
      <c r="E4033" s="248"/>
      <c r="F4033" s="47"/>
      <c r="G4033" s="79"/>
      <c r="J4033" s="99"/>
      <c r="K4033" s="4"/>
    </row>
    <row r="4034" spans="3:11" x14ac:dyDescent="0.25">
      <c r="C4034" s="79"/>
      <c r="D4034" s="248"/>
      <c r="E4034" s="248"/>
      <c r="F4034" s="47"/>
      <c r="G4034" s="79"/>
      <c r="J4034" s="99"/>
      <c r="K4034" s="4"/>
    </row>
    <row r="4035" spans="3:11" x14ac:dyDescent="0.25">
      <c r="C4035" s="79"/>
      <c r="D4035" s="248"/>
      <c r="E4035" s="248"/>
      <c r="F4035" s="47"/>
      <c r="G4035" s="79"/>
      <c r="J4035" s="99"/>
      <c r="K4035" s="4"/>
    </row>
    <row r="4036" spans="3:11" x14ac:dyDescent="0.25">
      <c r="C4036" s="79"/>
      <c r="D4036" s="248"/>
      <c r="E4036" s="248"/>
      <c r="F4036" s="47"/>
      <c r="G4036" s="79"/>
      <c r="J4036" s="99"/>
      <c r="K4036" s="4"/>
    </row>
    <row r="4037" spans="3:11" x14ac:dyDescent="0.25">
      <c r="C4037" s="79"/>
      <c r="D4037" s="248"/>
      <c r="E4037" s="248"/>
      <c r="F4037" s="47"/>
      <c r="G4037" s="79"/>
      <c r="J4037" s="99"/>
      <c r="K4037" s="4"/>
    </row>
    <row r="4038" spans="3:11" x14ac:dyDescent="0.25">
      <c r="C4038" s="79"/>
      <c r="D4038" s="248"/>
      <c r="E4038" s="248"/>
      <c r="F4038" s="47"/>
      <c r="G4038" s="79"/>
      <c r="J4038" s="99"/>
      <c r="K4038" s="4"/>
    </row>
    <row r="4039" spans="3:11" x14ac:dyDescent="0.25">
      <c r="C4039" s="79"/>
      <c r="D4039" s="248"/>
      <c r="E4039" s="248"/>
      <c r="F4039" s="47"/>
      <c r="G4039" s="79"/>
      <c r="J4039" s="99"/>
      <c r="K4039" s="4"/>
    </row>
    <row r="4040" spans="3:11" x14ac:dyDescent="0.25">
      <c r="C4040" s="79"/>
      <c r="D4040" s="248"/>
      <c r="E4040" s="248"/>
      <c r="F4040" s="47"/>
      <c r="G4040" s="79"/>
      <c r="J4040" s="99"/>
      <c r="K4040" s="4"/>
    </row>
    <row r="4041" spans="3:11" x14ac:dyDescent="0.25">
      <c r="C4041" s="79"/>
      <c r="D4041" s="248"/>
      <c r="E4041" s="248"/>
      <c r="F4041" s="47"/>
      <c r="G4041" s="79"/>
      <c r="J4041" s="99"/>
      <c r="K4041" s="4"/>
    </row>
    <row r="4042" spans="3:11" x14ac:dyDescent="0.25">
      <c r="C4042" s="79"/>
      <c r="D4042" s="248"/>
      <c r="E4042" s="248"/>
      <c r="F4042" s="47"/>
      <c r="G4042" s="79"/>
      <c r="J4042" s="99"/>
      <c r="K4042" s="4"/>
    </row>
    <row r="4043" spans="3:11" x14ac:dyDescent="0.25">
      <c r="C4043" s="79"/>
      <c r="D4043" s="248"/>
      <c r="E4043" s="248"/>
      <c r="F4043" s="47"/>
      <c r="G4043" s="79"/>
      <c r="J4043" s="99"/>
      <c r="K4043" s="4"/>
    </row>
    <row r="4044" spans="3:11" x14ac:dyDescent="0.25">
      <c r="C4044" s="79"/>
      <c r="D4044" s="248"/>
      <c r="E4044" s="248"/>
      <c r="F4044" s="47"/>
      <c r="G4044" s="79"/>
      <c r="J4044" s="99"/>
      <c r="K4044" s="4"/>
    </row>
    <row r="4045" spans="3:11" x14ac:dyDescent="0.25">
      <c r="C4045" s="79"/>
      <c r="D4045" s="248"/>
      <c r="E4045" s="248"/>
      <c r="F4045" s="47"/>
      <c r="G4045" s="79"/>
      <c r="J4045" s="99"/>
      <c r="K4045" s="4"/>
    </row>
    <row r="4046" spans="3:11" x14ac:dyDescent="0.25">
      <c r="C4046" s="79"/>
      <c r="D4046" s="248"/>
      <c r="E4046" s="248"/>
      <c r="F4046" s="47"/>
      <c r="G4046" s="79"/>
      <c r="J4046" s="99"/>
      <c r="K4046" s="4"/>
    </row>
    <row r="4047" spans="3:11" x14ac:dyDescent="0.25">
      <c r="C4047" s="79"/>
      <c r="D4047" s="248"/>
      <c r="E4047" s="248"/>
      <c r="F4047" s="47"/>
      <c r="G4047" s="79"/>
      <c r="J4047" s="99"/>
      <c r="K4047" s="4"/>
    </row>
    <row r="4048" spans="3:11" x14ac:dyDescent="0.25">
      <c r="C4048" s="79"/>
      <c r="D4048" s="248"/>
      <c r="E4048" s="248"/>
      <c r="F4048" s="47"/>
      <c r="G4048" s="79"/>
      <c r="J4048" s="99"/>
      <c r="K4048" s="4"/>
    </row>
    <row r="4049" spans="3:11" x14ac:dyDescent="0.25">
      <c r="C4049" s="79"/>
      <c r="D4049" s="248"/>
      <c r="E4049" s="248"/>
      <c r="F4049" s="47"/>
      <c r="G4049" s="79"/>
      <c r="J4049" s="99"/>
      <c r="K4049" s="4"/>
    </row>
    <row r="4050" spans="3:11" x14ac:dyDescent="0.25">
      <c r="C4050" s="79"/>
      <c r="D4050" s="248"/>
      <c r="E4050" s="248"/>
      <c r="F4050" s="47"/>
      <c r="G4050" s="79"/>
      <c r="J4050" s="99"/>
      <c r="K4050" s="4"/>
    </row>
    <row r="4051" spans="3:11" x14ac:dyDescent="0.25">
      <c r="C4051" s="79"/>
      <c r="D4051" s="248"/>
      <c r="E4051" s="248"/>
      <c r="F4051" s="47"/>
      <c r="G4051" s="79"/>
      <c r="J4051" s="99"/>
      <c r="K4051" s="4"/>
    </row>
    <row r="4052" spans="3:11" x14ac:dyDescent="0.25">
      <c r="C4052" s="79"/>
      <c r="D4052" s="248"/>
      <c r="E4052" s="248"/>
      <c r="F4052" s="47"/>
      <c r="G4052" s="79"/>
      <c r="J4052" s="99"/>
      <c r="K4052" s="4"/>
    </row>
    <row r="4053" spans="3:11" x14ac:dyDescent="0.25">
      <c r="C4053" s="79"/>
      <c r="D4053" s="248"/>
      <c r="E4053" s="248"/>
      <c r="F4053" s="47"/>
      <c r="G4053" s="79"/>
      <c r="J4053" s="99"/>
      <c r="K4053" s="4"/>
    </row>
    <row r="4054" spans="3:11" x14ac:dyDescent="0.25">
      <c r="C4054" s="79"/>
      <c r="D4054" s="248"/>
      <c r="E4054" s="248"/>
      <c r="F4054" s="47"/>
      <c r="G4054" s="79"/>
      <c r="J4054" s="99"/>
      <c r="K4054" s="4"/>
    </row>
    <row r="4055" spans="3:11" x14ac:dyDescent="0.25">
      <c r="C4055" s="79"/>
      <c r="D4055" s="248"/>
      <c r="E4055" s="248"/>
      <c r="F4055" s="47"/>
      <c r="G4055" s="79"/>
      <c r="J4055" s="99"/>
      <c r="K4055" s="4"/>
    </row>
    <row r="4056" spans="3:11" x14ac:dyDescent="0.25">
      <c r="C4056" s="79"/>
      <c r="D4056" s="248"/>
      <c r="E4056" s="248"/>
      <c r="F4056" s="47"/>
      <c r="G4056" s="79"/>
      <c r="J4056" s="99"/>
      <c r="K4056" s="4"/>
    </row>
    <row r="4057" spans="3:11" x14ac:dyDescent="0.25">
      <c r="C4057" s="79"/>
      <c r="D4057" s="248"/>
      <c r="E4057" s="248"/>
      <c r="F4057" s="47"/>
      <c r="G4057" s="79"/>
      <c r="J4057" s="99"/>
      <c r="K4057" s="4"/>
    </row>
    <row r="4058" spans="3:11" x14ac:dyDescent="0.25">
      <c r="C4058" s="79"/>
      <c r="D4058" s="248"/>
      <c r="E4058" s="248"/>
      <c r="F4058" s="47"/>
      <c r="G4058" s="79"/>
      <c r="J4058" s="99"/>
      <c r="K4058" s="4"/>
    </row>
    <row r="4059" spans="3:11" x14ac:dyDescent="0.25">
      <c r="C4059" s="79"/>
      <c r="D4059" s="248"/>
      <c r="E4059" s="248"/>
      <c r="F4059" s="47"/>
      <c r="G4059" s="79"/>
      <c r="J4059" s="99"/>
      <c r="K4059" s="4"/>
    </row>
    <row r="4060" spans="3:11" x14ac:dyDescent="0.25">
      <c r="C4060" s="79"/>
      <c r="D4060" s="248"/>
      <c r="E4060" s="248"/>
      <c r="F4060" s="47"/>
      <c r="G4060" s="79"/>
      <c r="J4060" s="99"/>
      <c r="K4060" s="4"/>
    </row>
    <row r="4061" spans="3:11" x14ac:dyDescent="0.25">
      <c r="C4061" s="79"/>
      <c r="D4061" s="248"/>
      <c r="E4061" s="248"/>
      <c r="F4061" s="47"/>
      <c r="G4061" s="79"/>
      <c r="J4061" s="99"/>
      <c r="K4061" s="4"/>
    </row>
    <row r="4062" spans="3:11" x14ac:dyDescent="0.25">
      <c r="C4062" s="79"/>
      <c r="D4062" s="248"/>
      <c r="E4062" s="248"/>
      <c r="F4062" s="47"/>
      <c r="G4062" s="79"/>
      <c r="J4062" s="99"/>
      <c r="K4062" s="4"/>
    </row>
    <row r="4063" spans="3:11" x14ac:dyDescent="0.25">
      <c r="C4063" s="79"/>
      <c r="D4063" s="248"/>
      <c r="E4063" s="248"/>
      <c r="F4063" s="47"/>
      <c r="G4063" s="79"/>
      <c r="J4063" s="99"/>
      <c r="K4063" s="4"/>
    </row>
    <row r="4064" spans="3:11" x14ac:dyDescent="0.25">
      <c r="C4064" s="79"/>
      <c r="D4064" s="248"/>
      <c r="E4064" s="248"/>
      <c r="F4064" s="47"/>
      <c r="G4064" s="79"/>
      <c r="J4064" s="99"/>
      <c r="K4064" s="4"/>
    </row>
    <row r="4065" spans="3:11" x14ac:dyDescent="0.25">
      <c r="C4065" s="79"/>
      <c r="D4065" s="248"/>
      <c r="E4065" s="248"/>
      <c r="F4065" s="47"/>
      <c r="G4065" s="79"/>
      <c r="J4065" s="99"/>
      <c r="K4065" s="4"/>
    </row>
    <row r="4066" spans="3:11" x14ac:dyDescent="0.25">
      <c r="C4066" s="79"/>
      <c r="D4066" s="248"/>
      <c r="E4066" s="248"/>
      <c r="F4066" s="47"/>
      <c r="G4066" s="79"/>
      <c r="J4066" s="99"/>
      <c r="K4066" s="4"/>
    </row>
    <row r="4067" spans="3:11" x14ac:dyDescent="0.25">
      <c r="C4067" s="79"/>
      <c r="D4067" s="248"/>
      <c r="E4067" s="248"/>
      <c r="F4067" s="47"/>
      <c r="G4067" s="79"/>
      <c r="J4067" s="99"/>
      <c r="K4067" s="4"/>
    </row>
    <row r="4068" spans="3:11" x14ac:dyDescent="0.25">
      <c r="C4068" s="79"/>
      <c r="D4068" s="248"/>
      <c r="E4068" s="248"/>
      <c r="F4068" s="47"/>
      <c r="G4068" s="79"/>
      <c r="J4068" s="99"/>
      <c r="K4068" s="4"/>
    </row>
    <row r="4069" spans="3:11" x14ac:dyDescent="0.25">
      <c r="C4069" s="79"/>
      <c r="D4069" s="248"/>
      <c r="E4069" s="248"/>
      <c r="F4069" s="47"/>
      <c r="G4069" s="79"/>
      <c r="J4069" s="99"/>
      <c r="K4069" s="4"/>
    </row>
    <row r="4070" spans="3:11" x14ac:dyDescent="0.25">
      <c r="C4070" s="79"/>
      <c r="D4070" s="248"/>
      <c r="E4070" s="248"/>
      <c r="F4070" s="47"/>
      <c r="G4070" s="79"/>
      <c r="J4070" s="99"/>
      <c r="K4070" s="4"/>
    </row>
    <row r="4071" spans="3:11" x14ac:dyDescent="0.25">
      <c r="C4071" s="79"/>
      <c r="D4071" s="248"/>
      <c r="E4071" s="248"/>
      <c r="F4071" s="47"/>
      <c r="G4071" s="79"/>
      <c r="J4071" s="99"/>
      <c r="K4071" s="4"/>
    </row>
    <row r="4072" spans="3:11" x14ac:dyDescent="0.25">
      <c r="C4072" s="79"/>
      <c r="D4072" s="248"/>
      <c r="E4072" s="248"/>
      <c r="F4072" s="47"/>
      <c r="G4072" s="79"/>
      <c r="J4072" s="99"/>
      <c r="K4072" s="4"/>
    </row>
    <row r="4073" spans="3:11" x14ac:dyDescent="0.25">
      <c r="C4073" s="79"/>
      <c r="D4073" s="248"/>
      <c r="E4073" s="248"/>
      <c r="F4073" s="47"/>
      <c r="G4073" s="79"/>
      <c r="J4073" s="99"/>
      <c r="K4073" s="4"/>
    </row>
    <row r="4074" spans="3:11" x14ac:dyDescent="0.25">
      <c r="C4074" s="79"/>
      <c r="D4074" s="248"/>
      <c r="E4074" s="248"/>
      <c r="F4074" s="47"/>
      <c r="G4074" s="79"/>
      <c r="J4074" s="99"/>
      <c r="K4074" s="4"/>
    </row>
    <row r="4075" spans="3:11" x14ac:dyDescent="0.25">
      <c r="C4075" s="79"/>
      <c r="D4075" s="248"/>
      <c r="E4075" s="248"/>
      <c r="F4075" s="47"/>
      <c r="G4075" s="79"/>
      <c r="J4075" s="99"/>
      <c r="K4075" s="4"/>
    </row>
    <row r="4076" spans="3:11" x14ac:dyDescent="0.25">
      <c r="C4076" s="79"/>
      <c r="D4076" s="248"/>
      <c r="E4076" s="248"/>
      <c r="F4076" s="47"/>
      <c r="G4076" s="79"/>
      <c r="J4076" s="99"/>
      <c r="K4076" s="4"/>
    </row>
    <row r="4077" spans="3:11" x14ac:dyDescent="0.25">
      <c r="C4077" s="79"/>
      <c r="D4077" s="248"/>
      <c r="E4077" s="248"/>
      <c r="F4077" s="47"/>
      <c r="G4077" s="79"/>
      <c r="J4077" s="99"/>
      <c r="K4077" s="4"/>
    </row>
    <row r="4078" spans="3:11" x14ac:dyDescent="0.25">
      <c r="C4078" s="79"/>
      <c r="D4078" s="248"/>
      <c r="E4078" s="248"/>
      <c r="F4078" s="47"/>
      <c r="G4078" s="79"/>
      <c r="J4078" s="99"/>
      <c r="K4078" s="4"/>
    </row>
    <row r="4079" spans="3:11" x14ac:dyDescent="0.25">
      <c r="C4079" s="79"/>
      <c r="D4079" s="248"/>
      <c r="E4079" s="248"/>
      <c r="F4079" s="47"/>
      <c r="G4079" s="79"/>
      <c r="J4079" s="99"/>
      <c r="K4079" s="4"/>
    </row>
    <row r="4080" spans="3:11" x14ac:dyDescent="0.25">
      <c r="C4080" s="79"/>
      <c r="D4080" s="248"/>
      <c r="E4080" s="248"/>
      <c r="F4080" s="47"/>
      <c r="G4080" s="79"/>
      <c r="J4080" s="99"/>
      <c r="K4080" s="4"/>
    </row>
    <row r="4081" spans="3:11" x14ac:dyDescent="0.25">
      <c r="C4081" s="79"/>
      <c r="D4081" s="248"/>
      <c r="E4081" s="248"/>
      <c r="F4081" s="47"/>
      <c r="G4081" s="79"/>
      <c r="J4081" s="99"/>
      <c r="K4081" s="4"/>
    </row>
    <row r="4082" spans="3:11" x14ac:dyDescent="0.25">
      <c r="C4082" s="79"/>
      <c r="D4082" s="248"/>
      <c r="E4082" s="248"/>
      <c r="F4082" s="47"/>
      <c r="G4082" s="79"/>
      <c r="J4082" s="99"/>
      <c r="K4082" s="4"/>
    </row>
    <row r="4083" spans="3:11" x14ac:dyDescent="0.25">
      <c r="C4083" s="79"/>
      <c r="D4083" s="248"/>
      <c r="E4083" s="248"/>
      <c r="F4083" s="47"/>
      <c r="G4083" s="79"/>
      <c r="J4083" s="99"/>
      <c r="K4083" s="4"/>
    </row>
    <row r="4084" spans="3:11" x14ac:dyDescent="0.25">
      <c r="C4084" s="79"/>
      <c r="D4084" s="248"/>
      <c r="E4084" s="248"/>
      <c r="F4084" s="47"/>
      <c r="G4084" s="79"/>
      <c r="J4084" s="99"/>
      <c r="K4084" s="4"/>
    </row>
    <row r="4085" spans="3:11" x14ac:dyDescent="0.25">
      <c r="C4085" s="79"/>
      <c r="D4085" s="248"/>
      <c r="E4085" s="248"/>
      <c r="F4085" s="47"/>
      <c r="G4085" s="79"/>
      <c r="J4085" s="99"/>
      <c r="K4085" s="4"/>
    </row>
    <row r="4086" spans="3:11" x14ac:dyDescent="0.25">
      <c r="C4086" s="79"/>
      <c r="D4086" s="248"/>
      <c r="E4086" s="248"/>
      <c r="F4086" s="47"/>
      <c r="G4086" s="79"/>
      <c r="J4086" s="99"/>
      <c r="K4086" s="4"/>
    </row>
    <row r="4087" spans="3:11" x14ac:dyDescent="0.25">
      <c r="C4087" s="79"/>
      <c r="D4087" s="248"/>
      <c r="E4087" s="248"/>
      <c r="F4087" s="47"/>
      <c r="G4087" s="79"/>
      <c r="J4087" s="99"/>
      <c r="K4087" s="4"/>
    </row>
    <row r="4088" spans="3:11" x14ac:dyDescent="0.25">
      <c r="C4088" s="79"/>
      <c r="D4088" s="248"/>
      <c r="E4088" s="248"/>
      <c r="F4088" s="47"/>
      <c r="G4088" s="79"/>
      <c r="J4088" s="99"/>
      <c r="K4088" s="4"/>
    </row>
    <row r="4089" spans="3:11" x14ac:dyDescent="0.25">
      <c r="C4089" s="79"/>
      <c r="D4089" s="248"/>
      <c r="E4089" s="248"/>
      <c r="F4089" s="47"/>
      <c r="G4089" s="79"/>
      <c r="J4089" s="99"/>
      <c r="K4089" s="4"/>
    </row>
    <row r="4090" spans="3:11" x14ac:dyDescent="0.25">
      <c r="C4090" s="79"/>
      <c r="D4090" s="248"/>
      <c r="E4090" s="248"/>
      <c r="F4090" s="47"/>
      <c r="G4090" s="79"/>
      <c r="J4090" s="99"/>
      <c r="K4090" s="4"/>
    </row>
    <row r="4091" spans="3:11" x14ac:dyDescent="0.25">
      <c r="C4091" s="79"/>
      <c r="D4091" s="248"/>
      <c r="E4091" s="248"/>
      <c r="F4091" s="47"/>
      <c r="G4091" s="79"/>
      <c r="J4091" s="99"/>
      <c r="K4091" s="4"/>
    </row>
    <row r="4092" spans="3:11" x14ac:dyDescent="0.25">
      <c r="C4092" s="79"/>
      <c r="D4092" s="248"/>
      <c r="E4092" s="248"/>
      <c r="F4092" s="47"/>
      <c r="G4092" s="79"/>
      <c r="J4092" s="99"/>
      <c r="K4092" s="4"/>
    </row>
    <row r="4093" spans="3:11" x14ac:dyDescent="0.25">
      <c r="C4093" s="79"/>
      <c r="D4093" s="248"/>
      <c r="E4093" s="248"/>
      <c r="F4093" s="47"/>
      <c r="G4093" s="79"/>
      <c r="J4093" s="99"/>
      <c r="K4093" s="4"/>
    </row>
    <row r="4094" spans="3:11" x14ac:dyDescent="0.25">
      <c r="C4094" s="79"/>
      <c r="D4094" s="248"/>
      <c r="E4094" s="248"/>
      <c r="F4094" s="47"/>
      <c r="G4094" s="79"/>
      <c r="J4094" s="99"/>
      <c r="K4094" s="4"/>
    </row>
    <row r="4095" spans="3:11" x14ac:dyDescent="0.25">
      <c r="C4095" s="79"/>
      <c r="D4095" s="248"/>
      <c r="E4095" s="248"/>
      <c r="F4095" s="47"/>
      <c r="G4095" s="79"/>
      <c r="J4095" s="99"/>
      <c r="K4095" s="4"/>
    </row>
    <row r="4096" spans="3:11" x14ac:dyDescent="0.25">
      <c r="C4096" s="79"/>
      <c r="D4096" s="248"/>
      <c r="E4096" s="248"/>
      <c r="F4096" s="47"/>
      <c r="G4096" s="79"/>
      <c r="J4096" s="99"/>
      <c r="K4096" s="4"/>
    </row>
    <row r="4097" spans="3:11" x14ac:dyDescent="0.25">
      <c r="C4097" s="79"/>
      <c r="D4097" s="248"/>
      <c r="E4097" s="248"/>
      <c r="F4097" s="47"/>
      <c r="G4097" s="79"/>
      <c r="J4097" s="99"/>
      <c r="K4097" s="4"/>
    </row>
    <row r="4098" spans="3:11" x14ac:dyDescent="0.25">
      <c r="C4098" s="79"/>
      <c r="D4098" s="248"/>
      <c r="E4098" s="248"/>
      <c r="F4098" s="47"/>
      <c r="G4098" s="79"/>
      <c r="J4098" s="99"/>
      <c r="K4098" s="4"/>
    </row>
    <row r="4099" spans="3:11" x14ac:dyDescent="0.25">
      <c r="C4099" s="79"/>
      <c r="D4099" s="248"/>
      <c r="E4099" s="248"/>
      <c r="F4099" s="47"/>
      <c r="G4099" s="79"/>
      <c r="J4099" s="99"/>
      <c r="K4099" s="4"/>
    </row>
    <row r="4100" spans="3:11" x14ac:dyDescent="0.25">
      <c r="C4100" s="79"/>
      <c r="D4100" s="248"/>
      <c r="E4100" s="248"/>
      <c r="F4100" s="47"/>
      <c r="G4100" s="79"/>
      <c r="J4100" s="99"/>
      <c r="K4100" s="4"/>
    </row>
    <row r="4101" spans="3:11" x14ac:dyDescent="0.25">
      <c r="C4101" s="79"/>
      <c r="D4101" s="248"/>
      <c r="E4101" s="248"/>
      <c r="F4101" s="47"/>
      <c r="G4101" s="79"/>
      <c r="J4101" s="99"/>
      <c r="K4101" s="4"/>
    </row>
    <row r="4102" spans="3:11" x14ac:dyDescent="0.25">
      <c r="C4102" s="79"/>
      <c r="D4102" s="248"/>
      <c r="E4102" s="248"/>
      <c r="F4102" s="47"/>
      <c r="G4102" s="79"/>
      <c r="J4102" s="99"/>
      <c r="K4102" s="4"/>
    </row>
    <row r="4103" spans="3:11" x14ac:dyDescent="0.25">
      <c r="C4103" s="79"/>
      <c r="D4103" s="248"/>
      <c r="E4103" s="248"/>
      <c r="F4103" s="47"/>
      <c r="G4103" s="79"/>
      <c r="J4103" s="99"/>
      <c r="K4103" s="4"/>
    </row>
    <row r="4104" spans="3:11" x14ac:dyDescent="0.25">
      <c r="C4104" s="79"/>
      <c r="D4104" s="248"/>
      <c r="E4104" s="248"/>
      <c r="F4104" s="47"/>
      <c r="G4104" s="79"/>
      <c r="J4104" s="99"/>
      <c r="K4104" s="4"/>
    </row>
    <row r="4105" spans="3:11" x14ac:dyDescent="0.25">
      <c r="C4105" s="79"/>
      <c r="D4105" s="248"/>
      <c r="E4105" s="248"/>
      <c r="F4105" s="47"/>
      <c r="G4105" s="79"/>
      <c r="J4105" s="99"/>
      <c r="K4105" s="4"/>
    </row>
    <row r="4106" spans="3:11" x14ac:dyDescent="0.25">
      <c r="C4106" s="79"/>
      <c r="D4106" s="248"/>
      <c r="E4106" s="248"/>
      <c r="F4106" s="47"/>
      <c r="G4106" s="79"/>
      <c r="J4106" s="99"/>
      <c r="K4106" s="4"/>
    </row>
    <row r="4107" spans="3:11" x14ac:dyDescent="0.25">
      <c r="C4107" s="79"/>
      <c r="D4107" s="248"/>
      <c r="E4107" s="248"/>
      <c r="F4107" s="47"/>
      <c r="G4107" s="79"/>
      <c r="J4107" s="99"/>
      <c r="K4107" s="4"/>
    </row>
    <row r="4108" spans="3:11" x14ac:dyDescent="0.25">
      <c r="C4108" s="79"/>
      <c r="D4108" s="248"/>
      <c r="E4108" s="248"/>
      <c r="F4108" s="47"/>
      <c r="G4108" s="79"/>
      <c r="J4108" s="99"/>
      <c r="K4108" s="4"/>
    </row>
    <row r="4109" spans="3:11" x14ac:dyDescent="0.25">
      <c r="C4109" s="79"/>
      <c r="D4109" s="248"/>
      <c r="E4109" s="248"/>
      <c r="F4109" s="47"/>
      <c r="G4109" s="79"/>
      <c r="J4109" s="99"/>
      <c r="K4109" s="4"/>
    </row>
    <row r="4110" spans="3:11" x14ac:dyDescent="0.25">
      <c r="C4110" s="79"/>
      <c r="D4110" s="248"/>
      <c r="E4110" s="248"/>
      <c r="F4110" s="47"/>
      <c r="G4110" s="79"/>
      <c r="J4110" s="99"/>
      <c r="K4110" s="4"/>
    </row>
    <row r="4111" spans="3:11" x14ac:dyDescent="0.25">
      <c r="C4111" s="79"/>
      <c r="D4111" s="248"/>
      <c r="E4111" s="248"/>
      <c r="F4111" s="47"/>
      <c r="G4111" s="79"/>
      <c r="J4111" s="99"/>
      <c r="K4111" s="4"/>
    </row>
    <row r="4112" spans="3:11" x14ac:dyDescent="0.25">
      <c r="C4112" s="79"/>
      <c r="D4112" s="248"/>
      <c r="E4112" s="248"/>
      <c r="F4112" s="47"/>
      <c r="G4112" s="79"/>
      <c r="J4112" s="99"/>
      <c r="K4112" s="4"/>
    </row>
    <row r="4113" spans="3:11" x14ac:dyDescent="0.25">
      <c r="C4113" s="79"/>
      <c r="D4113" s="248"/>
      <c r="E4113" s="248"/>
      <c r="F4113" s="47"/>
      <c r="G4113" s="79"/>
      <c r="J4113" s="99"/>
      <c r="K4113" s="4"/>
    </row>
    <row r="4114" spans="3:11" x14ac:dyDescent="0.25">
      <c r="C4114" s="79"/>
      <c r="D4114" s="248"/>
      <c r="E4114" s="248"/>
      <c r="F4114" s="47"/>
      <c r="G4114" s="79"/>
      <c r="J4114" s="99"/>
      <c r="K4114" s="4"/>
    </row>
    <row r="4115" spans="3:11" x14ac:dyDescent="0.25">
      <c r="C4115" s="79"/>
      <c r="D4115" s="248"/>
      <c r="E4115" s="248"/>
      <c r="F4115" s="47"/>
      <c r="G4115" s="79"/>
      <c r="J4115" s="99"/>
      <c r="K4115" s="4"/>
    </row>
    <row r="4116" spans="3:11" x14ac:dyDescent="0.25">
      <c r="C4116" s="79"/>
      <c r="D4116" s="248"/>
      <c r="E4116" s="248"/>
      <c r="F4116" s="47"/>
      <c r="G4116" s="79"/>
      <c r="J4116" s="99"/>
      <c r="K4116" s="4"/>
    </row>
    <row r="4117" spans="3:11" x14ac:dyDescent="0.25">
      <c r="C4117" s="79"/>
      <c r="D4117" s="248"/>
      <c r="E4117" s="248"/>
      <c r="F4117" s="47"/>
      <c r="G4117" s="79"/>
      <c r="J4117" s="99"/>
      <c r="K4117" s="4"/>
    </row>
    <row r="4118" spans="3:11" x14ac:dyDescent="0.25">
      <c r="C4118" s="79"/>
      <c r="D4118" s="248"/>
      <c r="E4118" s="248"/>
      <c r="F4118" s="47"/>
      <c r="G4118" s="79"/>
      <c r="J4118" s="99"/>
      <c r="K4118" s="4"/>
    </row>
    <row r="4119" spans="3:11" x14ac:dyDescent="0.25">
      <c r="C4119" s="79"/>
      <c r="D4119" s="248"/>
      <c r="E4119" s="248"/>
      <c r="F4119" s="47"/>
      <c r="G4119" s="79"/>
      <c r="J4119" s="99"/>
      <c r="K4119" s="4"/>
    </row>
    <row r="4120" spans="3:11" x14ac:dyDescent="0.25">
      <c r="C4120" s="79"/>
      <c r="D4120" s="248"/>
      <c r="E4120" s="248"/>
      <c r="F4120" s="47"/>
      <c r="G4120" s="79"/>
      <c r="J4120" s="99"/>
      <c r="K4120" s="4"/>
    </row>
    <row r="4121" spans="3:11" x14ac:dyDescent="0.25">
      <c r="C4121" s="79"/>
      <c r="D4121" s="248"/>
      <c r="E4121" s="248"/>
      <c r="F4121" s="47"/>
      <c r="G4121" s="79"/>
      <c r="J4121" s="99"/>
      <c r="K4121" s="4"/>
    </row>
    <row r="4122" spans="3:11" x14ac:dyDescent="0.25">
      <c r="C4122" s="79"/>
      <c r="D4122" s="248"/>
      <c r="E4122" s="248"/>
      <c r="F4122" s="47"/>
      <c r="G4122" s="79"/>
      <c r="J4122" s="99"/>
      <c r="K4122" s="4"/>
    </row>
    <row r="4123" spans="3:11" x14ac:dyDescent="0.25">
      <c r="C4123" s="79"/>
      <c r="D4123" s="248"/>
      <c r="E4123" s="248"/>
      <c r="F4123" s="47"/>
      <c r="G4123" s="79"/>
      <c r="J4123" s="99"/>
      <c r="K4123" s="4"/>
    </row>
    <row r="4124" spans="3:11" x14ac:dyDescent="0.25">
      <c r="C4124" s="79"/>
      <c r="D4124" s="248"/>
      <c r="E4124" s="248"/>
      <c r="F4124" s="47"/>
      <c r="G4124" s="79"/>
      <c r="J4124" s="99"/>
      <c r="K4124" s="4"/>
    </row>
    <row r="4125" spans="3:11" x14ac:dyDescent="0.25">
      <c r="C4125" s="79"/>
      <c r="D4125" s="248"/>
      <c r="E4125" s="248"/>
      <c r="F4125" s="47"/>
      <c r="G4125" s="79"/>
      <c r="J4125" s="99"/>
      <c r="K4125" s="4"/>
    </row>
    <row r="4126" spans="3:11" x14ac:dyDescent="0.25">
      <c r="C4126" s="79"/>
      <c r="D4126" s="248"/>
      <c r="E4126" s="248"/>
      <c r="F4126" s="47"/>
      <c r="G4126" s="79"/>
      <c r="J4126" s="99"/>
      <c r="K4126" s="4"/>
    </row>
    <row r="4127" spans="3:11" x14ac:dyDescent="0.25">
      <c r="C4127" s="79"/>
      <c r="D4127" s="248"/>
      <c r="E4127" s="248"/>
      <c r="F4127" s="47"/>
      <c r="G4127" s="79"/>
      <c r="J4127" s="99"/>
      <c r="K4127" s="4"/>
    </row>
    <row r="4128" spans="3:11" x14ac:dyDescent="0.25">
      <c r="C4128" s="79"/>
      <c r="D4128" s="248"/>
      <c r="E4128" s="248"/>
      <c r="F4128" s="47"/>
      <c r="G4128" s="79"/>
      <c r="J4128" s="99"/>
      <c r="K4128" s="4"/>
    </row>
    <row r="4129" spans="3:11" x14ac:dyDescent="0.25">
      <c r="C4129" s="79"/>
      <c r="D4129" s="248"/>
      <c r="E4129" s="248"/>
      <c r="F4129" s="47"/>
      <c r="G4129" s="79"/>
      <c r="J4129" s="99"/>
      <c r="K4129" s="4"/>
    </row>
    <row r="4130" spans="3:11" x14ac:dyDescent="0.25">
      <c r="C4130" s="79"/>
      <c r="D4130" s="248"/>
      <c r="E4130" s="248"/>
      <c r="F4130" s="47"/>
      <c r="G4130" s="79"/>
      <c r="J4130" s="99"/>
      <c r="K4130" s="4"/>
    </row>
    <row r="4131" spans="3:11" x14ac:dyDescent="0.25">
      <c r="C4131" s="79"/>
      <c r="D4131" s="248"/>
      <c r="E4131" s="248"/>
      <c r="F4131" s="47"/>
      <c r="G4131" s="79"/>
      <c r="J4131" s="99"/>
      <c r="K4131" s="4"/>
    </row>
    <row r="4132" spans="3:11" x14ac:dyDescent="0.25">
      <c r="C4132" s="79"/>
      <c r="D4132" s="248"/>
      <c r="E4132" s="248"/>
      <c r="F4132" s="47"/>
      <c r="G4132" s="79"/>
      <c r="J4132" s="99"/>
      <c r="K4132" s="4"/>
    </row>
    <row r="4133" spans="3:11" x14ac:dyDescent="0.25">
      <c r="C4133" s="79"/>
      <c r="D4133" s="248"/>
      <c r="E4133" s="248"/>
      <c r="F4133" s="47"/>
      <c r="G4133" s="79"/>
      <c r="J4133" s="99"/>
      <c r="K4133" s="4"/>
    </row>
    <row r="4134" spans="3:11" x14ac:dyDescent="0.25">
      <c r="C4134" s="79"/>
      <c r="D4134" s="248"/>
      <c r="E4134" s="248"/>
      <c r="F4134" s="47"/>
      <c r="G4134" s="79"/>
      <c r="J4134" s="99"/>
      <c r="K4134" s="4"/>
    </row>
    <row r="4135" spans="3:11" x14ac:dyDescent="0.25">
      <c r="C4135" s="79"/>
      <c r="D4135" s="248"/>
      <c r="E4135" s="248"/>
      <c r="F4135" s="47"/>
      <c r="G4135" s="79"/>
      <c r="J4135" s="99"/>
      <c r="K4135" s="4"/>
    </row>
    <row r="4136" spans="3:11" x14ac:dyDescent="0.25">
      <c r="C4136" s="79"/>
      <c r="D4136" s="248"/>
      <c r="E4136" s="248"/>
      <c r="F4136" s="47"/>
      <c r="G4136" s="79"/>
      <c r="J4136" s="99"/>
      <c r="K4136" s="4"/>
    </row>
    <row r="4137" spans="3:11" x14ac:dyDescent="0.25">
      <c r="C4137" s="79"/>
      <c r="D4137" s="248"/>
      <c r="E4137" s="248"/>
      <c r="F4137" s="47"/>
      <c r="G4137" s="79"/>
      <c r="J4137" s="99"/>
      <c r="K4137" s="4"/>
    </row>
    <row r="4138" spans="3:11" x14ac:dyDescent="0.25">
      <c r="C4138" s="79"/>
      <c r="D4138" s="248"/>
      <c r="E4138" s="248"/>
      <c r="F4138" s="47"/>
      <c r="G4138" s="79"/>
      <c r="J4138" s="99"/>
      <c r="K4138" s="4"/>
    </row>
    <row r="4139" spans="3:11" x14ac:dyDescent="0.25">
      <c r="C4139" s="79"/>
      <c r="D4139" s="248"/>
      <c r="E4139" s="248"/>
      <c r="F4139" s="47"/>
      <c r="G4139" s="79"/>
      <c r="J4139" s="99"/>
      <c r="K4139" s="4"/>
    </row>
    <row r="4140" spans="3:11" x14ac:dyDescent="0.25">
      <c r="C4140" s="79"/>
      <c r="D4140" s="248"/>
      <c r="E4140" s="248"/>
      <c r="F4140" s="47"/>
      <c r="G4140" s="79"/>
      <c r="J4140" s="99"/>
      <c r="K4140" s="4"/>
    </row>
    <row r="4141" spans="3:11" x14ac:dyDescent="0.25">
      <c r="C4141" s="79"/>
      <c r="D4141" s="248"/>
      <c r="E4141" s="248"/>
      <c r="F4141" s="47"/>
      <c r="G4141" s="79"/>
      <c r="J4141" s="99"/>
      <c r="K4141" s="4"/>
    </row>
    <row r="4142" spans="3:11" x14ac:dyDescent="0.25">
      <c r="C4142" s="79"/>
      <c r="D4142" s="248"/>
      <c r="E4142" s="248"/>
      <c r="F4142" s="47"/>
      <c r="G4142" s="79"/>
      <c r="J4142" s="99"/>
      <c r="K4142" s="4"/>
    </row>
    <row r="4143" spans="3:11" x14ac:dyDescent="0.25">
      <c r="C4143" s="79"/>
      <c r="D4143" s="248"/>
      <c r="E4143" s="248"/>
      <c r="F4143" s="47"/>
      <c r="G4143" s="79"/>
      <c r="J4143" s="99"/>
      <c r="K4143" s="4"/>
    </row>
    <row r="4144" spans="3:11" x14ac:dyDescent="0.25">
      <c r="C4144" s="79"/>
      <c r="D4144" s="248"/>
      <c r="E4144" s="248"/>
      <c r="F4144" s="47"/>
      <c r="G4144" s="79"/>
      <c r="J4144" s="99"/>
      <c r="K4144" s="4"/>
    </row>
    <row r="4145" spans="3:11" x14ac:dyDescent="0.25">
      <c r="C4145" s="79"/>
      <c r="D4145" s="248"/>
      <c r="E4145" s="248"/>
      <c r="F4145" s="47"/>
      <c r="G4145" s="79"/>
      <c r="J4145" s="99"/>
      <c r="K4145" s="4"/>
    </row>
    <row r="4146" spans="3:11" x14ac:dyDescent="0.25">
      <c r="C4146" s="79"/>
      <c r="D4146" s="248"/>
      <c r="E4146" s="248"/>
      <c r="F4146" s="47"/>
      <c r="G4146" s="79"/>
      <c r="J4146" s="99"/>
      <c r="K4146" s="4"/>
    </row>
    <row r="4147" spans="3:11" x14ac:dyDescent="0.25">
      <c r="C4147" s="79"/>
      <c r="D4147" s="248"/>
      <c r="E4147" s="248"/>
      <c r="F4147" s="47"/>
      <c r="G4147" s="79"/>
      <c r="J4147" s="99"/>
      <c r="K4147" s="4"/>
    </row>
    <row r="4148" spans="3:11" x14ac:dyDescent="0.25">
      <c r="C4148" s="79"/>
      <c r="D4148" s="248"/>
      <c r="E4148" s="248"/>
      <c r="F4148" s="47"/>
      <c r="G4148" s="79"/>
      <c r="J4148" s="99"/>
      <c r="K4148" s="4"/>
    </row>
    <row r="4149" spans="3:11" x14ac:dyDescent="0.25">
      <c r="C4149" s="79"/>
      <c r="D4149" s="248"/>
      <c r="E4149" s="248"/>
      <c r="F4149" s="47"/>
      <c r="G4149" s="79"/>
      <c r="J4149" s="99"/>
      <c r="K4149" s="4"/>
    </row>
    <row r="4150" spans="3:11" x14ac:dyDescent="0.25">
      <c r="C4150" s="79"/>
      <c r="D4150" s="248"/>
      <c r="E4150" s="248"/>
      <c r="F4150" s="47"/>
      <c r="G4150" s="79"/>
      <c r="J4150" s="99"/>
      <c r="K4150" s="4"/>
    </row>
    <row r="4151" spans="3:11" x14ac:dyDescent="0.25">
      <c r="C4151" s="79"/>
      <c r="D4151" s="248"/>
      <c r="E4151" s="248"/>
      <c r="F4151" s="47"/>
      <c r="G4151" s="79"/>
      <c r="J4151" s="99"/>
      <c r="K4151" s="4"/>
    </row>
    <row r="4152" spans="3:11" x14ac:dyDescent="0.25">
      <c r="C4152" s="79"/>
      <c r="D4152" s="248"/>
      <c r="E4152" s="248"/>
      <c r="F4152" s="47"/>
      <c r="G4152" s="79"/>
      <c r="J4152" s="99"/>
      <c r="K4152" s="4"/>
    </row>
    <row r="4153" spans="3:11" x14ac:dyDescent="0.25">
      <c r="C4153" s="79"/>
      <c r="D4153" s="248"/>
      <c r="E4153" s="248"/>
      <c r="F4153" s="47"/>
      <c r="G4153" s="79"/>
      <c r="J4153" s="99"/>
      <c r="K4153" s="4"/>
    </row>
    <row r="4154" spans="3:11" x14ac:dyDescent="0.25">
      <c r="C4154" s="79"/>
      <c r="D4154" s="248"/>
      <c r="E4154" s="248"/>
      <c r="F4154" s="47"/>
      <c r="G4154" s="79"/>
      <c r="J4154" s="99"/>
      <c r="K4154" s="4"/>
    </row>
    <row r="4155" spans="3:11" x14ac:dyDescent="0.25">
      <c r="C4155" s="79"/>
      <c r="D4155" s="248"/>
      <c r="E4155" s="248"/>
      <c r="F4155" s="47"/>
      <c r="G4155" s="79"/>
      <c r="J4155" s="99"/>
      <c r="K4155" s="4"/>
    </row>
    <row r="4156" spans="3:11" x14ac:dyDescent="0.25">
      <c r="C4156" s="79"/>
      <c r="D4156" s="248"/>
      <c r="E4156" s="248"/>
      <c r="F4156" s="47"/>
      <c r="G4156" s="79"/>
      <c r="J4156" s="99"/>
      <c r="K4156" s="4"/>
    </row>
    <row r="4157" spans="3:11" x14ac:dyDescent="0.25">
      <c r="C4157" s="79"/>
      <c r="D4157" s="248"/>
      <c r="E4157" s="248"/>
      <c r="F4157" s="47"/>
      <c r="G4157" s="79"/>
      <c r="J4157" s="99"/>
      <c r="K4157" s="4"/>
    </row>
    <row r="4158" spans="3:11" x14ac:dyDescent="0.25">
      <c r="C4158" s="79"/>
      <c r="D4158" s="248"/>
      <c r="E4158" s="248"/>
      <c r="F4158" s="47"/>
      <c r="G4158" s="79"/>
      <c r="J4158" s="99"/>
      <c r="K4158" s="4"/>
    </row>
    <row r="4159" spans="3:11" x14ac:dyDescent="0.25">
      <c r="C4159" s="79"/>
      <c r="D4159" s="248"/>
      <c r="E4159" s="248"/>
      <c r="F4159" s="47"/>
      <c r="G4159" s="79"/>
      <c r="J4159" s="99"/>
      <c r="K4159" s="4"/>
    </row>
    <row r="4160" spans="3:11" x14ac:dyDescent="0.25">
      <c r="C4160" s="79"/>
      <c r="D4160" s="248"/>
      <c r="E4160" s="248"/>
      <c r="F4160" s="47"/>
      <c r="G4160" s="79"/>
      <c r="J4160" s="99"/>
      <c r="K4160" s="4"/>
    </row>
    <row r="4161" spans="3:11" x14ac:dyDescent="0.25">
      <c r="C4161" s="79"/>
      <c r="D4161" s="248"/>
      <c r="E4161" s="248"/>
      <c r="F4161" s="47"/>
      <c r="G4161" s="79"/>
      <c r="J4161" s="99"/>
      <c r="K4161" s="4"/>
    </row>
    <row r="4162" spans="3:11" x14ac:dyDescent="0.25">
      <c r="C4162" s="79"/>
      <c r="D4162" s="248"/>
      <c r="E4162" s="248"/>
      <c r="F4162" s="47"/>
      <c r="G4162" s="79"/>
      <c r="J4162" s="99"/>
      <c r="K4162" s="4"/>
    </row>
    <row r="4163" spans="3:11" x14ac:dyDescent="0.25">
      <c r="C4163" s="79"/>
      <c r="D4163" s="248"/>
      <c r="E4163" s="248"/>
      <c r="F4163" s="47"/>
      <c r="G4163" s="79"/>
      <c r="J4163" s="99"/>
      <c r="K4163" s="4"/>
    </row>
    <row r="4164" spans="3:11" x14ac:dyDescent="0.25">
      <c r="C4164" s="79"/>
      <c r="D4164" s="248"/>
      <c r="E4164" s="248"/>
      <c r="F4164" s="47"/>
      <c r="G4164" s="79"/>
      <c r="J4164" s="99"/>
      <c r="K4164" s="4"/>
    </row>
    <row r="4165" spans="3:11" x14ac:dyDescent="0.25">
      <c r="C4165" s="79"/>
      <c r="D4165" s="248"/>
      <c r="E4165" s="248"/>
      <c r="F4165" s="47"/>
      <c r="G4165" s="79"/>
      <c r="J4165" s="99"/>
      <c r="K4165" s="4"/>
    </row>
    <row r="4166" spans="3:11" x14ac:dyDescent="0.25">
      <c r="C4166" s="79"/>
      <c r="D4166" s="248"/>
      <c r="E4166" s="248"/>
      <c r="F4166" s="47"/>
      <c r="G4166" s="79"/>
      <c r="J4166" s="99"/>
      <c r="K4166" s="4"/>
    </row>
    <row r="4167" spans="3:11" x14ac:dyDescent="0.25">
      <c r="C4167" s="79"/>
      <c r="D4167" s="248"/>
      <c r="E4167" s="248"/>
      <c r="F4167" s="47"/>
      <c r="G4167" s="79"/>
      <c r="J4167" s="99"/>
      <c r="K4167" s="4"/>
    </row>
    <row r="4168" spans="3:11" x14ac:dyDescent="0.25">
      <c r="C4168" s="79"/>
      <c r="D4168" s="248"/>
      <c r="E4168" s="248"/>
      <c r="F4168" s="47"/>
      <c r="G4168" s="79"/>
      <c r="J4168" s="99"/>
      <c r="K4168" s="4"/>
    </row>
    <row r="4169" spans="3:11" x14ac:dyDescent="0.25">
      <c r="C4169" s="79"/>
      <c r="D4169" s="248"/>
      <c r="E4169" s="248"/>
      <c r="F4169" s="47"/>
      <c r="G4169" s="79"/>
      <c r="J4169" s="99"/>
      <c r="K4169" s="4"/>
    </row>
    <row r="4170" spans="3:11" x14ac:dyDescent="0.25">
      <c r="C4170" s="79"/>
      <c r="D4170" s="248"/>
      <c r="E4170" s="248"/>
      <c r="F4170" s="47"/>
      <c r="G4170" s="79"/>
      <c r="J4170" s="99"/>
      <c r="K4170" s="4"/>
    </row>
    <row r="4171" spans="3:11" x14ac:dyDescent="0.25">
      <c r="C4171" s="79"/>
      <c r="D4171" s="248"/>
      <c r="E4171" s="248"/>
      <c r="F4171" s="47"/>
      <c r="G4171" s="79"/>
      <c r="J4171" s="99"/>
      <c r="K4171" s="4"/>
    </row>
    <row r="4172" spans="3:11" x14ac:dyDescent="0.25">
      <c r="C4172" s="79"/>
      <c r="D4172" s="248"/>
      <c r="E4172" s="248"/>
      <c r="F4172" s="47"/>
      <c r="G4172" s="79"/>
      <c r="J4172" s="99"/>
      <c r="K4172" s="4"/>
    </row>
    <row r="4173" spans="3:11" x14ac:dyDescent="0.25">
      <c r="C4173" s="79"/>
      <c r="D4173" s="248"/>
      <c r="E4173" s="248"/>
      <c r="F4173" s="47"/>
      <c r="G4173" s="79"/>
      <c r="J4173" s="99"/>
      <c r="K4173" s="4"/>
    </row>
    <row r="4174" spans="3:11" x14ac:dyDescent="0.25">
      <c r="C4174" s="79"/>
      <c r="D4174" s="248"/>
      <c r="E4174" s="248"/>
      <c r="F4174" s="47"/>
      <c r="G4174" s="79"/>
      <c r="J4174" s="99"/>
      <c r="K4174" s="4"/>
    </row>
    <row r="4175" spans="3:11" x14ac:dyDescent="0.25">
      <c r="C4175" s="79"/>
      <c r="D4175" s="248"/>
      <c r="E4175" s="248"/>
      <c r="F4175" s="47"/>
      <c r="G4175" s="79"/>
      <c r="J4175" s="99"/>
      <c r="K4175" s="4"/>
    </row>
    <row r="4176" spans="3:11" x14ac:dyDescent="0.25">
      <c r="C4176" s="79"/>
      <c r="D4176" s="248"/>
      <c r="E4176" s="248"/>
      <c r="F4176" s="47"/>
      <c r="G4176" s="79"/>
      <c r="J4176" s="99"/>
      <c r="K4176" s="4"/>
    </row>
    <row r="4177" spans="3:11" x14ac:dyDescent="0.25">
      <c r="C4177" s="79"/>
      <c r="D4177" s="248"/>
      <c r="E4177" s="248"/>
      <c r="F4177" s="47"/>
      <c r="G4177" s="79"/>
      <c r="J4177" s="99"/>
      <c r="K4177" s="4"/>
    </row>
    <row r="4178" spans="3:11" x14ac:dyDescent="0.25">
      <c r="C4178" s="79"/>
      <c r="D4178" s="248"/>
      <c r="E4178" s="248"/>
      <c r="F4178" s="47"/>
      <c r="G4178" s="79"/>
      <c r="J4178" s="99"/>
      <c r="K4178" s="4"/>
    </row>
    <row r="4179" spans="3:11" x14ac:dyDescent="0.25">
      <c r="C4179" s="79"/>
      <c r="D4179" s="248"/>
      <c r="E4179" s="248"/>
      <c r="F4179" s="47"/>
      <c r="G4179" s="79"/>
      <c r="J4179" s="99"/>
      <c r="K4179" s="4"/>
    </row>
    <row r="4180" spans="3:11" x14ac:dyDescent="0.25">
      <c r="C4180" s="79"/>
      <c r="D4180" s="248"/>
      <c r="E4180" s="248"/>
      <c r="F4180" s="47"/>
      <c r="G4180" s="79"/>
      <c r="J4180" s="99"/>
      <c r="K4180" s="4"/>
    </row>
    <row r="4181" spans="3:11" x14ac:dyDescent="0.25">
      <c r="C4181" s="79"/>
      <c r="D4181" s="248"/>
      <c r="E4181" s="248"/>
      <c r="F4181" s="47"/>
      <c r="G4181" s="79"/>
      <c r="J4181" s="99"/>
      <c r="K4181" s="4"/>
    </row>
    <row r="4182" spans="3:11" x14ac:dyDescent="0.25">
      <c r="C4182" s="79"/>
      <c r="D4182" s="248"/>
      <c r="E4182" s="248"/>
      <c r="F4182" s="47"/>
      <c r="G4182" s="79"/>
      <c r="J4182" s="99"/>
      <c r="K4182" s="4"/>
    </row>
    <row r="4183" spans="3:11" x14ac:dyDescent="0.25">
      <c r="C4183" s="79"/>
      <c r="D4183" s="248"/>
      <c r="E4183" s="248"/>
      <c r="F4183" s="47"/>
      <c r="G4183" s="79"/>
      <c r="J4183" s="99"/>
      <c r="K4183" s="4"/>
    </row>
    <row r="4184" spans="3:11" x14ac:dyDescent="0.25">
      <c r="C4184" s="79"/>
      <c r="D4184" s="248"/>
      <c r="E4184" s="248"/>
      <c r="F4184" s="47"/>
      <c r="G4184" s="79"/>
      <c r="J4184" s="99"/>
      <c r="K4184" s="4"/>
    </row>
    <row r="4185" spans="3:11" x14ac:dyDescent="0.25">
      <c r="C4185" s="79"/>
      <c r="D4185" s="248"/>
      <c r="E4185" s="248"/>
      <c r="F4185" s="47"/>
      <c r="G4185" s="79"/>
      <c r="J4185" s="99"/>
      <c r="K4185" s="4"/>
    </row>
    <row r="4186" spans="3:11" x14ac:dyDescent="0.25">
      <c r="C4186" s="79"/>
      <c r="D4186" s="248"/>
      <c r="E4186" s="248"/>
      <c r="F4186" s="47"/>
      <c r="G4186" s="79"/>
      <c r="J4186" s="99"/>
      <c r="K4186" s="4"/>
    </row>
    <row r="4187" spans="3:11" x14ac:dyDescent="0.25">
      <c r="C4187" s="79"/>
      <c r="D4187" s="248"/>
      <c r="E4187" s="248"/>
      <c r="F4187" s="47"/>
      <c r="G4187" s="79"/>
      <c r="J4187" s="99"/>
      <c r="K4187" s="4"/>
    </row>
    <row r="4188" spans="3:11" x14ac:dyDescent="0.25">
      <c r="C4188" s="79"/>
      <c r="D4188" s="248"/>
      <c r="E4188" s="248"/>
      <c r="F4188" s="47"/>
      <c r="G4188" s="79"/>
      <c r="J4188" s="99"/>
      <c r="K4188" s="4"/>
    </row>
    <row r="4189" spans="3:11" x14ac:dyDescent="0.25">
      <c r="C4189" s="79"/>
      <c r="D4189" s="248"/>
      <c r="E4189" s="248"/>
      <c r="F4189" s="47"/>
      <c r="G4189" s="79"/>
      <c r="J4189" s="99"/>
      <c r="K4189" s="4"/>
    </row>
    <row r="4190" spans="3:11" x14ac:dyDescent="0.25">
      <c r="C4190" s="79"/>
      <c r="D4190" s="248"/>
      <c r="E4190" s="248"/>
      <c r="F4190" s="47"/>
      <c r="G4190" s="79"/>
      <c r="J4190" s="99"/>
      <c r="K4190" s="4"/>
    </row>
    <row r="4191" spans="3:11" x14ac:dyDescent="0.25">
      <c r="C4191" s="79"/>
      <c r="D4191" s="248"/>
      <c r="E4191" s="248"/>
      <c r="F4191" s="47"/>
      <c r="G4191" s="79"/>
      <c r="J4191" s="99"/>
      <c r="K4191" s="4"/>
    </row>
    <row r="4192" spans="3:11" x14ac:dyDescent="0.25">
      <c r="C4192" s="79"/>
      <c r="D4192" s="248"/>
      <c r="E4192" s="248"/>
      <c r="F4192" s="47"/>
      <c r="G4192" s="79"/>
      <c r="J4192" s="99"/>
      <c r="K4192" s="4"/>
    </row>
    <row r="4193" spans="3:11" x14ac:dyDescent="0.25">
      <c r="C4193" s="79"/>
      <c r="D4193" s="248"/>
      <c r="E4193" s="248"/>
      <c r="F4193" s="47"/>
      <c r="G4193" s="79"/>
      <c r="J4193" s="99"/>
      <c r="K4193" s="4"/>
    </row>
    <row r="4194" spans="3:11" x14ac:dyDescent="0.25">
      <c r="C4194" s="79"/>
      <c r="D4194" s="248"/>
      <c r="E4194" s="248"/>
      <c r="F4194" s="47"/>
      <c r="G4194" s="79"/>
      <c r="J4194" s="99"/>
      <c r="K4194" s="4"/>
    </row>
    <row r="4195" spans="3:11" x14ac:dyDescent="0.25">
      <c r="C4195" s="79"/>
      <c r="D4195" s="248"/>
      <c r="E4195" s="248"/>
      <c r="F4195" s="47"/>
      <c r="G4195" s="79"/>
      <c r="J4195" s="99"/>
      <c r="K4195" s="4"/>
    </row>
    <row r="4196" spans="3:11" x14ac:dyDescent="0.25">
      <c r="C4196" s="79"/>
      <c r="D4196" s="248"/>
      <c r="E4196" s="248"/>
      <c r="F4196" s="47"/>
      <c r="G4196" s="79"/>
      <c r="J4196" s="99"/>
      <c r="K4196" s="4"/>
    </row>
    <row r="4197" spans="3:11" x14ac:dyDescent="0.25">
      <c r="C4197" s="79"/>
      <c r="D4197" s="248"/>
      <c r="E4197" s="248"/>
      <c r="F4197" s="47"/>
      <c r="G4197" s="79"/>
      <c r="J4197" s="99"/>
      <c r="K4197" s="4"/>
    </row>
    <row r="4198" spans="3:11" x14ac:dyDescent="0.25">
      <c r="C4198" s="79"/>
      <c r="D4198" s="248"/>
      <c r="E4198" s="248"/>
      <c r="F4198" s="47"/>
      <c r="G4198" s="79"/>
      <c r="J4198" s="99"/>
      <c r="K4198" s="4"/>
    </row>
    <row r="4199" spans="3:11" x14ac:dyDescent="0.25">
      <c r="C4199" s="79"/>
      <c r="D4199" s="248"/>
      <c r="E4199" s="248"/>
      <c r="F4199" s="47"/>
      <c r="G4199" s="79"/>
      <c r="J4199" s="99"/>
      <c r="K4199" s="4"/>
    </row>
    <row r="4200" spans="3:11" x14ac:dyDescent="0.25">
      <c r="C4200" s="79"/>
      <c r="D4200" s="248"/>
      <c r="E4200" s="248"/>
      <c r="F4200" s="47"/>
      <c r="G4200" s="79"/>
      <c r="J4200" s="99"/>
      <c r="K4200" s="4"/>
    </row>
    <row r="4201" spans="3:11" x14ac:dyDescent="0.25">
      <c r="C4201" s="79"/>
      <c r="D4201" s="248"/>
      <c r="E4201" s="248"/>
      <c r="F4201" s="47"/>
      <c r="G4201" s="79"/>
      <c r="J4201" s="99"/>
      <c r="K4201" s="4"/>
    </row>
    <row r="4202" spans="3:11" x14ac:dyDescent="0.25">
      <c r="C4202" s="79"/>
      <c r="D4202" s="248"/>
      <c r="E4202" s="248"/>
      <c r="F4202" s="47"/>
      <c r="G4202" s="79"/>
      <c r="J4202" s="99"/>
      <c r="K4202" s="4"/>
    </row>
    <row r="4203" spans="3:11" x14ac:dyDescent="0.25">
      <c r="C4203" s="79"/>
      <c r="D4203" s="248"/>
      <c r="E4203" s="248"/>
      <c r="F4203" s="47"/>
      <c r="G4203" s="79"/>
      <c r="J4203" s="99"/>
      <c r="K4203" s="4"/>
    </row>
    <row r="4204" spans="3:11" x14ac:dyDescent="0.25">
      <c r="C4204" s="79"/>
      <c r="D4204" s="248"/>
      <c r="E4204" s="248"/>
      <c r="F4204" s="47"/>
      <c r="G4204" s="79"/>
      <c r="J4204" s="99"/>
      <c r="K4204" s="4"/>
    </row>
    <row r="4205" spans="3:11" x14ac:dyDescent="0.25">
      <c r="C4205" s="79"/>
      <c r="D4205" s="248"/>
      <c r="E4205" s="248"/>
      <c r="F4205" s="47"/>
      <c r="G4205" s="79"/>
      <c r="J4205" s="99"/>
      <c r="K4205" s="4"/>
    </row>
    <row r="4206" spans="3:11" x14ac:dyDescent="0.25">
      <c r="C4206" s="79"/>
      <c r="D4206" s="248"/>
      <c r="E4206" s="248"/>
      <c r="F4206" s="47"/>
      <c r="G4206" s="79"/>
      <c r="J4206" s="99"/>
      <c r="K4206" s="4"/>
    </row>
    <row r="4207" spans="3:11" x14ac:dyDescent="0.25">
      <c r="C4207" s="79"/>
      <c r="D4207" s="248"/>
      <c r="E4207" s="248"/>
      <c r="F4207" s="47"/>
      <c r="G4207" s="79"/>
      <c r="J4207" s="99"/>
      <c r="K4207" s="4"/>
    </row>
    <row r="4208" spans="3:11" x14ac:dyDescent="0.25">
      <c r="C4208" s="79"/>
      <c r="D4208" s="248"/>
      <c r="E4208" s="248"/>
      <c r="F4208" s="47"/>
      <c r="G4208" s="79"/>
      <c r="J4208" s="99"/>
      <c r="K4208" s="4"/>
    </row>
    <row r="4209" spans="3:11" x14ac:dyDescent="0.25">
      <c r="C4209" s="79"/>
      <c r="D4209" s="248"/>
      <c r="E4209" s="248"/>
      <c r="F4209" s="47"/>
      <c r="G4209" s="79"/>
      <c r="J4209" s="99"/>
      <c r="K4209" s="4"/>
    </row>
    <row r="4210" spans="3:11" x14ac:dyDescent="0.25">
      <c r="C4210" s="79"/>
      <c r="D4210" s="248"/>
      <c r="E4210" s="248"/>
      <c r="F4210" s="47"/>
      <c r="G4210" s="79"/>
      <c r="J4210" s="99"/>
      <c r="K4210" s="4"/>
    </row>
    <row r="4211" spans="3:11" x14ac:dyDescent="0.25">
      <c r="C4211" s="79"/>
      <c r="D4211" s="248"/>
      <c r="E4211" s="248"/>
      <c r="F4211" s="47"/>
      <c r="G4211" s="79"/>
      <c r="J4211" s="99"/>
      <c r="K4211" s="4"/>
    </row>
    <row r="4212" spans="3:11" x14ac:dyDescent="0.25">
      <c r="C4212" s="79"/>
      <c r="D4212" s="248"/>
      <c r="E4212" s="248"/>
      <c r="F4212" s="47"/>
      <c r="G4212" s="79"/>
      <c r="J4212" s="99"/>
      <c r="K4212" s="4"/>
    </row>
    <row r="4213" spans="3:11" x14ac:dyDescent="0.25">
      <c r="C4213" s="79"/>
      <c r="D4213" s="248"/>
      <c r="E4213" s="248"/>
      <c r="F4213" s="47"/>
      <c r="G4213" s="79"/>
      <c r="J4213" s="99"/>
      <c r="K4213" s="4"/>
    </row>
    <row r="4214" spans="3:11" x14ac:dyDescent="0.25">
      <c r="C4214" s="79"/>
      <c r="D4214" s="248"/>
      <c r="E4214" s="248"/>
      <c r="F4214" s="47"/>
      <c r="G4214" s="79"/>
      <c r="J4214" s="99"/>
      <c r="K4214" s="4"/>
    </row>
    <row r="4215" spans="3:11" x14ac:dyDescent="0.25">
      <c r="C4215" s="79"/>
      <c r="D4215" s="248"/>
      <c r="E4215" s="248"/>
      <c r="F4215" s="47"/>
      <c r="G4215" s="79"/>
      <c r="J4215" s="99"/>
      <c r="K4215" s="4"/>
    </row>
    <row r="4216" spans="3:11" x14ac:dyDescent="0.25">
      <c r="C4216" s="79"/>
      <c r="D4216" s="248"/>
      <c r="E4216" s="248"/>
      <c r="F4216" s="47"/>
      <c r="G4216" s="79"/>
      <c r="J4216" s="99"/>
      <c r="K4216" s="4"/>
    </row>
    <row r="4217" spans="3:11" x14ac:dyDescent="0.25">
      <c r="C4217" s="79"/>
      <c r="D4217" s="248"/>
      <c r="E4217" s="248"/>
      <c r="F4217" s="47"/>
      <c r="G4217" s="79"/>
      <c r="J4217" s="99"/>
      <c r="K4217" s="4"/>
    </row>
    <row r="4218" spans="3:11" x14ac:dyDescent="0.25">
      <c r="C4218" s="79"/>
      <c r="D4218" s="248"/>
      <c r="E4218" s="248"/>
      <c r="F4218" s="47"/>
      <c r="G4218" s="79"/>
      <c r="J4218" s="99"/>
      <c r="K4218" s="4"/>
    </row>
    <row r="4219" spans="3:11" x14ac:dyDescent="0.25">
      <c r="C4219" s="79"/>
      <c r="D4219" s="248"/>
      <c r="E4219" s="248"/>
      <c r="F4219" s="47"/>
      <c r="G4219" s="79"/>
      <c r="J4219" s="99"/>
      <c r="K4219" s="4"/>
    </row>
    <row r="4220" spans="3:11" x14ac:dyDescent="0.25">
      <c r="C4220" s="79"/>
      <c r="D4220" s="248"/>
      <c r="E4220" s="248"/>
      <c r="F4220" s="47"/>
      <c r="G4220" s="79"/>
      <c r="J4220" s="99"/>
      <c r="K4220" s="4"/>
    </row>
    <row r="4221" spans="3:11" x14ac:dyDescent="0.25">
      <c r="C4221" s="79"/>
      <c r="D4221" s="248"/>
      <c r="E4221" s="248"/>
      <c r="F4221" s="47"/>
      <c r="G4221" s="79"/>
      <c r="J4221" s="99"/>
      <c r="K4221" s="4"/>
    </row>
    <row r="4222" spans="3:11" x14ac:dyDescent="0.25">
      <c r="C4222" s="79"/>
      <c r="D4222" s="248"/>
      <c r="E4222" s="248"/>
      <c r="F4222" s="47"/>
      <c r="G4222" s="79"/>
      <c r="J4222" s="99"/>
      <c r="K4222" s="4"/>
    </row>
    <row r="4223" spans="3:11" x14ac:dyDescent="0.25">
      <c r="C4223" s="79"/>
      <c r="D4223" s="248"/>
      <c r="E4223" s="248"/>
      <c r="F4223" s="47"/>
      <c r="G4223" s="79"/>
      <c r="J4223" s="99"/>
      <c r="K4223" s="4"/>
    </row>
    <row r="4224" spans="3:11" x14ac:dyDescent="0.25">
      <c r="C4224" s="79"/>
      <c r="D4224" s="248"/>
      <c r="E4224" s="248"/>
      <c r="F4224" s="47"/>
      <c r="G4224" s="79"/>
      <c r="J4224" s="99"/>
      <c r="K4224" s="4"/>
    </row>
    <row r="4225" spans="3:11" x14ac:dyDescent="0.25">
      <c r="C4225" s="79"/>
      <c r="D4225" s="248"/>
      <c r="E4225" s="248"/>
      <c r="F4225" s="47"/>
      <c r="G4225" s="79"/>
      <c r="J4225" s="99"/>
      <c r="K4225" s="4"/>
    </row>
    <row r="4226" spans="3:11" x14ac:dyDescent="0.25">
      <c r="C4226" s="79"/>
      <c r="D4226" s="248"/>
      <c r="E4226" s="248"/>
      <c r="F4226" s="47"/>
      <c r="G4226" s="79"/>
      <c r="J4226" s="99"/>
      <c r="K4226" s="4"/>
    </row>
    <row r="4227" spans="3:11" x14ac:dyDescent="0.25">
      <c r="C4227" s="79"/>
      <c r="D4227" s="248"/>
      <c r="E4227" s="248"/>
      <c r="F4227" s="47"/>
      <c r="G4227" s="79"/>
      <c r="J4227" s="99"/>
      <c r="K4227" s="4"/>
    </row>
    <row r="4228" spans="3:11" x14ac:dyDescent="0.25">
      <c r="C4228" s="79"/>
      <c r="D4228" s="248"/>
      <c r="E4228" s="248"/>
      <c r="F4228" s="47"/>
      <c r="G4228" s="79"/>
      <c r="J4228" s="99"/>
      <c r="K4228" s="4"/>
    </row>
    <row r="4229" spans="3:11" x14ac:dyDescent="0.25">
      <c r="C4229" s="79"/>
      <c r="D4229" s="248"/>
      <c r="E4229" s="248"/>
      <c r="F4229" s="47"/>
      <c r="G4229" s="79"/>
      <c r="J4229" s="99"/>
      <c r="K4229" s="4"/>
    </row>
    <row r="4230" spans="3:11" x14ac:dyDescent="0.25">
      <c r="C4230" s="79"/>
      <c r="D4230" s="248"/>
      <c r="E4230" s="248"/>
      <c r="F4230" s="47"/>
      <c r="G4230" s="79"/>
      <c r="J4230" s="99"/>
      <c r="K4230" s="4"/>
    </row>
    <row r="4231" spans="3:11" x14ac:dyDescent="0.25">
      <c r="C4231" s="79"/>
      <c r="D4231" s="248"/>
      <c r="E4231" s="248"/>
      <c r="F4231" s="47"/>
      <c r="G4231" s="79"/>
      <c r="J4231" s="99"/>
      <c r="K4231" s="4"/>
    </row>
    <row r="4232" spans="3:11" x14ac:dyDescent="0.25">
      <c r="C4232" s="79"/>
      <c r="D4232" s="248"/>
      <c r="E4232" s="248"/>
      <c r="F4232" s="47"/>
      <c r="G4232" s="79"/>
      <c r="J4232" s="99"/>
      <c r="K4232" s="4"/>
    </row>
    <row r="4233" spans="3:11" x14ac:dyDescent="0.25">
      <c r="C4233" s="79"/>
      <c r="D4233" s="248"/>
      <c r="E4233" s="248"/>
      <c r="F4233" s="47"/>
      <c r="G4233" s="79"/>
      <c r="J4233" s="99"/>
      <c r="K4233" s="4"/>
    </row>
    <row r="4234" spans="3:11" x14ac:dyDescent="0.25">
      <c r="C4234" s="79"/>
      <c r="D4234" s="248"/>
      <c r="E4234" s="248"/>
      <c r="F4234" s="47"/>
      <c r="G4234" s="79"/>
      <c r="J4234" s="99"/>
      <c r="K4234" s="4"/>
    </row>
    <row r="4235" spans="3:11" x14ac:dyDescent="0.25">
      <c r="C4235" s="79"/>
      <c r="D4235" s="248"/>
      <c r="E4235" s="248"/>
      <c r="F4235" s="47"/>
      <c r="G4235" s="79"/>
      <c r="J4235" s="99"/>
      <c r="K4235" s="4"/>
    </row>
    <row r="4236" spans="3:11" x14ac:dyDescent="0.25">
      <c r="C4236" s="79"/>
      <c r="D4236" s="248"/>
      <c r="E4236" s="248"/>
      <c r="F4236" s="47"/>
      <c r="G4236" s="79"/>
      <c r="J4236" s="99"/>
      <c r="K4236" s="4"/>
    </row>
    <row r="4237" spans="3:11" x14ac:dyDescent="0.25">
      <c r="C4237" s="79"/>
      <c r="D4237" s="248"/>
      <c r="E4237" s="248"/>
      <c r="F4237" s="47"/>
      <c r="G4237" s="79"/>
      <c r="J4237" s="99"/>
      <c r="K4237" s="4"/>
    </row>
    <row r="4238" spans="3:11" x14ac:dyDescent="0.25">
      <c r="C4238" s="79"/>
      <c r="D4238" s="248"/>
      <c r="E4238" s="248"/>
      <c r="F4238" s="47"/>
      <c r="G4238" s="79"/>
      <c r="J4238" s="99"/>
      <c r="K4238" s="4"/>
    </row>
    <row r="4239" spans="3:11" x14ac:dyDescent="0.25">
      <c r="C4239" s="79"/>
      <c r="D4239" s="248"/>
      <c r="E4239" s="248"/>
      <c r="F4239" s="47"/>
      <c r="G4239" s="79"/>
      <c r="J4239" s="99"/>
      <c r="K4239" s="4"/>
    </row>
    <row r="4240" spans="3:11" x14ac:dyDescent="0.25">
      <c r="C4240" s="79"/>
      <c r="D4240" s="248"/>
      <c r="E4240" s="248"/>
      <c r="F4240" s="47"/>
      <c r="G4240" s="79"/>
      <c r="J4240" s="99"/>
      <c r="K4240" s="4"/>
    </row>
    <row r="4241" spans="3:11" x14ac:dyDescent="0.25">
      <c r="C4241" s="79"/>
      <c r="D4241" s="248"/>
      <c r="E4241" s="248"/>
      <c r="F4241" s="47"/>
      <c r="G4241" s="79"/>
      <c r="J4241" s="99"/>
      <c r="K4241" s="4"/>
    </row>
    <row r="4242" spans="3:11" x14ac:dyDescent="0.25">
      <c r="C4242" s="79"/>
      <c r="D4242" s="248"/>
      <c r="E4242" s="248"/>
      <c r="F4242" s="47"/>
      <c r="G4242" s="79"/>
      <c r="J4242" s="99"/>
      <c r="K4242" s="4"/>
    </row>
    <row r="4243" spans="3:11" x14ac:dyDescent="0.25">
      <c r="C4243" s="79"/>
      <c r="D4243" s="248"/>
      <c r="E4243" s="248"/>
      <c r="F4243" s="47"/>
      <c r="G4243" s="79"/>
      <c r="J4243" s="99"/>
      <c r="K4243" s="4"/>
    </row>
    <row r="4244" spans="3:11" x14ac:dyDescent="0.25">
      <c r="C4244" s="79"/>
      <c r="D4244" s="248"/>
      <c r="E4244" s="248"/>
      <c r="F4244" s="47"/>
      <c r="G4244" s="79"/>
      <c r="J4244" s="99"/>
      <c r="K4244" s="4"/>
    </row>
    <row r="4245" spans="3:11" x14ac:dyDescent="0.25">
      <c r="C4245" s="79"/>
      <c r="D4245" s="248"/>
      <c r="E4245" s="248"/>
      <c r="F4245" s="47"/>
      <c r="G4245" s="79"/>
      <c r="J4245" s="99"/>
      <c r="K4245" s="4"/>
    </row>
    <row r="4246" spans="3:11" x14ac:dyDescent="0.25">
      <c r="C4246" s="79"/>
      <c r="D4246" s="248"/>
      <c r="E4246" s="248"/>
      <c r="F4246" s="47"/>
      <c r="G4246" s="79"/>
      <c r="J4246" s="99"/>
      <c r="K4246" s="4"/>
    </row>
    <row r="4247" spans="3:11" x14ac:dyDescent="0.25">
      <c r="C4247" s="79"/>
      <c r="D4247" s="248"/>
      <c r="E4247" s="248"/>
      <c r="F4247" s="47"/>
      <c r="G4247" s="79"/>
      <c r="J4247" s="99"/>
      <c r="K4247" s="4"/>
    </row>
    <row r="4248" spans="3:11" x14ac:dyDescent="0.25">
      <c r="C4248" s="79"/>
      <c r="D4248" s="248"/>
      <c r="E4248" s="248"/>
      <c r="F4248" s="47"/>
      <c r="G4248" s="79"/>
      <c r="J4248" s="99"/>
      <c r="K4248" s="4"/>
    </row>
    <row r="4249" spans="3:11" x14ac:dyDescent="0.25">
      <c r="C4249" s="79"/>
      <c r="D4249" s="248"/>
      <c r="E4249" s="248"/>
      <c r="F4249" s="47"/>
      <c r="G4249" s="79"/>
      <c r="J4249" s="99"/>
      <c r="K4249" s="4"/>
    </row>
    <row r="4250" spans="3:11" x14ac:dyDescent="0.25">
      <c r="C4250" s="79"/>
      <c r="D4250" s="248"/>
      <c r="E4250" s="248"/>
      <c r="F4250" s="47"/>
      <c r="G4250" s="79"/>
      <c r="J4250" s="99"/>
      <c r="K4250" s="4"/>
    </row>
    <row r="4251" spans="3:11" x14ac:dyDescent="0.25">
      <c r="C4251" s="79"/>
      <c r="D4251" s="248"/>
      <c r="E4251" s="248"/>
      <c r="F4251" s="47"/>
      <c r="G4251" s="79"/>
      <c r="J4251" s="99"/>
      <c r="K4251" s="4"/>
    </row>
    <row r="4252" spans="3:11" x14ac:dyDescent="0.25">
      <c r="C4252" s="79"/>
      <c r="D4252" s="248"/>
      <c r="E4252" s="248"/>
      <c r="F4252" s="47"/>
      <c r="G4252" s="79"/>
      <c r="J4252" s="99"/>
      <c r="K4252" s="4"/>
    </row>
    <row r="4253" spans="3:11" x14ac:dyDescent="0.25">
      <c r="C4253" s="79"/>
      <c r="D4253" s="248"/>
      <c r="E4253" s="248"/>
      <c r="F4253" s="47"/>
      <c r="G4253" s="79"/>
      <c r="J4253" s="99"/>
      <c r="K4253" s="4"/>
    </row>
    <row r="4254" spans="3:11" x14ac:dyDescent="0.25">
      <c r="C4254" s="79"/>
      <c r="D4254" s="248"/>
      <c r="E4254" s="248"/>
      <c r="F4254" s="47"/>
      <c r="G4254" s="79"/>
      <c r="J4254" s="99"/>
      <c r="K4254" s="4"/>
    </row>
    <row r="4255" spans="3:11" x14ac:dyDescent="0.25">
      <c r="C4255" s="79"/>
      <c r="D4255" s="248"/>
      <c r="E4255" s="248"/>
      <c r="F4255" s="47"/>
      <c r="G4255" s="79"/>
      <c r="J4255" s="99"/>
      <c r="K4255" s="4"/>
    </row>
    <row r="4256" spans="3:11" x14ac:dyDescent="0.25">
      <c r="C4256" s="79"/>
      <c r="D4256" s="248"/>
      <c r="E4256" s="248"/>
      <c r="F4256" s="47"/>
      <c r="G4256" s="79"/>
      <c r="J4256" s="99"/>
      <c r="K4256" s="4"/>
    </row>
    <row r="4257" spans="3:11" x14ac:dyDescent="0.25">
      <c r="C4257" s="79"/>
      <c r="D4257" s="248"/>
      <c r="E4257" s="248"/>
      <c r="F4257" s="47"/>
      <c r="G4257" s="79"/>
      <c r="J4257" s="99"/>
      <c r="K4257" s="4"/>
    </row>
    <row r="4258" spans="3:11" x14ac:dyDescent="0.25">
      <c r="C4258" s="79"/>
      <c r="D4258" s="248"/>
      <c r="E4258" s="248"/>
      <c r="F4258" s="47"/>
      <c r="G4258" s="79"/>
      <c r="J4258" s="99"/>
      <c r="K4258" s="4"/>
    </row>
    <row r="4259" spans="3:11" x14ac:dyDescent="0.25">
      <c r="C4259" s="79"/>
      <c r="D4259" s="248"/>
      <c r="E4259" s="248"/>
      <c r="F4259" s="47"/>
      <c r="G4259" s="79"/>
      <c r="J4259" s="99"/>
      <c r="K4259" s="4"/>
    </row>
    <row r="4260" spans="3:11" x14ac:dyDescent="0.25">
      <c r="C4260" s="79"/>
      <c r="D4260" s="248"/>
      <c r="E4260" s="248"/>
      <c r="F4260" s="47"/>
      <c r="G4260" s="79"/>
      <c r="J4260" s="99"/>
      <c r="K4260" s="4"/>
    </row>
    <row r="4261" spans="3:11" x14ac:dyDescent="0.25">
      <c r="C4261" s="79"/>
      <c r="D4261" s="248"/>
      <c r="E4261" s="248"/>
      <c r="F4261" s="47"/>
      <c r="G4261" s="79"/>
      <c r="J4261" s="99"/>
      <c r="K4261" s="4"/>
    </row>
    <row r="4262" spans="3:11" x14ac:dyDescent="0.25">
      <c r="C4262" s="79"/>
      <c r="D4262" s="248"/>
      <c r="E4262" s="248"/>
      <c r="F4262" s="47"/>
      <c r="G4262" s="79"/>
      <c r="J4262" s="99"/>
      <c r="K4262" s="4"/>
    </row>
    <row r="4263" spans="3:11" x14ac:dyDescent="0.25">
      <c r="C4263" s="79"/>
      <c r="D4263" s="248"/>
      <c r="E4263" s="248"/>
      <c r="F4263" s="47"/>
      <c r="G4263" s="79"/>
      <c r="J4263" s="99"/>
      <c r="K4263" s="4"/>
    </row>
    <row r="4264" spans="3:11" x14ac:dyDescent="0.25">
      <c r="C4264" s="79"/>
      <c r="D4264" s="248"/>
      <c r="E4264" s="248"/>
      <c r="F4264" s="47"/>
      <c r="G4264" s="79"/>
      <c r="J4264" s="99"/>
      <c r="K4264" s="4"/>
    </row>
    <row r="4265" spans="3:11" x14ac:dyDescent="0.25">
      <c r="C4265" s="79"/>
      <c r="D4265" s="248"/>
      <c r="E4265" s="248"/>
      <c r="F4265" s="47"/>
      <c r="G4265" s="79"/>
      <c r="J4265" s="99"/>
      <c r="K4265" s="4"/>
    </row>
    <row r="4266" spans="3:11" x14ac:dyDescent="0.25">
      <c r="C4266" s="79"/>
      <c r="D4266" s="248"/>
      <c r="E4266" s="248"/>
      <c r="F4266" s="47"/>
      <c r="G4266" s="79"/>
      <c r="J4266" s="99"/>
      <c r="K4266" s="4"/>
    </row>
    <row r="4267" spans="3:11" x14ac:dyDescent="0.25">
      <c r="C4267" s="79"/>
      <c r="D4267" s="248"/>
      <c r="E4267" s="248"/>
      <c r="F4267" s="47"/>
      <c r="G4267" s="79"/>
      <c r="J4267" s="99"/>
      <c r="K4267" s="4"/>
    </row>
    <row r="4268" spans="3:11" x14ac:dyDescent="0.25">
      <c r="C4268" s="79"/>
      <c r="D4268" s="248"/>
      <c r="E4268" s="248"/>
      <c r="F4268" s="47"/>
      <c r="G4268" s="79"/>
      <c r="J4268" s="99"/>
      <c r="K4268" s="4"/>
    </row>
    <row r="4269" spans="3:11" x14ac:dyDescent="0.25">
      <c r="C4269" s="79"/>
      <c r="D4269" s="248"/>
      <c r="E4269" s="248"/>
      <c r="F4269" s="47"/>
      <c r="G4269" s="79"/>
      <c r="J4269" s="99"/>
      <c r="K4269" s="4"/>
    </row>
    <row r="4270" spans="3:11" x14ac:dyDescent="0.25">
      <c r="C4270" s="79"/>
      <c r="D4270" s="248"/>
      <c r="E4270" s="248"/>
      <c r="F4270" s="47"/>
      <c r="G4270" s="79"/>
      <c r="J4270" s="99"/>
      <c r="K4270" s="4"/>
    </row>
    <row r="4271" spans="3:11" x14ac:dyDescent="0.25">
      <c r="C4271" s="79"/>
      <c r="D4271" s="248"/>
      <c r="E4271" s="248"/>
      <c r="F4271" s="47"/>
      <c r="G4271" s="79"/>
      <c r="J4271" s="99"/>
      <c r="K4271" s="4"/>
    </row>
    <row r="4272" spans="3:11" x14ac:dyDescent="0.25">
      <c r="C4272" s="79"/>
      <c r="D4272" s="248"/>
      <c r="E4272" s="248"/>
      <c r="F4272" s="47"/>
      <c r="G4272" s="79"/>
      <c r="J4272" s="99"/>
      <c r="K4272" s="4"/>
    </row>
    <row r="4273" spans="3:11" x14ac:dyDescent="0.25">
      <c r="C4273" s="79"/>
      <c r="D4273" s="248"/>
      <c r="E4273" s="248"/>
      <c r="F4273" s="47"/>
      <c r="G4273" s="79"/>
      <c r="J4273" s="99"/>
      <c r="K4273" s="4"/>
    </row>
    <row r="4274" spans="3:11" x14ac:dyDescent="0.25">
      <c r="C4274" s="79"/>
      <c r="D4274" s="248"/>
      <c r="E4274" s="248"/>
      <c r="F4274" s="47"/>
      <c r="G4274" s="79"/>
      <c r="J4274" s="99"/>
      <c r="K4274" s="4"/>
    </row>
    <row r="4275" spans="3:11" x14ac:dyDescent="0.25">
      <c r="C4275" s="79"/>
      <c r="D4275" s="248"/>
      <c r="E4275" s="248"/>
      <c r="F4275" s="47"/>
      <c r="G4275" s="79"/>
      <c r="J4275" s="99"/>
      <c r="K4275" s="4"/>
    </row>
    <row r="4276" spans="3:11" x14ac:dyDescent="0.25">
      <c r="C4276" s="79"/>
      <c r="D4276" s="248"/>
      <c r="E4276" s="248"/>
      <c r="F4276" s="47"/>
      <c r="G4276" s="79"/>
      <c r="J4276" s="99"/>
      <c r="K4276" s="4"/>
    </row>
    <row r="4277" spans="3:11" x14ac:dyDescent="0.25">
      <c r="C4277" s="79"/>
      <c r="D4277" s="248"/>
      <c r="E4277" s="248"/>
      <c r="F4277" s="47"/>
      <c r="G4277" s="79"/>
      <c r="J4277" s="99"/>
      <c r="K4277" s="4"/>
    </row>
    <row r="4278" spans="3:11" x14ac:dyDescent="0.25">
      <c r="C4278" s="79"/>
      <c r="D4278" s="248"/>
      <c r="E4278" s="248"/>
      <c r="F4278" s="47"/>
      <c r="G4278" s="79"/>
      <c r="J4278" s="99"/>
      <c r="K4278" s="4"/>
    </row>
    <row r="4279" spans="3:11" x14ac:dyDescent="0.25">
      <c r="C4279" s="79"/>
      <c r="D4279" s="248"/>
      <c r="E4279" s="248"/>
      <c r="F4279" s="47"/>
      <c r="G4279" s="79"/>
      <c r="J4279" s="99"/>
      <c r="K4279" s="4"/>
    </row>
    <row r="4280" spans="3:11" x14ac:dyDescent="0.25">
      <c r="C4280" s="79"/>
      <c r="D4280" s="248"/>
      <c r="E4280" s="248"/>
      <c r="F4280" s="47"/>
      <c r="G4280" s="79"/>
      <c r="J4280" s="99"/>
      <c r="K4280" s="4"/>
    </row>
    <row r="4281" spans="3:11" x14ac:dyDescent="0.25">
      <c r="C4281" s="79"/>
      <c r="D4281" s="248"/>
      <c r="E4281" s="248"/>
      <c r="F4281" s="47"/>
      <c r="G4281" s="79"/>
      <c r="J4281" s="99"/>
      <c r="K4281" s="4"/>
    </row>
    <row r="4282" spans="3:11" x14ac:dyDescent="0.25">
      <c r="C4282" s="79"/>
      <c r="D4282" s="248"/>
      <c r="E4282" s="248"/>
      <c r="F4282" s="47"/>
      <c r="G4282" s="79"/>
      <c r="J4282" s="99"/>
      <c r="K4282" s="4"/>
    </row>
    <row r="4283" spans="3:11" x14ac:dyDescent="0.25">
      <c r="C4283" s="79"/>
      <c r="D4283" s="248"/>
      <c r="E4283" s="248"/>
      <c r="F4283" s="47"/>
      <c r="G4283" s="79"/>
      <c r="J4283" s="99"/>
      <c r="K4283" s="4"/>
    </row>
    <row r="4284" spans="3:11" x14ac:dyDescent="0.25">
      <c r="C4284" s="79"/>
      <c r="D4284" s="248"/>
      <c r="E4284" s="248"/>
      <c r="F4284" s="47"/>
      <c r="G4284" s="79"/>
      <c r="J4284" s="99"/>
      <c r="K4284" s="4"/>
    </row>
    <row r="4285" spans="3:11" x14ac:dyDescent="0.25">
      <c r="C4285" s="79"/>
      <c r="D4285" s="248"/>
      <c r="E4285" s="248"/>
      <c r="F4285" s="47"/>
      <c r="G4285" s="79"/>
      <c r="J4285" s="99"/>
      <c r="K4285" s="4"/>
    </row>
    <row r="4286" spans="3:11" x14ac:dyDescent="0.25">
      <c r="C4286" s="79"/>
      <c r="D4286" s="248"/>
      <c r="E4286" s="248"/>
      <c r="F4286" s="47"/>
      <c r="G4286" s="79"/>
      <c r="J4286" s="99"/>
      <c r="K4286" s="4"/>
    </row>
    <row r="4287" spans="3:11" x14ac:dyDescent="0.25">
      <c r="C4287" s="79"/>
      <c r="D4287" s="248"/>
      <c r="E4287" s="248"/>
      <c r="F4287" s="47"/>
      <c r="G4287" s="79"/>
      <c r="J4287" s="99"/>
      <c r="K4287" s="4"/>
    </row>
    <row r="4288" spans="3:11" x14ac:dyDescent="0.25">
      <c r="C4288" s="79"/>
      <c r="D4288" s="248"/>
      <c r="E4288" s="248"/>
      <c r="F4288" s="47"/>
      <c r="G4288" s="79"/>
      <c r="J4288" s="99"/>
      <c r="K4288" s="4"/>
    </row>
    <row r="4289" spans="3:11" x14ac:dyDescent="0.25">
      <c r="C4289" s="79"/>
      <c r="D4289" s="248"/>
      <c r="E4289" s="248"/>
      <c r="F4289" s="47"/>
      <c r="G4289" s="79"/>
      <c r="J4289" s="99"/>
      <c r="K4289" s="4"/>
    </row>
    <row r="4290" spans="3:11" x14ac:dyDescent="0.25">
      <c r="C4290" s="79"/>
      <c r="D4290" s="248"/>
      <c r="E4290" s="248"/>
      <c r="F4290" s="47"/>
      <c r="G4290" s="79"/>
      <c r="J4290" s="99"/>
      <c r="K4290" s="4"/>
    </row>
    <row r="4291" spans="3:11" x14ac:dyDescent="0.25">
      <c r="C4291" s="79"/>
      <c r="D4291" s="248"/>
      <c r="E4291" s="248"/>
      <c r="F4291" s="47"/>
      <c r="G4291" s="79"/>
      <c r="J4291" s="99"/>
      <c r="K4291" s="4"/>
    </row>
    <row r="4292" spans="3:11" x14ac:dyDescent="0.25">
      <c r="C4292" s="79"/>
      <c r="D4292" s="248"/>
      <c r="E4292" s="248"/>
      <c r="F4292" s="47"/>
      <c r="G4292" s="79"/>
      <c r="J4292" s="99"/>
      <c r="K4292" s="4"/>
    </row>
    <row r="4293" spans="3:11" x14ac:dyDescent="0.25">
      <c r="C4293" s="79"/>
      <c r="D4293" s="248"/>
      <c r="E4293" s="248"/>
      <c r="F4293" s="47"/>
      <c r="G4293" s="79"/>
      <c r="J4293" s="99"/>
      <c r="K4293" s="4"/>
    </row>
    <row r="4294" spans="3:11" x14ac:dyDescent="0.25">
      <c r="C4294" s="79"/>
      <c r="D4294" s="248"/>
      <c r="E4294" s="248"/>
      <c r="F4294" s="47"/>
      <c r="G4294" s="79"/>
      <c r="J4294" s="99"/>
      <c r="K4294" s="4"/>
    </row>
    <row r="4295" spans="3:11" x14ac:dyDescent="0.25">
      <c r="C4295" s="79"/>
      <c r="D4295" s="248"/>
      <c r="E4295" s="248"/>
      <c r="F4295" s="47"/>
      <c r="G4295" s="79"/>
      <c r="J4295" s="99"/>
      <c r="K4295" s="4"/>
    </row>
    <row r="4296" spans="3:11" x14ac:dyDescent="0.25">
      <c r="C4296" s="79"/>
      <c r="D4296" s="248"/>
      <c r="E4296" s="248"/>
      <c r="F4296" s="47"/>
      <c r="G4296" s="79"/>
      <c r="J4296" s="99"/>
      <c r="K4296" s="4"/>
    </row>
    <row r="4297" spans="3:11" x14ac:dyDescent="0.25">
      <c r="C4297" s="79"/>
      <c r="D4297" s="248"/>
      <c r="E4297" s="248"/>
      <c r="F4297" s="47"/>
      <c r="G4297" s="79"/>
      <c r="J4297" s="99"/>
      <c r="K4297" s="4"/>
    </row>
    <row r="4298" spans="3:11" x14ac:dyDescent="0.25">
      <c r="C4298" s="79"/>
      <c r="D4298" s="248"/>
      <c r="E4298" s="248"/>
      <c r="F4298" s="47"/>
      <c r="G4298" s="79"/>
      <c r="J4298" s="99"/>
      <c r="K4298" s="4"/>
    </row>
    <row r="4299" spans="3:11" x14ac:dyDescent="0.25">
      <c r="C4299" s="79"/>
      <c r="D4299" s="248"/>
      <c r="E4299" s="248"/>
      <c r="F4299" s="47"/>
      <c r="G4299" s="79"/>
      <c r="J4299" s="99"/>
      <c r="K4299" s="4"/>
    </row>
    <row r="4300" spans="3:11" x14ac:dyDescent="0.25">
      <c r="C4300" s="79"/>
      <c r="D4300" s="248"/>
      <c r="E4300" s="248"/>
      <c r="F4300" s="47"/>
      <c r="G4300" s="79"/>
      <c r="J4300" s="99"/>
      <c r="K4300" s="4"/>
    </row>
    <row r="4301" spans="3:11" x14ac:dyDescent="0.25">
      <c r="C4301" s="79"/>
      <c r="D4301" s="248"/>
      <c r="E4301" s="248"/>
      <c r="F4301" s="47"/>
      <c r="G4301" s="79"/>
      <c r="J4301" s="99"/>
      <c r="K4301" s="4"/>
    </row>
    <row r="4302" spans="3:11" x14ac:dyDescent="0.25">
      <c r="C4302" s="79"/>
      <c r="D4302" s="248"/>
      <c r="E4302" s="248"/>
      <c r="F4302" s="47"/>
      <c r="G4302" s="79"/>
      <c r="J4302" s="99"/>
      <c r="K4302" s="4"/>
    </row>
    <row r="4303" spans="3:11" x14ac:dyDescent="0.25">
      <c r="C4303" s="79"/>
      <c r="D4303" s="248"/>
      <c r="E4303" s="248"/>
      <c r="F4303" s="47"/>
      <c r="G4303" s="79"/>
      <c r="J4303" s="99"/>
      <c r="K4303" s="4"/>
    </row>
    <row r="4304" spans="3:11" x14ac:dyDescent="0.25">
      <c r="C4304" s="79"/>
      <c r="D4304" s="248"/>
      <c r="E4304" s="248"/>
      <c r="F4304" s="47"/>
      <c r="G4304" s="79"/>
      <c r="J4304" s="99"/>
      <c r="K4304" s="4"/>
    </row>
    <row r="4305" spans="3:11" x14ac:dyDescent="0.25">
      <c r="C4305" s="79"/>
      <c r="D4305" s="248"/>
      <c r="E4305" s="248"/>
      <c r="F4305" s="47"/>
      <c r="G4305" s="79"/>
      <c r="J4305" s="99"/>
      <c r="K4305" s="4"/>
    </row>
    <row r="4306" spans="3:11" x14ac:dyDescent="0.25">
      <c r="C4306" s="79"/>
      <c r="D4306" s="248"/>
      <c r="E4306" s="248"/>
      <c r="F4306" s="47"/>
      <c r="G4306" s="79"/>
      <c r="J4306" s="99"/>
      <c r="K4306" s="4"/>
    </row>
    <row r="4307" spans="3:11" x14ac:dyDescent="0.25">
      <c r="C4307" s="79"/>
      <c r="D4307" s="248"/>
      <c r="E4307" s="248"/>
      <c r="F4307" s="47"/>
      <c r="G4307" s="79"/>
      <c r="J4307" s="99"/>
      <c r="K4307" s="4"/>
    </row>
    <row r="4308" spans="3:11" x14ac:dyDescent="0.25">
      <c r="C4308" s="79"/>
      <c r="D4308" s="248"/>
      <c r="E4308" s="248"/>
      <c r="F4308" s="47"/>
      <c r="G4308" s="79"/>
      <c r="J4308" s="99"/>
      <c r="K4308" s="4"/>
    </row>
    <row r="4309" spans="3:11" x14ac:dyDescent="0.25">
      <c r="C4309" s="79"/>
      <c r="D4309" s="248"/>
      <c r="E4309" s="248"/>
      <c r="F4309" s="47"/>
      <c r="G4309" s="79"/>
      <c r="J4309" s="99"/>
      <c r="K4309" s="4"/>
    </row>
    <row r="4310" spans="3:11" x14ac:dyDescent="0.25">
      <c r="C4310" s="79"/>
      <c r="D4310" s="248"/>
      <c r="E4310" s="248"/>
      <c r="F4310" s="47"/>
      <c r="G4310" s="79"/>
      <c r="J4310" s="99"/>
      <c r="K4310" s="4"/>
    </row>
    <row r="4311" spans="3:11" x14ac:dyDescent="0.25">
      <c r="C4311" s="79"/>
      <c r="D4311" s="248"/>
      <c r="E4311" s="248"/>
      <c r="F4311" s="47"/>
      <c r="G4311" s="79"/>
      <c r="J4311" s="99"/>
      <c r="K4311" s="4"/>
    </row>
    <row r="4312" spans="3:11" x14ac:dyDescent="0.25">
      <c r="C4312" s="79"/>
      <c r="D4312" s="248"/>
      <c r="E4312" s="248"/>
      <c r="F4312" s="47"/>
      <c r="G4312" s="79"/>
      <c r="J4312" s="99"/>
      <c r="K4312" s="4"/>
    </row>
    <row r="4313" spans="3:11" x14ac:dyDescent="0.25">
      <c r="C4313" s="79"/>
      <c r="D4313" s="248"/>
      <c r="E4313" s="248"/>
      <c r="F4313" s="47"/>
      <c r="G4313" s="79"/>
      <c r="J4313" s="99"/>
      <c r="K4313" s="4"/>
    </row>
    <row r="4314" spans="3:11" x14ac:dyDescent="0.25">
      <c r="C4314" s="79"/>
      <c r="D4314" s="248"/>
      <c r="E4314" s="248"/>
      <c r="F4314" s="47"/>
      <c r="G4314" s="79"/>
      <c r="J4314" s="99"/>
      <c r="K4314" s="4"/>
    </row>
    <row r="4315" spans="3:11" x14ac:dyDescent="0.25">
      <c r="C4315" s="79"/>
      <c r="D4315" s="248"/>
      <c r="E4315" s="248"/>
      <c r="F4315" s="47"/>
      <c r="G4315" s="79"/>
      <c r="J4315" s="99"/>
      <c r="K4315" s="4"/>
    </row>
    <row r="4316" spans="3:11" x14ac:dyDescent="0.25">
      <c r="C4316" s="79"/>
      <c r="D4316" s="248"/>
      <c r="E4316" s="248"/>
      <c r="F4316" s="47"/>
      <c r="G4316" s="79"/>
      <c r="J4316" s="99"/>
      <c r="K4316" s="4"/>
    </row>
    <row r="4317" spans="3:11" x14ac:dyDescent="0.25">
      <c r="C4317" s="79"/>
      <c r="D4317" s="248"/>
      <c r="E4317" s="248"/>
      <c r="F4317" s="47"/>
      <c r="G4317" s="79"/>
      <c r="J4317" s="99"/>
      <c r="K4317" s="4"/>
    </row>
    <row r="4318" spans="3:11" x14ac:dyDescent="0.25">
      <c r="C4318" s="79"/>
      <c r="D4318" s="248"/>
      <c r="E4318" s="248"/>
      <c r="F4318" s="47"/>
      <c r="G4318" s="79"/>
      <c r="J4318" s="99"/>
      <c r="K4318" s="4"/>
    </row>
    <row r="4319" spans="3:11" x14ac:dyDescent="0.25">
      <c r="C4319" s="79"/>
      <c r="D4319" s="248"/>
      <c r="E4319" s="248"/>
      <c r="F4319" s="47"/>
      <c r="G4319" s="79"/>
      <c r="J4319" s="99"/>
      <c r="K4319" s="4"/>
    </row>
    <row r="4320" spans="3:11" x14ac:dyDescent="0.25">
      <c r="C4320" s="79"/>
      <c r="D4320" s="248"/>
      <c r="E4320" s="248"/>
      <c r="F4320" s="47"/>
      <c r="G4320" s="79"/>
      <c r="J4320" s="99"/>
      <c r="K4320" s="4"/>
    </row>
    <row r="4321" spans="3:11" x14ac:dyDescent="0.25">
      <c r="C4321" s="79"/>
      <c r="D4321" s="248"/>
      <c r="E4321" s="248"/>
      <c r="F4321" s="47"/>
      <c r="G4321" s="79"/>
      <c r="J4321" s="99"/>
      <c r="K4321" s="4"/>
    </row>
    <row r="4322" spans="3:11" x14ac:dyDescent="0.25">
      <c r="C4322" s="79"/>
      <c r="D4322" s="248"/>
      <c r="E4322" s="248"/>
      <c r="F4322" s="47"/>
      <c r="G4322" s="79"/>
      <c r="J4322" s="99"/>
      <c r="K4322" s="4"/>
    </row>
    <row r="4323" spans="3:11" x14ac:dyDescent="0.25">
      <c r="C4323" s="79"/>
      <c r="D4323" s="248"/>
      <c r="E4323" s="248"/>
      <c r="F4323" s="47"/>
      <c r="G4323" s="79"/>
      <c r="J4323" s="99"/>
      <c r="K4323" s="4"/>
    </row>
    <row r="4324" spans="3:11" x14ac:dyDescent="0.25">
      <c r="C4324" s="79"/>
      <c r="D4324" s="248"/>
      <c r="E4324" s="248"/>
      <c r="F4324" s="47"/>
      <c r="G4324" s="79"/>
      <c r="J4324" s="99"/>
      <c r="K4324" s="4"/>
    </row>
    <row r="4325" spans="3:11" x14ac:dyDescent="0.25">
      <c r="C4325" s="79"/>
      <c r="D4325" s="248"/>
      <c r="E4325" s="248"/>
      <c r="F4325" s="47"/>
      <c r="G4325" s="79"/>
      <c r="J4325" s="99"/>
      <c r="K4325" s="4"/>
    </row>
    <row r="4326" spans="3:11" x14ac:dyDescent="0.25">
      <c r="C4326" s="79"/>
      <c r="D4326" s="248"/>
      <c r="E4326" s="248"/>
      <c r="F4326" s="47"/>
      <c r="G4326" s="79"/>
      <c r="J4326" s="99"/>
      <c r="K4326" s="4"/>
    </row>
    <row r="4327" spans="3:11" x14ac:dyDescent="0.25">
      <c r="C4327" s="79"/>
      <c r="D4327" s="248"/>
      <c r="E4327" s="248"/>
      <c r="F4327" s="47"/>
      <c r="G4327" s="79"/>
      <c r="J4327" s="99"/>
      <c r="K4327" s="4"/>
    </row>
    <row r="4328" spans="3:11" x14ac:dyDescent="0.25">
      <c r="C4328" s="79"/>
      <c r="D4328" s="248"/>
      <c r="E4328" s="248"/>
      <c r="F4328" s="47"/>
      <c r="G4328" s="79"/>
      <c r="J4328" s="99"/>
      <c r="K4328" s="4"/>
    </row>
    <row r="4329" spans="3:11" x14ac:dyDescent="0.25">
      <c r="C4329" s="79"/>
      <c r="D4329" s="248"/>
      <c r="E4329" s="248"/>
      <c r="F4329" s="47"/>
      <c r="G4329" s="79"/>
      <c r="J4329" s="99"/>
      <c r="K4329" s="4"/>
    </row>
    <row r="4330" spans="3:11" x14ac:dyDescent="0.25">
      <c r="C4330" s="79"/>
      <c r="D4330" s="248"/>
      <c r="E4330" s="248"/>
      <c r="F4330" s="47"/>
      <c r="G4330" s="79"/>
      <c r="J4330" s="99"/>
      <c r="K4330" s="4"/>
    </row>
    <row r="4331" spans="3:11" x14ac:dyDescent="0.25">
      <c r="C4331" s="79"/>
      <c r="D4331" s="248"/>
      <c r="E4331" s="248"/>
      <c r="F4331" s="47"/>
      <c r="G4331" s="79"/>
      <c r="J4331" s="99"/>
      <c r="K4331" s="4"/>
    </row>
    <row r="4332" spans="3:11" x14ac:dyDescent="0.25">
      <c r="C4332" s="79"/>
      <c r="D4332" s="248"/>
      <c r="E4332" s="248"/>
      <c r="F4332" s="47"/>
      <c r="G4332" s="79"/>
      <c r="J4332" s="99"/>
      <c r="K4332" s="4"/>
    </row>
    <row r="4333" spans="3:11" x14ac:dyDescent="0.25">
      <c r="C4333" s="79"/>
      <c r="D4333" s="248"/>
      <c r="E4333" s="248"/>
      <c r="F4333" s="47"/>
      <c r="G4333" s="79"/>
      <c r="J4333" s="99"/>
      <c r="K4333" s="4"/>
    </row>
    <row r="4334" spans="3:11" x14ac:dyDescent="0.25">
      <c r="C4334" s="79"/>
      <c r="D4334" s="248"/>
      <c r="E4334" s="248"/>
      <c r="F4334" s="47"/>
      <c r="G4334" s="79"/>
      <c r="J4334" s="99"/>
      <c r="K4334" s="4"/>
    </row>
    <row r="4335" spans="3:11" x14ac:dyDescent="0.25">
      <c r="C4335" s="79"/>
      <c r="D4335" s="248"/>
      <c r="E4335" s="248"/>
      <c r="F4335" s="47"/>
      <c r="G4335" s="79"/>
      <c r="J4335" s="99"/>
      <c r="K4335" s="4"/>
    </row>
    <row r="4336" spans="3:11" x14ac:dyDescent="0.25">
      <c r="C4336" s="79"/>
      <c r="D4336" s="248"/>
      <c r="E4336" s="248"/>
      <c r="F4336" s="47"/>
      <c r="G4336" s="79"/>
      <c r="J4336" s="99"/>
      <c r="K4336" s="4"/>
    </row>
    <row r="4337" spans="3:11" x14ac:dyDescent="0.25">
      <c r="C4337" s="79"/>
      <c r="D4337" s="248"/>
      <c r="E4337" s="248"/>
      <c r="F4337" s="47"/>
      <c r="G4337" s="79"/>
      <c r="J4337" s="99"/>
      <c r="K4337" s="4"/>
    </row>
    <row r="4338" spans="3:11" x14ac:dyDescent="0.25">
      <c r="C4338" s="79"/>
      <c r="D4338" s="248"/>
      <c r="E4338" s="248"/>
      <c r="F4338" s="47"/>
      <c r="G4338" s="79"/>
      <c r="J4338" s="99"/>
      <c r="K4338" s="4"/>
    </row>
    <row r="4339" spans="3:11" x14ac:dyDescent="0.25">
      <c r="C4339" s="79"/>
      <c r="D4339" s="248"/>
      <c r="E4339" s="248"/>
      <c r="F4339" s="47"/>
      <c r="G4339" s="79"/>
      <c r="J4339" s="99"/>
      <c r="K4339" s="4"/>
    </row>
    <row r="4340" spans="3:11" x14ac:dyDescent="0.25">
      <c r="C4340" s="79"/>
      <c r="D4340" s="248"/>
      <c r="E4340" s="248"/>
      <c r="F4340" s="47"/>
      <c r="G4340" s="79"/>
      <c r="J4340" s="99"/>
      <c r="K4340" s="4"/>
    </row>
    <row r="4341" spans="3:11" x14ac:dyDescent="0.25">
      <c r="C4341" s="79"/>
      <c r="D4341" s="248"/>
      <c r="E4341" s="248"/>
      <c r="F4341" s="47"/>
      <c r="G4341" s="79"/>
      <c r="J4341" s="99"/>
      <c r="K4341" s="4"/>
    </row>
    <row r="4342" spans="3:11" x14ac:dyDescent="0.25">
      <c r="C4342" s="79"/>
      <c r="D4342" s="248"/>
      <c r="E4342" s="248"/>
      <c r="F4342" s="47"/>
      <c r="G4342" s="79"/>
      <c r="J4342" s="99"/>
      <c r="K4342" s="4"/>
    </row>
    <row r="4343" spans="3:11" x14ac:dyDescent="0.25">
      <c r="C4343" s="79"/>
      <c r="D4343" s="248"/>
      <c r="E4343" s="248"/>
      <c r="F4343" s="47"/>
      <c r="G4343" s="79"/>
      <c r="J4343" s="99"/>
      <c r="K4343" s="4"/>
    </row>
    <row r="4344" spans="3:11" x14ac:dyDescent="0.25">
      <c r="C4344" s="79"/>
      <c r="D4344" s="248"/>
      <c r="E4344" s="248"/>
      <c r="F4344" s="47"/>
      <c r="G4344" s="79"/>
      <c r="J4344" s="99"/>
      <c r="K4344" s="4"/>
    </row>
    <row r="4345" spans="3:11" x14ac:dyDescent="0.25">
      <c r="C4345" s="79"/>
      <c r="D4345" s="248"/>
      <c r="E4345" s="248"/>
      <c r="F4345" s="47"/>
      <c r="G4345" s="79"/>
      <c r="J4345" s="99"/>
      <c r="K4345" s="4"/>
    </row>
    <row r="4346" spans="3:11" x14ac:dyDescent="0.25">
      <c r="C4346" s="79"/>
      <c r="D4346" s="248"/>
      <c r="E4346" s="248"/>
      <c r="F4346" s="47"/>
      <c r="G4346" s="79"/>
      <c r="J4346" s="99"/>
      <c r="K4346" s="4"/>
    </row>
    <row r="4347" spans="3:11" x14ac:dyDescent="0.25">
      <c r="C4347" s="79"/>
      <c r="D4347" s="248"/>
      <c r="E4347" s="248"/>
      <c r="F4347" s="47"/>
      <c r="G4347" s="79"/>
      <c r="J4347" s="99"/>
      <c r="K4347" s="4"/>
    </row>
    <row r="4348" spans="3:11" x14ac:dyDescent="0.25">
      <c r="C4348" s="79"/>
      <c r="D4348" s="248"/>
      <c r="E4348" s="248"/>
      <c r="F4348" s="47"/>
      <c r="G4348" s="79"/>
      <c r="J4348" s="99"/>
      <c r="K4348" s="4"/>
    </row>
    <row r="4349" spans="3:11" x14ac:dyDescent="0.25">
      <c r="C4349" s="79"/>
      <c r="D4349" s="248"/>
      <c r="E4349" s="248"/>
      <c r="F4349" s="47"/>
      <c r="G4349" s="79"/>
      <c r="J4349" s="99"/>
      <c r="K4349" s="4"/>
    </row>
    <row r="4350" spans="3:11" x14ac:dyDescent="0.25">
      <c r="C4350" s="79"/>
      <c r="D4350" s="248"/>
      <c r="E4350" s="248"/>
      <c r="F4350" s="47"/>
      <c r="G4350" s="79"/>
      <c r="J4350" s="99"/>
      <c r="K4350" s="4"/>
    </row>
    <row r="4351" spans="3:11" x14ac:dyDescent="0.25">
      <c r="C4351" s="79"/>
      <c r="D4351" s="248"/>
      <c r="E4351" s="248"/>
      <c r="F4351" s="47"/>
      <c r="G4351" s="79"/>
      <c r="J4351" s="99"/>
      <c r="K4351" s="4"/>
    </row>
    <row r="4352" spans="3:11" x14ac:dyDescent="0.25">
      <c r="C4352" s="79"/>
      <c r="D4352" s="248"/>
      <c r="E4352" s="248"/>
      <c r="F4352" s="47"/>
      <c r="G4352" s="79"/>
      <c r="J4352" s="99"/>
      <c r="K4352" s="4"/>
    </row>
    <row r="4353" spans="3:11" x14ac:dyDescent="0.25">
      <c r="C4353" s="79"/>
      <c r="D4353" s="248"/>
      <c r="E4353" s="248"/>
      <c r="F4353" s="47"/>
      <c r="G4353" s="79"/>
      <c r="J4353" s="99"/>
      <c r="K4353" s="4"/>
    </row>
    <row r="4354" spans="3:11" x14ac:dyDescent="0.25">
      <c r="C4354" s="79"/>
      <c r="D4354" s="248"/>
      <c r="E4354" s="248"/>
      <c r="F4354" s="47"/>
      <c r="G4354" s="79"/>
      <c r="J4354" s="99"/>
      <c r="K4354" s="4"/>
    </row>
    <row r="4355" spans="3:11" x14ac:dyDescent="0.25">
      <c r="C4355" s="79"/>
      <c r="D4355" s="248"/>
      <c r="E4355" s="248"/>
      <c r="F4355" s="47"/>
      <c r="G4355" s="79"/>
      <c r="J4355" s="99"/>
      <c r="K4355" s="4"/>
    </row>
    <row r="4356" spans="3:11" x14ac:dyDescent="0.25">
      <c r="C4356" s="79"/>
      <c r="D4356" s="248"/>
      <c r="E4356" s="248"/>
      <c r="F4356" s="47"/>
      <c r="G4356" s="79"/>
      <c r="J4356" s="99"/>
      <c r="K4356" s="4"/>
    </row>
    <row r="4357" spans="3:11" x14ac:dyDescent="0.25">
      <c r="C4357" s="79"/>
      <c r="D4357" s="248"/>
      <c r="E4357" s="248"/>
      <c r="F4357" s="47"/>
      <c r="G4357" s="79"/>
      <c r="J4357" s="99"/>
      <c r="K4357" s="4"/>
    </row>
    <row r="4358" spans="3:11" x14ac:dyDescent="0.25">
      <c r="C4358" s="79"/>
      <c r="D4358" s="248"/>
      <c r="E4358" s="248"/>
      <c r="F4358" s="47"/>
      <c r="G4358" s="79"/>
      <c r="J4358" s="99"/>
      <c r="K4358" s="4"/>
    </row>
    <row r="4359" spans="3:11" x14ac:dyDescent="0.25">
      <c r="C4359" s="79"/>
      <c r="D4359" s="248"/>
      <c r="E4359" s="248"/>
      <c r="F4359" s="47"/>
      <c r="G4359" s="79"/>
      <c r="J4359" s="99"/>
      <c r="K4359" s="4"/>
    </row>
    <row r="4360" spans="3:11" x14ac:dyDescent="0.25">
      <c r="C4360" s="79"/>
      <c r="D4360" s="248"/>
      <c r="E4360" s="248"/>
      <c r="F4360" s="47"/>
      <c r="G4360" s="79"/>
      <c r="J4360" s="99"/>
      <c r="K4360" s="4"/>
    </row>
    <row r="4361" spans="3:11" x14ac:dyDescent="0.25">
      <c r="C4361" s="79"/>
      <c r="D4361" s="248"/>
      <c r="E4361" s="248"/>
      <c r="F4361" s="47"/>
      <c r="G4361" s="79"/>
      <c r="J4361" s="99"/>
      <c r="K4361" s="4"/>
    </row>
    <row r="4362" spans="3:11" x14ac:dyDescent="0.25">
      <c r="C4362" s="79"/>
      <c r="D4362" s="248"/>
      <c r="E4362" s="248"/>
      <c r="F4362" s="47"/>
      <c r="G4362" s="79"/>
      <c r="J4362" s="99"/>
      <c r="K4362" s="4"/>
    </row>
    <row r="4363" spans="3:11" x14ac:dyDescent="0.25">
      <c r="C4363" s="79"/>
      <c r="D4363" s="248"/>
      <c r="E4363" s="248"/>
      <c r="F4363" s="47"/>
      <c r="G4363" s="79"/>
      <c r="J4363" s="99"/>
      <c r="K4363" s="4"/>
    </row>
    <row r="4364" spans="3:11" x14ac:dyDescent="0.25">
      <c r="C4364" s="79"/>
      <c r="D4364" s="248"/>
      <c r="E4364" s="248"/>
      <c r="F4364" s="47"/>
      <c r="G4364" s="79"/>
      <c r="J4364" s="99"/>
      <c r="K4364" s="4"/>
    </row>
    <row r="4365" spans="3:11" x14ac:dyDescent="0.25">
      <c r="C4365" s="79"/>
      <c r="D4365" s="248"/>
      <c r="E4365" s="248"/>
      <c r="F4365" s="47"/>
      <c r="G4365" s="79"/>
      <c r="J4365" s="99"/>
      <c r="K4365" s="4"/>
    </row>
    <row r="4366" spans="3:11" x14ac:dyDescent="0.25">
      <c r="C4366" s="79"/>
      <c r="D4366" s="248"/>
      <c r="E4366" s="248"/>
      <c r="F4366" s="47"/>
      <c r="G4366" s="79"/>
      <c r="J4366" s="99"/>
      <c r="K4366" s="4"/>
    </row>
    <row r="4367" spans="3:11" x14ac:dyDescent="0.25">
      <c r="C4367" s="79"/>
      <c r="D4367" s="248"/>
      <c r="E4367" s="248"/>
      <c r="F4367" s="47"/>
      <c r="G4367" s="79"/>
      <c r="J4367" s="99"/>
      <c r="K4367" s="4"/>
    </row>
    <row r="4368" spans="3:11" x14ac:dyDescent="0.25">
      <c r="C4368" s="79"/>
      <c r="D4368" s="248"/>
      <c r="E4368" s="248"/>
      <c r="F4368" s="47"/>
      <c r="G4368" s="79"/>
      <c r="J4368" s="99"/>
      <c r="K4368" s="4"/>
    </row>
    <row r="4369" spans="3:11" x14ac:dyDescent="0.25">
      <c r="C4369" s="79"/>
      <c r="D4369" s="248"/>
      <c r="E4369" s="248"/>
      <c r="F4369" s="47"/>
      <c r="G4369" s="79"/>
      <c r="J4369" s="99"/>
      <c r="K4369" s="4"/>
    </row>
    <row r="4370" spans="3:11" x14ac:dyDescent="0.25">
      <c r="C4370" s="79"/>
      <c r="D4370" s="248"/>
      <c r="E4370" s="248"/>
      <c r="F4370" s="47"/>
      <c r="G4370" s="79"/>
      <c r="J4370" s="99"/>
      <c r="K4370" s="4"/>
    </row>
    <row r="4371" spans="3:11" x14ac:dyDescent="0.25">
      <c r="C4371" s="79"/>
      <c r="D4371" s="248"/>
      <c r="E4371" s="248"/>
      <c r="F4371" s="47"/>
      <c r="G4371" s="79"/>
      <c r="J4371" s="99"/>
      <c r="K4371" s="4"/>
    </row>
    <row r="4372" spans="3:11" x14ac:dyDescent="0.25">
      <c r="C4372" s="79"/>
      <c r="D4372" s="248"/>
      <c r="E4372" s="248"/>
      <c r="F4372" s="47"/>
      <c r="G4372" s="79"/>
      <c r="J4372" s="99"/>
      <c r="K4372" s="4"/>
    </row>
    <row r="4373" spans="3:11" x14ac:dyDescent="0.25">
      <c r="C4373" s="79"/>
      <c r="D4373" s="248"/>
      <c r="E4373" s="248"/>
      <c r="F4373" s="47"/>
      <c r="G4373" s="79"/>
      <c r="J4373" s="99"/>
      <c r="K4373" s="4"/>
    </row>
    <row r="4374" spans="3:11" x14ac:dyDescent="0.25">
      <c r="C4374" s="79"/>
      <c r="D4374" s="248"/>
      <c r="E4374" s="248"/>
      <c r="F4374" s="47"/>
      <c r="G4374" s="79"/>
      <c r="J4374" s="99"/>
      <c r="K4374" s="4"/>
    </row>
    <row r="4375" spans="3:11" x14ac:dyDescent="0.25">
      <c r="C4375" s="79"/>
      <c r="D4375" s="248"/>
      <c r="E4375" s="248"/>
      <c r="F4375" s="47"/>
      <c r="G4375" s="79"/>
      <c r="J4375" s="99"/>
      <c r="K4375" s="4"/>
    </row>
    <row r="4376" spans="3:11" x14ac:dyDescent="0.25">
      <c r="C4376" s="79"/>
      <c r="D4376" s="248"/>
      <c r="E4376" s="248"/>
      <c r="F4376" s="47"/>
      <c r="G4376" s="79"/>
      <c r="J4376" s="99"/>
      <c r="K4376" s="4"/>
    </row>
    <row r="4377" spans="3:11" x14ac:dyDescent="0.25">
      <c r="C4377" s="79"/>
      <c r="D4377" s="248"/>
      <c r="E4377" s="248"/>
      <c r="F4377" s="47"/>
      <c r="G4377" s="79"/>
      <c r="J4377" s="99"/>
      <c r="K4377" s="4"/>
    </row>
    <row r="4378" spans="3:11" x14ac:dyDescent="0.25">
      <c r="C4378" s="79"/>
      <c r="D4378" s="248"/>
      <c r="E4378" s="248"/>
      <c r="F4378" s="47"/>
      <c r="G4378" s="79"/>
      <c r="J4378" s="99"/>
      <c r="K4378" s="4"/>
    </row>
    <row r="4379" spans="3:11" x14ac:dyDescent="0.25">
      <c r="C4379" s="79"/>
      <c r="D4379" s="248"/>
      <c r="E4379" s="248"/>
      <c r="F4379" s="47"/>
      <c r="G4379" s="79"/>
      <c r="J4379" s="99"/>
      <c r="K4379" s="4"/>
    </row>
    <row r="4380" spans="3:11" x14ac:dyDescent="0.25">
      <c r="C4380" s="79"/>
      <c r="D4380" s="248"/>
      <c r="E4380" s="248"/>
      <c r="F4380" s="47"/>
      <c r="G4380" s="79"/>
      <c r="J4380" s="99"/>
      <c r="K4380" s="4"/>
    </row>
    <row r="4381" spans="3:11" x14ac:dyDescent="0.25">
      <c r="C4381" s="79"/>
      <c r="D4381" s="248"/>
      <c r="E4381" s="248"/>
      <c r="F4381" s="47"/>
      <c r="G4381" s="79"/>
      <c r="J4381" s="99"/>
      <c r="K4381" s="4"/>
    </row>
    <row r="4382" spans="3:11" x14ac:dyDescent="0.25">
      <c r="C4382" s="79"/>
      <c r="D4382" s="248"/>
      <c r="E4382" s="248"/>
      <c r="F4382" s="47"/>
      <c r="G4382" s="79"/>
      <c r="J4382" s="99"/>
      <c r="K4382" s="4"/>
    </row>
    <row r="4383" spans="3:11" x14ac:dyDescent="0.25">
      <c r="C4383" s="79"/>
      <c r="D4383" s="248"/>
      <c r="E4383" s="248"/>
      <c r="F4383" s="47"/>
      <c r="G4383" s="79"/>
      <c r="J4383" s="99"/>
      <c r="K4383" s="4"/>
    </row>
    <row r="4384" spans="3:11" x14ac:dyDescent="0.25">
      <c r="C4384" s="79"/>
      <c r="D4384" s="248"/>
      <c r="E4384" s="248"/>
      <c r="F4384" s="47"/>
      <c r="G4384" s="79"/>
      <c r="J4384" s="99"/>
      <c r="K4384" s="4"/>
    </row>
    <row r="4385" spans="3:11" x14ac:dyDescent="0.25">
      <c r="C4385" s="79"/>
      <c r="D4385" s="248"/>
      <c r="E4385" s="248"/>
      <c r="F4385" s="47"/>
      <c r="G4385" s="79"/>
      <c r="J4385" s="99"/>
      <c r="K4385" s="4"/>
    </row>
    <row r="4386" spans="3:11" x14ac:dyDescent="0.25">
      <c r="C4386" s="79"/>
      <c r="D4386" s="248"/>
      <c r="E4386" s="248"/>
      <c r="F4386" s="47"/>
      <c r="G4386" s="79"/>
      <c r="J4386" s="99"/>
      <c r="K4386" s="4"/>
    </row>
    <row r="4387" spans="3:11" x14ac:dyDescent="0.25">
      <c r="C4387" s="79"/>
      <c r="D4387" s="248"/>
      <c r="E4387" s="248"/>
      <c r="F4387" s="47"/>
      <c r="G4387" s="79"/>
      <c r="J4387" s="99"/>
      <c r="K4387" s="4"/>
    </row>
    <row r="4388" spans="3:11" x14ac:dyDescent="0.25">
      <c r="C4388" s="79"/>
      <c r="D4388" s="248"/>
      <c r="E4388" s="248"/>
      <c r="F4388" s="47"/>
      <c r="G4388" s="79"/>
      <c r="J4388" s="99"/>
      <c r="K4388" s="4"/>
    </row>
    <row r="4389" spans="3:11" x14ac:dyDescent="0.25">
      <c r="C4389" s="79"/>
      <c r="D4389" s="248"/>
      <c r="E4389" s="248"/>
      <c r="F4389" s="47"/>
      <c r="G4389" s="79"/>
      <c r="J4389" s="99"/>
      <c r="K4389" s="4"/>
    </row>
    <row r="4390" spans="3:11" x14ac:dyDescent="0.25">
      <c r="C4390" s="79"/>
      <c r="D4390" s="248"/>
      <c r="E4390" s="248"/>
      <c r="F4390" s="47"/>
      <c r="G4390" s="79"/>
      <c r="J4390" s="99"/>
      <c r="K4390" s="4"/>
    </row>
    <row r="4391" spans="3:11" x14ac:dyDescent="0.25">
      <c r="C4391" s="79"/>
      <c r="D4391" s="248"/>
      <c r="E4391" s="248"/>
      <c r="F4391" s="47"/>
      <c r="G4391" s="79"/>
      <c r="J4391" s="99"/>
      <c r="K4391" s="4"/>
    </row>
    <row r="4392" spans="3:11" x14ac:dyDescent="0.25">
      <c r="C4392" s="79"/>
      <c r="D4392" s="248"/>
      <c r="E4392" s="248"/>
      <c r="F4392" s="47"/>
      <c r="G4392" s="79"/>
      <c r="J4392" s="99"/>
      <c r="K4392" s="4"/>
    </row>
    <row r="4393" spans="3:11" x14ac:dyDescent="0.25">
      <c r="C4393" s="79"/>
      <c r="D4393" s="248"/>
      <c r="E4393" s="248"/>
      <c r="F4393" s="47"/>
      <c r="G4393" s="79"/>
      <c r="J4393" s="99"/>
      <c r="K4393" s="4"/>
    </row>
    <row r="4394" spans="3:11" x14ac:dyDescent="0.25">
      <c r="C4394" s="79"/>
      <c r="D4394" s="248"/>
      <c r="E4394" s="248"/>
      <c r="F4394" s="47"/>
      <c r="G4394" s="79"/>
      <c r="J4394" s="99"/>
      <c r="K4394" s="4"/>
    </row>
    <row r="4395" spans="3:11" x14ac:dyDescent="0.25">
      <c r="C4395" s="79"/>
      <c r="D4395" s="248"/>
      <c r="E4395" s="248"/>
      <c r="F4395" s="47"/>
      <c r="G4395" s="79"/>
      <c r="J4395" s="99"/>
      <c r="K4395" s="4"/>
    </row>
    <row r="4396" spans="3:11" x14ac:dyDescent="0.25">
      <c r="C4396" s="79"/>
      <c r="D4396" s="248"/>
      <c r="E4396" s="248"/>
      <c r="F4396" s="47"/>
      <c r="G4396" s="79"/>
      <c r="J4396" s="99"/>
      <c r="K4396" s="4"/>
    </row>
    <row r="4397" spans="3:11" x14ac:dyDescent="0.25">
      <c r="C4397" s="79"/>
      <c r="D4397" s="248"/>
      <c r="E4397" s="248"/>
      <c r="F4397" s="47"/>
      <c r="G4397" s="79"/>
      <c r="J4397" s="99"/>
      <c r="K4397" s="4"/>
    </row>
    <row r="4398" spans="3:11" x14ac:dyDescent="0.25">
      <c r="C4398" s="79"/>
      <c r="D4398" s="248"/>
      <c r="E4398" s="248"/>
      <c r="F4398" s="47"/>
      <c r="G4398" s="79"/>
      <c r="J4398" s="99"/>
      <c r="K4398" s="4"/>
    </row>
    <row r="4399" spans="3:11" x14ac:dyDescent="0.25">
      <c r="C4399" s="79"/>
      <c r="D4399" s="248"/>
      <c r="E4399" s="248"/>
      <c r="F4399" s="47"/>
      <c r="G4399" s="79"/>
      <c r="J4399" s="99"/>
      <c r="K4399" s="4"/>
    </row>
    <row r="4400" spans="3:11" x14ac:dyDescent="0.25">
      <c r="C4400" s="79"/>
      <c r="D4400" s="248"/>
      <c r="E4400" s="248"/>
      <c r="F4400" s="47"/>
      <c r="G4400" s="79"/>
      <c r="J4400" s="99"/>
      <c r="K4400" s="4"/>
    </row>
    <row r="4401" spans="3:11" x14ac:dyDescent="0.25">
      <c r="C4401" s="79"/>
      <c r="D4401" s="248"/>
      <c r="E4401" s="248"/>
      <c r="F4401" s="47"/>
      <c r="G4401" s="79"/>
      <c r="J4401" s="99"/>
      <c r="K4401" s="4"/>
    </row>
    <row r="4402" spans="3:11" x14ac:dyDescent="0.25">
      <c r="C4402" s="79"/>
      <c r="D4402" s="248"/>
      <c r="E4402" s="248"/>
      <c r="F4402" s="47"/>
      <c r="G4402" s="79"/>
      <c r="J4402" s="99"/>
      <c r="K4402" s="4"/>
    </row>
    <row r="4403" spans="3:11" x14ac:dyDescent="0.25">
      <c r="C4403" s="79"/>
      <c r="D4403" s="248"/>
      <c r="E4403" s="248"/>
      <c r="F4403" s="47"/>
      <c r="G4403" s="79"/>
      <c r="J4403" s="99"/>
      <c r="K4403" s="4"/>
    </row>
    <row r="4404" spans="3:11" x14ac:dyDescent="0.25">
      <c r="C4404" s="79"/>
      <c r="D4404" s="248"/>
      <c r="E4404" s="248"/>
      <c r="F4404" s="47"/>
      <c r="G4404" s="79"/>
      <c r="J4404" s="99"/>
      <c r="K4404" s="4"/>
    </row>
    <row r="4405" spans="3:11" x14ac:dyDescent="0.25">
      <c r="C4405" s="79"/>
      <c r="D4405" s="248"/>
      <c r="E4405" s="248"/>
      <c r="F4405" s="47"/>
      <c r="G4405" s="79"/>
      <c r="J4405" s="99"/>
      <c r="K4405" s="4"/>
    </row>
    <row r="4406" spans="3:11" x14ac:dyDescent="0.25">
      <c r="C4406" s="79"/>
      <c r="D4406" s="248"/>
      <c r="E4406" s="248"/>
      <c r="F4406" s="47"/>
      <c r="G4406" s="79"/>
      <c r="J4406" s="99"/>
      <c r="K4406" s="4"/>
    </row>
    <row r="4407" spans="3:11" x14ac:dyDescent="0.25">
      <c r="C4407" s="79"/>
      <c r="D4407" s="248"/>
      <c r="E4407" s="248"/>
      <c r="F4407" s="47"/>
      <c r="G4407" s="79"/>
      <c r="J4407" s="99"/>
      <c r="K4407" s="4"/>
    </row>
    <row r="4408" spans="3:11" x14ac:dyDescent="0.25">
      <c r="C4408" s="79"/>
      <c r="D4408" s="248"/>
      <c r="E4408" s="248"/>
      <c r="F4408" s="47"/>
      <c r="G4408" s="79"/>
      <c r="J4408" s="99"/>
      <c r="K4408" s="4"/>
    </row>
    <row r="4409" spans="3:11" x14ac:dyDescent="0.25">
      <c r="C4409" s="79"/>
      <c r="D4409" s="248"/>
      <c r="E4409" s="248"/>
      <c r="F4409" s="47"/>
      <c r="G4409" s="79"/>
      <c r="J4409" s="99"/>
      <c r="K4409" s="4"/>
    </row>
    <row r="4410" spans="3:11" x14ac:dyDescent="0.25">
      <c r="C4410" s="79"/>
      <c r="D4410" s="248"/>
      <c r="E4410" s="248"/>
      <c r="F4410" s="47"/>
      <c r="G4410" s="79"/>
      <c r="J4410" s="99"/>
      <c r="K4410" s="4"/>
    </row>
    <row r="4411" spans="3:11" x14ac:dyDescent="0.25">
      <c r="C4411" s="79"/>
      <c r="D4411" s="248"/>
      <c r="E4411" s="248"/>
      <c r="F4411" s="47"/>
      <c r="G4411" s="79"/>
      <c r="J4411" s="99"/>
      <c r="K4411" s="4"/>
    </row>
    <row r="4412" spans="3:11" x14ac:dyDescent="0.25">
      <c r="C4412" s="79"/>
      <c r="D4412" s="248"/>
      <c r="E4412" s="248"/>
      <c r="F4412" s="47"/>
      <c r="G4412" s="79"/>
      <c r="J4412" s="99"/>
      <c r="K4412" s="4"/>
    </row>
    <row r="4413" spans="3:11" x14ac:dyDescent="0.25">
      <c r="C4413" s="79"/>
      <c r="D4413" s="248"/>
      <c r="E4413" s="248"/>
      <c r="F4413" s="47"/>
      <c r="G4413" s="79"/>
      <c r="J4413" s="99"/>
      <c r="K4413" s="4"/>
    </row>
    <row r="4414" spans="3:11" x14ac:dyDescent="0.25">
      <c r="C4414" s="79"/>
      <c r="D4414" s="248"/>
      <c r="E4414" s="248"/>
      <c r="F4414" s="47"/>
      <c r="G4414" s="79"/>
      <c r="J4414" s="99"/>
      <c r="K4414" s="4"/>
    </row>
    <row r="4415" spans="3:11" x14ac:dyDescent="0.25">
      <c r="C4415" s="79"/>
      <c r="D4415" s="248"/>
      <c r="E4415" s="248"/>
      <c r="F4415" s="47"/>
      <c r="G4415" s="79"/>
      <c r="J4415" s="99"/>
      <c r="K4415" s="4"/>
    </row>
    <row r="4416" spans="3:11" x14ac:dyDescent="0.25">
      <c r="C4416" s="79"/>
      <c r="D4416" s="248"/>
      <c r="E4416" s="248"/>
      <c r="F4416" s="47"/>
      <c r="G4416" s="79"/>
      <c r="J4416" s="99"/>
      <c r="K4416" s="4"/>
    </row>
    <row r="4417" spans="3:11" x14ac:dyDescent="0.25">
      <c r="C4417" s="79"/>
      <c r="D4417" s="248"/>
      <c r="E4417" s="248"/>
      <c r="F4417" s="47"/>
      <c r="G4417" s="79"/>
      <c r="J4417" s="99"/>
      <c r="K4417" s="4"/>
    </row>
    <row r="4418" spans="3:11" x14ac:dyDescent="0.25">
      <c r="C4418" s="79"/>
      <c r="D4418" s="248"/>
      <c r="E4418" s="248"/>
      <c r="F4418" s="47"/>
      <c r="G4418" s="79"/>
      <c r="J4418" s="99"/>
      <c r="K4418" s="4"/>
    </row>
    <row r="4419" spans="3:11" x14ac:dyDescent="0.25">
      <c r="C4419" s="79"/>
      <c r="D4419" s="248"/>
      <c r="E4419" s="248"/>
      <c r="F4419" s="47"/>
      <c r="G4419" s="79"/>
      <c r="J4419" s="99"/>
      <c r="K4419" s="4"/>
    </row>
    <row r="4420" spans="3:11" x14ac:dyDescent="0.25">
      <c r="C4420" s="79"/>
      <c r="D4420" s="248"/>
      <c r="E4420" s="248"/>
      <c r="F4420" s="47"/>
      <c r="G4420" s="79"/>
      <c r="J4420" s="99"/>
      <c r="K4420" s="4"/>
    </row>
    <row r="4421" spans="3:11" x14ac:dyDescent="0.25">
      <c r="C4421" s="79"/>
      <c r="D4421" s="248"/>
      <c r="E4421" s="248"/>
      <c r="F4421" s="47"/>
      <c r="G4421" s="79"/>
      <c r="J4421" s="99"/>
      <c r="K4421" s="4"/>
    </row>
    <row r="4422" spans="3:11" x14ac:dyDescent="0.25">
      <c r="C4422" s="79"/>
      <c r="D4422" s="248"/>
      <c r="E4422" s="248"/>
      <c r="F4422" s="47"/>
      <c r="G4422" s="79"/>
      <c r="J4422" s="99"/>
      <c r="K4422" s="4"/>
    </row>
    <row r="4423" spans="3:11" x14ac:dyDescent="0.25">
      <c r="C4423" s="79"/>
      <c r="D4423" s="248"/>
      <c r="E4423" s="248"/>
      <c r="F4423" s="47"/>
      <c r="G4423" s="79"/>
      <c r="J4423" s="99"/>
      <c r="K4423" s="4"/>
    </row>
    <row r="4424" spans="3:11" x14ac:dyDescent="0.25">
      <c r="C4424" s="79"/>
      <c r="D4424" s="248"/>
      <c r="E4424" s="248"/>
      <c r="F4424" s="47"/>
      <c r="G4424" s="79"/>
      <c r="J4424" s="99"/>
      <c r="K4424" s="4"/>
    </row>
    <row r="4425" spans="3:11" x14ac:dyDescent="0.25">
      <c r="C4425" s="79"/>
      <c r="D4425" s="248"/>
      <c r="E4425" s="248"/>
      <c r="F4425" s="47"/>
      <c r="G4425" s="79"/>
      <c r="J4425" s="99"/>
      <c r="K4425" s="4"/>
    </row>
    <row r="4426" spans="3:11" x14ac:dyDescent="0.25">
      <c r="C4426" s="79"/>
      <c r="D4426" s="248"/>
      <c r="E4426" s="248"/>
      <c r="F4426" s="47"/>
      <c r="G4426" s="79"/>
      <c r="J4426" s="99"/>
      <c r="K4426" s="4"/>
    </row>
    <row r="4427" spans="3:11" x14ac:dyDescent="0.25">
      <c r="C4427" s="79"/>
      <c r="D4427" s="248"/>
      <c r="E4427" s="248"/>
      <c r="F4427" s="47"/>
      <c r="G4427" s="79"/>
      <c r="J4427" s="99"/>
      <c r="K4427" s="4"/>
    </row>
    <row r="4428" spans="3:11" x14ac:dyDescent="0.25">
      <c r="C4428" s="79"/>
      <c r="D4428" s="248"/>
      <c r="E4428" s="248"/>
      <c r="F4428" s="47"/>
      <c r="G4428" s="79"/>
      <c r="J4428" s="99"/>
      <c r="K4428" s="4"/>
    </row>
    <row r="4429" spans="3:11" x14ac:dyDescent="0.25">
      <c r="C4429" s="79"/>
      <c r="D4429" s="248"/>
      <c r="E4429" s="248"/>
      <c r="F4429" s="47"/>
      <c r="G4429" s="79"/>
      <c r="J4429" s="99"/>
      <c r="K4429" s="4"/>
    </row>
    <row r="4430" spans="3:11" x14ac:dyDescent="0.25">
      <c r="C4430" s="79"/>
      <c r="D4430" s="248"/>
      <c r="E4430" s="248"/>
      <c r="F4430" s="47"/>
      <c r="G4430" s="79"/>
      <c r="J4430" s="99"/>
      <c r="K4430" s="4"/>
    </row>
    <row r="4431" spans="3:11" x14ac:dyDescent="0.25">
      <c r="C4431" s="79"/>
      <c r="D4431" s="248"/>
      <c r="E4431" s="248"/>
      <c r="F4431" s="47"/>
      <c r="G4431" s="79"/>
      <c r="J4431" s="99"/>
      <c r="K4431" s="4"/>
    </row>
    <row r="4432" spans="3:11" x14ac:dyDescent="0.25">
      <c r="C4432" s="79"/>
      <c r="D4432" s="248"/>
      <c r="E4432" s="248"/>
      <c r="F4432" s="47"/>
      <c r="G4432" s="79"/>
      <c r="J4432" s="99"/>
      <c r="K4432" s="4"/>
    </row>
    <row r="4433" spans="3:11" x14ac:dyDescent="0.25">
      <c r="C4433" s="79"/>
      <c r="D4433" s="248"/>
      <c r="E4433" s="248"/>
      <c r="F4433" s="47"/>
      <c r="G4433" s="79"/>
      <c r="J4433" s="99"/>
      <c r="K4433" s="4"/>
    </row>
    <row r="4434" spans="3:11" x14ac:dyDescent="0.25">
      <c r="C4434" s="79"/>
      <c r="D4434" s="248"/>
      <c r="E4434" s="248"/>
      <c r="F4434" s="47"/>
      <c r="G4434" s="79"/>
      <c r="J4434" s="99"/>
      <c r="K4434" s="4"/>
    </row>
    <row r="4435" spans="3:11" x14ac:dyDescent="0.25">
      <c r="C4435" s="79"/>
      <c r="D4435" s="248"/>
      <c r="E4435" s="248"/>
      <c r="F4435" s="47"/>
      <c r="G4435" s="79"/>
      <c r="J4435" s="99"/>
      <c r="K4435" s="4"/>
    </row>
    <row r="4436" spans="3:11" x14ac:dyDescent="0.25">
      <c r="C4436" s="79"/>
      <c r="D4436" s="248"/>
      <c r="E4436" s="248"/>
      <c r="F4436" s="47"/>
      <c r="G4436" s="79"/>
      <c r="J4436" s="99"/>
      <c r="K4436" s="4"/>
    </row>
    <row r="4437" spans="3:11" x14ac:dyDescent="0.25">
      <c r="C4437" s="79"/>
      <c r="D4437" s="248"/>
      <c r="E4437" s="248"/>
      <c r="F4437" s="47"/>
      <c r="G4437" s="79"/>
      <c r="J4437" s="99"/>
      <c r="K4437" s="4"/>
    </row>
    <row r="4438" spans="3:11" x14ac:dyDescent="0.25">
      <c r="C4438" s="79"/>
      <c r="D4438" s="248"/>
      <c r="E4438" s="248"/>
      <c r="F4438" s="47"/>
      <c r="G4438" s="79"/>
      <c r="J4438" s="99"/>
      <c r="K4438" s="4"/>
    </row>
    <row r="4439" spans="3:11" x14ac:dyDescent="0.25">
      <c r="C4439" s="79"/>
      <c r="D4439" s="248"/>
      <c r="E4439" s="248"/>
      <c r="F4439" s="47"/>
      <c r="G4439" s="79"/>
      <c r="J4439" s="99"/>
      <c r="K4439" s="4"/>
    </row>
    <row r="4440" spans="3:11" x14ac:dyDescent="0.25">
      <c r="C4440" s="79"/>
      <c r="D4440" s="248"/>
      <c r="E4440" s="248"/>
      <c r="F4440" s="47"/>
      <c r="G4440" s="79"/>
      <c r="J4440" s="99"/>
      <c r="K4440" s="4"/>
    </row>
    <row r="4441" spans="3:11" x14ac:dyDescent="0.25">
      <c r="C4441" s="79"/>
      <c r="D4441" s="248"/>
      <c r="E4441" s="248"/>
      <c r="F4441" s="47"/>
      <c r="G4441" s="79"/>
      <c r="J4441" s="99"/>
      <c r="K4441" s="4"/>
    </row>
    <row r="4442" spans="3:11" x14ac:dyDescent="0.25">
      <c r="C4442" s="79"/>
      <c r="D4442" s="248"/>
      <c r="E4442" s="248"/>
      <c r="F4442" s="47"/>
      <c r="G4442" s="79"/>
      <c r="J4442" s="99"/>
      <c r="K4442" s="4"/>
    </row>
    <row r="4443" spans="3:11" x14ac:dyDescent="0.25">
      <c r="C4443" s="79"/>
      <c r="D4443" s="248"/>
      <c r="E4443" s="248"/>
      <c r="F4443" s="47"/>
      <c r="G4443" s="79"/>
      <c r="J4443" s="99"/>
      <c r="K4443" s="4"/>
    </row>
    <row r="4444" spans="3:11" x14ac:dyDescent="0.25">
      <c r="C4444" s="79"/>
      <c r="D4444" s="248"/>
      <c r="E4444" s="248"/>
      <c r="F4444" s="47"/>
      <c r="G4444" s="79"/>
      <c r="J4444" s="99"/>
      <c r="K4444" s="4"/>
    </row>
    <row r="4445" spans="3:11" x14ac:dyDescent="0.25">
      <c r="C4445" s="79"/>
      <c r="D4445" s="248"/>
      <c r="E4445" s="248"/>
      <c r="F4445" s="47"/>
      <c r="G4445" s="79"/>
      <c r="J4445" s="99"/>
      <c r="K4445" s="4"/>
    </row>
    <row r="4446" spans="3:11" x14ac:dyDescent="0.25">
      <c r="C4446" s="79"/>
      <c r="D4446" s="248"/>
      <c r="E4446" s="248"/>
      <c r="F4446" s="47"/>
      <c r="G4446" s="79"/>
      <c r="J4446" s="99"/>
      <c r="K4446" s="4"/>
    </row>
    <row r="4447" spans="3:11" x14ac:dyDescent="0.25">
      <c r="C4447" s="79"/>
      <c r="D4447" s="248"/>
      <c r="E4447" s="248"/>
      <c r="F4447" s="47"/>
      <c r="G4447" s="79"/>
      <c r="J4447" s="99"/>
      <c r="K4447" s="4"/>
    </row>
    <row r="4448" spans="3:11" x14ac:dyDescent="0.25">
      <c r="C4448" s="79"/>
      <c r="D4448" s="248"/>
      <c r="E4448" s="248"/>
      <c r="F4448" s="47"/>
      <c r="G4448" s="79"/>
      <c r="J4448" s="99"/>
      <c r="K4448" s="4"/>
    </row>
    <row r="4449" spans="3:11" x14ac:dyDescent="0.25">
      <c r="C4449" s="79"/>
      <c r="D4449" s="248"/>
      <c r="E4449" s="248"/>
      <c r="F4449" s="47"/>
      <c r="G4449" s="79"/>
      <c r="J4449" s="99"/>
      <c r="K4449" s="4"/>
    </row>
    <row r="4450" spans="3:11" x14ac:dyDescent="0.25">
      <c r="C4450" s="79"/>
      <c r="D4450" s="248"/>
      <c r="E4450" s="248"/>
      <c r="F4450" s="47"/>
      <c r="G4450" s="79"/>
      <c r="J4450" s="99"/>
      <c r="K4450" s="4"/>
    </row>
    <row r="4451" spans="3:11" x14ac:dyDescent="0.25">
      <c r="C4451" s="79"/>
      <c r="D4451" s="248"/>
      <c r="E4451" s="248"/>
      <c r="F4451" s="47"/>
      <c r="G4451" s="79"/>
      <c r="J4451" s="99"/>
      <c r="K4451" s="4"/>
    </row>
    <row r="4452" spans="3:11" x14ac:dyDescent="0.25">
      <c r="C4452" s="79"/>
      <c r="D4452" s="248"/>
      <c r="E4452" s="248"/>
      <c r="F4452" s="47"/>
      <c r="G4452" s="79"/>
      <c r="J4452" s="99"/>
      <c r="K4452" s="4"/>
    </row>
    <row r="4453" spans="3:11" x14ac:dyDescent="0.25">
      <c r="C4453" s="79"/>
      <c r="D4453" s="248"/>
      <c r="E4453" s="248"/>
      <c r="F4453" s="47"/>
      <c r="G4453" s="79"/>
      <c r="J4453" s="99"/>
      <c r="K4453" s="4"/>
    </row>
    <row r="4454" spans="3:11" x14ac:dyDescent="0.25">
      <c r="C4454" s="79"/>
      <c r="D4454" s="248"/>
      <c r="E4454" s="248"/>
      <c r="F4454" s="47"/>
      <c r="G4454" s="79"/>
      <c r="J4454" s="99"/>
      <c r="K4454" s="4"/>
    </row>
    <row r="4455" spans="3:11" x14ac:dyDescent="0.25">
      <c r="C4455" s="79"/>
      <c r="D4455" s="248"/>
      <c r="E4455" s="248"/>
      <c r="F4455" s="47"/>
      <c r="G4455" s="79"/>
      <c r="J4455" s="99"/>
      <c r="K4455" s="4"/>
    </row>
    <row r="4456" spans="3:11" x14ac:dyDescent="0.25">
      <c r="C4456" s="79"/>
      <c r="D4456" s="248"/>
      <c r="E4456" s="248"/>
      <c r="F4456" s="47"/>
      <c r="G4456" s="79"/>
      <c r="J4456" s="99"/>
      <c r="K4456" s="4"/>
    </row>
    <row r="4457" spans="3:11" x14ac:dyDescent="0.25">
      <c r="C4457" s="79"/>
      <c r="D4457" s="248"/>
      <c r="E4457" s="248"/>
      <c r="F4457" s="47"/>
      <c r="G4457" s="79"/>
      <c r="J4457" s="99"/>
      <c r="K4457" s="4"/>
    </row>
    <row r="4458" spans="3:11" x14ac:dyDescent="0.25">
      <c r="C4458" s="79"/>
      <c r="D4458" s="248"/>
      <c r="E4458" s="248"/>
      <c r="F4458" s="47"/>
      <c r="G4458" s="79"/>
      <c r="J4458" s="99"/>
      <c r="K4458" s="4"/>
    </row>
    <row r="4459" spans="3:11" x14ac:dyDescent="0.25">
      <c r="C4459" s="79"/>
      <c r="D4459" s="248"/>
      <c r="E4459" s="248"/>
      <c r="F4459" s="47"/>
      <c r="G4459" s="79"/>
      <c r="J4459" s="99"/>
      <c r="K4459" s="4"/>
    </row>
    <row r="4460" spans="3:11" x14ac:dyDescent="0.25">
      <c r="C4460" s="79"/>
      <c r="D4460" s="248"/>
      <c r="E4460" s="248"/>
      <c r="F4460" s="47"/>
      <c r="G4460" s="79"/>
      <c r="J4460" s="99"/>
      <c r="K4460" s="4"/>
    </row>
    <row r="4461" spans="3:11" x14ac:dyDescent="0.25">
      <c r="C4461" s="79"/>
      <c r="D4461" s="248"/>
      <c r="E4461" s="248"/>
      <c r="F4461" s="47"/>
      <c r="G4461" s="79"/>
      <c r="J4461" s="99"/>
      <c r="K4461" s="4"/>
    </row>
    <row r="4462" spans="3:11" x14ac:dyDescent="0.25">
      <c r="C4462" s="79"/>
      <c r="D4462" s="248"/>
      <c r="E4462" s="248"/>
      <c r="F4462" s="47"/>
      <c r="G4462" s="79"/>
      <c r="J4462" s="99"/>
      <c r="K4462" s="4"/>
    </row>
    <row r="4463" spans="3:11" x14ac:dyDescent="0.25">
      <c r="C4463" s="79"/>
      <c r="D4463" s="248"/>
      <c r="E4463" s="248"/>
      <c r="F4463" s="47"/>
      <c r="G4463" s="79"/>
      <c r="J4463" s="99"/>
      <c r="K4463" s="4"/>
    </row>
    <row r="4464" spans="3:11" x14ac:dyDescent="0.25">
      <c r="C4464" s="79"/>
      <c r="D4464" s="248"/>
      <c r="E4464" s="248"/>
      <c r="F4464" s="47"/>
      <c r="G4464" s="79"/>
      <c r="J4464" s="99"/>
      <c r="K4464" s="4"/>
    </row>
    <row r="4465" spans="3:11" x14ac:dyDescent="0.25">
      <c r="C4465" s="79"/>
      <c r="D4465" s="248"/>
      <c r="E4465" s="248"/>
      <c r="F4465" s="47"/>
      <c r="G4465" s="79"/>
      <c r="J4465" s="99"/>
      <c r="K4465" s="4"/>
    </row>
    <row r="4466" spans="3:11" x14ac:dyDescent="0.25">
      <c r="C4466" s="79"/>
      <c r="D4466" s="248"/>
      <c r="E4466" s="248"/>
      <c r="F4466" s="47"/>
      <c r="G4466" s="79"/>
      <c r="J4466" s="99"/>
      <c r="K4466" s="4"/>
    </row>
    <row r="4467" spans="3:11" x14ac:dyDescent="0.25">
      <c r="C4467" s="79"/>
      <c r="D4467" s="248"/>
      <c r="E4467" s="248"/>
      <c r="F4467" s="47"/>
      <c r="G4467" s="79"/>
      <c r="J4467" s="99"/>
      <c r="K4467" s="4"/>
    </row>
    <row r="4468" spans="3:11" x14ac:dyDescent="0.25">
      <c r="C4468" s="79"/>
      <c r="D4468" s="248"/>
      <c r="E4468" s="248"/>
      <c r="F4468" s="47"/>
      <c r="G4468" s="79"/>
      <c r="J4468" s="99"/>
      <c r="K4468" s="4"/>
    </row>
    <row r="4469" spans="3:11" x14ac:dyDescent="0.25">
      <c r="C4469" s="79"/>
      <c r="D4469" s="248"/>
      <c r="E4469" s="248"/>
      <c r="F4469" s="47"/>
      <c r="G4469" s="79"/>
      <c r="J4469" s="99"/>
      <c r="K4469" s="4"/>
    </row>
    <row r="4470" spans="3:11" x14ac:dyDescent="0.25">
      <c r="C4470" s="79"/>
      <c r="D4470" s="248"/>
      <c r="E4470" s="248"/>
      <c r="F4470" s="47"/>
      <c r="G4470" s="79"/>
      <c r="J4470" s="99"/>
      <c r="K4470" s="4"/>
    </row>
    <row r="4471" spans="3:11" x14ac:dyDescent="0.25">
      <c r="C4471" s="79"/>
      <c r="D4471" s="248"/>
      <c r="E4471" s="248"/>
      <c r="F4471" s="47"/>
      <c r="G4471" s="79"/>
      <c r="J4471" s="99"/>
      <c r="K4471" s="4"/>
    </row>
    <row r="4472" spans="3:11" x14ac:dyDescent="0.25">
      <c r="C4472" s="79"/>
      <c r="D4472" s="248"/>
      <c r="E4472" s="248"/>
      <c r="F4472" s="47"/>
      <c r="G4472" s="79"/>
      <c r="J4472" s="99"/>
      <c r="K4472" s="4"/>
    </row>
    <row r="4473" spans="3:11" x14ac:dyDescent="0.25">
      <c r="C4473" s="79"/>
      <c r="D4473" s="248"/>
      <c r="E4473" s="248"/>
      <c r="F4473" s="47"/>
      <c r="G4473" s="79"/>
      <c r="J4473" s="99"/>
      <c r="K4473" s="4"/>
    </row>
    <row r="4474" spans="3:11" x14ac:dyDescent="0.25">
      <c r="C4474" s="79"/>
      <c r="D4474" s="248"/>
      <c r="E4474" s="248"/>
      <c r="F4474" s="47"/>
      <c r="G4474" s="79"/>
      <c r="J4474" s="99"/>
      <c r="K4474" s="4"/>
    </row>
    <row r="4475" spans="3:11" x14ac:dyDescent="0.25">
      <c r="C4475" s="79"/>
      <c r="D4475" s="248"/>
      <c r="E4475" s="248"/>
      <c r="F4475" s="47"/>
      <c r="G4475" s="79"/>
      <c r="J4475" s="99"/>
      <c r="K4475" s="4"/>
    </row>
    <row r="4476" spans="3:11" x14ac:dyDescent="0.25">
      <c r="C4476" s="79"/>
      <c r="D4476" s="248"/>
      <c r="E4476" s="248"/>
      <c r="F4476" s="47"/>
      <c r="G4476" s="79"/>
      <c r="J4476" s="99"/>
      <c r="K4476" s="4"/>
    </row>
    <row r="4477" spans="3:11" x14ac:dyDescent="0.25">
      <c r="C4477" s="79"/>
      <c r="D4477" s="248"/>
      <c r="E4477" s="248"/>
      <c r="F4477" s="47"/>
      <c r="G4477" s="79"/>
      <c r="J4477" s="99"/>
      <c r="K4477" s="4"/>
    </row>
    <row r="4478" spans="3:11" x14ac:dyDescent="0.25">
      <c r="C4478" s="79"/>
      <c r="D4478" s="248"/>
      <c r="E4478" s="248"/>
      <c r="F4478" s="47"/>
      <c r="G4478" s="79"/>
      <c r="J4478" s="99"/>
      <c r="K4478" s="4"/>
    </row>
    <row r="4479" spans="3:11" x14ac:dyDescent="0.25">
      <c r="C4479" s="79"/>
      <c r="D4479" s="248"/>
      <c r="E4479" s="248"/>
      <c r="F4479" s="47"/>
      <c r="G4479" s="79"/>
      <c r="J4479" s="99"/>
      <c r="K4479" s="4"/>
    </row>
    <row r="4480" spans="3:11" x14ac:dyDescent="0.25">
      <c r="C4480" s="79"/>
      <c r="D4480" s="248"/>
      <c r="E4480" s="248"/>
      <c r="F4480" s="47"/>
      <c r="G4480" s="79"/>
      <c r="J4480" s="99"/>
      <c r="K4480" s="4"/>
    </row>
    <row r="4481" spans="3:11" x14ac:dyDescent="0.25">
      <c r="C4481" s="79"/>
      <c r="D4481" s="248"/>
      <c r="E4481" s="248"/>
      <c r="F4481" s="47"/>
      <c r="G4481" s="79"/>
      <c r="J4481" s="99"/>
      <c r="K4481" s="4"/>
    </row>
    <row r="4482" spans="3:11" x14ac:dyDescent="0.25">
      <c r="C4482" s="79"/>
      <c r="D4482" s="248"/>
      <c r="E4482" s="248"/>
      <c r="F4482" s="47"/>
      <c r="G4482" s="79"/>
      <c r="J4482" s="99"/>
      <c r="K4482" s="4"/>
    </row>
    <row r="4483" spans="3:11" x14ac:dyDescent="0.25">
      <c r="C4483" s="79"/>
      <c r="D4483" s="248"/>
      <c r="E4483" s="248"/>
      <c r="F4483" s="47"/>
      <c r="G4483" s="79"/>
      <c r="J4483" s="99"/>
      <c r="K4483" s="4"/>
    </row>
    <row r="4484" spans="3:11" x14ac:dyDescent="0.25">
      <c r="C4484" s="79"/>
      <c r="D4484" s="248"/>
      <c r="E4484" s="248"/>
      <c r="F4484" s="47"/>
      <c r="G4484" s="79"/>
      <c r="J4484" s="99"/>
      <c r="K4484" s="4"/>
    </row>
    <row r="4485" spans="3:11" x14ac:dyDescent="0.25">
      <c r="C4485" s="79"/>
      <c r="D4485" s="248"/>
      <c r="E4485" s="248"/>
      <c r="F4485" s="47"/>
      <c r="G4485" s="79"/>
      <c r="J4485" s="99"/>
      <c r="K4485" s="4"/>
    </row>
    <row r="4486" spans="3:11" x14ac:dyDescent="0.25">
      <c r="C4486" s="79"/>
      <c r="D4486" s="248"/>
      <c r="E4486" s="248"/>
      <c r="F4486" s="47"/>
      <c r="G4486" s="79"/>
      <c r="J4486" s="99"/>
      <c r="K4486" s="4"/>
    </row>
    <row r="4487" spans="3:11" x14ac:dyDescent="0.25">
      <c r="C4487" s="79"/>
      <c r="D4487" s="248"/>
      <c r="E4487" s="248"/>
      <c r="F4487" s="47"/>
      <c r="G4487" s="79"/>
      <c r="J4487" s="99"/>
      <c r="K4487" s="4"/>
    </row>
    <row r="4488" spans="3:11" x14ac:dyDescent="0.25">
      <c r="C4488" s="79"/>
      <c r="D4488" s="248"/>
      <c r="E4488" s="248"/>
      <c r="F4488" s="47"/>
      <c r="G4488" s="79"/>
      <c r="J4488" s="99"/>
      <c r="K4488" s="4"/>
    </row>
    <row r="4489" spans="3:11" x14ac:dyDescent="0.25">
      <c r="C4489" s="79"/>
      <c r="D4489" s="248"/>
      <c r="E4489" s="248"/>
      <c r="F4489" s="47"/>
      <c r="G4489" s="79"/>
      <c r="J4489" s="99"/>
      <c r="K4489" s="4"/>
    </row>
    <row r="4490" spans="3:11" x14ac:dyDescent="0.25">
      <c r="C4490" s="79"/>
      <c r="D4490" s="248"/>
      <c r="E4490" s="248"/>
      <c r="F4490" s="47"/>
      <c r="G4490" s="79"/>
      <c r="J4490" s="99"/>
      <c r="K4490" s="4"/>
    </row>
    <row r="4491" spans="3:11" x14ac:dyDescent="0.25">
      <c r="C4491" s="79"/>
      <c r="D4491" s="248"/>
      <c r="E4491" s="248"/>
      <c r="F4491" s="47"/>
      <c r="G4491" s="79"/>
      <c r="J4491" s="99"/>
      <c r="K4491" s="4"/>
    </row>
    <row r="4492" spans="3:11" x14ac:dyDescent="0.25">
      <c r="C4492" s="79"/>
      <c r="D4492" s="248"/>
      <c r="E4492" s="248"/>
      <c r="F4492" s="47"/>
      <c r="G4492" s="79"/>
      <c r="J4492" s="99"/>
      <c r="K4492" s="4"/>
    </row>
    <row r="4493" spans="3:11" x14ac:dyDescent="0.25">
      <c r="C4493" s="79"/>
      <c r="D4493" s="248"/>
      <c r="E4493" s="248"/>
      <c r="F4493" s="47"/>
      <c r="G4493" s="79"/>
      <c r="J4493" s="99"/>
      <c r="K4493" s="4"/>
    </row>
    <row r="4494" spans="3:11" x14ac:dyDescent="0.25">
      <c r="C4494" s="79"/>
      <c r="D4494" s="248"/>
      <c r="E4494" s="248"/>
      <c r="F4494" s="47"/>
      <c r="G4494" s="79"/>
      <c r="J4494" s="99"/>
      <c r="K4494" s="4"/>
    </row>
    <row r="4495" spans="3:11" x14ac:dyDescent="0.25">
      <c r="C4495" s="79"/>
      <c r="D4495" s="248"/>
      <c r="E4495" s="248"/>
      <c r="F4495" s="47"/>
      <c r="G4495" s="79"/>
      <c r="J4495" s="99"/>
      <c r="K4495" s="4"/>
    </row>
    <row r="4496" spans="3:11" x14ac:dyDescent="0.25">
      <c r="C4496" s="79"/>
      <c r="D4496" s="248"/>
      <c r="E4496" s="248"/>
      <c r="F4496" s="47"/>
      <c r="G4496" s="79"/>
      <c r="J4496" s="99"/>
      <c r="K4496" s="4"/>
    </row>
    <row r="4497" spans="3:11" x14ac:dyDescent="0.25">
      <c r="C4497" s="79"/>
      <c r="D4497" s="248"/>
      <c r="E4497" s="248"/>
      <c r="F4497" s="47"/>
      <c r="G4497" s="79"/>
      <c r="J4497" s="99"/>
      <c r="K4497" s="4"/>
    </row>
    <row r="4498" spans="3:11" x14ac:dyDescent="0.25">
      <c r="C4498" s="79"/>
      <c r="D4498" s="248"/>
      <c r="E4498" s="248"/>
      <c r="F4498" s="47"/>
      <c r="G4498" s="79"/>
      <c r="J4498" s="99"/>
      <c r="K4498" s="4"/>
    </row>
    <row r="4499" spans="3:11" x14ac:dyDescent="0.25">
      <c r="C4499" s="79"/>
      <c r="D4499" s="248"/>
      <c r="E4499" s="248"/>
      <c r="F4499" s="47"/>
      <c r="G4499" s="79"/>
      <c r="J4499" s="99"/>
      <c r="K4499" s="4"/>
    </row>
    <row r="4500" spans="3:11" x14ac:dyDescent="0.25">
      <c r="C4500" s="79"/>
      <c r="D4500" s="248"/>
      <c r="E4500" s="248"/>
      <c r="F4500" s="47"/>
      <c r="G4500" s="79"/>
      <c r="J4500" s="99"/>
      <c r="K4500" s="4"/>
    </row>
    <row r="4501" spans="3:11" x14ac:dyDescent="0.25">
      <c r="C4501" s="79"/>
      <c r="D4501" s="248"/>
      <c r="E4501" s="248"/>
      <c r="F4501" s="47"/>
      <c r="G4501" s="79"/>
      <c r="J4501" s="99"/>
      <c r="K4501" s="4"/>
    </row>
    <row r="4502" spans="3:11" x14ac:dyDescent="0.25">
      <c r="C4502" s="79"/>
      <c r="D4502" s="248"/>
      <c r="E4502" s="248"/>
      <c r="F4502" s="47"/>
      <c r="G4502" s="79"/>
      <c r="J4502" s="99"/>
      <c r="K4502" s="4"/>
    </row>
    <row r="4503" spans="3:11" x14ac:dyDescent="0.25">
      <c r="C4503" s="79"/>
      <c r="D4503" s="248"/>
      <c r="E4503" s="248"/>
      <c r="F4503" s="47"/>
      <c r="G4503" s="79"/>
      <c r="J4503" s="99"/>
      <c r="K4503" s="4"/>
    </row>
    <row r="4504" spans="3:11" x14ac:dyDescent="0.25">
      <c r="C4504" s="79"/>
      <c r="D4504" s="248"/>
      <c r="E4504" s="248"/>
      <c r="F4504" s="47"/>
      <c r="G4504" s="79"/>
      <c r="J4504" s="99"/>
      <c r="K4504" s="4"/>
    </row>
    <row r="4505" spans="3:11" x14ac:dyDescent="0.25">
      <c r="C4505" s="79"/>
      <c r="D4505" s="248"/>
      <c r="E4505" s="248"/>
      <c r="F4505" s="47"/>
      <c r="G4505" s="79"/>
      <c r="J4505" s="99"/>
      <c r="K4505" s="4"/>
    </row>
    <row r="4506" spans="3:11" x14ac:dyDescent="0.25">
      <c r="C4506" s="79"/>
      <c r="D4506" s="248"/>
      <c r="E4506" s="248"/>
      <c r="F4506" s="47"/>
      <c r="G4506" s="79"/>
      <c r="J4506" s="99"/>
      <c r="K4506" s="4"/>
    </row>
    <row r="4507" spans="3:11" x14ac:dyDescent="0.25">
      <c r="C4507" s="79"/>
      <c r="D4507" s="248"/>
      <c r="E4507" s="248"/>
      <c r="F4507" s="47"/>
      <c r="G4507" s="79"/>
      <c r="J4507" s="99"/>
      <c r="K4507" s="4"/>
    </row>
    <row r="4508" spans="3:11" x14ac:dyDescent="0.25">
      <c r="C4508" s="79"/>
      <c r="D4508" s="248"/>
      <c r="E4508" s="248"/>
      <c r="F4508" s="47"/>
      <c r="G4508" s="79"/>
      <c r="J4508" s="99"/>
      <c r="K4508" s="4"/>
    </row>
    <row r="4509" spans="3:11" x14ac:dyDescent="0.25">
      <c r="C4509" s="79"/>
      <c r="D4509" s="248"/>
      <c r="E4509" s="248"/>
      <c r="F4509" s="47"/>
      <c r="G4509" s="79"/>
      <c r="J4509" s="99"/>
      <c r="K4509" s="4"/>
    </row>
    <row r="4510" spans="3:11" x14ac:dyDescent="0.25">
      <c r="C4510" s="79"/>
      <c r="D4510" s="248"/>
      <c r="E4510" s="248"/>
      <c r="F4510" s="47"/>
      <c r="G4510" s="79"/>
      <c r="J4510" s="99"/>
      <c r="K4510" s="4"/>
    </row>
    <row r="4511" spans="3:11" x14ac:dyDescent="0.25">
      <c r="C4511" s="79"/>
      <c r="D4511" s="248"/>
      <c r="E4511" s="248"/>
      <c r="F4511" s="47"/>
      <c r="G4511" s="79"/>
      <c r="J4511" s="99"/>
      <c r="K4511" s="4"/>
    </row>
    <row r="4512" spans="3:11" x14ac:dyDescent="0.25">
      <c r="C4512" s="79"/>
      <c r="D4512" s="248"/>
      <c r="E4512" s="248"/>
      <c r="F4512" s="47"/>
      <c r="G4512" s="79"/>
      <c r="J4512" s="99"/>
      <c r="K4512" s="4"/>
    </row>
    <row r="4513" spans="3:11" x14ac:dyDescent="0.25">
      <c r="C4513" s="79"/>
      <c r="D4513" s="248"/>
      <c r="E4513" s="248"/>
      <c r="F4513" s="47"/>
      <c r="G4513" s="79"/>
      <c r="J4513" s="99"/>
      <c r="K4513" s="4"/>
    </row>
    <row r="4514" spans="3:11" x14ac:dyDescent="0.25">
      <c r="C4514" s="79"/>
      <c r="D4514" s="248"/>
      <c r="E4514" s="248"/>
      <c r="F4514" s="47"/>
      <c r="G4514" s="79"/>
      <c r="J4514" s="99"/>
      <c r="K4514" s="4"/>
    </row>
    <row r="4515" spans="3:11" x14ac:dyDescent="0.25">
      <c r="C4515" s="79"/>
      <c r="D4515" s="248"/>
      <c r="E4515" s="248"/>
      <c r="F4515" s="47"/>
      <c r="G4515" s="79"/>
      <c r="J4515" s="99"/>
      <c r="K4515" s="4"/>
    </row>
    <row r="4516" spans="3:11" x14ac:dyDescent="0.25">
      <c r="C4516" s="79"/>
      <c r="D4516" s="248"/>
      <c r="E4516" s="248"/>
      <c r="F4516" s="47"/>
      <c r="G4516" s="79"/>
      <c r="J4516" s="99"/>
      <c r="K4516" s="4"/>
    </row>
    <row r="4517" spans="3:11" x14ac:dyDescent="0.25">
      <c r="C4517" s="79"/>
      <c r="D4517" s="248"/>
      <c r="E4517" s="248"/>
      <c r="F4517" s="47"/>
      <c r="G4517" s="79"/>
      <c r="J4517" s="99"/>
      <c r="K4517" s="4"/>
    </row>
    <row r="4518" spans="3:11" x14ac:dyDescent="0.25">
      <c r="C4518" s="79"/>
      <c r="D4518" s="248"/>
      <c r="E4518" s="248"/>
      <c r="F4518" s="47"/>
      <c r="G4518" s="79"/>
      <c r="J4518" s="99"/>
      <c r="K4518" s="4"/>
    </row>
    <row r="4519" spans="3:11" x14ac:dyDescent="0.25">
      <c r="C4519" s="79"/>
      <c r="D4519" s="248"/>
      <c r="E4519" s="248"/>
      <c r="F4519" s="47"/>
      <c r="G4519" s="79"/>
      <c r="J4519" s="99"/>
      <c r="K4519" s="4"/>
    </row>
    <row r="4520" spans="3:11" x14ac:dyDescent="0.25">
      <c r="C4520" s="79"/>
      <c r="D4520" s="248"/>
      <c r="E4520" s="248"/>
      <c r="F4520" s="47"/>
      <c r="G4520" s="79"/>
      <c r="J4520" s="99"/>
      <c r="K4520" s="4"/>
    </row>
    <row r="4521" spans="3:11" x14ac:dyDescent="0.25">
      <c r="C4521" s="79"/>
      <c r="D4521" s="248"/>
      <c r="E4521" s="248"/>
      <c r="F4521" s="47"/>
      <c r="G4521" s="79"/>
      <c r="J4521" s="99"/>
      <c r="K4521" s="4"/>
    </row>
    <row r="4522" spans="3:11" x14ac:dyDescent="0.25">
      <c r="C4522" s="79"/>
      <c r="D4522" s="248"/>
      <c r="E4522" s="248"/>
      <c r="F4522" s="47"/>
      <c r="G4522" s="79"/>
      <c r="J4522" s="99"/>
      <c r="K4522" s="4"/>
    </row>
    <row r="4523" spans="3:11" x14ac:dyDescent="0.25">
      <c r="C4523" s="79"/>
      <c r="D4523" s="248"/>
      <c r="E4523" s="248"/>
      <c r="F4523" s="47"/>
      <c r="G4523" s="79"/>
      <c r="J4523" s="99"/>
      <c r="K4523" s="4"/>
    </row>
    <row r="4524" spans="3:11" x14ac:dyDescent="0.25">
      <c r="C4524" s="79"/>
      <c r="D4524" s="248"/>
      <c r="E4524" s="248"/>
      <c r="F4524" s="47"/>
      <c r="G4524" s="79"/>
      <c r="J4524" s="99"/>
      <c r="K4524" s="4"/>
    </row>
    <row r="4525" spans="3:11" x14ac:dyDescent="0.25">
      <c r="C4525" s="79"/>
      <c r="D4525" s="248"/>
      <c r="E4525" s="248"/>
      <c r="F4525" s="47"/>
      <c r="G4525" s="79"/>
      <c r="J4525" s="99"/>
      <c r="K4525" s="4"/>
    </row>
    <row r="4526" spans="3:11" x14ac:dyDescent="0.25">
      <c r="C4526" s="79"/>
      <c r="D4526" s="248"/>
      <c r="E4526" s="248"/>
      <c r="F4526" s="47"/>
      <c r="G4526" s="79"/>
      <c r="J4526" s="99"/>
      <c r="K4526" s="4"/>
    </row>
    <row r="4527" spans="3:11" x14ac:dyDescent="0.25">
      <c r="C4527" s="79"/>
      <c r="D4527" s="248"/>
      <c r="E4527" s="248"/>
      <c r="F4527" s="47"/>
      <c r="G4527" s="79"/>
      <c r="J4527" s="99"/>
      <c r="K4527" s="4"/>
    </row>
    <row r="4528" spans="3:11" x14ac:dyDescent="0.25">
      <c r="C4528" s="79"/>
      <c r="D4528" s="248"/>
      <c r="E4528" s="248"/>
      <c r="F4528" s="47"/>
      <c r="G4528" s="79"/>
      <c r="J4528" s="99"/>
      <c r="K4528" s="4"/>
    </row>
    <row r="4529" spans="3:11" x14ac:dyDescent="0.25">
      <c r="C4529" s="79"/>
      <c r="D4529" s="248"/>
      <c r="E4529" s="248"/>
      <c r="F4529" s="47"/>
      <c r="G4529" s="79"/>
      <c r="J4529" s="99"/>
      <c r="K4529" s="4"/>
    </row>
    <row r="4530" spans="3:11" x14ac:dyDescent="0.25">
      <c r="C4530" s="79"/>
      <c r="D4530" s="248"/>
      <c r="E4530" s="248"/>
      <c r="F4530" s="47"/>
      <c r="G4530" s="79"/>
      <c r="J4530" s="99"/>
      <c r="K4530" s="4"/>
    </row>
    <row r="4531" spans="3:11" x14ac:dyDescent="0.25">
      <c r="C4531" s="79"/>
      <c r="D4531" s="248"/>
      <c r="E4531" s="248"/>
      <c r="F4531" s="47"/>
      <c r="G4531" s="79"/>
      <c r="J4531" s="99"/>
      <c r="K4531" s="4"/>
    </row>
    <row r="4532" spans="3:11" x14ac:dyDescent="0.25">
      <c r="C4532" s="79"/>
      <c r="D4532" s="248"/>
      <c r="E4532" s="248"/>
      <c r="F4532" s="47"/>
      <c r="G4532" s="79"/>
      <c r="J4532" s="99"/>
      <c r="K4532" s="4"/>
    </row>
    <row r="4533" spans="3:11" x14ac:dyDescent="0.25">
      <c r="C4533" s="79"/>
      <c r="D4533" s="248"/>
      <c r="E4533" s="248"/>
      <c r="F4533" s="47"/>
      <c r="G4533" s="79"/>
      <c r="J4533" s="99"/>
      <c r="K4533" s="4"/>
    </row>
    <row r="4534" spans="3:11" x14ac:dyDescent="0.25">
      <c r="C4534" s="79"/>
      <c r="D4534" s="248"/>
      <c r="E4534" s="248"/>
      <c r="F4534" s="47"/>
      <c r="G4534" s="79"/>
      <c r="J4534" s="99"/>
      <c r="K4534" s="4"/>
    </row>
    <row r="4535" spans="3:11" x14ac:dyDescent="0.25">
      <c r="C4535" s="79"/>
      <c r="D4535" s="248"/>
      <c r="E4535" s="248"/>
      <c r="F4535" s="47"/>
      <c r="G4535" s="79"/>
      <c r="J4535" s="99"/>
      <c r="K4535" s="4"/>
    </row>
    <row r="4536" spans="3:11" x14ac:dyDescent="0.25">
      <c r="C4536" s="79"/>
      <c r="D4536" s="248"/>
      <c r="E4536" s="248"/>
      <c r="F4536" s="47"/>
      <c r="G4536" s="79"/>
      <c r="J4536" s="99"/>
      <c r="K4536" s="4"/>
    </row>
    <row r="4537" spans="3:11" x14ac:dyDescent="0.25">
      <c r="C4537" s="79"/>
      <c r="D4537" s="248"/>
      <c r="E4537" s="248"/>
      <c r="F4537" s="47"/>
      <c r="G4537" s="79"/>
      <c r="J4537" s="99"/>
      <c r="K4537" s="4"/>
    </row>
    <row r="4538" spans="3:11" x14ac:dyDescent="0.25">
      <c r="C4538" s="79"/>
      <c r="D4538" s="248"/>
      <c r="E4538" s="248"/>
      <c r="F4538" s="47"/>
      <c r="G4538" s="79"/>
      <c r="J4538" s="99"/>
      <c r="K4538" s="4"/>
    </row>
    <row r="4539" spans="3:11" x14ac:dyDescent="0.25">
      <c r="C4539" s="79"/>
      <c r="D4539" s="248"/>
      <c r="E4539" s="248"/>
      <c r="F4539" s="47"/>
      <c r="G4539" s="79"/>
      <c r="J4539" s="99"/>
      <c r="K4539" s="4"/>
    </row>
    <row r="4540" spans="3:11" x14ac:dyDescent="0.25">
      <c r="C4540" s="79"/>
      <c r="D4540" s="248"/>
      <c r="E4540" s="248"/>
      <c r="F4540" s="47"/>
      <c r="G4540" s="79"/>
      <c r="J4540" s="99"/>
      <c r="K4540" s="4"/>
    </row>
    <row r="4541" spans="3:11" x14ac:dyDescent="0.25">
      <c r="C4541" s="79"/>
      <c r="D4541" s="248"/>
      <c r="E4541" s="248"/>
      <c r="F4541" s="47"/>
      <c r="G4541" s="79"/>
      <c r="J4541" s="99"/>
      <c r="K4541" s="4"/>
    </row>
    <row r="4542" spans="3:11" x14ac:dyDescent="0.25">
      <c r="C4542" s="79"/>
      <c r="D4542" s="248"/>
      <c r="E4542" s="248"/>
      <c r="F4542" s="47"/>
      <c r="G4542" s="79"/>
      <c r="J4542" s="99"/>
      <c r="K4542" s="4"/>
    </row>
    <row r="4543" spans="3:11" x14ac:dyDescent="0.25">
      <c r="C4543" s="79"/>
      <c r="D4543" s="248"/>
      <c r="E4543" s="248"/>
      <c r="F4543" s="47"/>
      <c r="G4543" s="79"/>
      <c r="J4543" s="99"/>
      <c r="K4543" s="4"/>
    </row>
    <row r="4544" spans="3:11" x14ac:dyDescent="0.25">
      <c r="C4544" s="79"/>
      <c r="D4544" s="248"/>
      <c r="E4544" s="248"/>
      <c r="F4544" s="47"/>
      <c r="G4544" s="79"/>
      <c r="J4544" s="99"/>
      <c r="K4544" s="4"/>
    </row>
    <row r="4545" spans="3:11" x14ac:dyDescent="0.25">
      <c r="C4545" s="79"/>
      <c r="D4545" s="248"/>
      <c r="E4545" s="248"/>
      <c r="F4545" s="47"/>
      <c r="G4545" s="79"/>
      <c r="J4545" s="99"/>
      <c r="K4545" s="4"/>
    </row>
    <row r="4546" spans="3:11" x14ac:dyDescent="0.25">
      <c r="C4546" s="79"/>
      <c r="D4546" s="248"/>
      <c r="E4546" s="248"/>
      <c r="F4546" s="47"/>
      <c r="G4546" s="79"/>
      <c r="J4546" s="99"/>
      <c r="K4546" s="4"/>
    </row>
    <row r="4547" spans="3:11" x14ac:dyDescent="0.25">
      <c r="C4547" s="79"/>
      <c r="D4547" s="248"/>
      <c r="E4547" s="248"/>
      <c r="F4547" s="47"/>
      <c r="G4547" s="79"/>
      <c r="J4547" s="99"/>
      <c r="K4547" s="4"/>
    </row>
    <row r="4548" spans="3:11" x14ac:dyDescent="0.25">
      <c r="C4548" s="79"/>
      <c r="D4548" s="248"/>
      <c r="E4548" s="248"/>
      <c r="F4548" s="47"/>
      <c r="G4548" s="79"/>
      <c r="J4548" s="99"/>
      <c r="K4548" s="4"/>
    </row>
    <row r="4549" spans="3:11" x14ac:dyDescent="0.25">
      <c r="C4549" s="79"/>
      <c r="D4549" s="248"/>
      <c r="E4549" s="248"/>
      <c r="F4549" s="47"/>
      <c r="G4549" s="79"/>
      <c r="J4549" s="99"/>
      <c r="K4549" s="4"/>
    </row>
    <row r="4550" spans="3:11" x14ac:dyDescent="0.25">
      <c r="C4550" s="79"/>
      <c r="D4550" s="248"/>
      <c r="E4550" s="248"/>
      <c r="F4550" s="47"/>
      <c r="G4550" s="79"/>
      <c r="J4550" s="99"/>
      <c r="K4550" s="4"/>
    </row>
    <row r="4551" spans="3:11" x14ac:dyDescent="0.25">
      <c r="C4551" s="79"/>
      <c r="D4551" s="248"/>
      <c r="E4551" s="248"/>
      <c r="F4551" s="47"/>
      <c r="G4551" s="79"/>
      <c r="J4551" s="99"/>
      <c r="K4551" s="4"/>
    </row>
    <row r="4552" spans="3:11" x14ac:dyDescent="0.25">
      <c r="C4552" s="79"/>
      <c r="D4552" s="248"/>
      <c r="E4552" s="248"/>
      <c r="F4552" s="47"/>
      <c r="G4552" s="79"/>
      <c r="J4552" s="99"/>
      <c r="K4552" s="4"/>
    </row>
    <row r="4553" spans="3:11" x14ac:dyDescent="0.25">
      <c r="C4553" s="79"/>
      <c r="D4553" s="248"/>
      <c r="E4553" s="248"/>
      <c r="F4553" s="47"/>
      <c r="G4553" s="79"/>
      <c r="J4553" s="99"/>
      <c r="K4553" s="4"/>
    </row>
    <row r="4554" spans="3:11" x14ac:dyDescent="0.25">
      <c r="C4554" s="79"/>
      <c r="D4554" s="248"/>
      <c r="E4554" s="248"/>
      <c r="F4554" s="47"/>
      <c r="G4554" s="79"/>
      <c r="J4554" s="99"/>
      <c r="K4554" s="4"/>
    </row>
    <row r="4555" spans="3:11" x14ac:dyDescent="0.25">
      <c r="C4555" s="79"/>
      <c r="D4555" s="248"/>
      <c r="E4555" s="248"/>
      <c r="F4555" s="47"/>
      <c r="G4555" s="79"/>
      <c r="J4555" s="99"/>
      <c r="K4555" s="4"/>
    </row>
    <row r="4556" spans="3:11" x14ac:dyDescent="0.25">
      <c r="C4556" s="79"/>
      <c r="D4556" s="248"/>
      <c r="E4556" s="248"/>
      <c r="F4556" s="47"/>
      <c r="G4556" s="79"/>
      <c r="J4556" s="99"/>
      <c r="K4556" s="4"/>
    </row>
    <row r="4557" spans="3:11" x14ac:dyDescent="0.25">
      <c r="C4557" s="79"/>
      <c r="D4557" s="248"/>
      <c r="E4557" s="248"/>
      <c r="F4557" s="47"/>
      <c r="G4557" s="79"/>
      <c r="J4557" s="99"/>
      <c r="K4557" s="4"/>
    </row>
    <row r="4558" spans="3:11" x14ac:dyDescent="0.25">
      <c r="C4558" s="79"/>
      <c r="D4558" s="248"/>
      <c r="E4558" s="248"/>
      <c r="F4558" s="47"/>
      <c r="G4558" s="79"/>
      <c r="J4558" s="99"/>
      <c r="K4558" s="4"/>
    </row>
    <row r="4559" spans="3:11" x14ac:dyDescent="0.25">
      <c r="C4559" s="79"/>
      <c r="D4559" s="248"/>
      <c r="E4559" s="248"/>
      <c r="F4559" s="47"/>
      <c r="G4559" s="79"/>
      <c r="J4559" s="99"/>
      <c r="K4559" s="4"/>
    </row>
    <row r="4560" spans="3:11" x14ac:dyDescent="0.25">
      <c r="C4560" s="79"/>
      <c r="D4560" s="248"/>
      <c r="E4560" s="248"/>
      <c r="F4560" s="47"/>
      <c r="G4560" s="79"/>
      <c r="J4560" s="99"/>
      <c r="K4560" s="4"/>
    </row>
    <row r="4561" spans="3:11" x14ac:dyDescent="0.25">
      <c r="C4561" s="79"/>
      <c r="D4561" s="248"/>
      <c r="E4561" s="248"/>
      <c r="F4561" s="47"/>
      <c r="G4561" s="79"/>
      <c r="J4561" s="99"/>
      <c r="K4561" s="4"/>
    </row>
    <row r="4562" spans="3:11" x14ac:dyDescent="0.25">
      <c r="C4562" s="79"/>
      <c r="D4562" s="248"/>
      <c r="E4562" s="248"/>
      <c r="F4562" s="47"/>
      <c r="G4562" s="79"/>
      <c r="J4562" s="99"/>
      <c r="K4562" s="4"/>
    </row>
    <row r="4563" spans="3:11" x14ac:dyDescent="0.25">
      <c r="C4563" s="79"/>
      <c r="D4563" s="248"/>
      <c r="E4563" s="248"/>
      <c r="F4563" s="47"/>
      <c r="G4563" s="79"/>
      <c r="J4563" s="99"/>
      <c r="K4563" s="4"/>
    </row>
    <row r="4564" spans="3:11" x14ac:dyDescent="0.25">
      <c r="C4564" s="79"/>
      <c r="D4564" s="248"/>
      <c r="E4564" s="248"/>
      <c r="F4564" s="47"/>
      <c r="G4564" s="79"/>
      <c r="J4564" s="99"/>
      <c r="K4564" s="4"/>
    </row>
    <row r="4565" spans="3:11" x14ac:dyDescent="0.25">
      <c r="C4565" s="79"/>
      <c r="D4565" s="248"/>
      <c r="E4565" s="248"/>
      <c r="F4565" s="47"/>
      <c r="G4565" s="79"/>
      <c r="J4565" s="99"/>
      <c r="K4565" s="4"/>
    </row>
    <row r="4566" spans="3:11" x14ac:dyDescent="0.25">
      <c r="C4566" s="79"/>
      <c r="D4566" s="248"/>
      <c r="E4566" s="248"/>
      <c r="F4566" s="47"/>
      <c r="G4566" s="79"/>
      <c r="J4566" s="99"/>
      <c r="K4566" s="4"/>
    </row>
    <row r="4567" spans="3:11" x14ac:dyDescent="0.25">
      <c r="C4567" s="79"/>
      <c r="D4567" s="248"/>
      <c r="E4567" s="248"/>
      <c r="F4567" s="47"/>
      <c r="G4567" s="79"/>
      <c r="J4567" s="99"/>
      <c r="K4567" s="4"/>
    </row>
    <row r="4568" spans="3:11" x14ac:dyDescent="0.25">
      <c r="C4568" s="79"/>
      <c r="D4568" s="248"/>
      <c r="E4568" s="248"/>
      <c r="F4568" s="47"/>
      <c r="G4568" s="79"/>
      <c r="J4568" s="99"/>
      <c r="K4568" s="4"/>
    </row>
    <row r="4569" spans="3:11" x14ac:dyDescent="0.25">
      <c r="C4569" s="79"/>
      <c r="D4569" s="248"/>
      <c r="E4569" s="248"/>
      <c r="F4569" s="47"/>
      <c r="G4569" s="79"/>
      <c r="J4569" s="99"/>
      <c r="K4569" s="4"/>
    </row>
    <row r="4570" spans="3:11" x14ac:dyDescent="0.25">
      <c r="C4570" s="79"/>
      <c r="D4570" s="248"/>
      <c r="E4570" s="248"/>
      <c r="F4570" s="47"/>
      <c r="G4570" s="79"/>
      <c r="J4570" s="99"/>
      <c r="K4570" s="4"/>
    </row>
    <row r="4571" spans="3:11" x14ac:dyDescent="0.25">
      <c r="C4571" s="79"/>
      <c r="D4571" s="248"/>
      <c r="E4571" s="248"/>
      <c r="F4571" s="47"/>
      <c r="G4571" s="79"/>
      <c r="J4571" s="99"/>
      <c r="K4571" s="4"/>
    </row>
    <row r="4572" spans="3:11" x14ac:dyDescent="0.25">
      <c r="C4572" s="79"/>
      <c r="D4572" s="248"/>
      <c r="E4572" s="248"/>
      <c r="F4572" s="47"/>
      <c r="G4572" s="79"/>
      <c r="J4572" s="99"/>
      <c r="K4572" s="4"/>
    </row>
    <row r="4573" spans="3:11" x14ac:dyDescent="0.25">
      <c r="C4573" s="79"/>
      <c r="D4573" s="248"/>
      <c r="E4573" s="248"/>
      <c r="F4573" s="47"/>
      <c r="G4573" s="79"/>
      <c r="J4573" s="99"/>
      <c r="K4573" s="4"/>
    </row>
    <row r="4574" spans="3:11" x14ac:dyDescent="0.25">
      <c r="C4574" s="79"/>
      <c r="D4574" s="248"/>
      <c r="E4574" s="248"/>
      <c r="F4574" s="47"/>
      <c r="G4574" s="79"/>
      <c r="J4574" s="99"/>
      <c r="K4574" s="4"/>
    </row>
    <row r="4575" spans="3:11" x14ac:dyDescent="0.25">
      <c r="C4575" s="79"/>
      <c r="D4575" s="248"/>
      <c r="E4575" s="248"/>
      <c r="F4575" s="47"/>
      <c r="G4575" s="79"/>
      <c r="J4575" s="99"/>
      <c r="K4575" s="4"/>
    </row>
    <row r="4576" spans="3:11" x14ac:dyDescent="0.25">
      <c r="C4576" s="79"/>
      <c r="D4576" s="248"/>
      <c r="E4576" s="248"/>
      <c r="F4576" s="47"/>
      <c r="G4576" s="79"/>
      <c r="J4576" s="99"/>
      <c r="K4576" s="4"/>
    </row>
    <row r="4577" spans="3:11" x14ac:dyDescent="0.25">
      <c r="C4577" s="79"/>
      <c r="D4577" s="248"/>
      <c r="E4577" s="248"/>
      <c r="F4577" s="47"/>
      <c r="G4577" s="79"/>
      <c r="J4577" s="99"/>
      <c r="K4577" s="4"/>
    </row>
    <row r="4578" spans="3:11" x14ac:dyDescent="0.25">
      <c r="C4578" s="79"/>
      <c r="D4578" s="248"/>
      <c r="E4578" s="248"/>
      <c r="F4578" s="47"/>
      <c r="G4578" s="79"/>
      <c r="J4578" s="99"/>
      <c r="K4578" s="4"/>
    </row>
    <row r="4579" spans="3:11" x14ac:dyDescent="0.25">
      <c r="C4579" s="79"/>
      <c r="D4579" s="248"/>
      <c r="E4579" s="248"/>
      <c r="F4579" s="47"/>
      <c r="G4579" s="79"/>
      <c r="J4579" s="99"/>
      <c r="K4579" s="4"/>
    </row>
    <row r="4580" spans="3:11" x14ac:dyDescent="0.25">
      <c r="C4580" s="79"/>
      <c r="D4580" s="248"/>
      <c r="E4580" s="248"/>
      <c r="F4580" s="47"/>
      <c r="G4580" s="79"/>
      <c r="J4580" s="99"/>
      <c r="K4580" s="4"/>
    </row>
    <row r="4581" spans="3:11" x14ac:dyDescent="0.25">
      <c r="C4581" s="79"/>
      <c r="D4581" s="248"/>
      <c r="E4581" s="248"/>
      <c r="F4581" s="47"/>
      <c r="G4581" s="79"/>
      <c r="J4581" s="99"/>
      <c r="K4581" s="4"/>
    </row>
    <row r="4582" spans="3:11" x14ac:dyDescent="0.25">
      <c r="C4582" s="79"/>
      <c r="D4582" s="248"/>
      <c r="E4582" s="248"/>
      <c r="F4582" s="47"/>
      <c r="G4582" s="79"/>
      <c r="J4582" s="99"/>
      <c r="K4582" s="4"/>
    </row>
    <row r="4583" spans="3:11" x14ac:dyDescent="0.25">
      <c r="C4583" s="79"/>
      <c r="D4583" s="248"/>
      <c r="E4583" s="248"/>
      <c r="F4583" s="47"/>
      <c r="G4583" s="79"/>
      <c r="J4583" s="99"/>
      <c r="K4583" s="4"/>
    </row>
    <row r="4584" spans="3:11" x14ac:dyDescent="0.25">
      <c r="C4584" s="79"/>
      <c r="D4584" s="248"/>
      <c r="E4584" s="248"/>
      <c r="F4584" s="47"/>
      <c r="G4584" s="79"/>
      <c r="J4584" s="99"/>
      <c r="K4584" s="4"/>
    </row>
    <row r="4585" spans="3:11" x14ac:dyDescent="0.25">
      <c r="C4585" s="79"/>
      <c r="D4585" s="248"/>
      <c r="E4585" s="248"/>
      <c r="F4585" s="47"/>
      <c r="G4585" s="79"/>
      <c r="J4585" s="99"/>
      <c r="K4585" s="4"/>
    </row>
    <row r="4586" spans="3:11" x14ac:dyDescent="0.25">
      <c r="C4586" s="79"/>
      <c r="D4586" s="248"/>
      <c r="E4586" s="248"/>
      <c r="F4586" s="47"/>
      <c r="G4586" s="79"/>
      <c r="J4586" s="99"/>
      <c r="K4586" s="4"/>
    </row>
    <row r="4587" spans="3:11" x14ac:dyDescent="0.25">
      <c r="C4587" s="79"/>
      <c r="D4587" s="248"/>
      <c r="E4587" s="248"/>
      <c r="F4587" s="47"/>
      <c r="G4587" s="79"/>
      <c r="J4587" s="99"/>
      <c r="K4587" s="4"/>
    </row>
    <row r="4588" spans="3:11" x14ac:dyDescent="0.25">
      <c r="C4588" s="79"/>
      <c r="D4588" s="248"/>
      <c r="E4588" s="248"/>
      <c r="F4588" s="47"/>
      <c r="G4588" s="79"/>
      <c r="J4588" s="99"/>
      <c r="K4588" s="4"/>
    </row>
    <row r="4589" spans="3:11" x14ac:dyDescent="0.25">
      <c r="C4589" s="79"/>
      <c r="D4589" s="248"/>
      <c r="E4589" s="248"/>
      <c r="F4589" s="47"/>
      <c r="G4589" s="79"/>
      <c r="J4589" s="99"/>
      <c r="K4589" s="4"/>
    </row>
    <row r="4590" spans="3:11" x14ac:dyDescent="0.25">
      <c r="C4590" s="79"/>
      <c r="D4590" s="248"/>
      <c r="E4590" s="248"/>
      <c r="F4590" s="47"/>
      <c r="G4590" s="79"/>
      <c r="J4590" s="99"/>
      <c r="K4590" s="4"/>
    </row>
    <row r="4591" spans="3:11" x14ac:dyDescent="0.25">
      <c r="C4591" s="79"/>
      <c r="D4591" s="248"/>
      <c r="E4591" s="248"/>
      <c r="F4591" s="47"/>
      <c r="G4591" s="79"/>
      <c r="J4591" s="99"/>
      <c r="K4591" s="4"/>
    </row>
    <row r="4592" spans="3:11" x14ac:dyDescent="0.25">
      <c r="C4592" s="79"/>
      <c r="D4592" s="248"/>
      <c r="E4592" s="248"/>
      <c r="F4592" s="47"/>
      <c r="G4592" s="79"/>
      <c r="J4592" s="99"/>
      <c r="K4592" s="4"/>
    </row>
    <row r="4593" spans="3:11" x14ac:dyDescent="0.25">
      <c r="C4593" s="79"/>
      <c r="D4593" s="248"/>
      <c r="E4593" s="248"/>
      <c r="F4593" s="47"/>
      <c r="G4593" s="79"/>
      <c r="J4593" s="99"/>
      <c r="K4593" s="4"/>
    </row>
    <row r="4594" spans="3:11" x14ac:dyDescent="0.25">
      <c r="C4594" s="79"/>
      <c r="D4594" s="248"/>
      <c r="E4594" s="248"/>
      <c r="F4594" s="47"/>
      <c r="G4594" s="79"/>
      <c r="J4594" s="99"/>
      <c r="K4594" s="4"/>
    </row>
    <row r="4595" spans="3:11" x14ac:dyDescent="0.25">
      <c r="C4595" s="79"/>
      <c r="D4595" s="248"/>
      <c r="E4595" s="248"/>
      <c r="F4595" s="47"/>
      <c r="G4595" s="79"/>
      <c r="J4595" s="99"/>
      <c r="K4595" s="4"/>
    </row>
    <row r="4596" spans="3:11" x14ac:dyDescent="0.25">
      <c r="C4596" s="79"/>
      <c r="D4596" s="248"/>
      <c r="E4596" s="248"/>
      <c r="F4596" s="47"/>
      <c r="G4596" s="79"/>
      <c r="J4596" s="99"/>
      <c r="K4596" s="4"/>
    </row>
    <row r="4597" spans="3:11" x14ac:dyDescent="0.25">
      <c r="C4597" s="79"/>
      <c r="D4597" s="248"/>
      <c r="E4597" s="248"/>
      <c r="F4597" s="47"/>
      <c r="G4597" s="79"/>
      <c r="J4597" s="99"/>
      <c r="K4597" s="4"/>
    </row>
    <row r="4598" spans="3:11" x14ac:dyDescent="0.25">
      <c r="C4598" s="79"/>
      <c r="D4598" s="248"/>
      <c r="E4598" s="248"/>
      <c r="F4598" s="47"/>
      <c r="G4598" s="79"/>
      <c r="J4598" s="99"/>
      <c r="K4598" s="4"/>
    </row>
    <row r="4599" spans="3:11" x14ac:dyDescent="0.25">
      <c r="C4599" s="79"/>
      <c r="D4599" s="248"/>
      <c r="E4599" s="248"/>
      <c r="F4599" s="47"/>
      <c r="G4599" s="79"/>
      <c r="J4599" s="99"/>
      <c r="K4599" s="4"/>
    </row>
    <row r="4600" spans="3:11" x14ac:dyDescent="0.25">
      <c r="C4600" s="79"/>
      <c r="D4600" s="248"/>
      <c r="E4600" s="248"/>
      <c r="F4600" s="47"/>
      <c r="G4600" s="79"/>
      <c r="J4600" s="99"/>
      <c r="K4600" s="4"/>
    </row>
    <row r="4601" spans="3:11" x14ac:dyDescent="0.25">
      <c r="C4601" s="79"/>
      <c r="D4601" s="248"/>
      <c r="E4601" s="248"/>
      <c r="F4601" s="47"/>
      <c r="G4601" s="79"/>
      <c r="J4601" s="99"/>
      <c r="K4601" s="4"/>
    </row>
    <row r="4602" spans="3:11" x14ac:dyDescent="0.25">
      <c r="C4602" s="79"/>
      <c r="D4602" s="248"/>
      <c r="E4602" s="248"/>
      <c r="F4602" s="47"/>
      <c r="G4602" s="79"/>
      <c r="J4602" s="99"/>
      <c r="K4602" s="4"/>
    </row>
    <row r="4603" spans="3:11" x14ac:dyDescent="0.25">
      <c r="C4603" s="79"/>
      <c r="D4603" s="248"/>
      <c r="E4603" s="248"/>
      <c r="F4603" s="47"/>
      <c r="G4603" s="79"/>
      <c r="J4603" s="99"/>
      <c r="K4603" s="4"/>
    </row>
    <row r="4604" spans="3:11" x14ac:dyDescent="0.25">
      <c r="C4604" s="79"/>
      <c r="D4604" s="248"/>
      <c r="E4604" s="248"/>
      <c r="F4604" s="47"/>
      <c r="G4604" s="79"/>
      <c r="J4604" s="99"/>
      <c r="K4604" s="4"/>
    </row>
    <row r="4605" spans="3:11" x14ac:dyDescent="0.25">
      <c r="C4605" s="79"/>
      <c r="D4605" s="248"/>
      <c r="E4605" s="248"/>
      <c r="F4605" s="47"/>
      <c r="G4605" s="79"/>
      <c r="J4605" s="99"/>
      <c r="K4605" s="4"/>
    </row>
    <row r="4606" spans="3:11" x14ac:dyDescent="0.25">
      <c r="C4606" s="79"/>
      <c r="D4606" s="248"/>
      <c r="E4606" s="248"/>
      <c r="F4606" s="47"/>
      <c r="G4606" s="79"/>
      <c r="J4606" s="99"/>
      <c r="K4606" s="4"/>
    </row>
    <row r="4607" spans="3:11" x14ac:dyDescent="0.25">
      <c r="C4607" s="79"/>
      <c r="D4607" s="248"/>
      <c r="E4607" s="248"/>
      <c r="F4607" s="47"/>
      <c r="G4607" s="79"/>
      <c r="J4607" s="99"/>
      <c r="K4607" s="4"/>
    </row>
    <row r="4608" spans="3:11" x14ac:dyDescent="0.25">
      <c r="C4608" s="79"/>
      <c r="D4608" s="248"/>
      <c r="E4608" s="248"/>
      <c r="F4608" s="47"/>
      <c r="G4608" s="79"/>
      <c r="J4608" s="99"/>
      <c r="K4608" s="4"/>
    </row>
    <row r="4609" spans="3:11" x14ac:dyDescent="0.25">
      <c r="C4609" s="79"/>
      <c r="D4609" s="248"/>
      <c r="E4609" s="248"/>
      <c r="F4609" s="47"/>
      <c r="G4609" s="79"/>
      <c r="J4609" s="99"/>
      <c r="K4609" s="4"/>
    </row>
    <row r="4610" spans="3:11" x14ac:dyDescent="0.25">
      <c r="C4610" s="79"/>
      <c r="D4610" s="248"/>
      <c r="E4610" s="248"/>
      <c r="F4610" s="47"/>
      <c r="G4610" s="79"/>
      <c r="J4610" s="99"/>
      <c r="K4610" s="4"/>
    </row>
    <row r="4611" spans="3:11" x14ac:dyDescent="0.25">
      <c r="C4611" s="79"/>
      <c r="D4611" s="248"/>
      <c r="E4611" s="248"/>
      <c r="F4611" s="47"/>
      <c r="G4611" s="79"/>
      <c r="J4611" s="99"/>
      <c r="K4611" s="4"/>
    </row>
    <row r="4612" spans="3:11" x14ac:dyDescent="0.25">
      <c r="C4612" s="79"/>
      <c r="D4612" s="248"/>
      <c r="E4612" s="248"/>
      <c r="F4612" s="47"/>
      <c r="G4612" s="79"/>
      <c r="J4612" s="99"/>
      <c r="K4612" s="4"/>
    </row>
    <row r="4613" spans="3:11" x14ac:dyDescent="0.25">
      <c r="C4613" s="79"/>
      <c r="D4613" s="248"/>
      <c r="E4613" s="248"/>
      <c r="F4613" s="47"/>
      <c r="G4613" s="79"/>
      <c r="J4613" s="99"/>
      <c r="K4613" s="4"/>
    </row>
    <row r="4614" spans="3:11" x14ac:dyDescent="0.25">
      <c r="C4614" s="79"/>
      <c r="D4614" s="248"/>
      <c r="E4614" s="248"/>
      <c r="F4614" s="47"/>
      <c r="G4614" s="79"/>
      <c r="J4614" s="99"/>
      <c r="K4614" s="4"/>
    </row>
    <row r="4615" spans="3:11" x14ac:dyDescent="0.25">
      <c r="C4615" s="79"/>
      <c r="D4615" s="248"/>
      <c r="E4615" s="248"/>
      <c r="F4615" s="47"/>
      <c r="G4615" s="79"/>
      <c r="J4615" s="99"/>
      <c r="K4615" s="4"/>
    </row>
    <row r="4616" spans="3:11" x14ac:dyDescent="0.25">
      <c r="C4616" s="79"/>
      <c r="D4616" s="248"/>
      <c r="E4616" s="248"/>
      <c r="F4616" s="47"/>
      <c r="G4616" s="79"/>
      <c r="J4616" s="99"/>
      <c r="K4616" s="4"/>
    </row>
    <row r="4617" spans="3:11" x14ac:dyDescent="0.25">
      <c r="C4617" s="79"/>
      <c r="D4617" s="248"/>
      <c r="E4617" s="248"/>
      <c r="F4617" s="47"/>
      <c r="G4617" s="79"/>
      <c r="J4617" s="99"/>
      <c r="K4617" s="4"/>
    </row>
    <row r="4618" spans="3:11" x14ac:dyDescent="0.25">
      <c r="C4618" s="79"/>
      <c r="D4618" s="248"/>
      <c r="E4618" s="248"/>
      <c r="F4618" s="47"/>
      <c r="G4618" s="79"/>
      <c r="J4618" s="99"/>
      <c r="K4618" s="4"/>
    </row>
    <row r="4619" spans="3:11" x14ac:dyDescent="0.25">
      <c r="C4619" s="79"/>
      <c r="D4619" s="248"/>
      <c r="E4619" s="248"/>
      <c r="F4619" s="47"/>
      <c r="G4619" s="79"/>
      <c r="J4619" s="99"/>
      <c r="K4619" s="4"/>
    </row>
    <row r="4620" spans="3:11" x14ac:dyDescent="0.25">
      <c r="C4620" s="79"/>
      <c r="D4620" s="248"/>
      <c r="E4620" s="248"/>
      <c r="F4620" s="47"/>
      <c r="G4620" s="79"/>
      <c r="J4620" s="99"/>
      <c r="K4620" s="4"/>
    </row>
    <row r="4621" spans="3:11" x14ac:dyDescent="0.25">
      <c r="C4621" s="79"/>
      <c r="D4621" s="248"/>
      <c r="E4621" s="248"/>
      <c r="F4621" s="47"/>
      <c r="G4621" s="79"/>
      <c r="J4621" s="99"/>
      <c r="K4621" s="4"/>
    </row>
    <row r="4622" spans="3:11" x14ac:dyDescent="0.25">
      <c r="C4622" s="79"/>
      <c r="D4622" s="248"/>
      <c r="E4622" s="248"/>
      <c r="F4622" s="47"/>
      <c r="G4622" s="79"/>
      <c r="J4622" s="99"/>
      <c r="K4622" s="4"/>
    </row>
    <row r="4623" spans="3:11" x14ac:dyDescent="0.25">
      <c r="C4623" s="79"/>
      <c r="D4623" s="248"/>
      <c r="E4623" s="248"/>
      <c r="F4623" s="47"/>
      <c r="G4623" s="79"/>
      <c r="J4623" s="99"/>
      <c r="K4623" s="4"/>
    </row>
    <row r="4624" spans="3:11" x14ac:dyDescent="0.25">
      <c r="C4624" s="79"/>
      <c r="D4624" s="248"/>
      <c r="E4624" s="248"/>
      <c r="F4624" s="47"/>
      <c r="G4624" s="79"/>
      <c r="J4624" s="99"/>
      <c r="K4624" s="4"/>
    </row>
    <row r="4625" spans="3:11" x14ac:dyDescent="0.25">
      <c r="C4625" s="79"/>
      <c r="D4625" s="248"/>
      <c r="E4625" s="248"/>
      <c r="F4625" s="47"/>
      <c r="G4625" s="79"/>
      <c r="J4625" s="99"/>
      <c r="K4625" s="4"/>
    </row>
    <row r="4626" spans="3:11" x14ac:dyDescent="0.25">
      <c r="C4626" s="79"/>
      <c r="D4626" s="248"/>
      <c r="E4626" s="248"/>
      <c r="F4626" s="47"/>
      <c r="G4626" s="79"/>
      <c r="J4626" s="99"/>
      <c r="K4626" s="4"/>
    </row>
    <row r="4627" spans="3:11" x14ac:dyDescent="0.25">
      <c r="C4627" s="79"/>
      <c r="D4627" s="248"/>
      <c r="E4627" s="248"/>
      <c r="F4627" s="47"/>
      <c r="G4627" s="79"/>
      <c r="J4627" s="99"/>
      <c r="K4627" s="4"/>
    </row>
    <row r="4628" spans="3:11" x14ac:dyDescent="0.25">
      <c r="C4628" s="79"/>
      <c r="D4628" s="248"/>
      <c r="E4628" s="248"/>
      <c r="F4628" s="47"/>
      <c r="G4628" s="79"/>
      <c r="J4628" s="99"/>
      <c r="K4628" s="4"/>
    </row>
    <row r="4629" spans="3:11" x14ac:dyDescent="0.25">
      <c r="C4629" s="79"/>
      <c r="D4629" s="248"/>
      <c r="E4629" s="248"/>
      <c r="F4629" s="47"/>
      <c r="G4629" s="79"/>
      <c r="J4629" s="99"/>
      <c r="K4629" s="4"/>
    </row>
    <row r="4630" spans="3:11" x14ac:dyDescent="0.25">
      <c r="C4630" s="79"/>
      <c r="D4630" s="248"/>
      <c r="E4630" s="248"/>
      <c r="F4630" s="47"/>
      <c r="G4630" s="79"/>
      <c r="J4630" s="99"/>
      <c r="K4630" s="4"/>
    </row>
    <row r="4631" spans="3:11" x14ac:dyDescent="0.25">
      <c r="C4631" s="79"/>
      <c r="D4631" s="248"/>
      <c r="E4631" s="248"/>
      <c r="F4631" s="47"/>
      <c r="G4631" s="79"/>
      <c r="J4631" s="99"/>
      <c r="K4631" s="4"/>
    </row>
    <row r="4632" spans="3:11" x14ac:dyDescent="0.25">
      <c r="C4632" s="79"/>
      <c r="D4632" s="248"/>
      <c r="E4632" s="248"/>
      <c r="F4632" s="47"/>
      <c r="G4632" s="79"/>
      <c r="J4632" s="99"/>
      <c r="K4632" s="4"/>
    </row>
    <row r="4633" spans="3:11" x14ac:dyDescent="0.25">
      <c r="C4633" s="79"/>
      <c r="D4633" s="248"/>
      <c r="E4633" s="248"/>
      <c r="F4633" s="47"/>
      <c r="G4633" s="79"/>
      <c r="J4633" s="99"/>
      <c r="K4633" s="4"/>
    </row>
    <row r="4634" spans="3:11" x14ac:dyDescent="0.25">
      <c r="C4634" s="79"/>
      <c r="D4634" s="248"/>
      <c r="E4634" s="248"/>
      <c r="F4634" s="47"/>
      <c r="G4634" s="79"/>
      <c r="J4634" s="99"/>
      <c r="K4634" s="4"/>
    </row>
    <row r="4635" spans="3:11" x14ac:dyDescent="0.25">
      <c r="C4635" s="79"/>
      <c r="D4635" s="248"/>
      <c r="E4635" s="248"/>
      <c r="F4635" s="47"/>
      <c r="G4635" s="79"/>
      <c r="J4635" s="99"/>
      <c r="K4635" s="4"/>
    </row>
    <row r="4636" spans="3:11" x14ac:dyDescent="0.25">
      <c r="C4636" s="79"/>
      <c r="D4636" s="248"/>
      <c r="E4636" s="248"/>
      <c r="F4636" s="47"/>
      <c r="G4636" s="79"/>
      <c r="J4636" s="99"/>
      <c r="K4636" s="4"/>
    </row>
    <row r="4637" spans="3:11" x14ac:dyDescent="0.25">
      <c r="C4637" s="79"/>
      <c r="D4637" s="248"/>
      <c r="E4637" s="248"/>
      <c r="F4637" s="47"/>
      <c r="G4637" s="79"/>
      <c r="J4637" s="99"/>
      <c r="K4637" s="4"/>
    </row>
    <row r="4638" spans="3:11" x14ac:dyDescent="0.25">
      <c r="C4638" s="79"/>
      <c r="D4638" s="248"/>
      <c r="E4638" s="248"/>
      <c r="F4638" s="47"/>
      <c r="G4638" s="79"/>
      <c r="J4638" s="99"/>
      <c r="K4638" s="4"/>
    </row>
    <row r="4639" spans="3:11" x14ac:dyDescent="0.25">
      <c r="C4639" s="79"/>
      <c r="D4639" s="248"/>
      <c r="E4639" s="248"/>
      <c r="F4639" s="47"/>
      <c r="G4639" s="79"/>
      <c r="J4639" s="99"/>
      <c r="K4639" s="4"/>
    </row>
    <row r="4640" spans="3:11" x14ac:dyDescent="0.25">
      <c r="C4640" s="79"/>
      <c r="D4640" s="248"/>
      <c r="E4640" s="248"/>
      <c r="F4640" s="47"/>
      <c r="G4640" s="79"/>
      <c r="J4640" s="99"/>
      <c r="K4640" s="4"/>
    </row>
    <row r="4641" spans="3:11" x14ac:dyDescent="0.25">
      <c r="C4641" s="79"/>
      <c r="D4641" s="248"/>
      <c r="E4641" s="248"/>
      <c r="F4641" s="47"/>
      <c r="G4641" s="79"/>
      <c r="J4641" s="99"/>
      <c r="K4641" s="4"/>
    </row>
    <row r="4642" spans="3:11" x14ac:dyDescent="0.25">
      <c r="C4642" s="79"/>
      <c r="D4642" s="248"/>
      <c r="E4642" s="248"/>
      <c r="F4642" s="47"/>
      <c r="G4642" s="79"/>
      <c r="J4642" s="99"/>
      <c r="K4642" s="4"/>
    </row>
    <row r="4643" spans="3:11" x14ac:dyDescent="0.25">
      <c r="C4643" s="79"/>
      <c r="D4643" s="248"/>
      <c r="E4643" s="248"/>
      <c r="F4643" s="47"/>
      <c r="G4643" s="79"/>
      <c r="J4643" s="99"/>
      <c r="K4643" s="4"/>
    </row>
    <row r="4644" spans="3:11" x14ac:dyDescent="0.25">
      <c r="C4644" s="79"/>
      <c r="D4644" s="248"/>
      <c r="E4644" s="248"/>
      <c r="F4644" s="47"/>
      <c r="G4644" s="79"/>
      <c r="J4644" s="99"/>
      <c r="K4644" s="4"/>
    </row>
    <row r="4645" spans="3:11" x14ac:dyDescent="0.25">
      <c r="C4645" s="79"/>
      <c r="D4645" s="248"/>
      <c r="E4645" s="248"/>
      <c r="F4645" s="47"/>
      <c r="G4645" s="79"/>
      <c r="J4645" s="99"/>
      <c r="K4645" s="4"/>
    </row>
    <row r="4646" spans="3:11" x14ac:dyDescent="0.25">
      <c r="C4646" s="79"/>
      <c r="D4646" s="248"/>
      <c r="E4646" s="248"/>
      <c r="F4646" s="47"/>
      <c r="G4646" s="79"/>
      <c r="J4646" s="99"/>
      <c r="K4646" s="4"/>
    </row>
    <row r="4647" spans="3:11" x14ac:dyDescent="0.25">
      <c r="C4647" s="79"/>
      <c r="D4647" s="248"/>
      <c r="E4647" s="248"/>
      <c r="F4647" s="47"/>
      <c r="G4647" s="79"/>
      <c r="J4647" s="99"/>
      <c r="K4647" s="4"/>
    </row>
    <row r="4648" spans="3:11" x14ac:dyDescent="0.25">
      <c r="C4648" s="79"/>
      <c r="D4648" s="248"/>
      <c r="E4648" s="248"/>
      <c r="F4648" s="47"/>
      <c r="G4648" s="79"/>
      <c r="J4648" s="99"/>
      <c r="K4648" s="4"/>
    </row>
    <row r="4649" spans="3:11" x14ac:dyDescent="0.25">
      <c r="C4649" s="79"/>
      <c r="D4649" s="248"/>
      <c r="E4649" s="248"/>
      <c r="F4649" s="47"/>
      <c r="G4649" s="79"/>
      <c r="J4649" s="99"/>
      <c r="K4649" s="4"/>
    </row>
    <row r="4650" spans="3:11" x14ac:dyDescent="0.25">
      <c r="C4650" s="79"/>
      <c r="D4650" s="248"/>
      <c r="E4650" s="248"/>
      <c r="F4650" s="47"/>
      <c r="G4650" s="79"/>
      <c r="J4650" s="99"/>
      <c r="K4650" s="4"/>
    </row>
    <row r="4651" spans="3:11" x14ac:dyDescent="0.25">
      <c r="C4651" s="79"/>
      <c r="D4651" s="248"/>
      <c r="E4651" s="248"/>
      <c r="F4651" s="47"/>
      <c r="G4651" s="79"/>
      <c r="J4651" s="99"/>
      <c r="K4651" s="4"/>
    </row>
    <row r="4652" spans="3:11" x14ac:dyDescent="0.25">
      <c r="C4652" s="79"/>
      <c r="D4652" s="248"/>
      <c r="E4652" s="248"/>
      <c r="F4652" s="47"/>
      <c r="G4652" s="79"/>
      <c r="J4652" s="99"/>
      <c r="K4652" s="4"/>
    </row>
    <row r="4653" spans="3:11" x14ac:dyDescent="0.25">
      <c r="C4653" s="79"/>
      <c r="D4653" s="248"/>
      <c r="E4653" s="248"/>
      <c r="F4653" s="47"/>
      <c r="G4653" s="79"/>
      <c r="J4653" s="99"/>
      <c r="K4653" s="4"/>
    </row>
    <row r="4654" spans="3:11" x14ac:dyDescent="0.25">
      <c r="C4654" s="79"/>
      <c r="D4654" s="248"/>
      <c r="E4654" s="248"/>
      <c r="F4654" s="47"/>
      <c r="G4654" s="79"/>
      <c r="J4654" s="99"/>
      <c r="K4654" s="4"/>
    </row>
    <row r="4655" spans="3:11" x14ac:dyDescent="0.25">
      <c r="C4655" s="79"/>
      <c r="D4655" s="248"/>
      <c r="E4655" s="248"/>
      <c r="F4655" s="47"/>
      <c r="G4655" s="79"/>
      <c r="J4655" s="99"/>
      <c r="K4655" s="4"/>
    </row>
    <row r="4656" spans="3:11" x14ac:dyDescent="0.25">
      <c r="C4656" s="79"/>
      <c r="D4656" s="248"/>
      <c r="E4656" s="248"/>
      <c r="F4656" s="47"/>
      <c r="G4656" s="79"/>
      <c r="J4656" s="99"/>
      <c r="K4656" s="4"/>
    </row>
    <row r="4657" spans="3:11" x14ac:dyDescent="0.25">
      <c r="C4657" s="79"/>
      <c r="D4657" s="248"/>
      <c r="E4657" s="248"/>
      <c r="F4657" s="47"/>
      <c r="G4657" s="79"/>
      <c r="J4657" s="99"/>
      <c r="K4657" s="4"/>
    </row>
    <row r="4658" spans="3:11" x14ac:dyDescent="0.25">
      <c r="C4658" s="79"/>
      <c r="D4658" s="248"/>
      <c r="E4658" s="248"/>
      <c r="F4658" s="47"/>
      <c r="G4658" s="79"/>
      <c r="J4658" s="99"/>
      <c r="K4658" s="4"/>
    </row>
    <row r="4659" spans="3:11" x14ac:dyDescent="0.25">
      <c r="C4659" s="79"/>
      <c r="D4659" s="248"/>
      <c r="E4659" s="248"/>
      <c r="F4659" s="47"/>
      <c r="G4659" s="79"/>
      <c r="J4659" s="99"/>
      <c r="K4659" s="4"/>
    </row>
    <row r="4660" spans="3:11" x14ac:dyDescent="0.25">
      <c r="C4660" s="79"/>
      <c r="D4660" s="248"/>
      <c r="E4660" s="248"/>
      <c r="F4660" s="47"/>
      <c r="G4660" s="79"/>
      <c r="J4660" s="99"/>
      <c r="K4660" s="4"/>
    </row>
    <row r="4661" spans="3:11" x14ac:dyDescent="0.25">
      <c r="C4661" s="79"/>
      <c r="D4661" s="248"/>
      <c r="E4661" s="248"/>
      <c r="F4661" s="47"/>
      <c r="G4661" s="79"/>
      <c r="J4661" s="99"/>
      <c r="K4661" s="4"/>
    </row>
    <row r="4662" spans="3:11" x14ac:dyDescent="0.25">
      <c r="C4662" s="79"/>
      <c r="D4662" s="248"/>
      <c r="E4662" s="248"/>
      <c r="F4662" s="47"/>
      <c r="G4662" s="79"/>
      <c r="J4662" s="99"/>
      <c r="K4662" s="4"/>
    </row>
    <row r="4663" spans="3:11" x14ac:dyDescent="0.25">
      <c r="C4663" s="79"/>
      <c r="D4663" s="248"/>
      <c r="E4663" s="248"/>
      <c r="F4663" s="47"/>
      <c r="G4663" s="79"/>
      <c r="J4663" s="99"/>
      <c r="K4663" s="4"/>
    </row>
    <row r="4664" spans="3:11" x14ac:dyDescent="0.25">
      <c r="C4664" s="79"/>
      <c r="D4664" s="248"/>
      <c r="E4664" s="248"/>
      <c r="F4664" s="47"/>
      <c r="G4664" s="79"/>
      <c r="J4664" s="99"/>
      <c r="K4664" s="4"/>
    </row>
    <row r="4665" spans="3:11" x14ac:dyDescent="0.25">
      <c r="C4665" s="79"/>
      <c r="D4665" s="248"/>
      <c r="E4665" s="248"/>
      <c r="F4665" s="47"/>
      <c r="G4665" s="79"/>
      <c r="J4665" s="99"/>
      <c r="K4665" s="4"/>
    </row>
    <row r="4666" spans="3:11" x14ac:dyDescent="0.25">
      <c r="C4666" s="79"/>
      <c r="D4666" s="248"/>
      <c r="E4666" s="248"/>
      <c r="F4666" s="47"/>
      <c r="G4666" s="79"/>
      <c r="J4666" s="99"/>
      <c r="K4666" s="4"/>
    </row>
    <row r="4667" spans="3:11" x14ac:dyDescent="0.25">
      <c r="C4667" s="79"/>
      <c r="D4667" s="248"/>
      <c r="E4667" s="248"/>
      <c r="F4667" s="47"/>
      <c r="G4667" s="79"/>
      <c r="J4667" s="99"/>
      <c r="K4667" s="4"/>
    </row>
    <row r="4668" spans="3:11" x14ac:dyDescent="0.25">
      <c r="C4668" s="79"/>
      <c r="D4668" s="248"/>
      <c r="E4668" s="248"/>
      <c r="F4668" s="47"/>
      <c r="G4668" s="79"/>
      <c r="J4668" s="99"/>
      <c r="K4668" s="4"/>
    </row>
    <row r="4669" spans="3:11" x14ac:dyDescent="0.25">
      <c r="C4669" s="79"/>
      <c r="D4669" s="248"/>
      <c r="E4669" s="248"/>
      <c r="F4669" s="47"/>
      <c r="G4669" s="79"/>
      <c r="J4669" s="99"/>
      <c r="K4669" s="4"/>
    </row>
    <row r="4670" spans="3:11" x14ac:dyDescent="0.25">
      <c r="C4670" s="79"/>
      <c r="D4670" s="248"/>
      <c r="E4670" s="248"/>
      <c r="F4670" s="47"/>
      <c r="G4670" s="79"/>
      <c r="J4670" s="99"/>
      <c r="K4670" s="4"/>
    </row>
    <row r="4671" spans="3:11" x14ac:dyDescent="0.25">
      <c r="C4671" s="79"/>
      <c r="D4671" s="248"/>
      <c r="E4671" s="248"/>
      <c r="F4671" s="47"/>
      <c r="G4671" s="79"/>
      <c r="J4671" s="99"/>
      <c r="K4671" s="4"/>
    </row>
    <row r="4672" spans="3:11" x14ac:dyDescent="0.25">
      <c r="C4672" s="79"/>
      <c r="D4672" s="248"/>
      <c r="E4672" s="248"/>
      <c r="F4672" s="47"/>
      <c r="G4672" s="79"/>
      <c r="J4672" s="99"/>
      <c r="K4672" s="4"/>
    </row>
    <row r="4673" spans="3:11" x14ac:dyDescent="0.25">
      <c r="C4673" s="79"/>
      <c r="D4673" s="248"/>
      <c r="E4673" s="248"/>
      <c r="F4673" s="47"/>
      <c r="G4673" s="79"/>
      <c r="J4673" s="99"/>
      <c r="K4673" s="4"/>
    </row>
    <row r="4674" spans="3:11" x14ac:dyDescent="0.25">
      <c r="C4674" s="79"/>
      <c r="D4674" s="248"/>
      <c r="E4674" s="248"/>
      <c r="F4674" s="47"/>
      <c r="G4674" s="79"/>
      <c r="J4674" s="99"/>
      <c r="K4674" s="4"/>
    </row>
    <row r="4675" spans="3:11" x14ac:dyDescent="0.25">
      <c r="C4675" s="79"/>
      <c r="D4675" s="248"/>
      <c r="E4675" s="248"/>
      <c r="F4675" s="47"/>
      <c r="G4675" s="79"/>
      <c r="J4675" s="99"/>
      <c r="K4675" s="4"/>
    </row>
    <row r="4676" spans="3:11" x14ac:dyDescent="0.25">
      <c r="C4676" s="79"/>
      <c r="D4676" s="248"/>
      <c r="E4676" s="248"/>
      <c r="F4676" s="47"/>
      <c r="G4676" s="79"/>
      <c r="J4676" s="99"/>
      <c r="K4676" s="4"/>
    </row>
    <row r="4677" spans="3:11" x14ac:dyDescent="0.25">
      <c r="C4677" s="79"/>
      <c r="D4677" s="248"/>
      <c r="E4677" s="248"/>
      <c r="F4677" s="47"/>
      <c r="G4677" s="79"/>
      <c r="J4677" s="99"/>
      <c r="K4677" s="4"/>
    </row>
    <row r="4678" spans="3:11" x14ac:dyDescent="0.25">
      <c r="C4678" s="79"/>
      <c r="D4678" s="248"/>
      <c r="E4678" s="248"/>
      <c r="F4678" s="47"/>
      <c r="G4678" s="79"/>
      <c r="J4678" s="99"/>
      <c r="K4678" s="4"/>
    </row>
    <row r="4679" spans="3:11" x14ac:dyDescent="0.25">
      <c r="C4679" s="79"/>
      <c r="D4679" s="248"/>
      <c r="E4679" s="248"/>
      <c r="F4679" s="47"/>
      <c r="G4679" s="79"/>
      <c r="J4679" s="99"/>
      <c r="K4679" s="4"/>
    </row>
    <row r="4680" spans="3:11" x14ac:dyDescent="0.25">
      <c r="C4680" s="79"/>
      <c r="D4680" s="248"/>
      <c r="E4680" s="248"/>
      <c r="F4680" s="47"/>
      <c r="G4680" s="79"/>
      <c r="J4680" s="99"/>
      <c r="K4680" s="4"/>
    </row>
    <row r="4681" spans="3:11" x14ac:dyDescent="0.25">
      <c r="C4681" s="79"/>
      <c r="D4681" s="248"/>
      <c r="E4681" s="248"/>
      <c r="F4681" s="47"/>
      <c r="G4681" s="79"/>
      <c r="J4681" s="99"/>
      <c r="K4681" s="4"/>
    </row>
    <row r="4682" spans="3:11" x14ac:dyDescent="0.25">
      <c r="C4682" s="79"/>
      <c r="D4682" s="248"/>
      <c r="E4682" s="248"/>
      <c r="F4682" s="47"/>
      <c r="G4682" s="79"/>
      <c r="J4682" s="99"/>
      <c r="K4682" s="4"/>
    </row>
    <row r="4683" spans="3:11" x14ac:dyDescent="0.25">
      <c r="C4683" s="79"/>
      <c r="D4683" s="248"/>
      <c r="E4683" s="248"/>
      <c r="F4683" s="47"/>
      <c r="G4683" s="79"/>
      <c r="J4683" s="99"/>
      <c r="K4683" s="4"/>
    </row>
    <row r="4684" spans="3:11" x14ac:dyDescent="0.25">
      <c r="C4684" s="79"/>
      <c r="D4684" s="248"/>
      <c r="E4684" s="248"/>
      <c r="F4684" s="47"/>
      <c r="G4684" s="79"/>
      <c r="J4684" s="99"/>
      <c r="K4684" s="4"/>
    </row>
    <row r="4685" spans="3:11" x14ac:dyDescent="0.25">
      <c r="C4685" s="79"/>
      <c r="D4685" s="248"/>
      <c r="E4685" s="248"/>
      <c r="F4685" s="47"/>
      <c r="G4685" s="79"/>
      <c r="J4685" s="99"/>
      <c r="K4685" s="4"/>
    </row>
    <row r="4686" spans="3:11" x14ac:dyDescent="0.25">
      <c r="C4686" s="79"/>
      <c r="D4686" s="248"/>
      <c r="E4686" s="248"/>
      <c r="F4686" s="47"/>
      <c r="G4686" s="79"/>
      <c r="J4686" s="99"/>
      <c r="K4686" s="4"/>
    </row>
    <row r="4687" spans="3:11" x14ac:dyDescent="0.25">
      <c r="C4687" s="79"/>
      <c r="D4687" s="248"/>
      <c r="E4687" s="248"/>
      <c r="F4687" s="47"/>
      <c r="G4687" s="79"/>
      <c r="J4687" s="99"/>
      <c r="K4687" s="4"/>
    </row>
    <row r="4688" spans="3:11" x14ac:dyDescent="0.25">
      <c r="C4688" s="79"/>
      <c r="D4688" s="248"/>
      <c r="E4688" s="248"/>
      <c r="F4688" s="47"/>
      <c r="G4688" s="79"/>
      <c r="J4688" s="99"/>
      <c r="K4688" s="4"/>
    </row>
    <row r="4689" spans="3:11" x14ac:dyDescent="0.25">
      <c r="C4689" s="79"/>
      <c r="D4689" s="248"/>
      <c r="E4689" s="248"/>
      <c r="F4689" s="47"/>
      <c r="G4689" s="79"/>
      <c r="J4689" s="99"/>
      <c r="K4689" s="4"/>
    </row>
    <row r="4690" spans="3:11" x14ac:dyDescent="0.25">
      <c r="C4690" s="79"/>
      <c r="D4690" s="248"/>
      <c r="E4690" s="248"/>
      <c r="F4690" s="47"/>
      <c r="G4690" s="79"/>
      <c r="J4690" s="99"/>
      <c r="K4690" s="4"/>
    </row>
    <row r="4691" spans="3:11" x14ac:dyDescent="0.25">
      <c r="C4691" s="79"/>
      <c r="D4691" s="248"/>
      <c r="E4691" s="248"/>
      <c r="F4691" s="47"/>
      <c r="G4691" s="79"/>
      <c r="J4691" s="99"/>
      <c r="K4691" s="4"/>
    </row>
    <row r="4692" spans="3:11" x14ac:dyDescent="0.25">
      <c r="C4692" s="79"/>
      <c r="D4692" s="248"/>
      <c r="E4692" s="248"/>
      <c r="F4692" s="47"/>
      <c r="G4692" s="79"/>
      <c r="J4692" s="99"/>
      <c r="K4692" s="4"/>
    </row>
    <row r="4693" spans="3:11" x14ac:dyDescent="0.25">
      <c r="C4693" s="79"/>
      <c r="D4693" s="248"/>
      <c r="E4693" s="248"/>
      <c r="F4693" s="47"/>
      <c r="G4693" s="79"/>
      <c r="J4693" s="99"/>
      <c r="K4693" s="4"/>
    </row>
    <row r="4694" spans="3:11" x14ac:dyDescent="0.25">
      <c r="C4694" s="79"/>
      <c r="D4694" s="248"/>
      <c r="E4694" s="248"/>
      <c r="F4694" s="47"/>
      <c r="G4694" s="79"/>
      <c r="J4694" s="99"/>
      <c r="K4694" s="4"/>
    </row>
    <row r="4695" spans="3:11" x14ac:dyDescent="0.25">
      <c r="C4695" s="79"/>
      <c r="D4695" s="248"/>
      <c r="E4695" s="248"/>
      <c r="F4695" s="47"/>
      <c r="G4695" s="79"/>
      <c r="J4695" s="99"/>
      <c r="K4695" s="4"/>
    </row>
    <row r="4696" spans="3:11" x14ac:dyDescent="0.25">
      <c r="C4696" s="79"/>
      <c r="D4696" s="248"/>
      <c r="E4696" s="248"/>
      <c r="F4696" s="47"/>
      <c r="G4696" s="79"/>
      <c r="J4696" s="99"/>
      <c r="K4696" s="4"/>
    </row>
    <row r="4697" spans="3:11" x14ac:dyDescent="0.25">
      <c r="C4697" s="79"/>
      <c r="D4697" s="248"/>
      <c r="E4697" s="248"/>
      <c r="F4697" s="47"/>
      <c r="G4697" s="79"/>
      <c r="J4697" s="99"/>
      <c r="K4697" s="4"/>
    </row>
    <row r="4698" spans="3:11" x14ac:dyDescent="0.25">
      <c r="C4698" s="79"/>
      <c r="D4698" s="248"/>
      <c r="E4698" s="248"/>
      <c r="F4698" s="47"/>
      <c r="G4698" s="79"/>
      <c r="J4698" s="99"/>
      <c r="K4698" s="4"/>
    </row>
    <row r="4699" spans="3:11" x14ac:dyDescent="0.25">
      <c r="C4699" s="79"/>
      <c r="D4699" s="248"/>
      <c r="E4699" s="248"/>
      <c r="F4699" s="47"/>
      <c r="G4699" s="79"/>
      <c r="J4699" s="99"/>
      <c r="K4699" s="4"/>
    </row>
    <row r="4700" spans="3:11" x14ac:dyDescent="0.25">
      <c r="C4700" s="79"/>
      <c r="D4700" s="248"/>
      <c r="E4700" s="248"/>
      <c r="F4700" s="47"/>
      <c r="G4700" s="79"/>
      <c r="J4700" s="99"/>
      <c r="K4700" s="4"/>
    </row>
    <row r="4701" spans="3:11" x14ac:dyDescent="0.25">
      <c r="C4701" s="79"/>
      <c r="D4701" s="248"/>
      <c r="E4701" s="248"/>
      <c r="F4701" s="47"/>
      <c r="G4701" s="79"/>
      <c r="J4701" s="99"/>
      <c r="K4701" s="4"/>
    </row>
    <row r="4702" spans="3:11" x14ac:dyDescent="0.25">
      <c r="C4702" s="79"/>
      <c r="D4702" s="248"/>
      <c r="E4702" s="248"/>
      <c r="F4702" s="47"/>
      <c r="G4702" s="79"/>
      <c r="J4702" s="99"/>
      <c r="K4702" s="4"/>
    </row>
    <row r="4703" spans="3:11" x14ac:dyDescent="0.25">
      <c r="C4703" s="79"/>
      <c r="D4703" s="248"/>
      <c r="E4703" s="248"/>
      <c r="F4703" s="47"/>
      <c r="G4703" s="79"/>
      <c r="J4703" s="99"/>
      <c r="K4703" s="4"/>
    </row>
    <row r="4704" spans="3:11" x14ac:dyDescent="0.25">
      <c r="C4704" s="79"/>
      <c r="D4704" s="248"/>
      <c r="E4704" s="248"/>
      <c r="F4704" s="47"/>
      <c r="G4704" s="79"/>
      <c r="J4704" s="99"/>
      <c r="K4704" s="4"/>
    </row>
    <row r="4705" spans="3:11" x14ac:dyDescent="0.25">
      <c r="C4705" s="79"/>
      <c r="D4705" s="248"/>
      <c r="E4705" s="248"/>
      <c r="F4705" s="47"/>
      <c r="G4705" s="79"/>
      <c r="J4705" s="99"/>
      <c r="K4705" s="4"/>
    </row>
    <row r="4706" spans="3:11" x14ac:dyDescent="0.25">
      <c r="C4706" s="79"/>
      <c r="D4706" s="248"/>
      <c r="E4706" s="248"/>
      <c r="F4706" s="47"/>
      <c r="G4706" s="79"/>
      <c r="J4706" s="99"/>
      <c r="K4706" s="4"/>
    </row>
    <row r="4707" spans="3:11" x14ac:dyDescent="0.25">
      <c r="C4707" s="79"/>
      <c r="D4707" s="248"/>
      <c r="E4707" s="248"/>
      <c r="F4707" s="47"/>
      <c r="G4707" s="79"/>
      <c r="J4707" s="99"/>
      <c r="K4707" s="4"/>
    </row>
    <row r="4708" spans="3:11" x14ac:dyDescent="0.25">
      <c r="C4708" s="79"/>
      <c r="D4708" s="248"/>
      <c r="E4708" s="248"/>
      <c r="F4708" s="47"/>
      <c r="G4708" s="79"/>
      <c r="J4708" s="99"/>
      <c r="K4708" s="4"/>
    </row>
    <row r="4709" spans="3:11" x14ac:dyDescent="0.25">
      <c r="C4709" s="79"/>
      <c r="D4709" s="248"/>
      <c r="E4709" s="248"/>
      <c r="F4709" s="47"/>
      <c r="G4709" s="79"/>
      <c r="J4709" s="99"/>
      <c r="K4709" s="4"/>
    </row>
    <row r="4710" spans="3:11" x14ac:dyDescent="0.25">
      <c r="C4710" s="79"/>
      <c r="D4710" s="248"/>
      <c r="E4710" s="248"/>
      <c r="F4710" s="47"/>
      <c r="G4710" s="79"/>
      <c r="J4710" s="99"/>
      <c r="K4710" s="4"/>
    </row>
    <row r="4711" spans="3:11" x14ac:dyDescent="0.25">
      <c r="C4711" s="79"/>
      <c r="D4711" s="248"/>
      <c r="E4711" s="248"/>
      <c r="F4711" s="47"/>
      <c r="G4711" s="79"/>
      <c r="J4711" s="99"/>
      <c r="K4711" s="4"/>
    </row>
    <row r="4712" spans="3:11" x14ac:dyDescent="0.25">
      <c r="C4712" s="79"/>
      <c r="D4712" s="248"/>
      <c r="E4712" s="248"/>
      <c r="F4712" s="47"/>
      <c r="G4712" s="79"/>
      <c r="J4712" s="99"/>
      <c r="K4712" s="4"/>
    </row>
    <row r="4713" spans="3:11" x14ac:dyDescent="0.25">
      <c r="C4713" s="79"/>
      <c r="D4713" s="248"/>
      <c r="E4713" s="248"/>
      <c r="F4713" s="47"/>
      <c r="G4713" s="79"/>
      <c r="J4713" s="99"/>
      <c r="K4713" s="4"/>
    </row>
    <row r="4714" spans="3:11" x14ac:dyDescent="0.25">
      <c r="C4714" s="79"/>
      <c r="D4714" s="248"/>
      <c r="E4714" s="248"/>
      <c r="F4714" s="47"/>
      <c r="G4714" s="79"/>
      <c r="J4714" s="99"/>
      <c r="K4714" s="4"/>
    </row>
    <row r="4715" spans="3:11" x14ac:dyDescent="0.25">
      <c r="C4715" s="79"/>
      <c r="D4715" s="248"/>
      <c r="E4715" s="248"/>
      <c r="F4715" s="47"/>
      <c r="G4715" s="79"/>
      <c r="J4715" s="99"/>
      <c r="K4715" s="4"/>
    </row>
    <row r="4716" spans="3:11" x14ac:dyDescent="0.25">
      <c r="C4716" s="79"/>
      <c r="D4716" s="248"/>
      <c r="E4716" s="248"/>
      <c r="F4716" s="47"/>
      <c r="G4716" s="79"/>
      <c r="J4716" s="99"/>
      <c r="K4716" s="4"/>
    </row>
    <row r="4717" spans="3:11" x14ac:dyDescent="0.25">
      <c r="C4717" s="79"/>
      <c r="D4717" s="248"/>
      <c r="E4717" s="248"/>
      <c r="F4717" s="47"/>
      <c r="G4717" s="79"/>
      <c r="J4717" s="99"/>
      <c r="K4717" s="4"/>
    </row>
    <row r="4718" spans="3:11" x14ac:dyDescent="0.25">
      <c r="C4718" s="79"/>
      <c r="D4718" s="248"/>
      <c r="E4718" s="248"/>
      <c r="F4718" s="47"/>
      <c r="G4718" s="79"/>
      <c r="J4718" s="99"/>
      <c r="K4718" s="4"/>
    </row>
    <row r="4719" spans="3:11" x14ac:dyDescent="0.25">
      <c r="C4719" s="79"/>
      <c r="D4719" s="248"/>
      <c r="E4719" s="248"/>
      <c r="F4719" s="47"/>
      <c r="G4719" s="79"/>
      <c r="J4719" s="99"/>
      <c r="K4719" s="4"/>
    </row>
    <row r="4720" spans="3:11" x14ac:dyDescent="0.25">
      <c r="C4720" s="79"/>
      <c r="D4720" s="248"/>
      <c r="E4720" s="248"/>
      <c r="F4720" s="47"/>
      <c r="G4720" s="79"/>
      <c r="J4720" s="99"/>
      <c r="K4720" s="4"/>
    </row>
    <row r="4721" spans="3:11" x14ac:dyDescent="0.25">
      <c r="C4721" s="79"/>
      <c r="D4721" s="248"/>
      <c r="E4721" s="248"/>
      <c r="F4721" s="47"/>
      <c r="G4721" s="79"/>
      <c r="J4721" s="99"/>
      <c r="K4721" s="4"/>
    </row>
    <row r="4722" spans="3:11" x14ac:dyDescent="0.25">
      <c r="C4722" s="79"/>
      <c r="D4722" s="248"/>
      <c r="E4722" s="248"/>
      <c r="F4722" s="47"/>
      <c r="G4722" s="79"/>
      <c r="J4722" s="99"/>
      <c r="K4722" s="4"/>
    </row>
    <row r="4723" spans="3:11" x14ac:dyDescent="0.25">
      <c r="C4723" s="79"/>
      <c r="D4723" s="248"/>
      <c r="E4723" s="248"/>
      <c r="F4723" s="47"/>
      <c r="G4723" s="79"/>
      <c r="J4723" s="99"/>
      <c r="K4723" s="4"/>
    </row>
    <row r="4724" spans="3:11" x14ac:dyDescent="0.25">
      <c r="C4724" s="79"/>
      <c r="D4724" s="248"/>
      <c r="E4724" s="248"/>
      <c r="F4724" s="47"/>
      <c r="G4724" s="79"/>
      <c r="J4724" s="99"/>
      <c r="K4724" s="4"/>
    </row>
    <row r="4725" spans="3:11" x14ac:dyDescent="0.25">
      <c r="C4725" s="79"/>
      <c r="D4725" s="248"/>
      <c r="E4725" s="248"/>
      <c r="F4725" s="47"/>
      <c r="G4725" s="79"/>
      <c r="J4725" s="99"/>
      <c r="K4725" s="4"/>
    </row>
    <row r="4726" spans="3:11" x14ac:dyDescent="0.25">
      <c r="C4726" s="79"/>
      <c r="D4726" s="248"/>
      <c r="E4726" s="248"/>
      <c r="F4726" s="47"/>
      <c r="G4726" s="79"/>
      <c r="J4726" s="99"/>
      <c r="K4726" s="4"/>
    </row>
    <row r="4727" spans="3:11" x14ac:dyDescent="0.25">
      <c r="C4727" s="79"/>
      <c r="D4727" s="248"/>
      <c r="E4727" s="248"/>
      <c r="F4727" s="47"/>
      <c r="G4727" s="79"/>
      <c r="J4727" s="99"/>
      <c r="K4727" s="4"/>
    </row>
    <row r="4728" spans="3:11" x14ac:dyDescent="0.25">
      <c r="C4728" s="79"/>
      <c r="D4728" s="248"/>
      <c r="E4728" s="248"/>
      <c r="F4728" s="47"/>
      <c r="G4728" s="79"/>
      <c r="J4728" s="99"/>
      <c r="K4728" s="4"/>
    </row>
    <row r="4729" spans="3:11" x14ac:dyDescent="0.25">
      <c r="C4729" s="79"/>
      <c r="D4729" s="248"/>
      <c r="E4729" s="248"/>
      <c r="F4729" s="47"/>
      <c r="G4729" s="79"/>
      <c r="J4729" s="99"/>
      <c r="K4729" s="4"/>
    </row>
    <row r="4730" spans="3:11" x14ac:dyDescent="0.25">
      <c r="C4730" s="79"/>
      <c r="D4730" s="248"/>
      <c r="E4730" s="248"/>
      <c r="F4730" s="47"/>
      <c r="G4730" s="79"/>
      <c r="J4730" s="99"/>
      <c r="K4730" s="4"/>
    </row>
    <row r="4731" spans="3:11" x14ac:dyDescent="0.25">
      <c r="C4731" s="79"/>
      <c r="D4731" s="248"/>
      <c r="E4731" s="248"/>
      <c r="F4731" s="47"/>
      <c r="G4731" s="79"/>
      <c r="J4731" s="99"/>
      <c r="K4731" s="4"/>
    </row>
    <row r="4732" spans="3:11" x14ac:dyDescent="0.25">
      <c r="C4732" s="79"/>
      <c r="D4732" s="248"/>
      <c r="E4732" s="248"/>
      <c r="F4732" s="47"/>
      <c r="G4732" s="79"/>
      <c r="J4732" s="99"/>
      <c r="K4732" s="4"/>
    </row>
    <row r="4733" spans="3:11" x14ac:dyDescent="0.25">
      <c r="C4733" s="79"/>
      <c r="D4733" s="248"/>
      <c r="E4733" s="248"/>
      <c r="F4733" s="47"/>
      <c r="G4733" s="79"/>
      <c r="J4733" s="99"/>
      <c r="K4733" s="4"/>
    </row>
    <row r="4734" spans="3:11" x14ac:dyDescent="0.25">
      <c r="C4734" s="79"/>
      <c r="D4734" s="248"/>
      <c r="E4734" s="248"/>
      <c r="F4734" s="47"/>
      <c r="G4734" s="79"/>
      <c r="J4734" s="99"/>
      <c r="K4734" s="4"/>
    </row>
    <row r="4735" spans="3:11" x14ac:dyDescent="0.25">
      <c r="C4735" s="79"/>
      <c r="D4735" s="248"/>
      <c r="E4735" s="248"/>
      <c r="F4735" s="47"/>
      <c r="G4735" s="79"/>
      <c r="J4735" s="99"/>
      <c r="K4735" s="4"/>
    </row>
    <row r="4736" spans="3:11" x14ac:dyDescent="0.25">
      <c r="C4736" s="79"/>
      <c r="D4736" s="248"/>
      <c r="E4736" s="248"/>
      <c r="F4736" s="47"/>
      <c r="G4736" s="79"/>
      <c r="J4736" s="99"/>
      <c r="K4736" s="4"/>
    </row>
    <row r="4737" spans="3:11" x14ac:dyDescent="0.25">
      <c r="C4737" s="79"/>
      <c r="D4737" s="248"/>
      <c r="E4737" s="248"/>
      <c r="F4737" s="47"/>
      <c r="G4737" s="79"/>
      <c r="J4737" s="99"/>
      <c r="K4737" s="4"/>
    </row>
    <row r="4738" spans="3:11" x14ac:dyDescent="0.25">
      <c r="C4738" s="79"/>
      <c r="D4738" s="248"/>
      <c r="E4738" s="248"/>
      <c r="F4738" s="47"/>
      <c r="G4738" s="79"/>
      <c r="J4738" s="99"/>
      <c r="K4738" s="4"/>
    </row>
    <row r="4739" spans="3:11" x14ac:dyDescent="0.25">
      <c r="C4739" s="79"/>
      <c r="D4739" s="248"/>
      <c r="E4739" s="248"/>
      <c r="F4739" s="47"/>
      <c r="G4739" s="79"/>
      <c r="J4739" s="99"/>
      <c r="K4739" s="4"/>
    </row>
    <row r="4740" spans="3:11" x14ac:dyDescent="0.25">
      <c r="C4740" s="79"/>
      <c r="D4740" s="248"/>
      <c r="E4740" s="248"/>
      <c r="F4740" s="47"/>
      <c r="G4740" s="79"/>
      <c r="J4740" s="99"/>
      <c r="K4740" s="4"/>
    </row>
    <row r="4741" spans="3:11" x14ac:dyDescent="0.25">
      <c r="C4741" s="79"/>
      <c r="D4741" s="248"/>
      <c r="E4741" s="248"/>
      <c r="F4741" s="47"/>
      <c r="G4741" s="79"/>
      <c r="J4741" s="99"/>
      <c r="K4741" s="4"/>
    </row>
    <row r="4742" spans="3:11" x14ac:dyDescent="0.25">
      <c r="C4742" s="79"/>
      <c r="D4742" s="248"/>
      <c r="E4742" s="248"/>
      <c r="F4742" s="47"/>
      <c r="G4742" s="79"/>
      <c r="J4742" s="99"/>
      <c r="K4742" s="4"/>
    </row>
    <row r="4743" spans="3:11" x14ac:dyDescent="0.25">
      <c r="C4743" s="79"/>
      <c r="D4743" s="248"/>
      <c r="E4743" s="248"/>
      <c r="F4743" s="47"/>
      <c r="G4743" s="79"/>
      <c r="J4743" s="99"/>
      <c r="K4743" s="4"/>
    </row>
    <row r="4744" spans="3:11" x14ac:dyDescent="0.25">
      <c r="C4744" s="79"/>
      <c r="D4744" s="248"/>
      <c r="E4744" s="248"/>
      <c r="F4744" s="47"/>
      <c r="G4744" s="79"/>
      <c r="J4744" s="99"/>
      <c r="K4744" s="4"/>
    </row>
    <row r="4745" spans="3:11" x14ac:dyDescent="0.25">
      <c r="C4745" s="79"/>
      <c r="D4745" s="248"/>
      <c r="E4745" s="248"/>
      <c r="F4745" s="47"/>
      <c r="G4745" s="79"/>
      <c r="J4745" s="99"/>
      <c r="K4745" s="4"/>
    </row>
    <row r="4746" spans="3:11" x14ac:dyDescent="0.25">
      <c r="C4746" s="79"/>
      <c r="D4746" s="248"/>
      <c r="E4746" s="248"/>
      <c r="F4746" s="47"/>
      <c r="G4746" s="79"/>
      <c r="J4746" s="99"/>
      <c r="K4746" s="4"/>
    </row>
    <row r="4747" spans="3:11" x14ac:dyDescent="0.25">
      <c r="C4747" s="79"/>
      <c r="D4747" s="248"/>
      <c r="E4747" s="248"/>
      <c r="F4747" s="47"/>
      <c r="G4747" s="79"/>
      <c r="J4747" s="99"/>
      <c r="K4747" s="4"/>
    </row>
    <row r="4748" spans="3:11" x14ac:dyDescent="0.25">
      <c r="C4748" s="79"/>
      <c r="D4748" s="248"/>
      <c r="E4748" s="248"/>
      <c r="F4748" s="47"/>
      <c r="G4748" s="79"/>
      <c r="J4748" s="99"/>
      <c r="K4748" s="4"/>
    </row>
    <row r="4749" spans="3:11" x14ac:dyDescent="0.25">
      <c r="C4749" s="79"/>
      <c r="D4749" s="248"/>
      <c r="E4749" s="248"/>
      <c r="F4749" s="47"/>
      <c r="G4749" s="79"/>
      <c r="J4749" s="99"/>
      <c r="K4749" s="4"/>
    </row>
    <row r="4750" spans="3:11" x14ac:dyDescent="0.25">
      <c r="C4750" s="79"/>
      <c r="D4750" s="248"/>
      <c r="E4750" s="248"/>
      <c r="F4750" s="47"/>
      <c r="G4750" s="79"/>
      <c r="J4750" s="99"/>
      <c r="K4750" s="4"/>
    </row>
    <row r="4751" spans="3:11" x14ac:dyDescent="0.25">
      <c r="C4751" s="79"/>
      <c r="D4751" s="248"/>
      <c r="E4751" s="248"/>
      <c r="F4751" s="47"/>
      <c r="G4751" s="79"/>
      <c r="J4751" s="99"/>
      <c r="K4751" s="4"/>
    </row>
    <row r="4752" spans="3:11" x14ac:dyDescent="0.25">
      <c r="C4752" s="79"/>
      <c r="D4752" s="248"/>
      <c r="E4752" s="248"/>
      <c r="F4752" s="47"/>
      <c r="G4752" s="79"/>
      <c r="J4752" s="99"/>
      <c r="K4752" s="4"/>
    </row>
    <row r="4753" spans="3:11" x14ac:dyDescent="0.25">
      <c r="C4753" s="79"/>
      <c r="D4753" s="248"/>
      <c r="E4753" s="248"/>
      <c r="F4753" s="47"/>
      <c r="G4753" s="79"/>
      <c r="J4753" s="99"/>
      <c r="K4753" s="4"/>
    </row>
    <row r="4754" spans="3:11" x14ac:dyDescent="0.25">
      <c r="C4754" s="79"/>
      <c r="D4754" s="248"/>
      <c r="E4754" s="248"/>
      <c r="F4754" s="47"/>
      <c r="G4754" s="79"/>
      <c r="J4754" s="99"/>
      <c r="K4754" s="4"/>
    </row>
    <row r="4755" spans="3:11" x14ac:dyDescent="0.25">
      <c r="C4755" s="79"/>
      <c r="D4755" s="248"/>
      <c r="E4755" s="248"/>
      <c r="F4755" s="47"/>
      <c r="G4755" s="79"/>
      <c r="J4755" s="99"/>
      <c r="K4755" s="4"/>
    </row>
    <row r="4756" spans="3:11" x14ac:dyDescent="0.25">
      <c r="C4756" s="79"/>
      <c r="D4756" s="248"/>
      <c r="E4756" s="248"/>
      <c r="F4756" s="47"/>
      <c r="G4756" s="79"/>
      <c r="J4756" s="99"/>
      <c r="K4756" s="4"/>
    </row>
    <row r="4757" spans="3:11" x14ac:dyDescent="0.25">
      <c r="C4757" s="79"/>
      <c r="D4757" s="248"/>
      <c r="E4757" s="248"/>
      <c r="F4757" s="47"/>
      <c r="G4757" s="79"/>
      <c r="J4757" s="99"/>
      <c r="K4757" s="4"/>
    </row>
    <row r="4758" spans="3:11" x14ac:dyDescent="0.25">
      <c r="C4758" s="79"/>
      <c r="D4758" s="248"/>
      <c r="E4758" s="248"/>
      <c r="F4758" s="47"/>
      <c r="G4758" s="79"/>
      <c r="J4758" s="99"/>
      <c r="K4758" s="4"/>
    </row>
    <row r="4759" spans="3:11" x14ac:dyDescent="0.25">
      <c r="C4759" s="79"/>
      <c r="D4759" s="248"/>
      <c r="E4759" s="248"/>
      <c r="F4759" s="47"/>
      <c r="G4759" s="79"/>
      <c r="J4759" s="99"/>
      <c r="K4759" s="4"/>
    </row>
    <row r="4760" spans="3:11" x14ac:dyDescent="0.25">
      <c r="C4760" s="79"/>
      <c r="D4760" s="248"/>
      <c r="E4760" s="248"/>
      <c r="F4760" s="47"/>
      <c r="G4760" s="79"/>
      <c r="J4760" s="99"/>
      <c r="K4760" s="4"/>
    </row>
    <row r="4761" spans="3:11" x14ac:dyDescent="0.25">
      <c r="C4761" s="79"/>
      <c r="D4761" s="248"/>
      <c r="E4761" s="248"/>
      <c r="F4761" s="47"/>
      <c r="G4761" s="79"/>
      <c r="J4761" s="99"/>
      <c r="K4761" s="4"/>
    </row>
    <row r="4762" spans="3:11" x14ac:dyDescent="0.25">
      <c r="C4762" s="79"/>
      <c r="D4762" s="248"/>
      <c r="E4762" s="248"/>
      <c r="F4762" s="47"/>
      <c r="G4762" s="79"/>
      <c r="J4762" s="99"/>
      <c r="K4762" s="4"/>
    </row>
    <row r="4763" spans="3:11" x14ac:dyDescent="0.25">
      <c r="C4763" s="79"/>
      <c r="D4763" s="248"/>
      <c r="E4763" s="248"/>
      <c r="F4763" s="47"/>
      <c r="G4763" s="79"/>
      <c r="J4763" s="99"/>
      <c r="K4763" s="4"/>
    </row>
    <row r="4764" spans="3:11" x14ac:dyDescent="0.25">
      <c r="C4764" s="79"/>
      <c r="D4764" s="248"/>
      <c r="E4764" s="248"/>
      <c r="F4764" s="47"/>
      <c r="G4764" s="79"/>
      <c r="J4764" s="99"/>
      <c r="K4764" s="4"/>
    </row>
    <row r="4765" spans="3:11" x14ac:dyDescent="0.25">
      <c r="C4765" s="79"/>
      <c r="D4765" s="248"/>
      <c r="E4765" s="248"/>
      <c r="F4765" s="47"/>
      <c r="G4765" s="79"/>
      <c r="J4765" s="99"/>
      <c r="K4765" s="4"/>
    </row>
    <row r="4766" spans="3:11" x14ac:dyDescent="0.25">
      <c r="C4766" s="79"/>
      <c r="D4766" s="248"/>
      <c r="E4766" s="248"/>
      <c r="F4766" s="47"/>
      <c r="G4766" s="79"/>
      <c r="J4766" s="99"/>
      <c r="K4766" s="4"/>
    </row>
    <row r="4767" spans="3:11" x14ac:dyDescent="0.25">
      <c r="C4767" s="79"/>
      <c r="D4767" s="248"/>
      <c r="E4767" s="248"/>
      <c r="F4767" s="47"/>
      <c r="G4767" s="79"/>
      <c r="J4767" s="99"/>
      <c r="K4767" s="4"/>
    </row>
    <row r="4768" spans="3:11" x14ac:dyDescent="0.25">
      <c r="C4768" s="79"/>
      <c r="D4768" s="248"/>
      <c r="E4768" s="248"/>
      <c r="F4768" s="47"/>
      <c r="G4768" s="79"/>
      <c r="J4768" s="99"/>
      <c r="K4768" s="4"/>
    </row>
    <row r="4769" spans="3:11" x14ac:dyDescent="0.25">
      <c r="C4769" s="79"/>
      <c r="D4769" s="248"/>
      <c r="E4769" s="248"/>
      <c r="F4769" s="47"/>
      <c r="G4769" s="79"/>
      <c r="J4769" s="99"/>
      <c r="K4769" s="4"/>
    </row>
    <row r="4770" spans="3:11" x14ac:dyDescent="0.25">
      <c r="C4770" s="79"/>
      <c r="D4770" s="248"/>
      <c r="E4770" s="248"/>
      <c r="F4770" s="47"/>
      <c r="G4770" s="79"/>
      <c r="J4770" s="99"/>
      <c r="K4770" s="4"/>
    </row>
    <row r="4771" spans="3:11" x14ac:dyDescent="0.25">
      <c r="C4771" s="79"/>
      <c r="D4771" s="248"/>
      <c r="E4771" s="248"/>
      <c r="F4771" s="47"/>
      <c r="G4771" s="79"/>
      <c r="J4771" s="99"/>
      <c r="K4771" s="4"/>
    </row>
    <row r="4772" spans="3:11" x14ac:dyDescent="0.25">
      <c r="C4772" s="79"/>
      <c r="D4772" s="248"/>
      <c r="E4772" s="248"/>
      <c r="F4772" s="47"/>
      <c r="G4772" s="79"/>
      <c r="J4772" s="99"/>
      <c r="K4772" s="4"/>
    </row>
    <row r="4773" spans="3:11" x14ac:dyDescent="0.25">
      <c r="C4773" s="79"/>
      <c r="D4773" s="248"/>
      <c r="E4773" s="248"/>
      <c r="F4773" s="47"/>
      <c r="G4773" s="79"/>
      <c r="J4773" s="99"/>
      <c r="K4773" s="4"/>
    </row>
    <row r="4774" spans="3:11" x14ac:dyDescent="0.25">
      <c r="C4774" s="79"/>
      <c r="D4774" s="248"/>
      <c r="E4774" s="248"/>
      <c r="F4774" s="47"/>
      <c r="G4774" s="79"/>
      <c r="J4774" s="99"/>
      <c r="K4774" s="4"/>
    </row>
    <row r="4775" spans="3:11" x14ac:dyDescent="0.25">
      <c r="C4775" s="79"/>
      <c r="D4775" s="248"/>
      <c r="E4775" s="248"/>
      <c r="F4775" s="47"/>
      <c r="G4775" s="79"/>
      <c r="J4775" s="99"/>
      <c r="K4775" s="4"/>
    </row>
    <row r="4776" spans="3:11" x14ac:dyDescent="0.25">
      <c r="C4776" s="79"/>
      <c r="D4776" s="248"/>
      <c r="E4776" s="248"/>
      <c r="F4776" s="47"/>
      <c r="G4776" s="79"/>
      <c r="J4776" s="99"/>
      <c r="K4776" s="4"/>
    </row>
    <row r="4777" spans="3:11" x14ac:dyDescent="0.25">
      <c r="C4777" s="79"/>
      <c r="D4777" s="248"/>
      <c r="E4777" s="248"/>
      <c r="F4777" s="47"/>
      <c r="G4777" s="79"/>
      <c r="J4777" s="99"/>
      <c r="K4777" s="4"/>
    </row>
    <row r="4778" spans="3:11" x14ac:dyDescent="0.25">
      <c r="C4778" s="79"/>
      <c r="D4778" s="248"/>
      <c r="E4778" s="248"/>
      <c r="F4778" s="47"/>
      <c r="G4778" s="79"/>
      <c r="J4778" s="99"/>
      <c r="K4778" s="4"/>
    </row>
    <row r="4779" spans="3:11" x14ac:dyDescent="0.25">
      <c r="C4779" s="79"/>
      <c r="D4779" s="248"/>
      <c r="E4779" s="248"/>
      <c r="F4779" s="47"/>
      <c r="G4779" s="79"/>
      <c r="J4779" s="99"/>
      <c r="K4779" s="4"/>
    </row>
    <row r="4780" spans="3:11" x14ac:dyDescent="0.25">
      <c r="C4780" s="79"/>
      <c r="D4780" s="248"/>
      <c r="E4780" s="248"/>
      <c r="F4780" s="47"/>
      <c r="G4780" s="79"/>
      <c r="J4780" s="99"/>
      <c r="K4780" s="4"/>
    </row>
    <row r="4781" spans="3:11" x14ac:dyDescent="0.25">
      <c r="C4781" s="79"/>
      <c r="D4781" s="248"/>
      <c r="E4781" s="248"/>
      <c r="F4781" s="47"/>
      <c r="G4781" s="79"/>
      <c r="J4781" s="99"/>
      <c r="K4781" s="4"/>
    </row>
    <row r="4782" spans="3:11" x14ac:dyDescent="0.25">
      <c r="C4782" s="79"/>
      <c r="D4782" s="248"/>
      <c r="E4782" s="248"/>
      <c r="F4782" s="47"/>
      <c r="G4782" s="79"/>
      <c r="J4782" s="99"/>
      <c r="K4782" s="4"/>
    </row>
    <row r="4783" spans="3:11" x14ac:dyDescent="0.25">
      <c r="C4783" s="79"/>
      <c r="D4783" s="248"/>
      <c r="E4783" s="248"/>
      <c r="F4783" s="47"/>
      <c r="G4783" s="79"/>
      <c r="J4783" s="99"/>
      <c r="K4783" s="4"/>
    </row>
    <row r="4784" spans="3:11" x14ac:dyDescent="0.25">
      <c r="C4784" s="79"/>
      <c r="D4784" s="248"/>
      <c r="E4784" s="248"/>
      <c r="F4784" s="47"/>
      <c r="G4784" s="79"/>
      <c r="J4784" s="99"/>
      <c r="K4784" s="4"/>
    </row>
    <row r="4785" spans="3:11" x14ac:dyDescent="0.25">
      <c r="C4785" s="79"/>
      <c r="D4785" s="248"/>
      <c r="E4785" s="248"/>
      <c r="F4785" s="47"/>
      <c r="G4785" s="79"/>
      <c r="J4785" s="99"/>
      <c r="K4785" s="4"/>
    </row>
    <row r="4786" spans="3:11" x14ac:dyDescent="0.25">
      <c r="C4786" s="79"/>
      <c r="D4786" s="248"/>
      <c r="E4786" s="248"/>
      <c r="F4786" s="47"/>
      <c r="G4786" s="79"/>
      <c r="J4786" s="99"/>
      <c r="K4786" s="4"/>
    </row>
    <row r="4787" spans="3:11" x14ac:dyDescent="0.25">
      <c r="C4787" s="79"/>
      <c r="D4787" s="248"/>
      <c r="E4787" s="248"/>
      <c r="F4787" s="47"/>
      <c r="G4787" s="79"/>
      <c r="J4787" s="99"/>
      <c r="K4787" s="4"/>
    </row>
    <row r="4788" spans="3:11" x14ac:dyDescent="0.25">
      <c r="C4788" s="79"/>
      <c r="D4788" s="248"/>
      <c r="E4788" s="248"/>
      <c r="F4788" s="47"/>
      <c r="G4788" s="79"/>
      <c r="J4788" s="99"/>
      <c r="K4788" s="4"/>
    </row>
    <row r="4789" spans="3:11" x14ac:dyDescent="0.25">
      <c r="C4789" s="79"/>
      <c r="D4789" s="248"/>
      <c r="E4789" s="248"/>
      <c r="F4789" s="47"/>
      <c r="G4789" s="79"/>
      <c r="J4789" s="99"/>
      <c r="K4789" s="4"/>
    </row>
    <row r="4790" spans="3:11" x14ac:dyDescent="0.25">
      <c r="C4790" s="79"/>
      <c r="D4790" s="248"/>
      <c r="E4790" s="248"/>
      <c r="F4790" s="47"/>
      <c r="G4790" s="79"/>
      <c r="J4790" s="99"/>
      <c r="K4790" s="4"/>
    </row>
    <row r="4791" spans="3:11" x14ac:dyDescent="0.25">
      <c r="C4791" s="79"/>
      <c r="D4791" s="248"/>
      <c r="E4791" s="248"/>
      <c r="F4791" s="47"/>
      <c r="G4791" s="79"/>
      <c r="J4791" s="99"/>
      <c r="K4791" s="4"/>
    </row>
    <row r="4792" spans="3:11" x14ac:dyDescent="0.25">
      <c r="C4792" s="79"/>
      <c r="D4792" s="248"/>
      <c r="E4792" s="248"/>
      <c r="F4792" s="47"/>
      <c r="G4792" s="79"/>
      <c r="J4792" s="99"/>
      <c r="K4792" s="4"/>
    </row>
    <row r="4793" spans="3:11" x14ac:dyDescent="0.25">
      <c r="C4793" s="79"/>
      <c r="D4793" s="248"/>
      <c r="E4793" s="248"/>
      <c r="F4793" s="47"/>
      <c r="G4793" s="79"/>
      <c r="J4793" s="99"/>
      <c r="K4793" s="4"/>
    </row>
    <row r="4794" spans="3:11" x14ac:dyDescent="0.25">
      <c r="C4794" s="79"/>
      <c r="D4794" s="248"/>
      <c r="E4794" s="248"/>
      <c r="F4794" s="47"/>
      <c r="G4794" s="79"/>
      <c r="J4794" s="99"/>
      <c r="K4794" s="4"/>
    </row>
    <row r="4795" spans="3:11" x14ac:dyDescent="0.25">
      <c r="C4795" s="79"/>
      <c r="D4795" s="248"/>
      <c r="E4795" s="248"/>
      <c r="F4795" s="47"/>
      <c r="G4795" s="79"/>
      <c r="J4795" s="99"/>
      <c r="K4795" s="4"/>
    </row>
    <row r="4796" spans="3:11" x14ac:dyDescent="0.25">
      <c r="C4796" s="79"/>
      <c r="D4796" s="248"/>
      <c r="E4796" s="248"/>
      <c r="F4796" s="47"/>
      <c r="G4796" s="79"/>
      <c r="J4796" s="99"/>
      <c r="K4796" s="4"/>
    </row>
    <row r="4797" spans="3:11" x14ac:dyDescent="0.25">
      <c r="C4797" s="79"/>
      <c r="D4797" s="248"/>
      <c r="E4797" s="248"/>
      <c r="F4797" s="47"/>
      <c r="G4797" s="79"/>
      <c r="J4797" s="99"/>
      <c r="K4797" s="4"/>
    </row>
    <row r="4798" spans="3:11" x14ac:dyDescent="0.25">
      <c r="C4798" s="79"/>
      <c r="D4798" s="248"/>
      <c r="E4798" s="248"/>
      <c r="F4798" s="47"/>
      <c r="G4798" s="79"/>
      <c r="J4798" s="99"/>
      <c r="K4798" s="4"/>
    </row>
    <row r="4799" spans="3:11" x14ac:dyDescent="0.25">
      <c r="C4799" s="79"/>
      <c r="D4799" s="248"/>
      <c r="E4799" s="248"/>
      <c r="F4799" s="47"/>
      <c r="G4799" s="79"/>
      <c r="J4799" s="99"/>
      <c r="K4799" s="4"/>
    </row>
    <row r="4800" spans="3:11" x14ac:dyDescent="0.25">
      <c r="C4800" s="79"/>
      <c r="D4800" s="248"/>
      <c r="E4800" s="248"/>
      <c r="F4800" s="47"/>
      <c r="G4800" s="79"/>
      <c r="J4800" s="99"/>
      <c r="K4800" s="4"/>
    </row>
    <row r="4801" spans="3:11" x14ac:dyDescent="0.25">
      <c r="C4801" s="79"/>
      <c r="D4801" s="248"/>
      <c r="E4801" s="248"/>
      <c r="F4801" s="47"/>
      <c r="G4801" s="79"/>
      <c r="J4801" s="99"/>
      <c r="K4801" s="4"/>
    </row>
    <row r="4802" spans="3:11" x14ac:dyDescent="0.25">
      <c r="C4802" s="79"/>
      <c r="D4802" s="248"/>
      <c r="E4802" s="248"/>
      <c r="F4802" s="47"/>
      <c r="G4802" s="79"/>
      <c r="J4802" s="99"/>
      <c r="K4802" s="4"/>
    </row>
    <row r="4803" spans="3:11" x14ac:dyDescent="0.25">
      <c r="C4803" s="79"/>
      <c r="D4803" s="248"/>
      <c r="E4803" s="248"/>
      <c r="F4803" s="47"/>
      <c r="G4803" s="79"/>
      <c r="J4803" s="99"/>
      <c r="K4803" s="4"/>
    </row>
    <row r="4804" spans="3:11" x14ac:dyDescent="0.25">
      <c r="C4804" s="79"/>
      <c r="D4804" s="248"/>
      <c r="E4804" s="248"/>
      <c r="F4804" s="47"/>
      <c r="G4804" s="79"/>
      <c r="J4804" s="99"/>
      <c r="K4804" s="4"/>
    </row>
    <row r="4805" spans="3:11" x14ac:dyDescent="0.25">
      <c r="C4805" s="79"/>
      <c r="D4805" s="248"/>
      <c r="E4805" s="248"/>
      <c r="F4805" s="47"/>
      <c r="G4805" s="79"/>
      <c r="J4805" s="99"/>
      <c r="K4805" s="4"/>
    </row>
    <row r="4806" spans="3:11" x14ac:dyDescent="0.25">
      <c r="C4806" s="79"/>
      <c r="D4806" s="248"/>
      <c r="E4806" s="248"/>
      <c r="F4806" s="47"/>
      <c r="G4806" s="79"/>
      <c r="J4806" s="99"/>
      <c r="K4806" s="4"/>
    </row>
    <row r="4807" spans="3:11" x14ac:dyDescent="0.25">
      <c r="C4807" s="79"/>
      <c r="D4807" s="248"/>
      <c r="E4807" s="248"/>
      <c r="F4807" s="47"/>
      <c r="G4807" s="79"/>
      <c r="J4807" s="99"/>
      <c r="K4807" s="4"/>
    </row>
    <row r="4808" spans="3:11" x14ac:dyDescent="0.25">
      <c r="C4808" s="79"/>
      <c r="D4808" s="248"/>
      <c r="E4808" s="248"/>
      <c r="F4808" s="47"/>
      <c r="G4808" s="79"/>
      <c r="J4808" s="99"/>
      <c r="K4808" s="4"/>
    </row>
    <row r="4809" spans="3:11" x14ac:dyDescent="0.25">
      <c r="C4809" s="79"/>
      <c r="D4809" s="248"/>
      <c r="E4809" s="248"/>
      <c r="F4809" s="47"/>
      <c r="G4809" s="79"/>
      <c r="J4809" s="99"/>
      <c r="K4809" s="4"/>
    </row>
    <row r="4810" spans="3:11" x14ac:dyDescent="0.25">
      <c r="C4810" s="79"/>
      <c r="D4810" s="248"/>
      <c r="E4810" s="248"/>
      <c r="F4810" s="47"/>
      <c r="G4810" s="79"/>
      <c r="J4810" s="99"/>
      <c r="K4810" s="4"/>
    </row>
    <row r="4811" spans="3:11" x14ac:dyDescent="0.25">
      <c r="C4811" s="79"/>
      <c r="D4811" s="248"/>
      <c r="E4811" s="248"/>
      <c r="F4811" s="47"/>
      <c r="G4811" s="79"/>
      <c r="J4811" s="99"/>
      <c r="K4811" s="4"/>
    </row>
    <row r="4812" spans="3:11" x14ac:dyDescent="0.25">
      <c r="C4812" s="79"/>
      <c r="D4812" s="248"/>
      <c r="E4812" s="248"/>
      <c r="F4812" s="47"/>
      <c r="G4812" s="79"/>
      <c r="J4812" s="99"/>
      <c r="K4812" s="4"/>
    </row>
    <row r="4813" spans="3:11" x14ac:dyDescent="0.25">
      <c r="C4813" s="79"/>
      <c r="D4813" s="248"/>
      <c r="E4813" s="248"/>
      <c r="F4813" s="47"/>
      <c r="G4813" s="79"/>
      <c r="J4813" s="99"/>
      <c r="K4813" s="4"/>
    </row>
    <row r="4814" spans="3:11" x14ac:dyDescent="0.25">
      <c r="C4814" s="79"/>
      <c r="D4814" s="248"/>
      <c r="E4814" s="248"/>
      <c r="F4814" s="47"/>
      <c r="G4814" s="79"/>
      <c r="J4814" s="99"/>
      <c r="K4814" s="4"/>
    </row>
    <row r="4815" spans="3:11" x14ac:dyDescent="0.25">
      <c r="C4815" s="79"/>
      <c r="D4815" s="248"/>
      <c r="E4815" s="248"/>
      <c r="F4815" s="47"/>
      <c r="G4815" s="79"/>
      <c r="J4815" s="99"/>
      <c r="K4815" s="4"/>
    </row>
    <row r="4816" spans="3:11" x14ac:dyDescent="0.25">
      <c r="C4816" s="79"/>
      <c r="D4816" s="248"/>
      <c r="E4816" s="248"/>
      <c r="F4816" s="47"/>
      <c r="G4816" s="79"/>
      <c r="J4816" s="99"/>
      <c r="K4816" s="4"/>
    </row>
    <row r="4817" spans="3:11" x14ac:dyDescent="0.25">
      <c r="C4817" s="79"/>
      <c r="D4817" s="248"/>
      <c r="E4817" s="248"/>
      <c r="F4817" s="47"/>
      <c r="G4817" s="79"/>
      <c r="J4817" s="99"/>
      <c r="K4817" s="4"/>
    </row>
    <row r="4818" spans="3:11" x14ac:dyDescent="0.25">
      <c r="C4818" s="79"/>
      <c r="D4818" s="248"/>
      <c r="E4818" s="248"/>
      <c r="F4818" s="47"/>
      <c r="G4818" s="79"/>
      <c r="J4818" s="99"/>
      <c r="K4818" s="4"/>
    </row>
    <row r="4819" spans="3:11" x14ac:dyDescent="0.25">
      <c r="C4819" s="79"/>
      <c r="D4819" s="248"/>
      <c r="E4819" s="248"/>
      <c r="F4819" s="47"/>
      <c r="G4819" s="79"/>
      <c r="J4819" s="99"/>
      <c r="K4819" s="4"/>
    </row>
    <row r="4820" spans="3:11" x14ac:dyDescent="0.25">
      <c r="C4820" s="79"/>
      <c r="D4820" s="248"/>
      <c r="E4820" s="248"/>
      <c r="F4820" s="47"/>
      <c r="G4820" s="79"/>
      <c r="J4820" s="99"/>
      <c r="K4820" s="4"/>
    </row>
    <row r="4821" spans="3:11" x14ac:dyDescent="0.25">
      <c r="C4821" s="79"/>
      <c r="D4821" s="248"/>
      <c r="E4821" s="248"/>
      <c r="F4821" s="47"/>
      <c r="G4821" s="79"/>
      <c r="J4821" s="99"/>
      <c r="K4821" s="4"/>
    </row>
    <row r="4822" spans="3:11" x14ac:dyDescent="0.25">
      <c r="C4822" s="79"/>
      <c r="D4822" s="248"/>
      <c r="E4822" s="248"/>
      <c r="F4822" s="47"/>
      <c r="G4822" s="79"/>
      <c r="J4822" s="99"/>
      <c r="K4822" s="4"/>
    </row>
    <row r="4823" spans="3:11" x14ac:dyDescent="0.25">
      <c r="C4823" s="79"/>
      <c r="D4823" s="248"/>
      <c r="E4823" s="248"/>
      <c r="F4823" s="47"/>
      <c r="G4823" s="79"/>
      <c r="J4823" s="99"/>
      <c r="K4823" s="4"/>
    </row>
    <row r="4824" spans="3:11" x14ac:dyDescent="0.25">
      <c r="C4824" s="79"/>
      <c r="D4824" s="248"/>
      <c r="E4824" s="248"/>
      <c r="F4824" s="47"/>
      <c r="G4824" s="79"/>
      <c r="J4824" s="99"/>
      <c r="K4824" s="4"/>
    </row>
    <row r="4825" spans="3:11" x14ac:dyDescent="0.25">
      <c r="C4825" s="79"/>
      <c r="D4825" s="248"/>
      <c r="E4825" s="248"/>
      <c r="F4825" s="47"/>
      <c r="G4825" s="79"/>
      <c r="J4825" s="99"/>
      <c r="K4825" s="4"/>
    </row>
    <row r="4826" spans="3:11" x14ac:dyDescent="0.25">
      <c r="C4826" s="79"/>
      <c r="D4826" s="248"/>
      <c r="E4826" s="248"/>
      <c r="F4826" s="47"/>
      <c r="G4826" s="79"/>
      <c r="J4826" s="99"/>
      <c r="K4826" s="4"/>
    </row>
    <row r="4827" spans="3:11" x14ac:dyDescent="0.25">
      <c r="C4827" s="79"/>
      <c r="D4827" s="248"/>
      <c r="E4827" s="248"/>
      <c r="F4827" s="47"/>
      <c r="G4827" s="79"/>
      <c r="J4827" s="99"/>
      <c r="K4827" s="4"/>
    </row>
    <row r="4828" spans="3:11" x14ac:dyDescent="0.25">
      <c r="C4828" s="79"/>
      <c r="D4828" s="248"/>
      <c r="E4828" s="248"/>
      <c r="F4828" s="47"/>
      <c r="G4828" s="79"/>
      <c r="J4828" s="99"/>
      <c r="K4828" s="4"/>
    </row>
    <row r="4829" spans="3:11" x14ac:dyDescent="0.25">
      <c r="C4829" s="79"/>
      <c r="D4829" s="248"/>
      <c r="E4829" s="248"/>
      <c r="F4829" s="47"/>
      <c r="G4829" s="79"/>
      <c r="J4829" s="99"/>
      <c r="K4829" s="4"/>
    </row>
    <row r="4830" spans="3:11" x14ac:dyDescent="0.25">
      <c r="C4830" s="79"/>
      <c r="D4830" s="248"/>
      <c r="E4830" s="248"/>
      <c r="F4830" s="47"/>
      <c r="G4830" s="79"/>
      <c r="J4830" s="99"/>
      <c r="K4830" s="4"/>
    </row>
    <row r="4831" spans="3:11" x14ac:dyDescent="0.25">
      <c r="C4831" s="79"/>
      <c r="D4831" s="248"/>
      <c r="E4831" s="248"/>
      <c r="F4831" s="47"/>
      <c r="G4831" s="79"/>
      <c r="J4831" s="99"/>
      <c r="K4831" s="4"/>
    </row>
    <row r="4832" spans="3:11" x14ac:dyDescent="0.25">
      <c r="C4832" s="79"/>
      <c r="D4832" s="248"/>
      <c r="E4832" s="248"/>
      <c r="F4832" s="47"/>
      <c r="G4832" s="79"/>
      <c r="J4832" s="99"/>
      <c r="K4832" s="4"/>
    </row>
    <row r="4833" spans="3:11" x14ac:dyDescent="0.25">
      <c r="C4833" s="79"/>
      <c r="D4833" s="248"/>
      <c r="E4833" s="248"/>
      <c r="F4833" s="47"/>
      <c r="G4833" s="79"/>
      <c r="J4833" s="99"/>
      <c r="K4833" s="4"/>
    </row>
    <row r="4834" spans="3:11" x14ac:dyDescent="0.25">
      <c r="C4834" s="79"/>
      <c r="D4834" s="248"/>
      <c r="E4834" s="248"/>
      <c r="F4834" s="47"/>
      <c r="G4834" s="79"/>
      <c r="J4834" s="99"/>
      <c r="K4834" s="4"/>
    </row>
    <row r="4835" spans="3:11" x14ac:dyDescent="0.25">
      <c r="C4835" s="79"/>
      <c r="D4835" s="248"/>
      <c r="E4835" s="248"/>
      <c r="F4835" s="47"/>
      <c r="G4835" s="79"/>
      <c r="J4835" s="99"/>
      <c r="K4835" s="4"/>
    </row>
    <row r="4836" spans="3:11" x14ac:dyDescent="0.25">
      <c r="C4836" s="79"/>
      <c r="D4836" s="248"/>
      <c r="E4836" s="248"/>
      <c r="F4836" s="47"/>
      <c r="G4836" s="79"/>
      <c r="J4836" s="99"/>
      <c r="K4836" s="4"/>
    </row>
    <row r="4837" spans="3:11" x14ac:dyDescent="0.25">
      <c r="C4837" s="79"/>
      <c r="D4837" s="248"/>
      <c r="E4837" s="248"/>
      <c r="F4837" s="47"/>
      <c r="G4837" s="79"/>
      <c r="J4837" s="99"/>
      <c r="K4837" s="4"/>
    </row>
    <row r="4838" spans="3:11" x14ac:dyDescent="0.25">
      <c r="C4838" s="79"/>
      <c r="D4838" s="248"/>
      <c r="E4838" s="248"/>
      <c r="F4838" s="47"/>
      <c r="G4838" s="79"/>
      <c r="J4838" s="99"/>
      <c r="K4838" s="4"/>
    </row>
    <row r="4839" spans="3:11" x14ac:dyDescent="0.25">
      <c r="C4839" s="79"/>
      <c r="D4839" s="248"/>
      <c r="E4839" s="248"/>
      <c r="F4839" s="47"/>
      <c r="G4839" s="79"/>
      <c r="J4839" s="99"/>
      <c r="K4839" s="4"/>
    </row>
    <row r="4840" spans="3:11" x14ac:dyDescent="0.25">
      <c r="C4840" s="79"/>
      <c r="D4840" s="248"/>
      <c r="E4840" s="248"/>
      <c r="F4840" s="47"/>
      <c r="G4840" s="79"/>
      <c r="J4840" s="99"/>
      <c r="K4840" s="4"/>
    </row>
    <row r="4841" spans="3:11" x14ac:dyDescent="0.25">
      <c r="C4841" s="79"/>
      <c r="D4841" s="248"/>
      <c r="E4841" s="248"/>
      <c r="F4841" s="47"/>
      <c r="G4841" s="79"/>
      <c r="J4841" s="99"/>
      <c r="K4841" s="4"/>
    </row>
    <row r="4842" spans="3:11" x14ac:dyDescent="0.25">
      <c r="C4842" s="79"/>
      <c r="D4842" s="248"/>
      <c r="E4842" s="248"/>
      <c r="F4842" s="47"/>
      <c r="G4842" s="79"/>
      <c r="J4842" s="99"/>
      <c r="K4842" s="4"/>
    </row>
    <row r="4843" spans="3:11" x14ac:dyDescent="0.25">
      <c r="C4843" s="79"/>
      <c r="D4843" s="248"/>
      <c r="E4843" s="248"/>
      <c r="F4843" s="47"/>
      <c r="G4843" s="79"/>
      <c r="J4843" s="99"/>
      <c r="K4843" s="4"/>
    </row>
    <row r="4844" spans="3:11" x14ac:dyDescent="0.25">
      <c r="C4844" s="79"/>
      <c r="D4844" s="248"/>
      <c r="E4844" s="248"/>
      <c r="F4844" s="47"/>
      <c r="G4844" s="79"/>
      <c r="J4844" s="99"/>
      <c r="K4844" s="4"/>
    </row>
    <row r="4845" spans="3:11" x14ac:dyDescent="0.25">
      <c r="C4845" s="79"/>
      <c r="D4845" s="248"/>
      <c r="E4845" s="248"/>
      <c r="F4845" s="47"/>
      <c r="G4845" s="79"/>
      <c r="J4845" s="99"/>
      <c r="K4845" s="4"/>
    </row>
    <row r="4846" spans="3:11" x14ac:dyDescent="0.25">
      <c r="C4846" s="79"/>
      <c r="D4846" s="248"/>
      <c r="E4846" s="248"/>
      <c r="F4846" s="47"/>
      <c r="G4846" s="79"/>
      <c r="J4846" s="99"/>
      <c r="K4846" s="4"/>
    </row>
    <row r="4847" spans="3:11" x14ac:dyDescent="0.25">
      <c r="C4847" s="79"/>
      <c r="D4847" s="248"/>
      <c r="E4847" s="248"/>
      <c r="F4847" s="47"/>
      <c r="G4847" s="79"/>
      <c r="J4847" s="99"/>
      <c r="K4847" s="4"/>
    </row>
    <row r="4848" spans="3:11" x14ac:dyDescent="0.25">
      <c r="C4848" s="79"/>
      <c r="D4848" s="248"/>
      <c r="E4848" s="248"/>
      <c r="F4848" s="47"/>
      <c r="G4848" s="79"/>
      <c r="J4848" s="99"/>
      <c r="K4848" s="4"/>
    </row>
    <row r="4849" spans="3:11" x14ac:dyDescent="0.25">
      <c r="C4849" s="79"/>
      <c r="D4849" s="248"/>
      <c r="E4849" s="248"/>
      <c r="F4849" s="47"/>
      <c r="G4849" s="79"/>
      <c r="J4849" s="99"/>
      <c r="K4849" s="4"/>
    </row>
    <row r="4850" spans="3:11" x14ac:dyDescent="0.25">
      <c r="C4850" s="79"/>
      <c r="D4850" s="248"/>
      <c r="E4850" s="248"/>
      <c r="F4850" s="47"/>
      <c r="G4850" s="79"/>
      <c r="J4850" s="99"/>
      <c r="K4850" s="4"/>
    </row>
    <row r="4851" spans="3:11" x14ac:dyDescent="0.25">
      <c r="C4851" s="79"/>
      <c r="D4851" s="248"/>
      <c r="E4851" s="248"/>
      <c r="F4851" s="47"/>
      <c r="G4851" s="79"/>
      <c r="J4851" s="99"/>
      <c r="K4851" s="4"/>
    </row>
    <row r="4852" spans="3:11" x14ac:dyDescent="0.25">
      <c r="C4852" s="79"/>
      <c r="D4852" s="248"/>
      <c r="E4852" s="248"/>
      <c r="F4852" s="47"/>
      <c r="G4852" s="79"/>
      <c r="J4852" s="99"/>
      <c r="K4852" s="4"/>
    </row>
    <row r="4853" spans="3:11" x14ac:dyDescent="0.25">
      <c r="C4853" s="79"/>
      <c r="D4853" s="248"/>
      <c r="E4853" s="248"/>
      <c r="F4853" s="47"/>
      <c r="G4853" s="79"/>
      <c r="J4853" s="99"/>
      <c r="K4853" s="4"/>
    </row>
    <row r="4854" spans="3:11" x14ac:dyDescent="0.25">
      <c r="C4854" s="79"/>
      <c r="D4854" s="248"/>
      <c r="E4854" s="248"/>
      <c r="F4854" s="47"/>
      <c r="G4854" s="79"/>
      <c r="J4854" s="99"/>
      <c r="K4854" s="4"/>
    </row>
    <row r="4855" spans="3:11" x14ac:dyDescent="0.25">
      <c r="C4855" s="79"/>
      <c r="D4855" s="248"/>
      <c r="E4855" s="248"/>
      <c r="F4855" s="47"/>
      <c r="G4855" s="79"/>
      <c r="J4855" s="99"/>
      <c r="K4855" s="4"/>
    </row>
    <row r="4856" spans="3:11" x14ac:dyDescent="0.25">
      <c r="C4856" s="79"/>
      <c r="D4856" s="248"/>
      <c r="E4856" s="248"/>
      <c r="F4856" s="47"/>
      <c r="G4856" s="79"/>
      <c r="J4856" s="99"/>
      <c r="K4856" s="4"/>
    </row>
    <row r="4857" spans="3:11" x14ac:dyDescent="0.25">
      <c r="C4857" s="79"/>
      <c r="D4857" s="248"/>
      <c r="E4857" s="248"/>
      <c r="F4857" s="47"/>
      <c r="G4857" s="79"/>
      <c r="J4857" s="99"/>
      <c r="K4857" s="4"/>
    </row>
    <row r="4858" spans="3:11" x14ac:dyDescent="0.25">
      <c r="C4858" s="79"/>
      <c r="D4858" s="248"/>
      <c r="E4858" s="248"/>
      <c r="F4858" s="47"/>
      <c r="G4858" s="79"/>
      <c r="J4858" s="99"/>
      <c r="K4858" s="4"/>
    </row>
    <row r="4859" spans="3:11" x14ac:dyDescent="0.25">
      <c r="C4859" s="79"/>
      <c r="D4859" s="248"/>
      <c r="E4859" s="248"/>
      <c r="F4859" s="47"/>
      <c r="G4859" s="79"/>
      <c r="J4859" s="99"/>
      <c r="K4859" s="4"/>
    </row>
    <row r="4860" spans="3:11" x14ac:dyDescent="0.25">
      <c r="C4860" s="79"/>
      <c r="D4860" s="248"/>
      <c r="E4860" s="248"/>
      <c r="F4860" s="47"/>
      <c r="G4860" s="79"/>
      <c r="J4860" s="99"/>
      <c r="K4860" s="4"/>
    </row>
    <row r="4861" spans="3:11" x14ac:dyDescent="0.25">
      <c r="C4861" s="79"/>
      <c r="D4861" s="248"/>
      <c r="E4861" s="248"/>
      <c r="F4861" s="47"/>
      <c r="G4861" s="79"/>
      <c r="J4861" s="99"/>
      <c r="K4861" s="4"/>
    </row>
    <row r="4862" spans="3:11" x14ac:dyDescent="0.25">
      <c r="C4862" s="79"/>
      <c r="D4862" s="248"/>
      <c r="E4862" s="248"/>
      <c r="F4862" s="47"/>
      <c r="G4862" s="79"/>
      <c r="J4862" s="99"/>
      <c r="K4862" s="4"/>
    </row>
    <row r="4863" spans="3:11" x14ac:dyDescent="0.25">
      <c r="C4863" s="79"/>
      <c r="D4863" s="248"/>
      <c r="E4863" s="248"/>
      <c r="F4863" s="47"/>
      <c r="G4863" s="79"/>
      <c r="J4863" s="99"/>
      <c r="K4863" s="4"/>
    </row>
    <row r="4864" spans="3:11" x14ac:dyDescent="0.25">
      <c r="C4864" s="79"/>
      <c r="D4864" s="248"/>
      <c r="E4864" s="248"/>
      <c r="F4864" s="47"/>
      <c r="G4864" s="79"/>
      <c r="J4864" s="99"/>
      <c r="K4864" s="4"/>
    </row>
    <row r="4865" spans="3:11" x14ac:dyDescent="0.25">
      <c r="C4865" s="79"/>
      <c r="D4865" s="248"/>
      <c r="E4865" s="248"/>
      <c r="F4865" s="47"/>
      <c r="G4865" s="79"/>
      <c r="J4865" s="99"/>
      <c r="K4865" s="4"/>
    </row>
    <row r="4866" spans="3:11" x14ac:dyDescent="0.25">
      <c r="C4866" s="79"/>
      <c r="D4866" s="248"/>
      <c r="E4866" s="248"/>
      <c r="F4866" s="47"/>
      <c r="G4866" s="79"/>
      <c r="J4866" s="99"/>
      <c r="K4866" s="4"/>
    </row>
    <row r="4867" spans="3:11" x14ac:dyDescent="0.25">
      <c r="C4867" s="79"/>
      <c r="D4867" s="248"/>
      <c r="E4867" s="248"/>
      <c r="F4867" s="47"/>
      <c r="G4867" s="79"/>
      <c r="J4867" s="99"/>
      <c r="K4867" s="4"/>
    </row>
    <row r="4868" spans="3:11" x14ac:dyDescent="0.25">
      <c r="C4868" s="79"/>
      <c r="D4868" s="248"/>
      <c r="E4868" s="248"/>
      <c r="F4868" s="47"/>
      <c r="G4868" s="79"/>
      <c r="J4868" s="99"/>
      <c r="K4868" s="4"/>
    </row>
    <row r="4869" spans="3:11" x14ac:dyDescent="0.25">
      <c r="C4869" s="79"/>
      <c r="D4869" s="248"/>
      <c r="E4869" s="248"/>
      <c r="F4869" s="47"/>
      <c r="G4869" s="79"/>
      <c r="J4869" s="99"/>
      <c r="K4869" s="4"/>
    </row>
    <row r="4870" spans="3:11" x14ac:dyDescent="0.25">
      <c r="C4870" s="79"/>
      <c r="D4870" s="248"/>
      <c r="E4870" s="248"/>
      <c r="F4870" s="47"/>
      <c r="G4870" s="79"/>
      <c r="J4870" s="99"/>
      <c r="K4870" s="4"/>
    </row>
    <row r="4871" spans="3:11" x14ac:dyDescent="0.25">
      <c r="C4871" s="79"/>
      <c r="D4871" s="248"/>
      <c r="E4871" s="248"/>
      <c r="F4871" s="47"/>
      <c r="G4871" s="79"/>
      <c r="J4871" s="99"/>
      <c r="K4871" s="4"/>
    </row>
    <row r="4872" spans="3:11" x14ac:dyDescent="0.25">
      <c r="C4872" s="79"/>
      <c r="D4872" s="248"/>
      <c r="E4872" s="248"/>
      <c r="F4872" s="47"/>
      <c r="G4872" s="79"/>
      <c r="J4872" s="99"/>
      <c r="K4872" s="4"/>
    </row>
    <row r="4873" spans="3:11" x14ac:dyDescent="0.25">
      <c r="C4873" s="79"/>
      <c r="D4873" s="248"/>
      <c r="E4873" s="248"/>
      <c r="F4873" s="47"/>
      <c r="G4873" s="79"/>
      <c r="J4873" s="99"/>
      <c r="K4873" s="4"/>
    </row>
    <row r="4874" spans="3:11" x14ac:dyDescent="0.25">
      <c r="C4874" s="79"/>
      <c r="D4874" s="248"/>
      <c r="E4874" s="248"/>
      <c r="F4874" s="47"/>
      <c r="G4874" s="79"/>
      <c r="J4874" s="99"/>
      <c r="K4874" s="4"/>
    </row>
    <row r="4875" spans="3:11" x14ac:dyDescent="0.25">
      <c r="C4875" s="79"/>
      <c r="D4875" s="248"/>
      <c r="E4875" s="248"/>
      <c r="F4875" s="47"/>
      <c r="G4875" s="79"/>
      <c r="J4875" s="99"/>
      <c r="K4875" s="4"/>
    </row>
    <row r="4876" spans="3:11" x14ac:dyDescent="0.25">
      <c r="C4876" s="79"/>
      <c r="D4876" s="248"/>
      <c r="E4876" s="248"/>
      <c r="F4876" s="47"/>
      <c r="G4876" s="79"/>
      <c r="J4876" s="99"/>
      <c r="K4876" s="4"/>
    </row>
    <row r="4877" spans="3:11" x14ac:dyDescent="0.25">
      <c r="C4877" s="79"/>
      <c r="D4877" s="248"/>
      <c r="E4877" s="248"/>
      <c r="F4877" s="47"/>
      <c r="G4877" s="79"/>
      <c r="J4877" s="99"/>
      <c r="K4877" s="4"/>
    </row>
    <row r="4878" spans="3:11" x14ac:dyDescent="0.25">
      <c r="C4878" s="79"/>
      <c r="D4878" s="248"/>
      <c r="E4878" s="248"/>
      <c r="F4878" s="47"/>
      <c r="G4878" s="79"/>
      <c r="J4878" s="99"/>
      <c r="K4878" s="4"/>
    </row>
    <row r="4879" spans="3:11" x14ac:dyDescent="0.25">
      <c r="C4879" s="79"/>
      <c r="D4879" s="248"/>
      <c r="E4879" s="248"/>
      <c r="F4879" s="47"/>
      <c r="G4879" s="79"/>
      <c r="J4879" s="99"/>
      <c r="K4879" s="4"/>
    </row>
    <row r="4880" spans="3:11" x14ac:dyDescent="0.25">
      <c r="C4880" s="79"/>
      <c r="D4880" s="248"/>
      <c r="E4880" s="248"/>
      <c r="F4880" s="47"/>
      <c r="G4880" s="79"/>
      <c r="J4880" s="99"/>
      <c r="K4880" s="4"/>
    </row>
    <row r="4881" spans="3:11" x14ac:dyDescent="0.25">
      <c r="C4881" s="79"/>
      <c r="D4881" s="248"/>
      <c r="E4881" s="248"/>
      <c r="F4881" s="47"/>
      <c r="G4881" s="79"/>
      <c r="J4881" s="99"/>
      <c r="K4881" s="4"/>
    </row>
    <row r="4882" spans="3:11" x14ac:dyDescent="0.25">
      <c r="C4882" s="79"/>
      <c r="D4882" s="248"/>
      <c r="E4882" s="248"/>
      <c r="F4882" s="47"/>
      <c r="G4882" s="79"/>
      <c r="J4882" s="99"/>
      <c r="K4882" s="4"/>
    </row>
    <row r="4883" spans="3:11" x14ac:dyDescent="0.25">
      <c r="C4883" s="79"/>
      <c r="D4883" s="248"/>
      <c r="E4883" s="248"/>
      <c r="F4883" s="47"/>
      <c r="G4883" s="79"/>
      <c r="J4883" s="99"/>
      <c r="K4883" s="4"/>
    </row>
    <row r="4884" spans="3:11" x14ac:dyDescent="0.25">
      <c r="C4884" s="79"/>
      <c r="D4884" s="248"/>
      <c r="E4884" s="248"/>
      <c r="F4884" s="47"/>
      <c r="G4884" s="79"/>
      <c r="J4884" s="99"/>
      <c r="K4884" s="4"/>
    </row>
    <row r="4885" spans="3:11" x14ac:dyDescent="0.25">
      <c r="C4885" s="79"/>
      <c r="D4885" s="248"/>
      <c r="E4885" s="248"/>
      <c r="F4885" s="47"/>
      <c r="G4885" s="79"/>
      <c r="J4885" s="99"/>
      <c r="K4885" s="4"/>
    </row>
    <row r="4886" spans="3:11" x14ac:dyDescent="0.25">
      <c r="C4886" s="79"/>
      <c r="D4886" s="248"/>
      <c r="E4886" s="248"/>
      <c r="F4886" s="47"/>
      <c r="G4886" s="79"/>
      <c r="J4886" s="99"/>
      <c r="K4886" s="4"/>
    </row>
    <row r="4887" spans="3:11" x14ac:dyDescent="0.25">
      <c r="C4887" s="79"/>
      <c r="D4887" s="248"/>
      <c r="E4887" s="248"/>
      <c r="F4887" s="47"/>
      <c r="G4887" s="79"/>
      <c r="J4887" s="99"/>
      <c r="K4887" s="4"/>
    </row>
    <row r="4888" spans="3:11" x14ac:dyDescent="0.25">
      <c r="C4888" s="79"/>
      <c r="D4888" s="248"/>
      <c r="E4888" s="248"/>
      <c r="F4888" s="47"/>
      <c r="G4888" s="79"/>
      <c r="J4888" s="99"/>
      <c r="K4888" s="4"/>
    </row>
    <row r="4889" spans="3:11" x14ac:dyDescent="0.25">
      <c r="C4889" s="79"/>
      <c r="D4889" s="248"/>
      <c r="E4889" s="248"/>
      <c r="F4889" s="47"/>
      <c r="G4889" s="79"/>
      <c r="J4889" s="99"/>
      <c r="K4889" s="4"/>
    </row>
    <row r="4890" spans="3:11" x14ac:dyDescent="0.25">
      <c r="C4890" s="79"/>
      <c r="D4890" s="248"/>
      <c r="E4890" s="248"/>
      <c r="F4890" s="47"/>
      <c r="G4890" s="79"/>
      <c r="J4890" s="99"/>
      <c r="K4890" s="4"/>
    </row>
    <row r="4891" spans="3:11" x14ac:dyDescent="0.25">
      <c r="C4891" s="79"/>
      <c r="D4891" s="248"/>
      <c r="E4891" s="248"/>
      <c r="F4891" s="47"/>
      <c r="G4891" s="79"/>
      <c r="J4891" s="99"/>
      <c r="K4891" s="4"/>
    </row>
    <row r="4892" spans="3:11" x14ac:dyDescent="0.25">
      <c r="C4892" s="79"/>
      <c r="D4892" s="248"/>
      <c r="E4892" s="248"/>
      <c r="F4892" s="47"/>
      <c r="G4892" s="79"/>
      <c r="J4892" s="99"/>
      <c r="K4892" s="4"/>
    </row>
    <row r="4893" spans="3:11" x14ac:dyDescent="0.25">
      <c r="C4893" s="79"/>
      <c r="D4893" s="248"/>
      <c r="E4893" s="248"/>
      <c r="F4893" s="47"/>
      <c r="G4893" s="79"/>
      <c r="J4893" s="99"/>
      <c r="K4893" s="4"/>
    </row>
    <row r="4894" spans="3:11" x14ac:dyDescent="0.25">
      <c r="C4894" s="79"/>
      <c r="D4894" s="248"/>
      <c r="E4894" s="248"/>
      <c r="F4894" s="47"/>
      <c r="G4894" s="79"/>
      <c r="J4894" s="99"/>
      <c r="K4894" s="4"/>
    </row>
    <row r="4895" spans="3:11" x14ac:dyDescent="0.25">
      <c r="C4895" s="79"/>
      <c r="D4895" s="248"/>
      <c r="E4895" s="248"/>
      <c r="F4895" s="47"/>
      <c r="G4895" s="79"/>
      <c r="J4895" s="99"/>
      <c r="K4895" s="4"/>
    </row>
    <row r="4896" spans="3:11" x14ac:dyDescent="0.25">
      <c r="C4896" s="79"/>
      <c r="D4896" s="248"/>
      <c r="E4896" s="248"/>
      <c r="F4896" s="47"/>
      <c r="G4896" s="79"/>
      <c r="J4896" s="99"/>
      <c r="K4896" s="4"/>
    </row>
    <row r="4897" spans="3:11" x14ac:dyDescent="0.25">
      <c r="C4897" s="79"/>
      <c r="D4897" s="248"/>
      <c r="E4897" s="248"/>
      <c r="F4897" s="47"/>
      <c r="G4897" s="79"/>
      <c r="J4897" s="99"/>
      <c r="K4897" s="4"/>
    </row>
    <row r="4898" spans="3:11" x14ac:dyDescent="0.25">
      <c r="C4898" s="79"/>
      <c r="D4898" s="248"/>
      <c r="E4898" s="248"/>
      <c r="F4898" s="47"/>
      <c r="G4898" s="79"/>
      <c r="J4898" s="99"/>
      <c r="K4898" s="4"/>
    </row>
    <row r="4899" spans="3:11" x14ac:dyDescent="0.25">
      <c r="C4899" s="79"/>
      <c r="D4899" s="248"/>
      <c r="E4899" s="248"/>
      <c r="F4899" s="47"/>
      <c r="G4899" s="79"/>
      <c r="J4899" s="99"/>
      <c r="K4899" s="4"/>
    </row>
    <row r="4900" spans="3:11" x14ac:dyDescent="0.25">
      <c r="C4900" s="79"/>
      <c r="D4900" s="248"/>
      <c r="E4900" s="248"/>
      <c r="F4900" s="47"/>
      <c r="G4900" s="79"/>
      <c r="J4900" s="99"/>
      <c r="K4900" s="4"/>
    </row>
    <row r="4901" spans="3:11" x14ac:dyDescent="0.25">
      <c r="C4901" s="79"/>
      <c r="D4901" s="248"/>
      <c r="E4901" s="248"/>
      <c r="F4901" s="47"/>
      <c r="G4901" s="79"/>
      <c r="J4901" s="99"/>
      <c r="K4901" s="4"/>
    </row>
    <row r="4902" spans="3:11" x14ac:dyDescent="0.25">
      <c r="C4902" s="79"/>
      <c r="D4902" s="248"/>
      <c r="E4902" s="248"/>
      <c r="F4902" s="47"/>
      <c r="G4902" s="79"/>
      <c r="J4902" s="99"/>
      <c r="K4902" s="4"/>
    </row>
    <row r="4903" spans="3:11" x14ac:dyDescent="0.25">
      <c r="C4903" s="79"/>
      <c r="D4903" s="248"/>
      <c r="E4903" s="248"/>
      <c r="F4903" s="47"/>
      <c r="G4903" s="79"/>
      <c r="J4903" s="99"/>
      <c r="K4903" s="4"/>
    </row>
    <row r="4904" spans="3:11" x14ac:dyDescent="0.25">
      <c r="C4904" s="79"/>
      <c r="D4904" s="248"/>
      <c r="E4904" s="248"/>
      <c r="F4904" s="47"/>
      <c r="G4904" s="79"/>
      <c r="J4904" s="99"/>
      <c r="K4904" s="4"/>
    </row>
    <row r="4905" spans="3:11" x14ac:dyDescent="0.25">
      <c r="C4905" s="79"/>
      <c r="D4905" s="248"/>
      <c r="E4905" s="248"/>
      <c r="F4905" s="47"/>
      <c r="G4905" s="79"/>
      <c r="J4905" s="99"/>
      <c r="K4905" s="4"/>
    </row>
    <row r="4906" spans="3:11" x14ac:dyDescent="0.25">
      <c r="C4906" s="79"/>
      <c r="D4906" s="248"/>
      <c r="E4906" s="248"/>
      <c r="F4906" s="47"/>
      <c r="G4906" s="79"/>
      <c r="J4906" s="99"/>
      <c r="K4906" s="4"/>
    </row>
    <row r="4907" spans="3:11" x14ac:dyDescent="0.25">
      <c r="C4907" s="79"/>
      <c r="D4907" s="248"/>
      <c r="E4907" s="248"/>
      <c r="F4907" s="47"/>
      <c r="G4907" s="79"/>
      <c r="J4907" s="99"/>
      <c r="K4907" s="4"/>
    </row>
    <row r="4908" spans="3:11" x14ac:dyDescent="0.25">
      <c r="C4908" s="79"/>
      <c r="D4908" s="248"/>
      <c r="E4908" s="248"/>
      <c r="F4908" s="47"/>
      <c r="G4908" s="79"/>
      <c r="J4908" s="99"/>
      <c r="K4908" s="4"/>
    </row>
    <row r="4909" spans="3:11" x14ac:dyDescent="0.25">
      <c r="C4909" s="79"/>
      <c r="D4909" s="248"/>
      <c r="E4909" s="248"/>
      <c r="F4909" s="47"/>
      <c r="G4909" s="79"/>
      <c r="J4909" s="99"/>
      <c r="K4909" s="4"/>
    </row>
    <row r="4910" spans="3:11" x14ac:dyDescent="0.25">
      <c r="C4910" s="79"/>
      <c r="D4910" s="248"/>
      <c r="E4910" s="248"/>
      <c r="F4910" s="47"/>
      <c r="G4910" s="79"/>
      <c r="J4910" s="99"/>
      <c r="K4910" s="4"/>
    </row>
    <row r="4911" spans="3:11" x14ac:dyDescent="0.25">
      <c r="C4911" s="79"/>
      <c r="D4911" s="248"/>
      <c r="E4911" s="248"/>
      <c r="F4911" s="47"/>
      <c r="G4911" s="79"/>
      <c r="J4911" s="99"/>
      <c r="K4911" s="4"/>
    </row>
    <row r="4912" spans="3:11" x14ac:dyDescent="0.25">
      <c r="C4912" s="79"/>
      <c r="D4912" s="248"/>
      <c r="E4912" s="248"/>
      <c r="F4912" s="47"/>
      <c r="G4912" s="79"/>
      <c r="J4912" s="99"/>
      <c r="K4912" s="4"/>
    </row>
    <row r="4913" spans="3:11" x14ac:dyDescent="0.25">
      <c r="C4913" s="79"/>
      <c r="D4913" s="248"/>
      <c r="E4913" s="248"/>
      <c r="F4913" s="47"/>
      <c r="G4913" s="79"/>
      <c r="J4913" s="99"/>
      <c r="K4913" s="4"/>
    </row>
    <row r="4914" spans="3:11" x14ac:dyDescent="0.25">
      <c r="C4914" s="79"/>
      <c r="D4914" s="248"/>
      <c r="E4914" s="248"/>
      <c r="F4914" s="47"/>
      <c r="G4914" s="79"/>
      <c r="J4914" s="99"/>
      <c r="K4914" s="4"/>
    </row>
    <row r="4915" spans="3:11" x14ac:dyDescent="0.25">
      <c r="C4915" s="79"/>
      <c r="D4915" s="248"/>
      <c r="E4915" s="248"/>
      <c r="F4915" s="47"/>
      <c r="G4915" s="79"/>
      <c r="J4915" s="99"/>
      <c r="K4915" s="4"/>
    </row>
    <row r="4916" spans="3:11" x14ac:dyDescent="0.25">
      <c r="C4916" s="79"/>
      <c r="D4916" s="248"/>
      <c r="E4916" s="248"/>
      <c r="F4916" s="47"/>
      <c r="G4916" s="79"/>
      <c r="J4916" s="99"/>
      <c r="K4916" s="4"/>
    </row>
    <row r="4917" spans="3:11" x14ac:dyDescent="0.25">
      <c r="C4917" s="79"/>
      <c r="D4917" s="248"/>
      <c r="E4917" s="248"/>
      <c r="F4917" s="47"/>
      <c r="G4917" s="79"/>
      <c r="J4917" s="99"/>
      <c r="K4917" s="4"/>
    </row>
    <row r="4918" spans="3:11" x14ac:dyDescent="0.25">
      <c r="C4918" s="79"/>
      <c r="D4918" s="248"/>
      <c r="E4918" s="248"/>
      <c r="F4918" s="47"/>
      <c r="G4918" s="79"/>
      <c r="J4918" s="99"/>
      <c r="K4918" s="4"/>
    </row>
    <row r="4919" spans="3:11" x14ac:dyDescent="0.25">
      <c r="C4919" s="79"/>
      <c r="D4919" s="248"/>
      <c r="E4919" s="248"/>
      <c r="F4919" s="47"/>
      <c r="G4919" s="79"/>
      <c r="J4919" s="99"/>
      <c r="K4919" s="4"/>
    </row>
    <row r="4920" spans="3:11" x14ac:dyDescent="0.25">
      <c r="C4920" s="79"/>
      <c r="D4920" s="248"/>
      <c r="E4920" s="248"/>
      <c r="F4920" s="47"/>
      <c r="G4920" s="79"/>
      <c r="J4920" s="99"/>
      <c r="K4920" s="4"/>
    </row>
    <row r="4921" spans="3:11" x14ac:dyDescent="0.25">
      <c r="C4921" s="79"/>
      <c r="D4921" s="248"/>
      <c r="E4921" s="248"/>
      <c r="F4921" s="47"/>
      <c r="G4921" s="79"/>
      <c r="J4921" s="99"/>
      <c r="K4921" s="4"/>
    </row>
    <row r="4922" spans="3:11" x14ac:dyDescent="0.25">
      <c r="C4922" s="79"/>
      <c r="D4922" s="248"/>
      <c r="E4922" s="248"/>
      <c r="F4922" s="47"/>
      <c r="G4922" s="79"/>
      <c r="J4922" s="99"/>
      <c r="K4922" s="4"/>
    </row>
    <row r="4923" spans="3:11" x14ac:dyDescent="0.25">
      <c r="C4923" s="79"/>
      <c r="D4923" s="248"/>
      <c r="E4923" s="248"/>
      <c r="F4923" s="47"/>
      <c r="G4923" s="79"/>
      <c r="J4923" s="99"/>
      <c r="K4923" s="4"/>
    </row>
    <row r="4924" spans="3:11" x14ac:dyDescent="0.25">
      <c r="C4924" s="79"/>
      <c r="D4924" s="248"/>
      <c r="E4924" s="248"/>
      <c r="F4924" s="47"/>
      <c r="G4924" s="79"/>
      <c r="J4924" s="99"/>
      <c r="K4924" s="4"/>
    </row>
    <row r="4925" spans="3:11" x14ac:dyDescent="0.25">
      <c r="C4925" s="79"/>
      <c r="D4925" s="248"/>
      <c r="E4925" s="248"/>
      <c r="F4925" s="47"/>
      <c r="G4925" s="79"/>
      <c r="J4925" s="99"/>
      <c r="K4925" s="4"/>
    </row>
    <row r="4926" spans="3:11" x14ac:dyDescent="0.25">
      <c r="C4926" s="79"/>
      <c r="D4926" s="248"/>
      <c r="E4926" s="248"/>
      <c r="F4926" s="47"/>
      <c r="G4926" s="79"/>
      <c r="J4926" s="99"/>
      <c r="K4926" s="4"/>
    </row>
    <row r="4927" spans="3:11" x14ac:dyDescent="0.25">
      <c r="C4927" s="79"/>
      <c r="D4927" s="248"/>
      <c r="E4927" s="248"/>
      <c r="F4927" s="47"/>
      <c r="G4927" s="79"/>
      <c r="J4927" s="99"/>
      <c r="K4927" s="4"/>
    </row>
    <row r="4928" spans="3:11" x14ac:dyDescent="0.25">
      <c r="C4928" s="79"/>
      <c r="D4928" s="248"/>
      <c r="E4928" s="248"/>
      <c r="F4928" s="47"/>
      <c r="G4928" s="79"/>
      <c r="J4928" s="99"/>
      <c r="K4928" s="4"/>
    </row>
    <row r="4929" spans="3:11" x14ac:dyDescent="0.25">
      <c r="C4929" s="79"/>
      <c r="D4929" s="248"/>
      <c r="E4929" s="248"/>
      <c r="F4929" s="47"/>
      <c r="G4929" s="79"/>
      <c r="J4929" s="99"/>
      <c r="K4929" s="4"/>
    </row>
    <row r="4930" spans="3:11" x14ac:dyDescent="0.25">
      <c r="C4930" s="79"/>
      <c r="D4930" s="248"/>
      <c r="E4930" s="248"/>
      <c r="F4930" s="47"/>
      <c r="G4930" s="79"/>
      <c r="J4930" s="99"/>
      <c r="K4930" s="4"/>
    </row>
    <row r="4931" spans="3:11" x14ac:dyDescent="0.25">
      <c r="C4931" s="79"/>
      <c r="D4931" s="248"/>
      <c r="E4931" s="248"/>
      <c r="F4931" s="47"/>
      <c r="G4931" s="79"/>
      <c r="J4931" s="99"/>
      <c r="K4931" s="4"/>
    </row>
    <row r="4932" spans="3:11" x14ac:dyDescent="0.25">
      <c r="C4932" s="79"/>
      <c r="D4932" s="248"/>
      <c r="E4932" s="248"/>
      <c r="F4932" s="47"/>
      <c r="G4932" s="79"/>
      <c r="J4932" s="99"/>
      <c r="K4932" s="4"/>
    </row>
    <row r="4933" spans="3:11" x14ac:dyDescent="0.25">
      <c r="C4933" s="79"/>
      <c r="D4933" s="248"/>
      <c r="E4933" s="248"/>
      <c r="F4933" s="47"/>
      <c r="G4933" s="79"/>
      <c r="J4933" s="99"/>
      <c r="K4933" s="4"/>
    </row>
    <row r="4934" spans="3:11" x14ac:dyDescent="0.25">
      <c r="C4934" s="79"/>
      <c r="D4934" s="248"/>
      <c r="E4934" s="248"/>
      <c r="F4934" s="47"/>
      <c r="G4934" s="79"/>
      <c r="J4934" s="99"/>
      <c r="K4934" s="4"/>
    </row>
    <row r="4935" spans="3:11" x14ac:dyDescent="0.25">
      <c r="C4935" s="79"/>
      <c r="D4935" s="248"/>
      <c r="E4935" s="248"/>
      <c r="F4935" s="47"/>
      <c r="G4935" s="79"/>
      <c r="J4935" s="99"/>
      <c r="K4935" s="4"/>
    </row>
    <row r="4936" spans="3:11" x14ac:dyDescent="0.25">
      <c r="C4936" s="79"/>
      <c r="D4936" s="248"/>
      <c r="E4936" s="248"/>
      <c r="F4936" s="47"/>
      <c r="G4936" s="79"/>
      <c r="J4936" s="99"/>
      <c r="K4936" s="4"/>
    </row>
    <row r="4937" spans="3:11" x14ac:dyDescent="0.25">
      <c r="C4937" s="79"/>
      <c r="D4937" s="248"/>
      <c r="E4937" s="248"/>
      <c r="F4937" s="47"/>
      <c r="G4937" s="79"/>
      <c r="J4937" s="99"/>
      <c r="K4937" s="4"/>
    </row>
    <row r="4938" spans="3:11" x14ac:dyDescent="0.25">
      <c r="C4938" s="79"/>
      <c r="D4938" s="248"/>
      <c r="E4938" s="248"/>
      <c r="F4938" s="47"/>
      <c r="G4938" s="79"/>
      <c r="J4938" s="99"/>
      <c r="K4938" s="4"/>
    </row>
    <row r="4939" spans="3:11" x14ac:dyDescent="0.25">
      <c r="C4939" s="79"/>
      <c r="D4939" s="248"/>
      <c r="E4939" s="248"/>
      <c r="F4939" s="47"/>
      <c r="G4939" s="79"/>
      <c r="J4939" s="99"/>
      <c r="K4939" s="4"/>
    </row>
    <row r="4940" spans="3:11" x14ac:dyDescent="0.25">
      <c r="C4940" s="79"/>
      <c r="D4940" s="248"/>
      <c r="E4940" s="248"/>
      <c r="F4940" s="47"/>
      <c r="G4940" s="79"/>
      <c r="J4940" s="99"/>
      <c r="K4940" s="4"/>
    </row>
    <row r="4941" spans="3:11" x14ac:dyDescent="0.25">
      <c r="C4941" s="79"/>
      <c r="D4941" s="248"/>
      <c r="E4941" s="248"/>
      <c r="F4941" s="47"/>
      <c r="G4941" s="79"/>
      <c r="J4941" s="99"/>
      <c r="K4941" s="4"/>
    </row>
    <row r="4942" spans="3:11" x14ac:dyDescent="0.25">
      <c r="C4942" s="79"/>
      <c r="D4942" s="248"/>
      <c r="E4942" s="248"/>
      <c r="F4942" s="47"/>
      <c r="G4942" s="79"/>
      <c r="J4942" s="99"/>
      <c r="K4942" s="4"/>
    </row>
    <row r="4943" spans="3:11" x14ac:dyDescent="0.25">
      <c r="C4943" s="79"/>
      <c r="D4943" s="248"/>
      <c r="E4943" s="248"/>
      <c r="F4943" s="47"/>
      <c r="G4943" s="79"/>
      <c r="J4943" s="99"/>
      <c r="K4943" s="4"/>
    </row>
    <row r="4944" spans="3:11" x14ac:dyDescent="0.25">
      <c r="C4944" s="79"/>
      <c r="D4944" s="248"/>
      <c r="E4944" s="248"/>
      <c r="F4944" s="47"/>
      <c r="G4944" s="79"/>
      <c r="J4944" s="99"/>
      <c r="K4944" s="4"/>
    </row>
    <row r="4945" spans="3:11" x14ac:dyDescent="0.25">
      <c r="C4945" s="79"/>
      <c r="D4945" s="248"/>
      <c r="E4945" s="248"/>
      <c r="F4945" s="47"/>
      <c r="G4945" s="79"/>
      <c r="J4945" s="99"/>
      <c r="K4945" s="4"/>
    </row>
    <row r="4946" spans="3:11" x14ac:dyDescent="0.25">
      <c r="C4946" s="79"/>
      <c r="D4946" s="248"/>
      <c r="E4946" s="248"/>
      <c r="F4946" s="47"/>
      <c r="G4946" s="79"/>
      <c r="J4946" s="99"/>
      <c r="K4946" s="4"/>
    </row>
    <row r="4947" spans="3:11" x14ac:dyDescent="0.25">
      <c r="C4947" s="79"/>
      <c r="D4947" s="248"/>
      <c r="E4947" s="248"/>
      <c r="F4947" s="47"/>
      <c r="G4947" s="79"/>
      <c r="J4947" s="99"/>
      <c r="K4947" s="4"/>
    </row>
    <row r="4948" spans="3:11" x14ac:dyDescent="0.25">
      <c r="C4948" s="79"/>
      <c r="D4948" s="248"/>
      <c r="E4948" s="248"/>
      <c r="F4948" s="47"/>
      <c r="G4948" s="79"/>
      <c r="J4948" s="99"/>
      <c r="K4948" s="4"/>
    </row>
    <row r="4949" spans="3:11" x14ac:dyDescent="0.25">
      <c r="C4949" s="79"/>
      <c r="D4949" s="248"/>
      <c r="E4949" s="248"/>
      <c r="F4949" s="47"/>
      <c r="G4949" s="79"/>
      <c r="J4949" s="99"/>
      <c r="K4949" s="4"/>
    </row>
    <row r="4950" spans="3:11" x14ac:dyDescent="0.25">
      <c r="C4950" s="79"/>
      <c r="D4950" s="248"/>
      <c r="E4950" s="248"/>
      <c r="F4950" s="47"/>
      <c r="G4950" s="79"/>
      <c r="J4950" s="99"/>
      <c r="K4950" s="4"/>
    </row>
    <row r="4951" spans="3:11" x14ac:dyDescent="0.25">
      <c r="C4951" s="79"/>
      <c r="D4951" s="248"/>
      <c r="E4951" s="248"/>
      <c r="F4951" s="47"/>
      <c r="G4951" s="79"/>
      <c r="J4951" s="99"/>
      <c r="K4951" s="4"/>
    </row>
    <row r="4952" spans="3:11" x14ac:dyDescent="0.25">
      <c r="C4952" s="79"/>
      <c r="D4952" s="248"/>
      <c r="E4952" s="248"/>
      <c r="F4952" s="47"/>
      <c r="G4952" s="79"/>
      <c r="J4952" s="99"/>
      <c r="K4952" s="4"/>
    </row>
    <row r="4953" spans="3:11" x14ac:dyDescent="0.25">
      <c r="C4953" s="79"/>
      <c r="D4953" s="248"/>
      <c r="E4953" s="248"/>
      <c r="F4953" s="47"/>
      <c r="G4953" s="79"/>
      <c r="J4953" s="99"/>
      <c r="K4953" s="4"/>
    </row>
    <row r="4954" spans="3:11" x14ac:dyDescent="0.25">
      <c r="C4954" s="79"/>
      <c r="D4954" s="248"/>
      <c r="E4954" s="248"/>
      <c r="F4954" s="47"/>
      <c r="G4954" s="79"/>
      <c r="J4954" s="99"/>
      <c r="K4954" s="4"/>
    </row>
    <row r="4955" spans="3:11" x14ac:dyDescent="0.25">
      <c r="C4955" s="79"/>
      <c r="D4955" s="248"/>
      <c r="E4955" s="248"/>
      <c r="F4955" s="47"/>
      <c r="G4955" s="79"/>
      <c r="J4955" s="99"/>
      <c r="K4955" s="4"/>
    </row>
    <row r="4956" spans="3:11" x14ac:dyDescent="0.25">
      <c r="C4956" s="79"/>
      <c r="D4956" s="248"/>
      <c r="E4956" s="248"/>
      <c r="F4956" s="47"/>
      <c r="G4956" s="79"/>
      <c r="J4956" s="99"/>
      <c r="K4956" s="4"/>
    </row>
    <row r="4957" spans="3:11" x14ac:dyDescent="0.25">
      <c r="C4957" s="79"/>
      <c r="D4957" s="248"/>
      <c r="E4957" s="248"/>
      <c r="F4957" s="47"/>
      <c r="G4957" s="79"/>
      <c r="J4957" s="99"/>
      <c r="K4957" s="4"/>
    </row>
    <row r="4958" spans="3:11" x14ac:dyDescent="0.25">
      <c r="C4958" s="79"/>
      <c r="D4958" s="248"/>
      <c r="E4958" s="248"/>
      <c r="F4958" s="47"/>
      <c r="G4958" s="79"/>
      <c r="J4958" s="99"/>
      <c r="K4958" s="4"/>
    </row>
    <row r="4959" spans="3:11" x14ac:dyDescent="0.25">
      <c r="C4959" s="79"/>
      <c r="D4959" s="248"/>
      <c r="E4959" s="248"/>
      <c r="F4959" s="47"/>
      <c r="G4959" s="79"/>
      <c r="J4959" s="99"/>
      <c r="K4959" s="4"/>
    </row>
    <row r="4960" spans="3:11" x14ac:dyDescent="0.25">
      <c r="C4960" s="79"/>
      <c r="D4960" s="248"/>
      <c r="E4960" s="248"/>
      <c r="F4960" s="47"/>
      <c r="G4960" s="79"/>
      <c r="J4960" s="99"/>
      <c r="K4960" s="4"/>
    </row>
    <row r="4961" spans="3:11" x14ac:dyDescent="0.25">
      <c r="C4961" s="79"/>
      <c r="D4961" s="248"/>
      <c r="E4961" s="248"/>
      <c r="F4961" s="47"/>
      <c r="G4961" s="79"/>
      <c r="J4961" s="99"/>
      <c r="K4961" s="4"/>
    </row>
    <row r="4962" spans="3:11" x14ac:dyDescent="0.25">
      <c r="C4962" s="79"/>
      <c r="D4962" s="248"/>
      <c r="E4962" s="248"/>
      <c r="F4962" s="47"/>
      <c r="G4962" s="79"/>
      <c r="J4962" s="99"/>
      <c r="K4962" s="4"/>
    </row>
    <row r="4963" spans="3:11" x14ac:dyDescent="0.25">
      <c r="C4963" s="79"/>
      <c r="D4963" s="248"/>
      <c r="E4963" s="248"/>
      <c r="F4963" s="47"/>
      <c r="G4963" s="79"/>
      <c r="J4963" s="99"/>
      <c r="K4963" s="4"/>
    </row>
    <row r="4964" spans="3:11" x14ac:dyDescent="0.25">
      <c r="C4964" s="79"/>
      <c r="D4964" s="248"/>
      <c r="E4964" s="248"/>
      <c r="F4964" s="47"/>
      <c r="G4964" s="79"/>
      <c r="J4964" s="99"/>
      <c r="K4964" s="4"/>
    </row>
    <row r="4965" spans="3:11" x14ac:dyDescent="0.25">
      <c r="C4965" s="79"/>
      <c r="D4965" s="248"/>
      <c r="E4965" s="248"/>
      <c r="F4965" s="47"/>
      <c r="G4965" s="79"/>
      <c r="J4965" s="99"/>
      <c r="K4965" s="4"/>
    </row>
    <row r="4966" spans="3:11" x14ac:dyDescent="0.25">
      <c r="C4966" s="79"/>
      <c r="D4966" s="248"/>
      <c r="E4966" s="248"/>
      <c r="F4966" s="47"/>
      <c r="G4966" s="79"/>
      <c r="J4966" s="99"/>
      <c r="K4966" s="4"/>
    </row>
    <row r="4967" spans="3:11" x14ac:dyDescent="0.25">
      <c r="C4967" s="79"/>
      <c r="D4967" s="248"/>
      <c r="E4967" s="248"/>
      <c r="F4967" s="47"/>
      <c r="G4967" s="79"/>
      <c r="J4967" s="99"/>
      <c r="K4967" s="4"/>
    </row>
    <row r="4968" spans="3:11" x14ac:dyDescent="0.25">
      <c r="C4968" s="79"/>
      <c r="D4968" s="248"/>
      <c r="E4968" s="248"/>
      <c r="F4968" s="47"/>
      <c r="G4968" s="79"/>
      <c r="J4968" s="99"/>
      <c r="K4968" s="4"/>
    </row>
    <row r="4969" spans="3:11" x14ac:dyDescent="0.25">
      <c r="C4969" s="79"/>
      <c r="D4969" s="248"/>
      <c r="E4969" s="248"/>
      <c r="F4969" s="47"/>
      <c r="G4969" s="79"/>
      <c r="J4969" s="99"/>
      <c r="K4969" s="4"/>
    </row>
    <row r="4970" spans="3:11" x14ac:dyDescent="0.25">
      <c r="C4970" s="79"/>
      <c r="D4970" s="248"/>
      <c r="E4970" s="248"/>
      <c r="F4970" s="47"/>
      <c r="G4970" s="79"/>
      <c r="J4970" s="99"/>
      <c r="K4970" s="4"/>
    </row>
    <row r="4971" spans="3:11" x14ac:dyDescent="0.25">
      <c r="C4971" s="79"/>
      <c r="D4971" s="248"/>
      <c r="E4971" s="248"/>
      <c r="F4971" s="47"/>
      <c r="G4971" s="79"/>
      <c r="J4971" s="99"/>
      <c r="K4971" s="4"/>
    </row>
    <row r="4972" spans="3:11" x14ac:dyDescent="0.25">
      <c r="C4972" s="79"/>
      <c r="D4972" s="248"/>
      <c r="E4972" s="248"/>
      <c r="F4972" s="47"/>
      <c r="G4972" s="79"/>
      <c r="J4972" s="99"/>
      <c r="K4972" s="4"/>
    </row>
    <row r="4973" spans="3:11" x14ac:dyDescent="0.25">
      <c r="C4973" s="79"/>
      <c r="D4973" s="248"/>
      <c r="E4973" s="248"/>
      <c r="F4973" s="47"/>
      <c r="G4973" s="79"/>
      <c r="J4973" s="99"/>
      <c r="K4973" s="4"/>
    </row>
    <row r="4974" spans="3:11" x14ac:dyDescent="0.25">
      <c r="C4974" s="79"/>
      <c r="D4974" s="248"/>
      <c r="E4974" s="248"/>
      <c r="F4974" s="47"/>
      <c r="G4974" s="79"/>
      <c r="J4974" s="99"/>
      <c r="K4974" s="4"/>
    </row>
    <row r="4975" spans="3:11" x14ac:dyDescent="0.25">
      <c r="C4975" s="79"/>
      <c r="D4975" s="248"/>
      <c r="E4975" s="248"/>
      <c r="F4975" s="47"/>
      <c r="G4975" s="79"/>
      <c r="J4975" s="99"/>
      <c r="K4975" s="4"/>
    </row>
    <row r="4976" spans="3:11" x14ac:dyDescent="0.25">
      <c r="C4976" s="79"/>
      <c r="D4976" s="248"/>
      <c r="E4976" s="248"/>
      <c r="F4976" s="47"/>
      <c r="G4976" s="79"/>
      <c r="J4976" s="99"/>
      <c r="K4976" s="4"/>
    </row>
    <row r="4977" spans="3:11" x14ac:dyDescent="0.25">
      <c r="C4977" s="79"/>
      <c r="D4977" s="248"/>
      <c r="E4977" s="248"/>
      <c r="F4977" s="47"/>
      <c r="G4977" s="79"/>
      <c r="J4977" s="99"/>
      <c r="K4977" s="4"/>
    </row>
    <row r="4978" spans="3:11" x14ac:dyDescent="0.25">
      <c r="C4978" s="79"/>
      <c r="D4978" s="248"/>
      <c r="E4978" s="248"/>
      <c r="F4978" s="47"/>
      <c r="G4978" s="79"/>
      <c r="J4978" s="99"/>
      <c r="K4978" s="4"/>
    </row>
    <row r="4979" spans="3:11" x14ac:dyDescent="0.25">
      <c r="C4979" s="79"/>
      <c r="D4979" s="248"/>
      <c r="E4979" s="248"/>
      <c r="F4979" s="47"/>
      <c r="G4979" s="79"/>
      <c r="J4979" s="99"/>
      <c r="K4979" s="4"/>
    </row>
    <row r="4980" spans="3:11" x14ac:dyDescent="0.25">
      <c r="C4980" s="79"/>
      <c r="D4980" s="248"/>
      <c r="E4980" s="248"/>
      <c r="F4980" s="47"/>
      <c r="G4980" s="79"/>
      <c r="J4980" s="99"/>
      <c r="K4980" s="4"/>
    </row>
    <row r="4981" spans="3:11" x14ac:dyDescent="0.25">
      <c r="C4981" s="79"/>
      <c r="D4981" s="248"/>
      <c r="E4981" s="248"/>
      <c r="F4981" s="47"/>
      <c r="G4981" s="79"/>
      <c r="J4981" s="99"/>
      <c r="K4981" s="4"/>
    </row>
    <row r="4982" spans="3:11" x14ac:dyDescent="0.25">
      <c r="C4982" s="79"/>
      <c r="D4982" s="248"/>
      <c r="E4982" s="248"/>
      <c r="F4982" s="47"/>
      <c r="G4982" s="79"/>
      <c r="J4982" s="99"/>
      <c r="K4982" s="4"/>
    </row>
    <row r="4983" spans="3:11" x14ac:dyDescent="0.25">
      <c r="C4983" s="79"/>
      <c r="D4983" s="248"/>
      <c r="E4983" s="248"/>
      <c r="F4983" s="47"/>
      <c r="G4983" s="79"/>
      <c r="J4983" s="99"/>
      <c r="K4983" s="4"/>
    </row>
    <row r="4984" spans="3:11" x14ac:dyDescent="0.25">
      <c r="C4984" s="79"/>
      <c r="D4984" s="248"/>
      <c r="E4984" s="248"/>
      <c r="F4984" s="47"/>
      <c r="G4984" s="79"/>
      <c r="J4984" s="99"/>
      <c r="K4984" s="4"/>
    </row>
    <row r="4985" spans="3:11" x14ac:dyDescent="0.25">
      <c r="C4985" s="79"/>
      <c r="D4985" s="248"/>
      <c r="E4985" s="248"/>
      <c r="F4985" s="47"/>
      <c r="G4985" s="79"/>
      <c r="J4985" s="99"/>
      <c r="K4985" s="4"/>
    </row>
    <row r="4986" spans="3:11" x14ac:dyDescent="0.25">
      <c r="C4986" s="79"/>
      <c r="D4986" s="248"/>
      <c r="E4986" s="248"/>
      <c r="F4986" s="47"/>
      <c r="G4986" s="79"/>
      <c r="J4986" s="99"/>
      <c r="K4986" s="4"/>
    </row>
    <row r="4987" spans="3:11" x14ac:dyDescent="0.25">
      <c r="C4987" s="79"/>
      <c r="D4987" s="248"/>
      <c r="E4987" s="248"/>
      <c r="F4987" s="47"/>
      <c r="G4987" s="79"/>
      <c r="J4987" s="99"/>
      <c r="K4987" s="4"/>
    </row>
    <row r="4988" spans="3:11" x14ac:dyDescent="0.25">
      <c r="C4988" s="79"/>
      <c r="D4988" s="248"/>
      <c r="E4988" s="248"/>
      <c r="F4988" s="47"/>
      <c r="G4988" s="79"/>
      <c r="J4988" s="99"/>
      <c r="K4988" s="4"/>
    </row>
    <row r="4989" spans="3:11" x14ac:dyDescent="0.25">
      <c r="C4989" s="79"/>
      <c r="D4989" s="248"/>
      <c r="E4989" s="248"/>
      <c r="F4989" s="47"/>
      <c r="G4989" s="79"/>
      <c r="J4989" s="99"/>
      <c r="K4989" s="4"/>
    </row>
    <row r="4990" spans="3:11" x14ac:dyDescent="0.25">
      <c r="C4990" s="79"/>
      <c r="D4990" s="248"/>
      <c r="E4990" s="248"/>
      <c r="F4990" s="47"/>
      <c r="G4990" s="79"/>
      <c r="J4990" s="99"/>
      <c r="K4990" s="4"/>
    </row>
    <row r="4991" spans="3:11" x14ac:dyDescent="0.25">
      <c r="C4991" s="79"/>
      <c r="D4991" s="248"/>
      <c r="E4991" s="248"/>
      <c r="F4991" s="47"/>
      <c r="G4991" s="79"/>
      <c r="J4991" s="99"/>
      <c r="K4991" s="4"/>
    </row>
    <row r="4992" spans="3:11" x14ac:dyDescent="0.25">
      <c r="C4992" s="79"/>
      <c r="D4992" s="248"/>
      <c r="E4992" s="248"/>
      <c r="F4992" s="47"/>
      <c r="G4992" s="79"/>
      <c r="J4992" s="99"/>
      <c r="K4992" s="4"/>
    </row>
    <row r="4993" spans="3:11" x14ac:dyDescent="0.25">
      <c r="C4993" s="79"/>
      <c r="D4993" s="248"/>
      <c r="E4993" s="248"/>
      <c r="F4993" s="47"/>
      <c r="G4993" s="79"/>
      <c r="J4993" s="99"/>
      <c r="K4993" s="4"/>
    </row>
    <row r="4994" spans="3:11" x14ac:dyDescent="0.25">
      <c r="C4994" s="79"/>
      <c r="D4994" s="248"/>
      <c r="E4994" s="248"/>
      <c r="F4994" s="47"/>
      <c r="G4994" s="79"/>
      <c r="J4994" s="99"/>
      <c r="K4994" s="4"/>
    </row>
    <row r="4995" spans="3:11" x14ac:dyDescent="0.25">
      <c r="C4995" s="79"/>
      <c r="D4995" s="248"/>
      <c r="E4995" s="248"/>
      <c r="F4995" s="47"/>
      <c r="G4995" s="79"/>
      <c r="J4995" s="99"/>
      <c r="K4995" s="4"/>
    </row>
    <row r="4996" spans="3:11" x14ac:dyDescent="0.25">
      <c r="C4996" s="79"/>
      <c r="D4996" s="248"/>
      <c r="E4996" s="248"/>
      <c r="F4996" s="47"/>
      <c r="G4996" s="79"/>
      <c r="J4996" s="99"/>
      <c r="K4996" s="4"/>
    </row>
    <row r="4997" spans="3:11" x14ac:dyDescent="0.25">
      <c r="C4997" s="79"/>
      <c r="D4997" s="248"/>
      <c r="E4997" s="248"/>
      <c r="F4997" s="47"/>
      <c r="G4997" s="79"/>
      <c r="J4997" s="99"/>
      <c r="K4997" s="4"/>
    </row>
    <row r="4998" spans="3:11" x14ac:dyDescent="0.25">
      <c r="C4998" s="79"/>
      <c r="D4998" s="248"/>
      <c r="E4998" s="248"/>
      <c r="F4998" s="47"/>
      <c r="G4998" s="79"/>
      <c r="J4998" s="99"/>
      <c r="K4998" s="4"/>
    </row>
    <row r="4999" spans="3:11" x14ac:dyDescent="0.25">
      <c r="C4999" s="79"/>
      <c r="D4999" s="248"/>
      <c r="E4999" s="248"/>
      <c r="F4999" s="47"/>
      <c r="G4999" s="79"/>
      <c r="J4999" s="99"/>
      <c r="K4999" s="4"/>
    </row>
    <row r="5000" spans="3:11" x14ac:dyDescent="0.25">
      <c r="C5000" s="79"/>
      <c r="D5000" s="248"/>
      <c r="E5000" s="248"/>
      <c r="F5000" s="47"/>
      <c r="G5000" s="79"/>
      <c r="J5000" s="99"/>
      <c r="K5000" s="4"/>
    </row>
    <row r="5001" spans="3:11" x14ac:dyDescent="0.25">
      <c r="C5001" s="79"/>
      <c r="D5001" s="248"/>
      <c r="E5001" s="248"/>
      <c r="F5001" s="47"/>
      <c r="G5001" s="79"/>
      <c r="J5001" s="99"/>
      <c r="K5001" s="4"/>
    </row>
    <row r="5002" spans="3:11" x14ac:dyDescent="0.25">
      <c r="C5002" s="79"/>
      <c r="D5002" s="248"/>
      <c r="E5002" s="248"/>
      <c r="F5002" s="47"/>
      <c r="G5002" s="79"/>
      <c r="J5002" s="99"/>
      <c r="K5002" s="4"/>
    </row>
    <row r="5003" spans="3:11" x14ac:dyDescent="0.25">
      <c r="C5003" s="79"/>
      <c r="D5003" s="248"/>
      <c r="E5003" s="248"/>
      <c r="F5003" s="47"/>
      <c r="G5003" s="79"/>
      <c r="J5003" s="99"/>
      <c r="K5003" s="4"/>
    </row>
    <row r="5004" spans="3:11" x14ac:dyDescent="0.25">
      <c r="C5004" s="79"/>
      <c r="D5004" s="248"/>
      <c r="E5004" s="248"/>
      <c r="F5004" s="47"/>
      <c r="G5004" s="79"/>
      <c r="J5004" s="99"/>
      <c r="K5004" s="4"/>
    </row>
    <row r="5005" spans="3:11" x14ac:dyDescent="0.25">
      <c r="C5005" s="79"/>
      <c r="D5005" s="248"/>
      <c r="E5005" s="248"/>
      <c r="F5005" s="47"/>
      <c r="G5005" s="79"/>
      <c r="J5005" s="99"/>
      <c r="K5005" s="4"/>
    </row>
    <row r="5006" spans="3:11" x14ac:dyDescent="0.25">
      <c r="C5006" s="79"/>
      <c r="D5006" s="248"/>
      <c r="E5006" s="248"/>
      <c r="F5006" s="47"/>
      <c r="G5006" s="79"/>
      <c r="J5006" s="99"/>
      <c r="K5006" s="4"/>
    </row>
    <row r="5007" spans="3:11" x14ac:dyDescent="0.25">
      <c r="C5007" s="79"/>
      <c r="D5007" s="248"/>
      <c r="E5007" s="248"/>
      <c r="F5007" s="47"/>
      <c r="G5007" s="79"/>
      <c r="J5007" s="99"/>
      <c r="K5007" s="4"/>
    </row>
    <row r="5008" spans="3:11" x14ac:dyDescent="0.25">
      <c r="C5008" s="79"/>
      <c r="D5008" s="248"/>
      <c r="E5008" s="248"/>
      <c r="F5008" s="47"/>
      <c r="G5008" s="79"/>
      <c r="J5008" s="99"/>
      <c r="K5008" s="4"/>
    </row>
    <row r="5009" spans="3:11" x14ac:dyDescent="0.25">
      <c r="C5009" s="79"/>
      <c r="D5009" s="248"/>
      <c r="E5009" s="248"/>
      <c r="F5009" s="47"/>
      <c r="G5009" s="79"/>
      <c r="J5009" s="99"/>
      <c r="K5009" s="4"/>
    </row>
    <row r="5010" spans="3:11" x14ac:dyDescent="0.25">
      <c r="C5010" s="79"/>
      <c r="D5010" s="248"/>
      <c r="E5010" s="248"/>
      <c r="F5010" s="47"/>
      <c r="G5010" s="79"/>
      <c r="J5010" s="99"/>
      <c r="K5010" s="4"/>
    </row>
    <row r="5011" spans="3:11" x14ac:dyDescent="0.25">
      <c r="C5011" s="79"/>
      <c r="D5011" s="248"/>
      <c r="E5011" s="248"/>
      <c r="F5011" s="47"/>
      <c r="G5011" s="79"/>
      <c r="J5011" s="99"/>
      <c r="K5011" s="4"/>
    </row>
    <row r="5012" spans="3:11" x14ac:dyDescent="0.25">
      <c r="C5012" s="79"/>
      <c r="D5012" s="248"/>
      <c r="E5012" s="248"/>
      <c r="F5012" s="47"/>
      <c r="G5012" s="79"/>
      <c r="J5012" s="99"/>
      <c r="K5012" s="4"/>
    </row>
    <row r="5013" spans="3:11" x14ac:dyDescent="0.25">
      <c r="C5013" s="79"/>
      <c r="D5013" s="248"/>
      <c r="E5013" s="248"/>
      <c r="F5013" s="47"/>
      <c r="G5013" s="79"/>
      <c r="J5013" s="99"/>
      <c r="K5013" s="4"/>
    </row>
    <row r="5014" spans="3:11" x14ac:dyDescent="0.25">
      <c r="C5014" s="79"/>
      <c r="D5014" s="248"/>
      <c r="E5014" s="248"/>
      <c r="F5014" s="47"/>
      <c r="G5014" s="79"/>
      <c r="J5014" s="99"/>
      <c r="K5014" s="4"/>
    </row>
    <row r="5015" spans="3:11" x14ac:dyDescent="0.25">
      <c r="C5015" s="79"/>
      <c r="D5015" s="248"/>
      <c r="E5015" s="248"/>
      <c r="F5015" s="47"/>
      <c r="G5015" s="79"/>
      <c r="J5015" s="99"/>
      <c r="K5015" s="4"/>
    </row>
    <row r="5016" spans="3:11" x14ac:dyDescent="0.25">
      <c r="C5016" s="79"/>
      <c r="D5016" s="248"/>
      <c r="E5016" s="248"/>
      <c r="F5016" s="47"/>
      <c r="G5016" s="79"/>
      <c r="J5016" s="99"/>
      <c r="K5016" s="4"/>
    </row>
    <row r="5017" spans="3:11" x14ac:dyDescent="0.25">
      <c r="C5017" s="79"/>
      <c r="D5017" s="248"/>
      <c r="E5017" s="248"/>
      <c r="F5017" s="47"/>
      <c r="G5017" s="79"/>
      <c r="J5017" s="99"/>
      <c r="K5017" s="4"/>
    </row>
    <row r="5018" spans="3:11" x14ac:dyDescent="0.25">
      <c r="C5018" s="79"/>
      <c r="D5018" s="248"/>
      <c r="E5018" s="248"/>
      <c r="F5018" s="47"/>
      <c r="G5018" s="79"/>
      <c r="J5018" s="99"/>
      <c r="K5018" s="4"/>
    </row>
    <row r="5019" spans="3:11" x14ac:dyDescent="0.25">
      <c r="C5019" s="79"/>
      <c r="D5019" s="248"/>
      <c r="E5019" s="248"/>
      <c r="F5019" s="47"/>
      <c r="G5019" s="79"/>
      <c r="J5019" s="99"/>
      <c r="K5019" s="4"/>
    </row>
    <row r="5020" spans="3:11" x14ac:dyDescent="0.25">
      <c r="C5020" s="79"/>
      <c r="D5020" s="248"/>
      <c r="E5020" s="248"/>
      <c r="F5020" s="47"/>
      <c r="G5020" s="79"/>
      <c r="J5020" s="99"/>
      <c r="K5020" s="4"/>
    </row>
    <row r="5021" spans="3:11" x14ac:dyDescent="0.25">
      <c r="C5021" s="79"/>
      <c r="D5021" s="248"/>
      <c r="E5021" s="248"/>
      <c r="F5021" s="47"/>
      <c r="G5021" s="79"/>
      <c r="J5021" s="99"/>
      <c r="K5021" s="4"/>
    </row>
    <row r="5022" spans="3:11" x14ac:dyDescent="0.25">
      <c r="C5022" s="79"/>
      <c r="D5022" s="248"/>
      <c r="E5022" s="248"/>
      <c r="F5022" s="47"/>
      <c r="G5022" s="79"/>
      <c r="J5022" s="99"/>
      <c r="K5022" s="4"/>
    </row>
    <row r="5023" spans="3:11" x14ac:dyDescent="0.25">
      <c r="C5023" s="79"/>
      <c r="D5023" s="248"/>
      <c r="E5023" s="248"/>
      <c r="F5023" s="47"/>
      <c r="G5023" s="79"/>
      <c r="J5023" s="99"/>
      <c r="K5023" s="4"/>
    </row>
    <row r="5024" spans="3:11" x14ac:dyDescent="0.25">
      <c r="C5024" s="79"/>
      <c r="D5024" s="248"/>
      <c r="E5024" s="248"/>
      <c r="F5024" s="47"/>
      <c r="G5024" s="79"/>
      <c r="J5024" s="99"/>
      <c r="K5024" s="4"/>
    </row>
    <row r="5025" spans="3:11" x14ac:dyDescent="0.25">
      <c r="C5025" s="79"/>
      <c r="D5025" s="248"/>
      <c r="E5025" s="248"/>
      <c r="F5025" s="47"/>
      <c r="G5025" s="79"/>
      <c r="J5025" s="99"/>
      <c r="K5025" s="4"/>
    </row>
    <row r="5026" spans="3:11" x14ac:dyDescent="0.25">
      <c r="C5026" s="79"/>
      <c r="D5026" s="248"/>
      <c r="E5026" s="248"/>
      <c r="F5026" s="47"/>
      <c r="G5026" s="79"/>
      <c r="J5026" s="99"/>
      <c r="K5026" s="4"/>
    </row>
    <row r="5027" spans="3:11" x14ac:dyDescent="0.25">
      <c r="C5027" s="79"/>
      <c r="D5027" s="248"/>
      <c r="E5027" s="248"/>
      <c r="F5027" s="47"/>
      <c r="G5027" s="79"/>
      <c r="J5027" s="99"/>
      <c r="K5027" s="4"/>
    </row>
    <row r="5028" spans="3:11" x14ac:dyDescent="0.25">
      <c r="C5028" s="79"/>
      <c r="D5028" s="248"/>
      <c r="E5028" s="248"/>
      <c r="F5028" s="47"/>
      <c r="G5028" s="79"/>
      <c r="J5028" s="99"/>
      <c r="K5028" s="4"/>
    </row>
    <row r="5029" spans="3:11" x14ac:dyDescent="0.25">
      <c r="C5029" s="79"/>
      <c r="D5029" s="248"/>
      <c r="E5029" s="248"/>
      <c r="F5029" s="47"/>
      <c r="G5029" s="79"/>
      <c r="J5029" s="99"/>
      <c r="K5029" s="4"/>
    </row>
    <row r="5030" spans="3:11" x14ac:dyDescent="0.25">
      <c r="C5030" s="79"/>
      <c r="D5030" s="248"/>
      <c r="E5030" s="248"/>
      <c r="F5030" s="47"/>
      <c r="G5030" s="79"/>
      <c r="J5030" s="99"/>
      <c r="K5030" s="4"/>
    </row>
    <row r="5031" spans="3:11" x14ac:dyDescent="0.25">
      <c r="C5031" s="79"/>
      <c r="D5031" s="248"/>
      <c r="E5031" s="248"/>
      <c r="F5031" s="47"/>
      <c r="G5031" s="79"/>
      <c r="J5031" s="99"/>
      <c r="K5031" s="4"/>
    </row>
    <row r="5032" spans="3:11" x14ac:dyDescent="0.25">
      <c r="C5032" s="79"/>
      <c r="D5032" s="248"/>
      <c r="E5032" s="248"/>
      <c r="F5032" s="47"/>
      <c r="G5032" s="79"/>
      <c r="J5032" s="99"/>
      <c r="K5032" s="4"/>
    </row>
    <row r="5033" spans="3:11" x14ac:dyDescent="0.25">
      <c r="C5033" s="79"/>
      <c r="D5033" s="248"/>
      <c r="E5033" s="248"/>
      <c r="F5033" s="47"/>
      <c r="G5033" s="79"/>
      <c r="J5033" s="99"/>
      <c r="K5033" s="4"/>
    </row>
    <row r="5034" spans="3:11" x14ac:dyDescent="0.25">
      <c r="C5034" s="79"/>
      <c r="D5034" s="248"/>
      <c r="E5034" s="248"/>
      <c r="F5034" s="47"/>
      <c r="G5034" s="79"/>
      <c r="J5034" s="99"/>
      <c r="K5034" s="4"/>
    </row>
    <row r="5035" spans="3:11" x14ac:dyDescent="0.25">
      <c r="C5035" s="79"/>
      <c r="D5035" s="248"/>
      <c r="E5035" s="248"/>
      <c r="F5035" s="47"/>
      <c r="G5035" s="79"/>
      <c r="J5035" s="99"/>
      <c r="K5035" s="4"/>
    </row>
    <row r="5036" spans="3:11" x14ac:dyDescent="0.25">
      <c r="C5036" s="79"/>
      <c r="D5036" s="248"/>
      <c r="E5036" s="248"/>
      <c r="F5036" s="47"/>
      <c r="G5036" s="79"/>
      <c r="J5036" s="99"/>
      <c r="K5036" s="4"/>
    </row>
    <row r="5037" spans="3:11" x14ac:dyDescent="0.25">
      <c r="C5037" s="79"/>
      <c r="D5037" s="248"/>
      <c r="E5037" s="248"/>
      <c r="F5037" s="47"/>
      <c r="G5037" s="79"/>
      <c r="J5037" s="99"/>
      <c r="K503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0"/>
  <dimension ref="A1:E24"/>
  <sheetViews>
    <sheetView showGridLines="0" zoomScale="80" zoomScaleNormal="80" workbookViewId="0">
      <selection activeCell="G5" sqref="G5"/>
    </sheetView>
  </sheetViews>
  <sheetFormatPr defaultRowHeight="15" x14ac:dyDescent="0.25"/>
  <cols>
    <col min="1" max="1" width="43.42578125" bestFit="1" customWidth="1"/>
    <col min="2" max="2" width="9.28515625" bestFit="1" customWidth="1"/>
    <col min="3" max="3" width="9.5703125" bestFit="1" customWidth="1"/>
    <col min="4" max="4" width="9.28515625" bestFit="1" customWidth="1"/>
    <col min="5" max="5" width="101" bestFit="1" customWidth="1"/>
  </cols>
  <sheetData>
    <row r="1" spans="1:5" x14ac:dyDescent="0.25">
      <c r="A1" s="504">
        <v>46054</v>
      </c>
      <c r="B1" s="505"/>
      <c r="C1" s="505"/>
      <c r="D1" s="505"/>
      <c r="E1" s="505"/>
    </row>
    <row r="2" spans="1:5" x14ac:dyDescent="0.25">
      <c r="A2" s="153" t="s">
        <v>478</v>
      </c>
      <c r="B2" s="154" t="s">
        <v>5</v>
      </c>
      <c r="C2" s="154" t="s">
        <v>6</v>
      </c>
      <c r="D2" s="154" t="s">
        <v>479</v>
      </c>
      <c r="E2" s="153" t="s">
        <v>480</v>
      </c>
    </row>
    <row r="3" spans="1:5" x14ac:dyDescent="0.25">
      <c r="A3" s="155" t="s">
        <v>142</v>
      </c>
      <c r="B3" s="156">
        <v>866571</v>
      </c>
      <c r="C3" s="156">
        <v>799342</v>
      </c>
      <c r="D3" s="156">
        <v>67229</v>
      </c>
      <c r="E3" s="394" t="s">
        <v>481</v>
      </c>
    </row>
    <row r="4" spans="1:5" x14ac:dyDescent="0.25">
      <c r="A4" s="155" t="s">
        <v>482</v>
      </c>
      <c r="B4" s="156">
        <v>884755</v>
      </c>
      <c r="C4" s="156">
        <v>370602</v>
      </c>
      <c r="D4" s="156">
        <v>514153</v>
      </c>
      <c r="E4" s="394"/>
    </row>
    <row r="5" spans="1:5" x14ac:dyDescent="0.25">
      <c r="A5" s="159" t="s">
        <v>483</v>
      </c>
      <c r="B5" s="199">
        <v>544992</v>
      </c>
      <c r="C5" s="199">
        <v>132032</v>
      </c>
      <c r="D5" s="199">
        <v>412960</v>
      </c>
      <c r="E5" s="395" t="s">
        <v>484</v>
      </c>
    </row>
    <row r="6" spans="1:5" x14ac:dyDescent="0.25">
      <c r="A6" s="159" t="s">
        <v>485</v>
      </c>
      <c r="B6" s="199">
        <v>276147</v>
      </c>
      <c r="C6" s="199">
        <v>198049</v>
      </c>
      <c r="D6" s="199">
        <v>78098</v>
      </c>
      <c r="E6" s="395" t="s">
        <v>484</v>
      </c>
    </row>
    <row r="7" spans="1:5" x14ac:dyDescent="0.25">
      <c r="A7" s="159" t="s">
        <v>486</v>
      </c>
      <c r="B7" s="199">
        <v>30000</v>
      </c>
      <c r="C7" s="199">
        <v>0</v>
      </c>
      <c r="D7" s="199">
        <v>30000</v>
      </c>
      <c r="E7" s="395" t="s">
        <v>487</v>
      </c>
    </row>
    <row r="8" spans="1:5" x14ac:dyDescent="0.25">
      <c r="A8" s="155" t="s">
        <v>488</v>
      </c>
      <c r="B8" s="156">
        <v>3353423</v>
      </c>
      <c r="C8" s="156">
        <v>3125180</v>
      </c>
      <c r="D8" s="156">
        <v>228243</v>
      </c>
      <c r="E8" s="394" t="s">
        <v>489</v>
      </c>
    </row>
    <row r="9" spans="1:5" x14ac:dyDescent="0.25">
      <c r="A9" s="159" t="s">
        <v>490</v>
      </c>
      <c r="B9" s="157">
        <v>248275</v>
      </c>
      <c r="C9" s="157">
        <v>0</v>
      </c>
      <c r="D9" s="199">
        <v>248275</v>
      </c>
      <c r="E9" s="396"/>
    </row>
    <row r="10" spans="1:5" x14ac:dyDescent="0.25">
      <c r="A10" s="155" t="s">
        <v>210</v>
      </c>
      <c r="B10" s="156">
        <v>262766</v>
      </c>
      <c r="C10" s="156">
        <v>320870</v>
      </c>
      <c r="D10" s="156">
        <v>-58104</v>
      </c>
      <c r="E10" s="397"/>
    </row>
    <row r="11" spans="1:5" x14ac:dyDescent="0.25">
      <c r="A11" s="159" t="s">
        <v>491</v>
      </c>
      <c r="B11" s="157">
        <v>36606</v>
      </c>
      <c r="C11" s="157">
        <v>47585</v>
      </c>
      <c r="D11" s="198">
        <v>-10979</v>
      </c>
      <c r="E11" s="395" t="s">
        <v>492</v>
      </c>
    </row>
    <row r="12" spans="1:5" x14ac:dyDescent="0.25">
      <c r="A12" s="159" t="s">
        <v>493</v>
      </c>
      <c r="B12" s="157">
        <v>17836</v>
      </c>
      <c r="C12" s="157">
        <v>25333</v>
      </c>
      <c r="D12" s="198">
        <v>-7497</v>
      </c>
      <c r="E12" s="395" t="s">
        <v>492</v>
      </c>
    </row>
    <row r="13" spans="1:5" x14ac:dyDescent="0.25">
      <c r="A13" s="159" t="s">
        <v>494</v>
      </c>
      <c r="B13" s="157">
        <v>0</v>
      </c>
      <c r="C13" s="157">
        <v>24000</v>
      </c>
      <c r="D13" s="198">
        <v>-24000</v>
      </c>
      <c r="E13" s="395" t="s">
        <v>495</v>
      </c>
    </row>
    <row r="14" spans="1:5" x14ac:dyDescent="0.25">
      <c r="A14" s="159" t="s">
        <v>496</v>
      </c>
      <c r="B14" s="157">
        <v>0</v>
      </c>
      <c r="C14" s="157">
        <v>16662</v>
      </c>
      <c r="D14" s="198">
        <v>-16662</v>
      </c>
      <c r="E14" s="395" t="s">
        <v>497</v>
      </c>
    </row>
    <row r="15" spans="1:5" x14ac:dyDescent="0.25">
      <c r="A15" s="155" t="s">
        <v>498</v>
      </c>
      <c r="B15" s="156">
        <v>789255</v>
      </c>
      <c r="C15" s="156">
        <v>985199</v>
      </c>
      <c r="D15" s="156">
        <v>-195944</v>
      </c>
      <c r="E15" s="158"/>
    </row>
    <row r="16" spans="1:5" x14ac:dyDescent="0.25">
      <c r="A16" s="159" t="s">
        <v>499</v>
      </c>
      <c r="B16" s="196">
        <v>23250</v>
      </c>
      <c r="C16" s="197">
        <v>53602</v>
      </c>
      <c r="D16" s="198">
        <v>-30352</v>
      </c>
      <c r="E16" s="268" t="s">
        <v>500</v>
      </c>
    </row>
    <row r="17" spans="1:5" x14ac:dyDescent="0.25">
      <c r="A17" s="159" t="s">
        <v>501</v>
      </c>
      <c r="B17" s="196">
        <v>49637</v>
      </c>
      <c r="C17" s="197">
        <v>77504</v>
      </c>
      <c r="D17" s="198">
        <v>-27867</v>
      </c>
      <c r="E17" s="268" t="s">
        <v>502</v>
      </c>
    </row>
    <row r="18" spans="1:5" x14ac:dyDescent="0.25">
      <c r="A18" s="159" t="s">
        <v>503</v>
      </c>
      <c r="B18" s="196">
        <v>34826</v>
      </c>
      <c r="C18" s="197">
        <v>123188</v>
      </c>
      <c r="D18" s="198">
        <v>-88362</v>
      </c>
      <c r="E18" s="268" t="s">
        <v>504</v>
      </c>
    </row>
    <row r="19" spans="1:5" ht="30" x14ac:dyDescent="0.25">
      <c r="A19" s="159" t="s">
        <v>505</v>
      </c>
      <c r="B19" s="196">
        <v>0</v>
      </c>
      <c r="C19" s="197">
        <v>45636</v>
      </c>
      <c r="D19" s="198">
        <v>-45636</v>
      </c>
      <c r="E19" s="268" t="s">
        <v>506</v>
      </c>
    </row>
    <row r="20" spans="1:5" x14ac:dyDescent="0.25">
      <c r="A20" s="155" t="s">
        <v>507</v>
      </c>
      <c r="B20" s="156">
        <v>1028966</v>
      </c>
      <c r="C20" s="156">
        <v>1007667</v>
      </c>
      <c r="D20" s="156">
        <v>21299</v>
      </c>
      <c r="E20" s="158"/>
    </row>
    <row r="21" spans="1:5" x14ac:dyDescent="0.25">
      <c r="A21" s="159" t="s">
        <v>508</v>
      </c>
      <c r="B21" s="196">
        <v>48644</v>
      </c>
      <c r="C21" s="197">
        <v>26472</v>
      </c>
      <c r="D21" s="198">
        <v>22172</v>
      </c>
      <c r="E21" s="267" t="s">
        <v>509</v>
      </c>
    </row>
    <row r="22" spans="1:5" x14ac:dyDescent="0.25">
      <c r="A22" s="155" t="s">
        <v>510</v>
      </c>
      <c r="B22" s="156">
        <v>7185736</v>
      </c>
      <c r="C22" s="156">
        <v>6608860</v>
      </c>
      <c r="D22" s="156">
        <v>576876</v>
      </c>
      <c r="E22" s="158"/>
    </row>
    <row r="24" spans="1:5" x14ac:dyDescent="0.25">
      <c r="A24" s="155" t="s">
        <v>511</v>
      </c>
      <c r="B24" s="156">
        <v>6319165</v>
      </c>
      <c r="C24" s="156">
        <v>5809518</v>
      </c>
      <c r="D24" s="156">
        <v>509647</v>
      </c>
      <c r="E24" s="158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3"/>
  <dimension ref="B1:T67"/>
  <sheetViews>
    <sheetView showGridLines="0" workbookViewId="0">
      <selection activeCell="K2" activeCellId="1" sqref="K24 K2"/>
    </sheetView>
  </sheetViews>
  <sheetFormatPr defaultRowHeight="15" x14ac:dyDescent="0.25"/>
  <cols>
    <col min="1" max="1" width="3.7109375" customWidth="1"/>
    <col min="2" max="2" width="34.140625" bestFit="1" customWidth="1"/>
    <col min="3" max="3" width="6.5703125" hidden="1" customWidth="1"/>
    <col min="4" max="11" width="13.5703125" bestFit="1" customWidth="1"/>
    <col min="12" max="12" width="13.5703125" customWidth="1"/>
    <col min="13" max="13" width="11.28515625" bestFit="1" customWidth="1"/>
    <col min="14" max="19" width="11.5703125" bestFit="1" customWidth="1"/>
  </cols>
  <sheetData>
    <row r="1" spans="2:19" ht="15" customHeight="1" x14ac:dyDescent="0.3">
      <c r="B1" s="148" t="s">
        <v>512</v>
      </c>
    </row>
    <row r="2" spans="2:19" x14ac:dyDescent="0.25">
      <c r="B2" s="107">
        <f>SUM(D2:K2)</f>
        <v>240</v>
      </c>
      <c r="D2" s="107">
        <v>30</v>
      </c>
      <c r="E2" s="107">
        <v>27</v>
      </c>
      <c r="F2" s="107">
        <v>33</v>
      </c>
      <c r="G2" s="107">
        <v>29</v>
      </c>
      <c r="H2" s="107">
        <v>31</v>
      </c>
      <c r="I2" s="107">
        <v>29</v>
      </c>
      <c r="J2" s="107">
        <v>31</v>
      </c>
      <c r="K2" s="107">
        <v>30</v>
      </c>
      <c r="L2" s="107"/>
    </row>
    <row r="3" spans="2:19" x14ac:dyDescent="0.25">
      <c r="B3" s="135" t="s">
        <v>5</v>
      </c>
      <c r="C3" s="135"/>
      <c r="D3" s="138">
        <f>'Orçado '!AB2</f>
        <v>45688</v>
      </c>
      <c r="E3" s="138">
        <f>'Orçado '!AC2</f>
        <v>45716</v>
      </c>
      <c r="F3" s="138">
        <f>'Orçado '!AD2</f>
        <v>45747</v>
      </c>
      <c r="G3" s="138">
        <f>'Orçado '!AE2</f>
        <v>45777</v>
      </c>
      <c r="H3" s="138">
        <f>'Orçado '!AF2</f>
        <v>45808</v>
      </c>
      <c r="I3" s="138">
        <f>'Orçado '!AG2</f>
        <v>45838</v>
      </c>
      <c r="J3" s="138">
        <f>'Orçado '!AH2</f>
        <v>45869</v>
      </c>
      <c r="K3" s="138">
        <f>'Orçado '!AI2</f>
        <v>45900</v>
      </c>
      <c r="L3" s="170"/>
    </row>
    <row r="4" spans="2:19" x14ac:dyDescent="0.25">
      <c r="B4" s="12" t="s">
        <v>10</v>
      </c>
      <c r="C4" s="12"/>
      <c r="D4" s="139">
        <f t="shared" ref="D4:K4" si="0">SUM(D5:D8)</f>
        <v>0</v>
      </c>
      <c r="E4" s="139">
        <f t="shared" si="0"/>
        <v>0</v>
      </c>
      <c r="F4" s="139">
        <f t="shared" si="0"/>
        <v>0</v>
      </c>
      <c r="G4" s="139">
        <f t="shared" si="0"/>
        <v>0</v>
      </c>
      <c r="H4" s="139">
        <f t="shared" si="0"/>
        <v>0</v>
      </c>
      <c r="I4" s="139">
        <f t="shared" si="0"/>
        <v>0</v>
      </c>
      <c r="J4" s="139">
        <f t="shared" si="0"/>
        <v>0</v>
      </c>
      <c r="K4" s="139">
        <f t="shared" si="0"/>
        <v>0</v>
      </c>
      <c r="L4" s="139"/>
      <c r="N4" s="55">
        <f t="shared" ref="N4:N15" si="1">D4</f>
        <v>0</v>
      </c>
      <c r="O4" s="55">
        <f t="shared" ref="O4:O15" si="2">E4+D4</f>
        <v>0</v>
      </c>
      <c r="P4" s="55">
        <f t="shared" ref="P4:P15" si="3">O4+F4</f>
        <v>0</v>
      </c>
      <c r="Q4" s="55">
        <f t="shared" ref="Q4:Q15" si="4">P4+G4</f>
        <v>0</v>
      </c>
      <c r="R4" s="55">
        <f t="shared" ref="R4:R15" si="5">Q4+H4</f>
        <v>0</v>
      </c>
      <c r="S4" s="55">
        <f t="shared" ref="S4:S15" si="6">R4+I4</f>
        <v>0</v>
      </c>
    </row>
    <row r="5" spans="2:19" x14ac:dyDescent="0.25">
      <c r="B5" s="77" t="s">
        <v>11</v>
      </c>
      <c r="C5" s="77"/>
      <c r="D5" s="51">
        <f>Realizado!AB41+Realizado!AB83</f>
        <v>0</v>
      </c>
      <c r="E5" s="51">
        <f>Realizado!AC41+Realizado!AC83</f>
        <v>0</v>
      </c>
      <c r="F5" s="51">
        <f>Realizado!AD41+Realizado!AD83</f>
        <v>0</v>
      </c>
      <c r="G5" s="51">
        <f>Realizado!AE41+Realizado!AE83</f>
        <v>0</v>
      </c>
      <c r="H5" s="51">
        <f>Realizado!AF41+Realizado!AF83</f>
        <v>0</v>
      </c>
      <c r="I5" s="51">
        <f>Realizado!AG41+Realizado!AG83</f>
        <v>0</v>
      </c>
      <c r="J5" s="51">
        <f>Realizado!AH41+Realizado!AH83</f>
        <v>0</v>
      </c>
      <c r="K5" s="51">
        <f>Realizado!AI41+Realizado!AI83</f>
        <v>0</v>
      </c>
      <c r="L5" s="51"/>
      <c r="M5" s="55"/>
      <c r="N5" s="55">
        <f t="shared" si="1"/>
        <v>0</v>
      </c>
      <c r="O5" s="55">
        <f t="shared" si="2"/>
        <v>0</v>
      </c>
      <c r="P5" s="55">
        <f t="shared" si="3"/>
        <v>0</v>
      </c>
      <c r="Q5" s="55">
        <f t="shared" si="4"/>
        <v>0</v>
      </c>
      <c r="R5" s="55">
        <f t="shared" si="5"/>
        <v>0</v>
      </c>
      <c r="S5" s="55">
        <f t="shared" si="6"/>
        <v>0</v>
      </c>
    </row>
    <row r="6" spans="2:19" x14ac:dyDescent="0.25">
      <c r="B6" s="77" t="s">
        <v>12</v>
      </c>
      <c r="C6" s="77"/>
      <c r="D6" s="51">
        <f>Realizado!AB43+Realizado!AB85</f>
        <v>0</v>
      </c>
      <c r="E6" s="51">
        <f>Realizado!AC43+Realizado!AC85</f>
        <v>0</v>
      </c>
      <c r="F6" s="51">
        <f>Realizado!AD43+Realizado!AD85</f>
        <v>0</v>
      </c>
      <c r="G6" s="51">
        <f>Realizado!AE43+Realizado!AE85</f>
        <v>0</v>
      </c>
      <c r="H6" s="51">
        <f>Realizado!AF43+Realizado!AF85</f>
        <v>0</v>
      </c>
      <c r="I6" s="51">
        <f>Realizado!AG43+Realizado!AG85</f>
        <v>0</v>
      </c>
      <c r="J6" s="51">
        <f>Realizado!AH43+Realizado!AH85</f>
        <v>0</v>
      </c>
      <c r="K6" s="51">
        <f>Realizado!AI43+Realizado!AI85</f>
        <v>0</v>
      </c>
      <c r="L6" s="51"/>
      <c r="M6" s="55"/>
      <c r="N6" s="55">
        <f t="shared" si="1"/>
        <v>0</v>
      </c>
      <c r="O6" s="55">
        <f t="shared" si="2"/>
        <v>0</v>
      </c>
      <c r="P6" s="55">
        <f t="shared" si="3"/>
        <v>0</v>
      </c>
      <c r="Q6" s="55">
        <f t="shared" si="4"/>
        <v>0</v>
      </c>
      <c r="R6" s="55">
        <f t="shared" si="5"/>
        <v>0</v>
      </c>
      <c r="S6" s="55">
        <f t="shared" si="6"/>
        <v>0</v>
      </c>
    </row>
    <row r="7" spans="2:19" x14ac:dyDescent="0.25">
      <c r="B7" s="77" t="s">
        <v>13</v>
      </c>
      <c r="C7" s="77"/>
      <c r="D7" s="51">
        <f>Realizado!AB44+Realizado!AB86</f>
        <v>0</v>
      </c>
      <c r="E7" s="51">
        <f>Realizado!AC44+Realizado!AC86</f>
        <v>0</v>
      </c>
      <c r="F7" s="51">
        <f>Realizado!AD44+Realizado!AD86</f>
        <v>0</v>
      </c>
      <c r="G7" s="51">
        <f>Realizado!AE44+Realizado!AE86</f>
        <v>0</v>
      </c>
      <c r="H7" s="51">
        <f>Realizado!AF44+Realizado!AF86</f>
        <v>0</v>
      </c>
      <c r="I7" s="51">
        <f>Realizado!AG44+Realizado!AG86</f>
        <v>0</v>
      </c>
      <c r="J7" s="51">
        <f>Realizado!AH44+Realizado!AH86</f>
        <v>0</v>
      </c>
      <c r="K7" s="51">
        <f>Realizado!AI44+Realizado!AI86</f>
        <v>0</v>
      </c>
      <c r="L7" s="51"/>
      <c r="M7" s="55"/>
      <c r="N7" s="55">
        <f t="shared" si="1"/>
        <v>0</v>
      </c>
      <c r="O7" s="55">
        <f t="shared" si="2"/>
        <v>0</v>
      </c>
      <c r="P7" s="55">
        <f t="shared" si="3"/>
        <v>0</v>
      </c>
      <c r="Q7" s="55">
        <f t="shared" si="4"/>
        <v>0</v>
      </c>
      <c r="R7" s="55">
        <f t="shared" si="5"/>
        <v>0</v>
      </c>
      <c r="S7" s="55">
        <f t="shared" si="6"/>
        <v>0</v>
      </c>
    </row>
    <row r="8" spans="2:19" x14ac:dyDescent="0.25">
      <c r="B8" s="77" t="s">
        <v>14</v>
      </c>
      <c r="C8" s="77"/>
      <c r="D8" s="51">
        <f>Realizado!AB45+Realizado!AB87</f>
        <v>0</v>
      </c>
      <c r="E8" s="51">
        <f>Realizado!AC45+Realizado!AC87</f>
        <v>0</v>
      </c>
      <c r="F8" s="51">
        <f>Realizado!AD45+Realizado!AD87</f>
        <v>0</v>
      </c>
      <c r="G8" s="51">
        <f>Realizado!AE45+Realizado!AE87</f>
        <v>0</v>
      </c>
      <c r="H8" s="51">
        <f>Realizado!AF45+Realizado!AF87</f>
        <v>0</v>
      </c>
      <c r="I8" s="51">
        <f>Realizado!AG45+Realizado!AG87</f>
        <v>0</v>
      </c>
      <c r="J8" s="51">
        <f>Realizado!AH45+Realizado!AH87</f>
        <v>0</v>
      </c>
      <c r="K8" s="51">
        <f>Realizado!AI45+Realizado!AI87</f>
        <v>0</v>
      </c>
      <c r="L8" s="51"/>
      <c r="M8" s="55"/>
      <c r="N8" s="55">
        <f t="shared" si="1"/>
        <v>0</v>
      </c>
      <c r="O8" s="55">
        <f t="shared" si="2"/>
        <v>0</v>
      </c>
      <c r="P8" s="55">
        <f t="shared" si="3"/>
        <v>0</v>
      </c>
      <c r="Q8" s="55">
        <f t="shared" si="4"/>
        <v>0</v>
      </c>
      <c r="R8" s="55">
        <f t="shared" si="5"/>
        <v>0</v>
      </c>
      <c r="S8" s="55">
        <f t="shared" si="6"/>
        <v>0</v>
      </c>
    </row>
    <row r="9" spans="2:19" x14ac:dyDescent="0.25">
      <c r="B9" s="28" t="s">
        <v>209</v>
      </c>
      <c r="C9" s="28"/>
      <c r="D9" s="139" t="e">
        <f t="shared" ref="D9:K9" si="7">SUM(D10:D14)</f>
        <v>#REF!</v>
      </c>
      <c r="E9" s="139" t="e">
        <f t="shared" si="7"/>
        <v>#REF!</v>
      </c>
      <c r="F9" s="139" t="e">
        <f t="shared" si="7"/>
        <v>#REF!</v>
      </c>
      <c r="G9" s="139" t="e">
        <f t="shared" si="7"/>
        <v>#REF!</v>
      </c>
      <c r="H9" s="139" t="e">
        <f t="shared" si="7"/>
        <v>#REF!</v>
      </c>
      <c r="I9" s="139" t="e">
        <f t="shared" si="7"/>
        <v>#REF!</v>
      </c>
      <c r="J9" s="139" t="e">
        <f t="shared" si="7"/>
        <v>#REF!</v>
      </c>
      <c r="K9" s="139" t="e">
        <f t="shared" si="7"/>
        <v>#REF!</v>
      </c>
      <c r="L9" s="139"/>
      <c r="M9" s="55"/>
      <c r="N9" s="55" t="e">
        <f t="shared" si="1"/>
        <v>#REF!</v>
      </c>
      <c r="O9" s="55" t="e">
        <f t="shared" si="2"/>
        <v>#REF!</v>
      </c>
      <c r="P9" s="55" t="e">
        <f t="shared" si="3"/>
        <v>#REF!</v>
      </c>
      <c r="Q9" s="55" t="e">
        <f t="shared" si="4"/>
        <v>#REF!</v>
      </c>
      <c r="R9" s="55" t="e">
        <f t="shared" si="5"/>
        <v>#REF!</v>
      </c>
      <c r="S9" s="55" t="e">
        <f t="shared" si="6"/>
        <v>#REF!</v>
      </c>
    </row>
    <row r="10" spans="2:19" ht="15" customHeight="1" x14ac:dyDescent="0.3">
      <c r="B10" s="108" t="s">
        <v>262</v>
      </c>
      <c r="C10" s="108"/>
      <c r="D10" s="51">
        <f>Realizado!AB142</f>
        <v>0</v>
      </c>
      <c r="E10" s="51">
        <f>Realizado!AC142</f>
        <v>0</v>
      </c>
      <c r="F10" s="51">
        <f>Realizado!AD142</f>
        <v>0</v>
      </c>
      <c r="G10" s="51">
        <f>Realizado!AE142</f>
        <v>0</v>
      </c>
      <c r="H10" s="51">
        <f>Realizado!AF142</f>
        <v>0</v>
      </c>
      <c r="I10" s="51">
        <f>Realizado!AG142</f>
        <v>0</v>
      </c>
      <c r="J10" s="51">
        <f>Realizado!AH142</f>
        <v>0</v>
      </c>
      <c r="K10" s="51">
        <f>Realizado!AI142</f>
        <v>0</v>
      </c>
      <c r="L10" s="51"/>
      <c r="M10" s="55"/>
      <c r="N10" s="55">
        <f t="shared" si="1"/>
        <v>0</v>
      </c>
      <c r="O10" s="55">
        <f t="shared" si="2"/>
        <v>0</v>
      </c>
      <c r="P10" s="55">
        <f t="shared" si="3"/>
        <v>0</v>
      </c>
      <c r="Q10" s="55">
        <f t="shared" si="4"/>
        <v>0</v>
      </c>
      <c r="R10" s="55">
        <f t="shared" si="5"/>
        <v>0</v>
      </c>
      <c r="S10" s="55">
        <f t="shared" si="6"/>
        <v>0</v>
      </c>
    </row>
    <row r="11" spans="2:19" ht="15" customHeight="1" x14ac:dyDescent="0.3">
      <c r="B11" s="108" t="s">
        <v>263</v>
      </c>
      <c r="C11" s="108"/>
      <c r="D11" s="51">
        <f>Realizado!AB143</f>
        <v>0</v>
      </c>
      <c r="E11" s="51">
        <f>Realizado!AC143</f>
        <v>0</v>
      </c>
      <c r="F11" s="51">
        <f>Realizado!AD143</f>
        <v>0</v>
      </c>
      <c r="G11" s="51">
        <f>Realizado!AE143</f>
        <v>0</v>
      </c>
      <c r="H11" s="51">
        <f>Realizado!AF143</f>
        <v>0</v>
      </c>
      <c r="I11" s="51">
        <f>Realizado!AG143</f>
        <v>0</v>
      </c>
      <c r="J11" s="51">
        <f>Realizado!AH143</f>
        <v>0</v>
      </c>
      <c r="K11" s="51">
        <f>Realizado!AI143</f>
        <v>0</v>
      </c>
      <c r="L11" s="51"/>
      <c r="M11" s="55"/>
      <c r="N11" s="55">
        <f t="shared" si="1"/>
        <v>0</v>
      </c>
      <c r="O11" s="55">
        <f t="shared" si="2"/>
        <v>0</v>
      </c>
      <c r="P11" s="55">
        <f t="shared" si="3"/>
        <v>0</v>
      </c>
      <c r="Q11" s="55">
        <f t="shared" si="4"/>
        <v>0</v>
      </c>
      <c r="R11" s="55">
        <f t="shared" si="5"/>
        <v>0</v>
      </c>
      <c r="S11" s="55">
        <f t="shared" si="6"/>
        <v>0</v>
      </c>
    </row>
    <row r="12" spans="2:19" ht="15" customHeight="1" x14ac:dyDescent="0.3">
      <c r="B12" s="108" t="s">
        <v>264</v>
      </c>
      <c r="C12" s="108"/>
      <c r="D12" s="51" t="e">
        <f>Realizado!#REF!</f>
        <v>#REF!</v>
      </c>
      <c r="E12" s="51" t="e">
        <f>Realizado!#REF!</f>
        <v>#REF!</v>
      </c>
      <c r="F12" s="51" t="e">
        <f>Realizado!#REF!</f>
        <v>#REF!</v>
      </c>
      <c r="G12" s="51" t="e">
        <f>Realizado!#REF!</f>
        <v>#REF!</v>
      </c>
      <c r="H12" s="51" t="e">
        <f>Realizado!#REF!</f>
        <v>#REF!</v>
      </c>
      <c r="I12" s="51" t="e">
        <f>Realizado!#REF!</f>
        <v>#REF!</v>
      </c>
      <c r="J12" s="51" t="e">
        <f>Realizado!#REF!</f>
        <v>#REF!</v>
      </c>
      <c r="K12" s="51" t="e">
        <f>Realizado!#REF!</f>
        <v>#REF!</v>
      </c>
      <c r="L12" s="51"/>
      <c r="M12" s="55"/>
      <c r="N12" s="55" t="e">
        <f t="shared" si="1"/>
        <v>#REF!</v>
      </c>
      <c r="O12" s="55" t="e">
        <f t="shared" si="2"/>
        <v>#REF!</v>
      </c>
      <c r="P12" s="55" t="e">
        <f t="shared" si="3"/>
        <v>#REF!</v>
      </c>
      <c r="Q12" s="55" t="e">
        <f t="shared" si="4"/>
        <v>#REF!</v>
      </c>
      <c r="R12" s="55" t="e">
        <f t="shared" si="5"/>
        <v>#REF!</v>
      </c>
      <c r="S12" s="55" t="e">
        <f t="shared" si="6"/>
        <v>#REF!</v>
      </c>
    </row>
    <row r="13" spans="2:19" ht="15" customHeight="1" x14ac:dyDescent="0.3">
      <c r="B13" s="108" t="s">
        <v>265</v>
      </c>
      <c r="C13" s="108"/>
      <c r="D13" s="51" t="e">
        <f>Realizado!#REF!</f>
        <v>#REF!</v>
      </c>
      <c r="E13" s="51" t="e">
        <f>Realizado!#REF!</f>
        <v>#REF!</v>
      </c>
      <c r="F13" s="51" t="e">
        <f>Realizado!#REF!</f>
        <v>#REF!</v>
      </c>
      <c r="G13" s="51" t="e">
        <f>Realizado!#REF!</f>
        <v>#REF!</v>
      </c>
      <c r="H13" s="51" t="e">
        <f>Realizado!#REF!</f>
        <v>#REF!</v>
      </c>
      <c r="I13" s="51" t="e">
        <f>Realizado!#REF!</f>
        <v>#REF!</v>
      </c>
      <c r="J13" s="51" t="e">
        <f>Realizado!#REF!</f>
        <v>#REF!</v>
      </c>
      <c r="K13" s="51" t="e">
        <f>Realizado!#REF!</f>
        <v>#REF!</v>
      </c>
      <c r="L13" s="51"/>
      <c r="M13" s="55"/>
      <c r="N13" s="55" t="e">
        <f t="shared" si="1"/>
        <v>#REF!</v>
      </c>
      <c r="O13" s="55" t="e">
        <f t="shared" si="2"/>
        <v>#REF!</v>
      </c>
      <c r="P13" s="55" t="e">
        <f t="shared" si="3"/>
        <v>#REF!</v>
      </c>
      <c r="Q13" s="55" t="e">
        <f t="shared" si="4"/>
        <v>#REF!</v>
      </c>
      <c r="R13" s="55" t="e">
        <f t="shared" si="5"/>
        <v>#REF!</v>
      </c>
      <c r="S13" s="55" t="e">
        <f t="shared" si="6"/>
        <v>#REF!</v>
      </c>
    </row>
    <row r="14" spans="2:19" ht="15" customHeight="1" x14ac:dyDescent="0.3">
      <c r="B14" s="108" t="s">
        <v>513</v>
      </c>
      <c r="C14" s="108"/>
      <c r="D14" s="51" t="e">
        <f>Realizado!#REF!</f>
        <v>#REF!</v>
      </c>
      <c r="E14" s="51" t="e">
        <f>Realizado!#REF!</f>
        <v>#REF!</v>
      </c>
      <c r="F14" s="51" t="e">
        <f>Realizado!#REF!</f>
        <v>#REF!</v>
      </c>
      <c r="G14" s="51" t="e">
        <f>Realizado!#REF!</f>
        <v>#REF!</v>
      </c>
      <c r="H14" s="51" t="e">
        <f>Realizado!#REF!</f>
        <v>#REF!</v>
      </c>
      <c r="I14" s="51" t="e">
        <f>Realizado!#REF!</f>
        <v>#REF!</v>
      </c>
      <c r="J14" s="51" t="e">
        <f>Realizado!#REF!</f>
        <v>#REF!</v>
      </c>
      <c r="K14" s="51" t="e">
        <f>Realizado!#REF!</f>
        <v>#REF!</v>
      </c>
      <c r="L14" s="51"/>
      <c r="M14" s="55"/>
      <c r="N14" s="55" t="e">
        <f t="shared" si="1"/>
        <v>#REF!</v>
      </c>
      <c r="O14" s="55" t="e">
        <f t="shared" si="2"/>
        <v>#REF!</v>
      </c>
      <c r="P14" s="55" t="e">
        <f t="shared" si="3"/>
        <v>#REF!</v>
      </c>
      <c r="Q14" s="55" t="e">
        <f t="shared" si="4"/>
        <v>#REF!</v>
      </c>
      <c r="R14" s="55" t="e">
        <f t="shared" si="5"/>
        <v>#REF!</v>
      </c>
      <c r="S14" s="55" t="e">
        <f t="shared" si="6"/>
        <v>#REF!</v>
      </c>
    </row>
    <row r="15" spans="2:19" x14ac:dyDescent="0.25">
      <c r="B15" s="140" t="s">
        <v>514</v>
      </c>
      <c r="C15" s="140"/>
      <c r="D15" s="141" t="e">
        <f t="shared" ref="D15:K15" si="8">D4+D9</f>
        <v>#REF!</v>
      </c>
      <c r="E15" s="141" t="e">
        <f t="shared" si="8"/>
        <v>#REF!</v>
      </c>
      <c r="F15" s="141" t="e">
        <f t="shared" si="8"/>
        <v>#REF!</v>
      </c>
      <c r="G15" s="141" t="e">
        <f t="shared" si="8"/>
        <v>#REF!</v>
      </c>
      <c r="H15" s="141" t="e">
        <f t="shared" si="8"/>
        <v>#REF!</v>
      </c>
      <c r="I15" s="141" t="e">
        <f t="shared" si="8"/>
        <v>#REF!</v>
      </c>
      <c r="J15" s="141" t="e">
        <f t="shared" si="8"/>
        <v>#REF!</v>
      </c>
      <c r="K15" s="141" t="e">
        <f t="shared" si="8"/>
        <v>#REF!</v>
      </c>
      <c r="L15" s="149"/>
      <c r="M15" s="55"/>
      <c r="N15" s="55" t="e">
        <f t="shared" si="1"/>
        <v>#REF!</v>
      </c>
      <c r="O15" s="55" t="e">
        <f t="shared" si="2"/>
        <v>#REF!</v>
      </c>
      <c r="P15" s="55" t="e">
        <f t="shared" si="3"/>
        <v>#REF!</v>
      </c>
      <c r="Q15" s="55" t="e">
        <f t="shared" si="4"/>
        <v>#REF!</v>
      </c>
      <c r="R15" s="55" t="e">
        <f t="shared" si="5"/>
        <v>#REF!</v>
      </c>
      <c r="S15" s="55" t="e">
        <f t="shared" si="6"/>
        <v>#REF!</v>
      </c>
    </row>
    <row r="16" spans="2:19" x14ac:dyDescent="0.25">
      <c r="B16" s="28"/>
      <c r="C16" s="28"/>
      <c r="D16" s="149"/>
      <c r="E16" s="149"/>
      <c r="F16" s="149"/>
      <c r="G16" s="149"/>
      <c r="H16" s="149"/>
      <c r="I16" s="149"/>
      <c r="J16" s="149"/>
      <c r="K16" s="149"/>
      <c r="L16" s="149"/>
      <c r="M16" s="55"/>
      <c r="N16" s="55"/>
      <c r="O16" s="55"/>
      <c r="P16" s="55"/>
      <c r="Q16" s="55"/>
      <c r="R16" s="55"/>
      <c r="S16" s="55"/>
    </row>
    <row r="17" spans="2:19" x14ac:dyDescent="0.25">
      <c r="B17" t="s">
        <v>515</v>
      </c>
      <c r="C17" s="55">
        <f>Realizado!AA141</f>
        <v>0</v>
      </c>
      <c r="D17" s="55">
        <f>Realizado!AB141</f>
        <v>0</v>
      </c>
      <c r="E17" s="55">
        <f>Realizado!AC141</f>
        <v>0</v>
      </c>
      <c r="F17" s="55">
        <f>Realizado!AD141</f>
        <v>0</v>
      </c>
      <c r="G17" s="55">
        <f>Realizado!AE141</f>
        <v>0</v>
      </c>
      <c r="H17" s="55">
        <f>Realizado!AF141</f>
        <v>0</v>
      </c>
      <c r="I17" s="55">
        <f>Realizado!AG141</f>
        <v>0</v>
      </c>
      <c r="J17" s="55">
        <f>Realizado!AH141</f>
        <v>0</v>
      </c>
      <c r="K17" s="55">
        <f>Realizado!AI141</f>
        <v>0</v>
      </c>
      <c r="L17" s="55"/>
      <c r="M17" s="55"/>
      <c r="N17" s="55"/>
      <c r="O17" s="55"/>
      <c r="P17" s="55"/>
      <c r="Q17" s="55"/>
      <c r="R17" s="55"/>
      <c r="S17" s="55"/>
    </row>
    <row r="18" spans="2:19" x14ac:dyDescent="0.25">
      <c r="B18" s="28"/>
      <c r="C18" s="28"/>
      <c r="D18" s="150" t="e">
        <f t="shared" ref="D18:K18" si="9">D11/AVERAGE(C17:D17)</f>
        <v>#DIV/0!</v>
      </c>
      <c r="E18" s="150" t="e">
        <f t="shared" si="9"/>
        <v>#DIV/0!</v>
      </c>
      <c r="F18" s="150" t="e">
        <f t="shared" si="9"/>
        <v>#DIV/0!</v>
      </c>
      <c r="G18" s="150" t="e">
        <f t="shared" si="9"/>
        <v>#DIV/0!</v>
      </c>
      <c r="H18" s="150" t="e">
        <f t="shared" si="9"/>
        <v>#DIV/0!</v>
      </c>
      <c r="I18" s="150" t="e">
        <f t="shared" si="9"/>
        <v>#DIV/0!</v>
      </c>
      <c r="J18" s="150" t="e">
        <f t="shared" si="9"/>
        <v>#DIV/0!</v>
      </c>
      <c r="K18" s="150" t="e">
        <f t="shared" si="9"/>
        <v>#DIV/0!</v>
      </c>
      <c r="L18" s="150"/>
      <c r="M18" s="55"/>
      <c r="N18" s="55"/>
      <c r="O18" s="55"/>
      <c r="P18" s="55"/>
      <c r="Q18" s="55"/>
      <c r="R18" s="55"/>
      <c r="S18" s="55"/>
    </row>
    <row r="20" spans="2:19" ht="15" hidden="1" customHeight="1" x14ac:dyDescent="0.3">
      <c r="B20" s="108" t="s">
        <v>516</v>
      </c>
      <c r="C20" s="108"/>
      <c r="D20" s="142">
        <f>Realizado!AB129</f>
        <v>0</v>
      </c>
      <c r="E20" s="142">
        <f>Realizado!AC129</f>
        <v>0</v>
      </c>
      <c r="F20" s="142">
        <f>Realizado!AD129</f>
        <v>0</v>
      </c>
      <c r="G20" s="142">
        <f>Realizado!AE129</f>
        <v>0</v>
      </c>
      <c r="H20" s="142">
        <f>Realizado!AF129</f>
        <v>0</v>
      </c>
      <c r="I20" s="142">
        <f>Realizado!AG129</f>
        <v>0</v>
      </c>
      <c r="J20" s="142">
        <f>Realizado!AH129</f>
        <v>0</v>
      </c>
      <c r="K20" s="142">
        <f>Realizado!AI129</f>
        <v>0</v>
      </c>
      <c r="L20" s="142"/>
    </row>
    <row r="21" spans="2:19" ht="15" hidden="1" customHeight="1" x14ac:dyDescent="0.3">
      <c r="B21" s="108" t="s">
        <v>517</v>
      </c>
      <c r="C21" s="142">
        <f>Realizado!AA141</f>
        <v>0</v>
      </c>
      <c r="D21" s="142">
        <f>Realizado!AB141</f>
        <v>0</v>
      </c>
      <c r="E21" s="142">
        <f>Realizado!AC141</f>
        <v>0</v>
      </c>
      <c r="F21" s="142">
        <f>Realizado!AD141</f>
        <v>0</v>
      </c>
      <c r="G21" s="142">
        <f>Realizado!AE141</f>
        <v>0</v>
      </c>
      <c r="H21" s="142">
        <f>Realizado!AF141</f>
        <v>0</v>
      </c>
      <c r="I21" s="142">
        <f>Realizado!AG141</f>
        <v>0</v>
      </c>
      <c r="J21" s="142">
        <f>Realizado!AH141</f>
        <v>0</v>
      </c>
      <c r="K21" s="142">
        <f>Realizado!AI141</f>
        <v>0</v>
      </c>
      <c r="L21" s="142"/>
    </row>
    <row r="22" spans="2:19" ht="15" hidden="1" customHeight="1" x14ac:dyDescent="0.3">
      <c r="B22" s="108"/>
      <c r="C22" s="108"/>
      <c r="D22" s="73" t="e">
        <f t="shared" ref="D22:K22" si="10">D11/AVERAGE(C21:D21)</f>
        <v>#DIV/0!</v>
      </c>
      <c r="E22" s="73" t="e">
        <f t="shared" si="10"/>
        <v>#DIV/0!</v>
      </c>
      <c r="F22" s="73" t="e">
        <f t="shared" si="10"/>
        <v>#DIV/0!</v>
      </c>
      <c r="G22" s="73" t="e">
        <f t="shared" si="10"/>
        <v>#DIV/0!</v>
      </c>
      <c r="H22" s="73" t="e">
        <f t="shared" si="10"/>
        <v>#DIV/0!</v>
      </c>
      <c r="I22" s="73" t="e">
        <f t="shared" si="10"/>
        <v>#DIV/0!</v>
      </c>
      <c r="J22" s="73" t="e">
        <f t="shared" si="10"/>
        <v>#DIV/0!</v>
      </c>
      <c r="K22" s="73" t="e">
        <f t="shared" si="10"/>
        <v>#DIV/0!</v>
      </c>
      <c r="L22" s="73"/>
    </row>
    <row r="23" spans="2:19" ht="15" customHeight="1" x14ac:dyDescent="0.3">
      <c r="B23" s="148" t="s">
        <v>512</v>
      </c>
      <c r="C23" s="108"/>
      <c r="D23" s="73"/>
      <c r="E23" s="73"/>
      <c r="F23" s="73"/>
      <c r="G23" s="73"/>
      <c r="H23" s="73"/>
      <c r="I23" s="73"/>
      <c r="J23" s="73"/>
      <c r="K23" s="73"/>
      <c r="L23" s="73"/>
    </row>
    <row r="24" spans="2:19" ht="15" customHeight="1" x14ac:dyDescent="0.3">
      <c r="B24" s="107">
        <f>SUM(D24:K24)</f>
        <v>243</v>
      </c>
      <c r="C24" s="108"/>
      <c r="D24" s="107">
        <v>31</v>
      </c>
      <c r="E24" s="107">
        <v>28</v>
      </c>
      <c r="F24" s="107">
        <v>31</v>
      </c>
      <c r="G24" s="107">
        <v>30</v>
      </c>
      <c r="H24" s="107">
        <v>31</v>
      </c>
      <c r="I24" s="107">
        <v>30</v>
      </c>
      <c r="J24" s="107">
        <v>31</v>
      </c>
      <c r="K24" s="107">
        <v>31</v>
      </c>
      <c r="L24" s="107"/>
    </row>
    <row r="25" spans="2:19" x14ac:dyDescent="0.25">
      <c r="B25" s="135" t="s">
        <v>6</v>
      </c>
      <c r="C25" s="135"/>
      <c r="D25" s="138">
        <f t="shared" ref="D25:K25" si="11">D3</f>
        <v>45688</v>
      </c>
      <c r="E25" s="138">
        <f t="shared" si="11"/>
        <v>45716</v>
      </c>
      <c r="F25" s="138">
        <f t="shared" si="11"/>
        <v>45747</v>
      </c>
      <c r="G25" s="138">
        <f t="shared" si="11"/>
        <v>45777</v>
      </c>
      <c r="H25" s="138">
        <f t="shared" si="11"/>
        <v>45808</v>
      </c>
      <c r="I25" s="138">
        <f t="shared" si="11"/>
        <v>45838</v>
      </c>
      <c r="J25" s="138">
        <f t="shared" si="11"/>
        <v>45869</v>
      </c>
      <c r="K25" s="138">
        <f t="shared" si="11"/>
        <v>45900</v>
      </c>
      <c r="L25" s="170"/>
    </row>
    <row r="26" spans="2:19" x14ac:dyDescent="0.25">
      <c r="B26" s="12" t="s">
        <v>10</v>
      </c>
      <c r="C26" s="12"/>
      <c r="D26" s="139">
        <f t="shared" ref="D26:K26" si="12">SUM(D27:D30)</f>
        <v>0</v>
      </c>
      <c r="E26" s="139">
        <f t="shared" si="12"/>
        <v>0</v>
      </c>
      <c r="F26" s="139">
        <f t="shared" si="12"/>
        <v>0</v>
      </c>
      <c r="G26" s="139">
        <f t="shared" si="12"/>
        <v>0</v>
      </c>
      <c r="H26" s="139">
        <f t="shared" si="12"/>
        <v>0</v>
      </c>
      <c r="I26" s="139">
        <f t="shared" si="12"/>
        <v>0</v>
      </c>
      <c r="J26" s="139">
        <f t="shared" si="12"/>
        <v>0</v>
      </c>
      <c r="K26" s="139">
        <f t="shared" si="12"/>
        <v>0</v>
      </c>
      <c r="L26" s="139"/>
      <c r="N26" s="55">
        <f t="shared" ref="N26:N37" si="13">D26</f>
        <v>0</v>
      </c>
      <c r="O26" s="55">
        <f t="shared" ref="O26:O37" si="14">E26+D26</f>
        <v>0</v>
      </c>
      <c r="P26" s="55">
        <f t="shared" ref="P26:P37" si="15">O26+F26</f>
        <v>0</v>
      </c>
      <c r="Q26" s="55">
        <f t="shared" ref="Q26:Q37" si="16">P26+G26</f>
        <v>0</v>
      </c>
      <c r="R26" s="55">
        <f t="shared" ref="R26:R37" si="17">Q26+H26</f>
        <v>0</v>
      </c>
      <c r="S26" s="55">
        <f t="shared" ref="S26:S37" si="18">R26+I26</f>
        <v>0</v>
      </c>
    </row>
    <row r="27" spans="2:19" x14ac:dyDescent="0.25">
      <c r="B27" s="77" t="s">
        <v>11</v>
      </c>
      <c r="C27" s="77"/>
      <c r="D27" s="51">
        <f>'Orçado '!AB153</f>
        <v>0</v>
      </c>
      <c r="E27" s="51">
        <f>'Orçado '!AC153</f>
        <v>0</v>
      </c>
      <c r="F27" s="51">
        <f>'Orçado '!AD153</f>
        <v>0</v>
      </c>
      <c r="G27" s="51">
        <f>'Orçado '!AE153</f>
        <v>0</v>
      </c>
      <c r="H27" s="51">
        <f>'Orçado '!AF153</f>
        <v>0</v>
      </c>
      <c r="I27" s="51">
        <f>'Orçado '!AG153</f>
        <v>0</v>
      </c>
      <c r="J27" s="51">
        <f>'Orçado '!AH153</f>
        <v>0</v>
      </c>
      <c r="K27" s="51">
        <f>'Orçado '!AI153</f>
        <v>0</v>
      </c>
      <c r="L27" s="51"/>
      <c r="N27" s="55">
        <f t="shared" si="13"/>
        <v>0</v>
      </c>
      <c r="O27" s="55">
        <f t="shared" si="14"/>
        <v>0</v>
      </c>
      <c r="P27" s="55">
        <f t="shared" si="15"/>
        <v>0</v>
      </c>
      <c r="Q27" s="55">
        <f t="shared" si="16"/>
        <v>0</v>
      </c>
      <c r="R27" s="55">
        <f t="shared" si="17"/>
        <v>0</v>
      </c>
      <c r="S27" s="55">
        <f t="shared" si="18"/>
        <v>0</v>
      </c>
    </row>
    <row r="28" spans="2:19" x14ac:dyDescent="0.25">
      <c r="B28" s="77" t="s">
        <v>12</v>
      </c>
      <c r="C28" s="77"/>
      <c r="D28" s="51">
        <f>'Orçado '!AB154</f>
        <v>0</v>
      </c>
      <c r="E28" s="51">
        <f>'Orçado '!AC154</f>
        <v>0</v>
      </c>
      <c r="F28" s="51">
        <f>'Orçado '!AD154</f>
        <v>0</v>
      </c>
      <c r="G28" s="51">
        <f>'Orçado '!AE154</f>
        <v>0</v>
      </c>
      <c r="H28" s="51">
        <f>'Orçado '!AF154</f>
        <v>0</v>
      </c>
      <c r="I28" s="51">
        <f>'Orçado '!AG154</f>
        <v>0</v>
      </c>
      <c r="J28" s="51">
        <f>'Orçado '!AH154</f>
        <v>0</v>
      </c>
      <c r="K28" s="51">
        <f>'Orçado '!AI154</f>
        <v>0</v>
      </c>
      <c r="L28" s="51"/>
      <c r="N28" s="55">
        <f t="shared" si="13"/>
        <v>0</v>
      </c>
      <c r="O28" s="55">
        <f t="shared" si="14"/>
        <v>0</v>
      </c>
      <c r="P28" s="55">
        <f t="shared" si="15"/>
        <v>0</v>
      </c>
      <c r="Q28" s="55">
        <f t="shared" si="16"/>
        <v>0</v>
      </c>
      <c r="R28" s="55">
        <f t="shared" si="17"/>
        <v>0</v>
      </c>
      <c r="S28" s="55">
        <f t="shared" si="18"/>
        <v>0</v>
      </c>
    </row>
    <row r="29" spans="2:19" x14ac:dyDescent="0.25">
      <c r="B29" s="77" t="s">
        <v>13</v>
      </c>
      <c r="C29" s="77"/>
      <c r="D29" s="51">
        <f>'Orçado '!AB155</f>
        <v>0</v>
      </c>
      <c r="E29" s="51">
        <f>'Orçado '!AC155</f>
        <v>0</v>
      </c>
      <c r="F29" s="51">
        <f>'Orçado '!AD155</f>
        <v>0</v>
      </c>
      <c r="G29" s="51">
        <f>'Orçado '!AE155</f>
        <v>0</v>
      </c>
      <c r="H29" s="51">
        <f>'Orçado '!AF155</f>
        <v>0</v>
      </c>
      <c r="I29" s="51">
        <f>'Orçado '!AG155</f>
        <v>0</v>
      </c>
      <c r="J29" s="51">
        <f>'Orçado '!AH155</f>
        <v>0</v>
      </c>
      <c r="K29" s="51">
        <f>'Orçado '!AI155</f>
        <v>0</v>
      </c>
      <c r="L29" s="51"/>
      <c r="N29" s="55">
        <f t="shared" si="13"/>
        <v>0</v>
      </c>
      <c r="O29" s="55">
        <f t="shared" si="14"/>
        <v>0</v>
      </c>
      <c r="P29" s="55">
        <f t="shared" si="15"/>
        <v>0</v>
      </c>
      <c r="Q29" s="55">
        <f t="shared" si="16"/>
        <v>0</v>
      </c>
      <c r="R29" s="55">
        <f t="shared" si="17"/>
        <v>0</v>
      </c>
      <c r="S29" s="55">
        <f t="shared" si="18"/>
        <v>0</v>
      </c>
    </row>
    <row r="30" spans="2:19" x14ac:dyDescent="0.25">
      <c r="B30" s="77" t="s">
        <v>14</v>
      </c>
      <c r="C30" s="77"/>
      <c r="D30" s="51">
        <f>'Orçado '!AB156</f>
        <v>0</v>
      </c>
      <c r="E30" s="51">
        <f>'Orçado '!AC156</f>
        <v>0</v>
      </c>
      <c r="F30" s="51">
        <f>'Orçado '!AD156</f>
        <v>0</v>
      </c>
      <c r="G30" s="51">
        <f>'Orçado '!AE156</f>
        <v>0</v>
      </c>
      <c r="H30" s="51">
        <f>'Orçado '!AF156</f>
        <v>0</v>
      </c>
      <c r="I30" s="51">
        <f>'Orçado '!AG156</f>
        <v>0</v>
      </c>
      <c r="J30" s="51">
        <f>'Orçado '!AH156</f>
        <v>0</v>
      </c>
      <c r="K30" s="51">
        <f>'Orçado '!AI156</f>
        <v>0</v>
      </c>
      <c r="L30" s="51"/>
      <c r="N30" s="55">
        <f t="shared" si="13"/>
        <v>0</v>
      </c>
      <c r="O30" s="55">
        <f t="shared" si="14"/>
        <v>0</v>
      </c>
      <c r="P30" s="55">
        <f t="shared" si="15"/>
        <v>0</v>
      </c>
      <c r="Q30" s="55">
        <f t="shared" si="16"/>
        <v>0</v>
      </c>
      <c r="R30" s="55">
        <f t="shared" si="17"/>
        <v>0</v>
      </c>
      <c r="S30" s="55">
        <f t="shared" si="18"/>
        <v>0</v>
      </c>
    </row>
    <row r="31" spans="2:19" x14ac:dyDescent="0.25">
      <c r="B31" s="28" t="s">
        <v>209</v>
      </c>
      <c r="C31" s="28"/>
      <c r="D31" s="139">
        <f t="shared" ref="D31:K31" si="19">SUM(D32:D36)</f>
        <v>0</v>
      </c>
      <c r="E31" s="139">
        <f t="shared" si="19"/>
        <v>0</v>
      </c>
      <c r="F31" s="139">
        <f t="shared" si="19"/>
        <v>0</v>
      </c>
      <c r="G31" s="139">
        <f t="shared" si="19"/>
        <v>0</v>
      </c>
      <c r="H31" s="139">
        <f t="shared" si="19"/>
        <v>0</v>
      </c>
      <c r="I31" s="139">
        <f t="shared" si="19"/>
        <v>0</v>
      </c>
      <c r="J31" s="139">
        <f t="shared" si="19"/>
        <v>0</v>
      </c>
      <c r="K31" s="139">
        <f t="shared" si="19"/>
        <v>0</v>
      </c>
      <c r="L31" s="139"/>
      <c r="N31" s="55">
        <f t="shared" si="13"/>
        <v>0</v>
      </c>
      <c r="O31" s="55">
        <f t="shared" si="14"/>
        <v>0</v>
      </c>
      <c r="P31" s="55">
        <f t="shared" si="15"/>
        <v>0</v>
      </c>
      <c r="Q31" s="55">
        <f t="shared" si="16"/>
        <v>0</v>
      </c>
      <c r="R31" s="55">
        <f t="shared" si="17"/>
        <v>0</v>
      </c>
      <c r="S31" s="55">
        <f t="shared" si="18"/>
        <v>0</v>
      </c>
    </row>
    <row r="32" spans="2:19" ht="15" customHeight="1" x14ac:dyDescent="0.3">
      <c r="B32" s="108" t="s">
        <v>262</v>
      </c>
      <c r="C32" s="108"/>
      <c r="D32" s="51">
        <f>'Orçado '!AB144</f>
        <v>0</v>
      </c>
      <c r="E32" s="51">
        <f>'Orçado '!AC144</f>
        <v>0</v>
      </c>
      <c r="F32" s="51">
        <f>'Orçado '!AD144</f>
        <v>0</v>
      </c>
      <c r="G32" s="51">
        <f>'Orçado '!AE144</f>
        <v>0</v>
      </c>
      <c r="H32" s="51">
        <f>'Orçado '!AF144</f>
        <v>0</v>
      </c>
      <c r="I32" s="51">
        <f>'Orçado '!AG144</f>
        <v>0</v>
      </c>
      <c r="J32" s="51">
        <f>'Orçado '!AH144</f>
        <v>0</v>
      </c>
      <c r="K32" s="51">
        <f>'Orçado '!AI144</f>
        <v>0</v>
      </c>
      <c r="L32" s="51"/>
      <c r="N32" s="55">
        <f t="shared" si="13"/>
        <v>0</v>
      </c>
      <c r="O32" s="55">
        <f t="shared" si="14"/>
        <v>0</v>
      </c>
      <c r="P32" s="55">
        <f t="shared" si="15"/>
        <v>0</v>
      </c>
      <c r="Q32" s="55">
        <f t="shared" si="16"/>
        <v>0</v>
      </c>
      <c r="R32" s="55">
        <f t="shared" si="17"/>
        <v>0</v>
      </c>
      <c r="S32" s="55">
        <f t="shared" si="18"/>
        <v>0</v>
      </c>
    </row>
    <row r="33" spans="2:20" ht="15" customHeight="1" x14ac:dyDescent="0.3">
      <c r="B33" s="108" t="s">
        <v>263</v>
      </c>
      <c r="C33" s="108"/>
      <c r="D33" s="51">
        <f>'Orçado '!AB145</f>
        <v>0</v>
      </c>
      <c r="E33" s="51">
        <f>'Orçado '!AC145</f>
        <v>0</v>
      </c>
      <c r="F33" s="51">
        <f>'Orçado '!AD145</f>
        <v>0</v>
      </c>
      <c r="G33" s="51">
        <f>'Orçado '!AE145</f>
        <v>0</v>
      </c>
      <c r="H33" s="51">
        <f>'Orçado '!AF145</f>
        <v>0</v>
      </c>
      <c r="I33" s="51">
        <f>'Orçado '!AG145</f>
        <v>0</v>
      </c>
      <c r="J33" s="51">
        <f>'Orçado '!AH145</f>
        <v>0</v>
      </c>
      <c r="K33" s="51">
        <f>'Orçado '!AI145</f>
        <v>0</v>
      </c>
      <c r="L33" s="51"/>
      <c r="N33" s="55">
        <f t="shared" si="13"/>
        <v>0</v>
      </c>
      <c r="O33" s="55">
        <f t="shared" si="14"/>
        <v>0</v>
      </c>
      <c r="P33" s="55">
        <f t="shared" si="15"/>
        <v>0</v>
      </c>
      <c r="Q33" s="55">
        <f t="shared" si="16"/>
        <v>0</v>
      </c>
      <c r="R33" s="55">
        <f t="shared" si="17"/>
        <v>0</v>
      </c>
      <c r="S33" s="55">
        <f t="shared" si="18"/>
        <v>0</v>
      </c>
    </row>
    <row r="34" spans="2:20" ht="15" customHeight="1" x14ac:dyDescent="0.3">
      <c r="B34" s="108" t="s">
        <v>264</v>
      </c>
      <c r="C34" s="108"/>
      <c r="D34" s="51">
        <f>'Orçado '!AB146</f>
        <v>0</v>
      </c>
      <c r="E34" s="51">
        <f>'Orçado '!AC146</f>
        <v>0</v>
      </c>
      <c r="F34" s="51">
        <f>'Orçado '!AD146</f>
        <v>0</v>
      </c>
      <c r="G34" s="51">
        <f>'Orçado '!AE146</f>
        <v>0</v>
      </c>
      <c r="H34" s="51">
        <f>'Orçado '!AF146</f>
        <v>0</v>
      </c>
      <c r="I34" s="51">
        <f>'Orçado '!AG146</f>
        <v>0</v>
      </c>
      <c r="J34" s="51">
        <f>'Orçado '!AH146</f>
        <v>0</v>
      </c>
      <c r="K34" s="51">
        <f>'Orçado '!AI146</f>
        <v>0</v>
      </c>
      <c r="L34" s="51"/>
      <c r="N34" s="55">
        <f t="shared" si="13"/>
        <v>0</v>
      </c>
      <c r="O34" s="55">
        <f t="shared" si="14"/>
        <v>0</v>
      </c>
      <c r="P34" s="55">
        <f t="shared" si="15"/>
        <v>0</v>
      </c>
      <c r="Q34" s="55">
        <f t="shared" si="16"/>
        <v>0</v>
      </c>
      <c r="R34" s="55">
        <f t="shared" si="17"/>
        <v>0</v>
      </c>
      <c r="S34" s="55">
        <f t="shared" si="18"/>
        <v>0</v>
      </c>
    </row>
    <row r="35" spans="2:20" ht="15" customHeight="1" x14ac:dyDescent="0.3">
      <c r="B35" s="108" t="s">
        <v>265</v>
      </c>
      <c r="C35" s="108"/>
      <c r="D35" s="51">
        <f>'Orçado '!AB147</f>
        <v>0</v>
      </c>
      <c r="E35" s="51">
        <f>'Orçado '!AC147</f>
        <v>0</v>
      </c>
      <c r="F35" s="51">
        <f>'Orçado '!AD147</f>
        <v>0</v>
      </c>
      <c r="G35" s="51">
        <f>'Orçado '!AE147</f>
        <v>0</v>
      </c>
      <c r="H35" s="51">
        <f>'Orçado '!AF147</f>
        <v>0</v>
      </c>
      <c r="I35" s="51">
        <f>'Orçado '!AG147</f>
        <v>0</v>
      </c>
      <c r="J35" s="51">
        <f>'Orçado '!AH147</f>
        <v>0</v>
      </c>
      <c r="K35" s="51">
        <f>'Orçado '!AI147</f>
        <v>0</v>
      </c>
      <c r="L35" s="51"/>
      <c r="N35" s="55">
        <f t="shared" si="13"/>
        <v>0</v>
      </c>
      <c r="O35" s="55">
        <f t="shared" si="14"/>
        <v>0</v>
      </c>
      <c r="P35" s="55">
        <f t="shared" si="15"/>
        <v>0</v>
      </c>
      <c r="Q35" s="55">
        <f t="shared" si="16"/>
        <v>0</v>
      </c>
      <c r="R35" s="55">
        <f t="shared" si="17"/>
        <v>0</v>
      </c>
      <c r="S35" s="55">
        <f t="shared" si="18"/>
        <v>0</v>
      </c>
    </row>
    <row r="36" spans="2:20" ht="15" customHeight="1" x14ac:dyDescent="0.3">
      <c r="B36" s="108" t="s">
        <v>513</v>
      </c>
      <c r="C36" s="108"/>
      <c r="D36" s="51">
        <f>'Orçado '!AB173</f>
        <v>0</v>
      </c>
      <c r="E36" s="51">
        <f>'Orçado '!AC173</f>
        <v>0</v>
      </c>
      <c r="F36" s="51">
        <f>'Orçado '!AD173</f>
        <v>0</v>
      </c>
      <c r="G36" s="51">
        <f>'Orçado '!AE173</f>
        <v>0</v>
      </c>
      <c r="H36" s="51">
        <f>'Orçado '!AF173</f>
        <v>0</v>
      </c>
      <c r="I36" s="51">
        <f>'Orçado '!AG173</f>
        <v>0</v>
      </c>
      <c r="J36" s="51">
        <f>'Orçado '!AH173</f>
        <v>0</v>
      </c>
      <c r="K36" s="51">
        <f>'Orçado '!AI173</f>
        <v>0</v>
      </c>
      <c r="L36" s="51"/>
      <c r="N36" s="55">
        <f t="shared" si="13"/>
        <v>0</v>
      </c>
      <c r="O36" s="55">
        <f t="shared" si="14"/>
        <v>0</v>
      </c>
      <c r="P36" s="55">
        <f t="shared" si="15"/>
        <v>0</v>
      </c>
      <c r="Q36" s="55">
        <f t="shared" si="16"/>
        <v>0</v>
      </c>
      <c r="R36" s="55">
        <f t="shared" si="17"/>
        <v>0</v>
      </c>
      <c r="S36" s="55">
        <f t="shared" si="18"/>
        <v>0</v>
      </c>
    </row>
    <row r="37" spans="2:20" x14ac:dyDescent="0.25">
      <c r="B37" s="140" t="s">
        <v>514</v>
      </c>
      <c r="C37" s="140"/>
      <c r="D37" s="141">
        <f t="shared" ref="D37:K37" si="20">D26+D31</f>
        <v>0</v>
      </c>
      <c r="E37" s="141">
        <f t="shared" si="20"/>
        <v>0</v>
      </c>
      <c r="F37" s="141">
        <f t="shared" si="20"/>
        <v>0</v>
      </c>
      <c r="G37" s="141">
        <f t="shared" si="20"/>
        <v>0</v>
      </c>
      <c r="H37" s="141">
        <f t="shared" si="20"/>
        <v>0</v>
      </c>
      <c r="I37" s="141">
        <f t="shared" si="20"/>
        <v>0</v>
      </c>
      <c r="J37" s="141">
        <f t="shared" si="20"/>
        <v>0</v>
      </c>
      <c r="K37" s="141">
        <f t="shared" si="20"/>
        <v>0</v>
      </c>
      <c r="L37" s="149"/>
      <c r="N37" s="55">
        <f t="shared" si="13"/>
        <v>0</v>
      </c>
      <c r="O37" s="55">
        <f t="shared" si="14"/>
        <v>0</v>
      </c>
      <c r="P37" s="55">
        <f t="shared" si="15"/>
        <v>0</v>
      </c>
      <c r="Q37" s="55">
        <f t="shared" si="16"/>
        <v>0</v>
      </c>
      <c r="R37" s="55">
        <f t="shared" si="17"/>
        <v>0</v>
      </c>
      <c r="S37" s="55">
        <f t="shared" si="18"/>
        <v>0</v>
      </c>
    </row>
    <row r="39" spans="2:20" ht="15" customHeight="1" x14ac:dyDescent="0.3">
      <c r="B39" s="108" t="s">
        <v>518</v>
      </c>
      <c r="D39" s="55" t="e">
        <f t="shared" ref="D39:K39" si="21">D15-D37</f>
        <v>#REF!</v>
      </c>
      <c r="E39" s="55" t="e">
        <f t="shared" si="21"/>
        <v>#REF!</v>
      </c>
      <c r="F39" s="55" t="e">
        <f t="shared" si="21"/>
        <v>#REF!</v>
      </c>
      <c r="G39" s="55" t="e">
        <f t="shared" si="21"/>
        <v>#REF!</v>
      </c>
      <c r="H39" s="55" t="e">
        <f t="shared" si="21"/>
        <v>#REF!</v>
      </c>
      <c r="I39" s="55" t="e">
        <f t="shared" si="21"/>
        <v>#REF!</v>
      </c>
      <c r="J39" s="55" t="e">
        <f t="shared" si="21"/>
        <v>#REF!</v>
      </c>
      <c r="K39" s="55" t="e">
        <f t="shared" si="21"/>
        <v>#REF!</v>
      </c>
      <c r="L39" s="55"/>
      <c r="M39" t="s">
        <v>519</v>
      </c>
      <c r="N39" s="55">
        <f t="shared" ref="N39:S39" si="22">N6-N28</f>
        <v>0</v>
      </c>
      <c r="O39" s="55">
        <f t="shared" si="22"/>
        <v>0</v>
      </c>
      <c r="P39" s="55">
        <f t="shared" si="22"/>
        <v>0</v>
      </c>
      <c r="Q39" s="55">
        <f t="shared" si="22"/>
        <v>0</v>
      </c>
      <c r="R39" s="55">
        <f t="shared" si="22"/>
        <v>0</v>
      </c>
      <c r="S39" s="55">
        <f t="shared" si="22"/>
        <v>0</v>
      </c>
      <c r="T39" t="s">
        <v>520</v>
      </c>
    </row>
    <row r="40" spans="2:20" x14ac:dyDescent="0.25">
      <c r="M40" t="s">
        <v>521</v>
      </c>
      <c r="N40" s="55">
        <f t="shared" ref="N40:S40" si="23">N11-N33</f>
        <v>0</v>
      </c>
      <c r="O40" s="55">
        <f t="shared" si="23"/>
        <v>0</v>
      </c>
      <c r="P40" s="55">
        <f t="shared" si="23"/>
        <v>0</v>
      </c>
      <c r="Q40" s="55">
        <f t="shared" si="23"/>
        <v>0</v>
      </c>
      <c r="R40" s="55">
        <f t="shared" si="23"/>
        <v>0</v>
      </c>
      <c r="S40" s="55">
        <f t="shared" si="23"/>
        <v>0</v>
      </c>
      <c r="T40" t="s">
        <v>522</v>
      </c>
    </row>
    <row r="41" spans="2:20" x14ac:dyDescent="0.25">
      <c r="B41" t="s">
        <v>515</v>
      </c>
      <c r="C41" s="42">
        <f>'Orçado '!AA143</f>
        <v>0</v>
      </c>
      <c r="D41" s="42">
        <f>'Orçado '!AB143</f>
        <v>0</v>
      </c>
      <c r="E41" s="42">
        <f>'Orçado '!AC143</f>
        <v>0</v>
      </c>
      <c r="F41" s="42">
        <f>'Orçado '!AD143</f>
        <v>0</v>
      </c>
      <c r="G41" s="42">
        <f>'Orçado '!AE143</f>
        <v>0</v>
      </c>
      <c r="H41" s="42">
        <f>'Orçado '!AF143</f>
        <v>0</v>
      </c>
      <c r="I41" s="42">
        <f>'Orçado '!AG143</f>
        <v>0</v>
      </c>
      <c r="J41" s="42">
        <f>'Orçado '!AH143</f>
        <v>0</v>
      </c>
      <c r="K41" s="42">
        <f>'Orçado '!AI143</f>
        <v>0</v>
      </c>
      <c r="L41" s="42"/>
      <c r="M41" t="s">
        <v>523</v>
      </c>
      <c r="N41" s="55">
        <f t="shared" ref="N41:S41" si="24">N39+N40</f>
        <v>0</v>
      </c>
      <c r="O41" s="55">
        <f t="shared" si="24"/>
        <v>0</v>
      </c>
      <c r="P41" s="55">
        <f t="shared" si="24"/>
        <v>0</v>
      </c>
      <c r="Q41" s="55">
        <f t="shared" si="24"/>
        <v>0</v>
      </c>
      <c r="R41" s="55">
        <f t="shared" si="24"/>
        <v>0</v>
      </c>
      <c r="S41" s="55">
        <f t="shared" si="24"/>
        <v>0</v>
      </c>
    </row>
    <row r="42" spans="2:20" x14ac:dyDescent="0.25">
      <c r="D42" s="73" t="e">
        <f t="shared" ref="D42:K42" si="25">D33/AVERAGE(C41:D41)</f>
        <v>#DIV/0!</v>
      </c>
      <c r="E42" s="73" t="e">
        <f t="shared" si="25"/>
        <v>#DIV/0!</v>
      </c>
      <c r="F42" s="73" t="e">
        <f t="shared" si="25"/>
        <v>#DIV/0!</v>
      </c>
      <c r="G42" s="73" t="e">
        <f t="shared" si="25"/>
        <v>#DIV/0!</v>
      </c>
      <c r="H42" s="73" t="e">
        <f t="shared" si="25"/>
        <v>#DIV/0!</v>
      </c>
      <c r="I42" s="73" t="e">
        <f t="shared" si="25"/>
        <v>#DIV/0!</v>
      </c>
      <c r="J42" s="73" t="e">
        <f t="shared" si="25"/>
        <v>#DIV/0!</v>
      </c>
      <c r="K42" s="73" t="e">
        <f t="shared" si="25"/>
        <v>#DIV/0!</v>
      </c>
      <c r="L42" s="73"/>
    </row>
    <row r="43" spans="2:20" ht="15" hidden="1" customHeight="1" x14ac:dyDescent="0.3">
      <c r="B43" s="108" t="s">
        <v>516</v>
      </c>
      <c r="C43" s="108"/>
      <c r="D43" s="142">
        <f>'Orçado '!AB129</f>
        <v>0</v>
      </c>
      <c r="E43" s="142">
        <f>'Orçado '!AC129</f>
        <v>0</v>
      </c>
      <c r="F43" s="142">
        <f>'Orçado '!AD129</f>
        <v>0</v>
      </c>
      <c r="G43" s="142">
        <f>'Orçado '!AE129</f>
        <v>0</v>
      </c>
      <c r="H43" s="142">
        <f>'Orçado '!AF129</f>
        <v>0</v>
      </c>
      <c r="I43" s="142">
        <f>'Orçado '!AG129</f>
        <v>0</v>
      </c>
      <c r="J43" s="142">
        <f>'Orçado '!AH129</f>
        <v>0</v>
      </c>
      <c r="K43" s="142">
        <f>'Orçado '!AI129</f>
        <v>0</v>
      </c>
      <c r="L43" s="142"/>
    </row>
    <row r="44" spans="2:20" ht="15" hidden="1" customHeight="1" x14ac:dyDescent="0.3">
      <c r="B44" s="108" t="s">
        <v>517</v>
      </c>
      <c r="C44" s="142">
        <f>'Orçado '!AA143</f>
        <v>0</v>
      </c>
      <c r="D44" s="142">
        <f>'Orçado '!AB143</f>
        <v>0</v>
      </c>
      <c r="E44" s="142">
        <f>'Orçado '!AC143</f>
        <v>0</v>
      </c>
      <c r="F44" s="142">
        <f>'Orçado '!AD143</f>
        <v>0</v>
      </c>
      <c r="G44" s="142">
        <f>'Orçado '!AE143</f>
        <v>0</v>
      </c>
      <c r="H44" s="142">
        <f>'Orçado '!AF143</f>
        <v>0</v>
      </c>
      <c r="I44" s="142">
        <f>'Orçado '!AG143</f>
        <v>0</v>
      </c>
      <c r="J44" s="142">
        <f>'Orçado '!AH143</f>
        <v>0</v>
      </c>
      <c r="K44" s="142">
        <f>'Orçado '!AI143</f>
        <v>0</v>
      </c>
      <c r="L44" s="142"/>
    </row>
    <row r="45" spans="2:20" hidden="1" x14ac:dyDescent="0.25">
      <c r="D45" s="73" t="e">
        <f t="shared" ref="D45:K45" si="26">D33/AVERAGE(C44:D44)</f>
        <v>#DIV/0!</v>
      </c>
      <c r="E45" s="73" t="e">
        <f t="shared" si="26"/>
        <v>#DIV/0!</v>
      </c>
      <c r="F45" s="73" t="e">
        <f t="shared" si="26"/>
        <v>#DIV/0!</v>
      </c>
      <c r="G45" s="73" t="e">
        <f t="shared" si="26"/>
        <v>#DIV/0!</v>
      </c>
      <c r="H45" s="73" t="e">
        <f t="shared" si="26"/>
        <v>#DIV/0!</v>
      </c>
      <c r="I45" s="73" t="e">
        <f t="shared" si="26"/>
        <v>#DIV/0!</v>
      </c>
      <c r="J45" s="73" t="e">
        <f t="shared" si="26"/>
        <v>#DIV/0!</v>
      </c>
      <c r="K45" s="73" t="e">
        <f t="shared" si="26"/>
        <v>#DIV/0!</v>
      </c>
      <c r="L45" s="73"/>
    </row>
    <row r="48" spans="2:20" x14ac:dyDescent="0.25">
      <c r="B48" s="135" t="s">
        <v>524</v>
      </c>
      <c r="C48" s="83"/>
      <c r="D48" s="83"/>
      <c r="E48" s="83"/>
      <c r="F48" s="83"/>
      <c r="G48" s="83"/>
      <c r="H48" s="83"/>
      <c r="I48" s="83"/>
      <c r="J48" s="83"/>
      <c r="K48" s="83"/>
    </row>
    <row r="49" spans="2:12" x14ac:dyDescent="0.25">
      <c r="B49" t="s">
        <v>5</v>
      </c>
      <c r="D49" s="104" t="e">
        <f t="shared" ref="D49:K49" si="27">D18</f>
        <v>#DIV/0!</v>
      </c>
      <c r="E49" s="104" t="e">
        <f t="shared" si="27"/>
        <v>#DIV/0!</v>
      </c>
      <c r="F49" s="104" t="e">
        <f t="shared" si="27"/>
        <v>#DIV/0!</v>
      </c>
      <c r="G49" s="104" t="e">
        <f t="shared" si="27"/>
        <v>#DIV/0!</v>
      </c>
      <c r="H49" s="104" t="e">
        <f t="shared" si="27"/>
        <v>#DIV/0!</v>
      </c>
      <c r="I49" s="104" t="e">
        <f t="shared" si="27"/>
        <v>#DIV/0!</v>
      </c>
      <c r="J49" s="104" t="e">
        <f t="shared" si="27"/>
        <v>#DIV/0!</v>
      </c>
      <c r="K49" s="104" t="e">
        <f t="shared" si="27"/>
        <v>#DIV/0!</v>
      </c>
      <c r="L49" s="104"/>
    </row>
    <row r="50" spans="2:12" x14ac:dyDescent="0.25">
      <c r="B50" t="s">
        <v>6</v>
      </c>
      <c r="D50" s="104" t="e">
        <f t="shared" ref="D50:K50" si="28">D42</f>
        <v>#DIV/0!</v>
      </c>
      <c r="E50" s="104" t="e">
        <f t="shared" si="28"/>
        <v>#DIV/0!</v>
      </c>
      <c r="F50" s="104" t="e">
        <f t="shared" si="28"/>
        <v>#DIV/0!</v>
      </c>
      <c r="G50" s="104" t="e">
        <f t="shared" si="28"/>
        <v>#DIV/0!</v>
      </c>
      <c r="H50" s="104" t="e">
        <f t="shared" si="28"/>
        <v>#DIV/0!</v>
      </c>
      <c r="I50" s="104" t="e">
        <f t="shared" si="28"/>
        <v>#DIV/0!</v>
      </c>
      <c r="J50" s="104" t="e">
        <f t="shared" si="28"/>
        <v>#DIV/0!</v>
      </c>
      <c r="K50" s="104" t="e">
        <f t="shared" si="28"/>
        <v>#DIV/0!</v>
      </c>
      <c r="L50" s="104"/>
    </row>
    <row r="51" spans="2:12" x14ac:dyDescent="0.25">
      <c r="B51" s="151" t="s">
        <v>525</v>
      </c>
      <c r="C51" s="151"/>
      <c r="D51" s="152" t="e">
        <f t="shared" ref="D51:K51" si="29">D49-D50</f>
        <v>#DIV/0!</v>
      </c>
      <c r="E51" s="152" t="e">
        <f t="shared" si="29"/>
        <v>#DIV/0!</v>
      </c>
      <c r="F51" s="152" t="e">
        <f t="shared" si="29"/>
        <v>#DIV/0!</v>
      </c>
      <c r="G51" s="152" t="e">
        <f t="shared" si="29"/>
        <v>#DIV/0!</v>
      </c>
      <c r="H51" s="152" t="e">
        <f t="shared" si="29"/>
        <v>#DIV/0!</v>
      </c>
      <c r="I51" s="152" t="e">
        <f t="shared" si="29"/>
        <v>#DIV/0!</v>
      </c>
      <c r="J51" s="152" t="e">
        <f t="shared" si="29"/>
        <v>#DIV/0!</v>
      </c>
      <c r="K51" s="152" t="e">
        <f t="shared" si="29"/>
        <v>#DIV/0!</v>
      </c>
      <c r="L51" s="171"/>
    </row>
    <row r="53" spans="2:12" x14ac:dyDescent="0.25">
      <c r="G53" s="42"/>
      <c r="H53" s="42"/>
      <c r="I53" s="42"/>
      <c r="J53" s="42"/>
      <c r="K53" s="42"/>
      <c r="L53" s="42"/>
    </row>
    <row r="54" spans="2:12" x14ac:dyDescent="0.25">
      <c r="B54" s="107"/>
      <c r="C54" s="107"/>
      <c r="D54" s="107">
        <v>22</v>
      </c>
      <c r="E54" s="107">
        <v>20</v>
      </c>
      <c r="F54" s="107">
        <v>19</v>
      </c>
      <c r="G54" s="107">
        <v>20</v>
      </c>
      <c r="H54" s="107">
        <v>21</v>
      </c>
      <c r="I54" s="107">
        <v>20</v>
      </c>
      <c r="J54" s="107">
        <v>20</v>
      </c>
      <c r="K54" s="107">
        <v>21</v>
      </c>
      <c r="L54" s="107"/>
    </row>
    <row r="55" spans="2:12" x14ac:dyDescent="0.25">
      <c r="B55" s="85" t="s">
        <v>526</v>
      </c>
      <c r="C55" s="107"/>
      <c r="D55" s="160">
        <f t="shared" ref="D55:K55" si="30">D32/D54</f>
        <v>0</v>
      </c>
      <c r="E55" s="160">
        <f t="shared" si="30"/>
        <v>0</v>
      </c>
      <c r="F55" s="160">
        <f t="shared" si="30"/>
        <v>0</v>
      </c>
      <c r="G55" s="160">
        <f t="shared" si="30"/>
        <v>0</v>
      </c>
      <c r="H55" s="160">
        <f t="shared" si="30"/>
        <v>0</v>
      </c>
      <c r="I55" s="160">
        <f t="shared" si="30"/>
        <v>0</v>
      </c>
      <c r="J55" s="160">
        <f t="shared" si="30"/>
        <v>0</v>
      </c>
      <c r="K55" s="160">
        <f t="shared" si="30"/>
        <v>0</v>
      </c>
      <c r="L55" s="160"/>
    </row>
    <row r="65" spans="2:2" x14ac:dyDescent="0.25">
      <c r="B65" t="s">
        <v>527</v>
      </c>
    </row>
    <row r="66" spans="2:2" x14ac:dyDescent="0.25">
      <c r="B66" s="110" t="s">
        <v>528</v>
      </c>
    </row>
    <row r="67" spans="2:2" x14ac:dyDescent="0.25">
      <c r="B67" s="110" t="s">
        <v>529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4"/>
  <dimension ref="A1:A25"/>
  <sheetViews>
    <sheetView workbookViewId="0">
      <selection activeCell="A10" sqref="A10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530</v>
      </c>
    </row>
    <row r="2" spans="1:1" x14ac:dyDescent="0.25">
      <c r="A2" s="23">
        <f>LARGE(Realizado!2:2,1)</f>
        <v>46387</v>
      </c>
    </row>
    <row r="3" spans="1:1" x14ac:dyDescent="0.25">
      <c r="A3" s="23">
        <f t="shared" ref="A3:A25" si="0">EOMONTH(A2,-1)</f>
        <v>46356</v>
      </c>
    </row>
    <row r="4" spans="1:1" x14ac:dyDescent="0.25">
      <c r="A4" s="23">
        <f t="shared" si="0"/>
        <v>46326</v>
      </c>
    </row>
    <row r="5" spans="1:1" x14ac:dyDescent="0.25">
      <c r="A5" s="23">
        <f t="shared" si="0"/>
        <v>46295</v>
      </c>
    </row>
    <row r="6" spans="1:1" x14ac:dyDescent="0.25">
      <c r="A6" s="23">
        <f t="shared" si="0"/>
        <v>46265</v>
      </c>
    </row>
    <row r="7" spans="1:1" x14ac:dyDescent="0.25">
      <c r="A7" s="23">
        <f t="shared" si="0"/>
        <v>46234</v>
      </c>
    </row>
    <row r="8" spans="1:1" x14ac:dyDescent="0.25">
      <c r="A8" s="23">
        <f t="shared" si="0"/>
        <v>46203</v>
      </c>
    </row>
    <row r="9" spans="1:1" x14ac:dyDescent="0.25">
      <c r="A9" s="23">
        <f t="shared" si="0"/>
        <v>46173</v>
      </c>
    </row>
    <row r="10" spans="1:1" x14ac:dyDescent="0.25">
      <c r="A10" s="23">
        <f t="shared" si="0"/>
        <v>46142</v>
      </c>
    </row>
    <row r="11" spans="1:1" x14ac:dyDescent="0.25">
      <c r="A11" s="23">
        <f t="shared" si="0"/>
        <v>46112</v>
      </c>
    </row>
    <row r="12" spans="1:1" x14ac:dyDescent="0.25">
      <c r="A12" s="23">
        <f t="shared" si="0"/>
        <v>46081</v>
      </c>
    </row>
    <row r="13" spans="1:1" x14ac:dyDescent="0.25">
      <c r="A13" s="23">
        <f t="shared" si="0"/>
        <v>46053</v>
      </c>
    </row>
    <row r="14" spans="1:1" x14ac:dyDescent="0.25">
      <c r="A14" s="23">
        <f t="shared" si="0"/>
        <v>46022</v>
      </c>
    </row>
    <row r="15" spans="1:1" x14ac:dyDescent="0.25">
      <c r="A15" s="23">
        <f t="shared" si="0"/>
        <v>45991</v>
      </c>
    </row>
    <row r="16" spans="1:1" x14ac:dyDescent="0.25">
      <c r="A16" s="23">
        <f t="shared" si="0"/>
        <v>45961</v>
      </c>
    </row>
    <row r="17" spans="1:1" x14ac:dyDescent="0.25">
      <c r="A17" s="23">
        <f t="shared" si="0"/>
        <v>45930</v>
      </c>
    </row>
    <row r="18" spans="1:1" x14ac:dyDescent="0.25">
      <c r="A18" s="23">
        <f t="shared" si="0"/>
        <v>45900</v>
      </c>
    </row>
    <row r="19" spans="1:1" x14ac:dyDescent="0.25">
      <c r="A19" s="23">
        <f t="shared" si="0"/>
        <v>45869</v>
      </c>
    </row>
    <row r="20" spans="1:1" x14ac:dyDescent="0.25">
      <c r="A20" s="23">
        <f t="shared" si="0"/>
        <v>45838</v>
      </c>
    </row>
    <row r="21" spans="1:1" x14ac:dyDescent="0.25">
      <c r="A21" s="23">
        <f t="shared" si="0"/>
        <v>45808</v>
      </c>
    </row>
    <row r="22" spans="1:1" x14ac:dyDescent="0.25">
      <c r="A22" s="23">
        <f t="shared" si="0"/>
        <v>45777</v>
      </c>
    </row>
    <row r="23" spans="1:1" x14ac:dyDescent="0.25">
      <c r="A23" s="23">
        <f t="shared" si="0"/>
        <v>45747</v>
      </c>
    </row>
    <row r="24" spans="1:1" x14ac:dyDescent="0.25">
      <c r="A24" s="23">
        <f t="shared" si="0"/>
        <v>45716</v>
      </c>
    </row>
    <row r="25" spans="1:1" x14ac:dyDescent="0.25">
      <c r="A25" s="23">
        <f t="shared" si="0"/>
        <v>45688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314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4" width="13" customWidth="1"/>
    <col min="5" max="5" width="18" customWidth="1"/>
    <col min="6" max="6" width="42" customWidth="1"/>
    <col min="7" max="7" width="18" customWidth="1"/>
    <col min="8" max="8" width="14" customWidth="1"/>
    <col min="9" max="9" width="16" customWidth="1"/>
    <col min="10" max="10" width="18" customWidth="1"/>
    <col min="11" max="11" width="14" customWidth="1"/>
    <col min="12" max="12" width="12" customWidth="1"/>
    <col min="14" max="14" width="60" customWidth="1"/>
  </cols>
  <sheetData>
    <row r="1" spans="1:14" ht="21.95" customHeight="1" x14ac:dyDescent="0.25">
      <c r="A1" s="427" t="s">
        <v>531</v>
      </c>
      <c r="B1" s="427" t="s">
        <v>532</v>
      </c>
      <c r="C1" s="427" t="s">
        <v>533</v>
      </c>
      <c r="D1" s="427" t="s">
        <v>534</v>
      </c>
      <c r="E1" s="427" t="s">
        <v>535</v>
      </c>
      <c r="F1" s="427" t="s">
        <v>536</v>
      </c>
      <c r="G1" s="427" t="s">
        <v>537</v>
      </c>
      <c r="H1" s="427" t="s">
        <v>538</v>
      </c>
      <c r="I1" s="427" t="s">
        <v>539</v>
      </c>
      <c r="J1" s="427" t="s">
        <v>540</v>
      </c>
      <c r="K1" s="427" t="s">
        <v>541</v>
      </c>
      <c r="L1" s="427" t="s">
        <v>542</v>
      </c>
      <c r="N1" s="428" t="s">
        <v>543</v>
      </c>
    </row>
    <row r="2" spans="1:14" ht="18" customHeight="1" x14ac:dyDescent="0.25">
      <c r="A2" t="s">
        <v>544</v>
      </c>
      <c r="B2" s="23">
        <f>DATE(YEAR('P&amp;L Mensal'!$F$1),MONTH('P&amp;L Mensal'!$F$1),1)</f>
        <v>46082</v>
      </c>
      <c r="C2" s="23">
        <f>'P&amp;L Mensal'!$F$1</f>
        <v>46112</v>
      </c>
      <c r="D2" s="23">
        <f>'P&amp;L Mensal'!$F$1</f>
        <v>46112</v>
      </c>
      <c r="E2" t="str">
        <f>TEXT('P&amp;L Mensal'!$F$1,"mmm/yyyy")</f>
        <v>mar/yyyy</v>
      </c>
      <c r="F2" t="s">
        <v>9</v>
      </c>
      <c r="G2" t="s">
        <v>205</v>
      </c>
      <c r="H2" t="s">
        <v>5</v>
      </c>
      <c r="I2" s="429">
        <f>'P&amp;L Mensal'!C5</f>
        <v>7877352.9171399996</v>
      </c>
      <c r="J2" t="s">
        <v>545</v>
      </c>
      <c r="K2" t="s">
        <v>546</v>
      </c>
      <c r="L2">
        <v>5</v>
      </c>
      <c r="N2" s="430" t="s">
        <v>547</v>
      </c>
    </row>
    <row r="3" spans="1:14" ht="18" customHeight="1" x14ac:dyDescent="0.25">
      <c r="A3" t="s">
        <v>544</v>
      </c>
      <c r="B3" s="23">
        <f>DATE(YEAR('P&amp;L Mensal'!$F$1),MONTH('P&amp;L Mensal'!$F$1),1)</f>
        <v>46082</v>
      </c>
      <c r="C3" s="23">
        <f>'P&amp;L Mensal'!$F$1</f>
        <v>46112</v>
      </c>
      <c r="D3" s="23">
        <f>'P&amp;L Mensal'!$F$1</f>
        <v>46112</v>
      </c>
      <c r="E3" t="str">
        <f>TEXT('P&amp;L Mensal'!$F$1,"mmm/yyyy")</f>
        <v>mar/yyyy</v>
      </c>
      <c r="F3" t="s">
        <v>9</v>
      </c>
      <c r="G3" t="s">
        <v>205</v>
      </c>
      <c r="H3" t="s">
        <v>6</v>
      </c>
      <c r="I3" s="429">
        <f>'P&amp;L Mensal'!D5</f>
        <v>7759392.6523530688</v>
      </c>
      <c r="J3" t="s">
        <v>545</v>
      </c>
      <c r="K3" t="s">
        <v>548</v>
      </c>
      <c r="L3">
        <v>5</v>
      </c>
    </row>
    <row r="4" spans="1:14" ht="18" customHeight="1" x14ac:dyDescent="0.25">
      <c r="A4" t="s">
        <v>544</v>
      </c>
      <c r="B4" s="23">
        <f>DATE(YEAR('P&amp;L Mensal'!$F$1),MONTH('P&amp;L Mensal'!$F$1),1)</f>
        <v>46082</v>
      </c>
      <c r="C4" s="23">
        <f>'P&amp;L Mensal'!$F$1</f>
        <v>46112</v>
      </c>
      <c r="D4" s="23">
        <f>'P&amp;L Mensal'!$F$1</f>
        <v>46112</v>
      </c>
      <c r="E4" t="str">
        <f>TEXT('P&amp;L Mensal'!$F$1,"mmm/yyyy")</f>
        <v>mar/yyyy</v>
      </c>
      <c r="F4" t="s">
        <v>9</v>
      </c>
      <c r="G4" t="s">
        <v>205</v>
      </c>
      <c r="H4" t="s">
        <v>549</v>
      </c>
      <c r="I4" s="104">
        <f>'P&amp;L Mensal'!E5</f>
        <v>1.52022548763735E-2</v>
      </c>
      <c r="J4" t="s">
        <v>545</v>
      </c>
      <c r="K4" t="s">
        <v>550</v>
      </c>
      <c r="L4">
        <v>5</v>
      </c>
    </row>
    <row r="5" spans="1:14" ht="18" customHeight="1" x14ac:dyDescent="0.25">
      <c r="A5" t="s">
        <v>544</v>
      </c>
      <c r="B5" s="23">
        <f>DATE(YEAR('P&amp;L Mensal'!$F$1),MONTH('P&amp;L Mensal'!$F$1),1)</f>
        <v>46082</v>
      </c>
      <c r="C5" s="23">
        <f>'P&amp;L Mensal'!$F$1</f>
        <v>46112</v>
      </c>
      <c r="D5" s="23">
        <f>'P&amp;L Mensal'!$F$1</f>
        <v>46112</v>
      </c>
      <c r="E5" t="str">
        <f>TEXT('P&amp;L Mensal'!$F$1,"mmm/yyyy")</f>
        <v>mar/yyyy</v>
      </c>
      <c r="F5" t="s">
        <v>9</v>
      </c>
      <c r="G5" t="s">
        <v>220</v>
      </c>
      <c r="H5" t="s">
        <v>5</v>
      </c>
      <c r="I5" s="429">
        <f>'P&amp;L Mensal'!F5</f>
        <v>33774612.562860012</v>
      </c>
      <c r="J5" t="s">
        <v>545</v>
      </c>
      <c r="K5" t="s">
        <v>551</v>
      </c>
      <c r="L5">
        <v>5</v>
      </c>
    </row>
    <row r="6" spans="1:14" ht="18" customHeight="1" x14ac:dyDescent="0.25">
      <c r="A6" t="s">
        <v>544</v>
      </c>
      <c r="B6" s="23">
        <f>DATE(YEAR('P&amp;L Mensal'!$F$1),MONTH('P&amp;L Mensal'!$F$1),1)</f>
        <v>46082</v>
      </c>
      <c r="C6" s="23">
        <f>'P&amp;L Mensal'!$F$1</f>
        <v>46112</v>
      </c>
      <c r="D6" s="23">
        <f>'P&amp;L Mensal'!$F$1</f>
        <v>46112</v>
      </c>
      <c r="E6" t="str">
        <f>TEXT('P&amp;L Mensal'!$F$1,"mmm/yyyy")</f>
        <v>mar/yyyy</v>
      </c>
      <c r="F6" t="s">
        <v>9</v>
      </c>
      <c r="G6" t="s">
        <v>220</v>
      </c>
      <c r="H6" t="s">
        <v>6</v>
      </c>
      <c r="I6" s="429">
        <f>'P&amp;L Mensal'!G5</f>
        <v>29464374.413464338</v>
      </c>
      <c r="J6" t="s">
        <v>545</v>
      </c>
      <c r="K6" t="s">
        <v>552</v>
      </c>
      <c r="L6">
        <v>5</v>
      </c>
    </row>
    <row r="7" spans="1:14" ht="18" customHeight="1" x14ac:dyDescent="0.25">
      <c r="A7" t="s">
        <v>544</v>
      </c>
      <c r="B7" s="23">
        <f>DATE(YEAR('P&amp;L Mensal'!$F$1),MONTH('P&amp;L Mensal'!$F$1),1)</f>
        <v>46082</v>
      </c>
      <c r="C7" s="23">
        <f>'P&amp;L Mensal'!$F$1</f>
        <v>46112</v>
      </c>
      <c r="D7" s="23">
        <f>'P&amp;L Mensal'!$F$1</f>
        <v>46112</v>
      </c>
      <c r="E7" t="str">
        <f>TEXT('P&amp;L Mensal'!$F$1,"mmm/yyyy")</f>
        <v>mar/yyyy</v>
      </c>
      <c r="F7" t="s">
        <v>9</v>
      </c>
      <c r="G7" t="s">
        <v>220</v>
      </c>
      <c r="H7" t="s">
        <v>549</v>
      </c>
      <c r="I7" s="104">
        <f>'P&amp;L Mensal'!H5</f>
        <v>0.14628643014480658</v>
      </c>
      <c r="J7" t="s">
        <v>545</v>
      </c>
      <c r="K7" t="s">
        <v>553</v>
      </c>
      <c r="L7">
        <v>5</v>
      </c>
    </row>
    <row r="8" spans="1:14" ht="18" customHeight="1" x14ac:dyDescent="0.25">
      <c r="A8" t="s">
        <v>544</v>
      </c>
      <c r="B8" s="23">
        <f>DATE(YEAR('P&amp;L Mensal'!$F$1),MONTH('P&amp;L Mensal'!$F$1),1)</f>
        <v>46082</v>
      </c>
      <c r="C8" s="23">
        <f>'P&amp;L Mensal'!$F$1</f>
        <v>46112</v>
      </c>
      <c r="D8" s="23">
        <f>'P&amp;L Mensal'!$F$1</f>
        <v>46112</v>
      </c>
      <c r="E8" t="str">
        <f>TEXT('P&amp;L Mensal'!$F$1,"mmm/yyyy")</f>
        <v>mar/yyyy</v>
      </c>
      <c r="F8" t="s">
        <v>9</v>
      </c>
      <c r="G8" t="s">
        <v>96</v>
      </c>
      <c r="H8" t="s">
        <v>5</v>
      </c>
      <c r="I8" s="429">
        <f>'P&amp;L Mensal'!I5</f>
        <v>41651965.480000012</v>
      </c>
      <c r="J8" t="s">
        <v>545</v>
      </c>
      <c r="K8" t="s">
        <v>554</v>
      </c>
      <c r="L8">
        <v>5</v>
      </c>
    </row>
    <row r="9" spans="1:14" ht="18" customHeight="1" x14ac:dyDescent="0.25">
      <c r="A9" t="s">
        <v>544</v>
      </c>
      <c r="B9" s="23">
        <f>DATE(YEAR('P&amp;L Mensal'!$F$1),MONTH('P&amp;L Mensal'!$F$1),1)</f>
        <v>46082</v>
      </c>
      <c r="C9" s="23">
        <f>'P&amp;L Mensal'!$F$1</f>
        <v>46112</v>
      </c>
      <c r="D9" s="23">
        <f>'P&amp;L Mensal'!$F$1</f>
        <v>46112</v>
      </c>
      <c r="E9" t="str">
        <f>TEXT('P&amp;L Mensal'!$F$1,"mmm/yyyy")</f>
        <v>mar/yyyy</v>
      </c>
      <c r="F9" t="s">
        <v>9</v>
      </c>
      <c r="G9" t="s">
        <v>96</v>
      </c>
      <c r="H9" t="s">
        <v>6</v>
      </c>
      <c r="I9" s="429">
        <f>'P&amp;L Mensal'!J5</f>
        <v>37223767.065817401</v>
      </c>
      <c r="J9" t="s">
        <v>545</v>
      </c>
      <c r="K9" t="s">
        <v>555</v>
      </c>
      <c r="L9">
        <v>5</v>
      </c>
    </row>
    <row r="10" spans="1:14" ht="18" customHeight="1" x14ac:dyDescent="0.25">
      <c r="A10" t="s">
        <v>544</v>
      </c>
      <c r="B10" s="23">
        <f>DATE(YEAR('P&amp;L Mensal'!$F$1),MONTH('P&amp;L Mensal'!$F$1),1)</f>
        <v>46082</v>
      </c>
      <c r="C10" s="23">
        <f>'P&amp;L Mensal'!$F$1</f>
        <v>46112</v>
      </c>
      <c r="D10" s="23">
        <f>'P&amp;L Mensal'!$F$1</f>
        <v>46112</v>
      </c>
      <c r="E10" t="str">
        <f>TEXT('P&amp;L Mensal'!$F$1,"mmm/yyyy")</f>
        <v>mar/yyyy</v>
      </c>
      <c r="F10" t="s">
        <v>9</v>
      </c>
      <c r="G10" t="s">
        <v>96</v>
      </c>
      <c r="H10" t="s">
        <v>549</v>
      </c>
      <c r="I10" s="104">
        <f>'P&amp;L Mensal'!K5</f>
        <v>0.11896158726635231</v>
      </c>
      <c r="J10" t="s">
        <v>545</v>
      </c>
      <c r="K10" t="s">
        <v>556</v>
      </c>
      <c r="L10">
        <v>5</v>
      </c>
    </row>
    <row r="11" spans="1:14" ht="18" customHeight="1" x14ac:dyDescent="0.25">
      <c r="A11" t="s">
        <v>544</v>
      </c>
      <c r="B11" s="23">
        <f>DATE(YEAR('P&amp;L Mensal'!$F$1),MONTH('P&amp;L Mensal'!$F$1),1)</f>
        <v>46082</v>
      </c>
      <c r="C11" s="23">
        <f>'P&amp;L Mensal'!$F$1</f>
        <v>46112</v>
      </c>
      <c r="D11" s="23">
        <f>'P&amp;L Mensal'!$F$1</f>
        <v>46112</v>
      </c>
      <c r="E11" t="str">
        <f>TEXT('P&amp;L Mensal'!$F$1,"mmm/yyyy")</f>
        <v>mar/yyyy</v>
      </c>
      <c r="F11" t="s">
        <v>9</v>
      </c>
      <c r="G11" t="s">
        <v>96</v>
      </c>
      <c r="H11" t="s">
        <v>557</v>
      </c>
      <c r="I11" s="429">
        <f>'P&amp;L Mensal'!L5</f>
        <v>4428198.4141826108</v>
      </c>
      <c r="J11" t="s">
        <v>545</v>
      </c>
      <c r="K11" t="s">
        <v>558</v>
      </c>
      <c r="L11">
        <v>5</v>
      </c>
    </row>
    <row r="12" spans="1:14" ht="18" customHeight="1" x14ac:dyDescent="0.25">
      <c r="A12" t="s">
        <v>544</v>
      </c>
      <c r="B12" s="23">
        <f>DATE(YEAR('P&amp;L Mensal'!$F$1),MONTH('P&amp;L Mensal'!$F$1),1)</f>
        <v>46082</v>
      </c>
      <c r="C12" s="23">
        <f>'P&amp;L Mensal'!$F$1</f>
        <v>46112</v>
      </c>
      <c r="D12" s="23">
        <f>'P&amp;L Mensal'!$F$1</f>
        <v>46112</v>
      </c>
      <c r="E12" t="str">
        <f>TEXT('P&amp;L Mensal'!$F$1,"mmm/yyyy")</f>
        <v>mar/yyyy</v>
      </c>
      <c r="F12" t="s">
        <v>10</v>
      </c>
      <c r="G12" t="s">
        <v>205</v>
      </c>
      <c r="H12" t="s">
        <v>5</v>
      </c>
      <c r="I12" s="429">
        <f>'P&amp;L Mensal'!C6</f>
        <v>7868473.4199999999</v>
      </c>
      <c r="J12" t="s">
        <v>545</v>
      </c>
      <c r="K12" t="s">
        <v>559</v>
      </c>
      <c r="L12">
        <v>6</v>
      </c>
    </row>
    <row r="13" spans="1:14" ht="18" customHeight="1" x14ac:dyDescent="0.25">
      <c r="A13" t="s">
        <v>544</v>
      </c>
      <c r="B13" s="23">
        <f>DATE(YEAR('P&amp;L Mensal'!$F$1),MONTH('P&amp;L Mensal'!$F$1),1)</f>
        <v>46082</v>
      </c>
      <c r="C13" s="23">
        <f>'P&amp;L Mensal'!$F$1</f>
        <v>46112</v>
      </c>
      <c r="D13" s="23">
        <f>'P&amp;L Mensal'!$F$1</f>
        <v>46112</v>
      </c>
      <c r="E13" t="str">
        <f>TEXT('P&amp;L Mensal'!$F$1,"mmm/yyyy")</f>
        <v>mar/yyyy</v>
      </c>
      <c r="F13" t="s">
        <v>10</v>
      </c>
      <c r="G13" t="s">
        <v>205</v>
      </c>
      <c r="H13" t="s">
        <v>6</v>
      </c>
      <c r="I13" s="429">
        <f>'P&amp;L Mensal'!D6</f>
        <v>7746926.0906509412</v>
      </c>
      <c r="J13" t="s">
        <v>545</v>
      </c>
      <c r="K13" t="s">
        <v>560</v>
      </c>
      <c r="L13">
        <v>6</v>
      </c>
    </row>
    <row r="14" spans="1:14" ht="18" customHeight="1" x14ac:dyDescent="0.25">
      <c r="A14" t="s">
        <v>544</v>
      </c>
      <c r="B14" s="23">
        <f>DATE(YEAR('P&amp;L Mensal'!$F$1),MONTH('P&amp;L Mensal'!$F$1),1)</f>
        <v>46082</v>
      </c>
      <c r="C14" s="23">
        <f>'P&amp;L Mensal'!$F$1</f>
        <v>46112</v>
      </c>
      <c r="D14" s="23">
        <f>'P&amp;L Mensal'!$F$1</f>
        <v>46112</v>
      </c>
      <c r="E14" t="str">
        <f>TEXT('P&amp;L Mensal'!$F$1,"mmm/yyyy")</f>
        <v>mar/yyyy</v>
      </c>
      <c r="F14" t="s">
        <v>10</v>
      </c>
      <c r="G14" t="s">
        <v>205</v>
      </c>
      <c r="H14" t="s">
        <v>549</v>
      </c>
      <c r="I14" s="104">
        <f>'P&amp;L Mensal'!E6</f>
        <v>1.5689749447299173E-2</v>
      </c>
      <c r="J14" t="s">
        <v>545</v>
      </c>
      <c r="K14" t="s">
        <v>561</v>
      </c>
      <c r="L14">
        <v>6</v>
      </c>
    </row>
    <row r="15" spans="1:14" ht="18" customHeight="1" x14ac:dyDescent="0.25">
      <c r="A15" t="s">
        <v>544</v>
      </c>
      <c r="B15" s="23">
        <f>DATE(YEAR('P&amp;L Mensal'!$F$1),MONTH('P&amp;L Mensal'!$F$1),1)</f>
        <v>46082</v>
      </c>
      <c r="C15" s="23">
        <f>'P&amp;L Mensal'!$F$1</f>
        <v>46112</v>
      </c>
      <c r="D15" s="23">
        <f>'P&amp;L Mensal'!$F$1</f>
        <v>46112</v>
      </c>
      <c r="E15" t="str">
        <f>TEXT('P&amp;L Mensal'!$F$1,"mmm/yyyy")</f>
        <v>mar/yyyy</v>
      </c>
      <c r="F15" t="s">
        <v>10</v>
      </c>
      <c r="G15" t="s">
        <v>220</v>
      </c>
      <c r="H15" t="s">
        <v>5</v>
      </c>
      <c r="I15" s="429">
        <f>'P&amp;L Mensal'!F6</f>
        <v>29656160.820000008</v>
      </c>
      <c r="J15" t="s">
        <v>545</v>
      </c>
      <c r="K15" t="s">
        <v>562</v>
      </c>
      <c r="L15">
        <v>6</v>
      </c>
    </row>
    <row r="16" spans="1:14" ht="18" customHeight="1" x14ac:dyDescent="0.25">
      <c r="A16" t="s">
        <v>544</v>
      </c>
      <c r="B16" s="23">
        <f>DATE(YEAR('P&amp;L Mensal'!$F$1),MONTH('P&amp;L Mensal'!$F$1),1)</f>
        <v>46082</v>
      </c>
      <c r="C16" s="23">
        <f>'P&amp;L Mensal'!$F$1</f>
        <v>46112</v>
      </c>
      <c r="D16" s="23">
        <f>'P&amp;L Mensal'!$F$1</f>
        <v>46112</v>
      </c>
      <c r="E16" t="str">
        <f>TEXT('P&amp;L Mensal'!$F$1,"mmm/yyyy")</f>
        <v>mar/yyyy</v>
      </c>
      <c r="F16" t="s">
        <v>10</v>
      </c>
      <c r="G16" t="s">
        <v>220</v>
      </c>
      <c r="H16" t="s">
        <v>6</v>
      </c>
      <c r="I16" s="429">
        <f>'P&amp;L Mensal'!G6</f>
        <v>26280606.350166462</v>
      </c>
      <c r="J16" t="s">
        <v>545</v>
      </c>
      <c r="K16" t="s">
        <v>563</v>
      </c>
      <c r="L16">
        <v>6</v>
      </c>
    </row>
    <row r="17" spans="1:12" ht="18" customHeight="1" x14ac:dyDescent="0.25">
      <c r="A17" t="s">
        <v>544</v>
      </c>
      <c r="B17" s="23">
        <f>DATE(YEAR('P&amp;L Mensal'!$F$1),MONTH('P&amp;L Mensal'!$F$1),1)</f>
        <v>46082</v>
      </c>
      <c r="C17" s="23">
        <f>'P&amp;L Mensal'!$F$1</f>
        <v>46112</v>
      </c>
      <c r="D17" s="23">
        <f>'P&amp;L Mensal'!$F$1</f>
        <v>46112</v>
      </c>
      <c r="E17" t="str">
        <f>TEXT('P&amp;L Mensal'!$F$1,"mmm/yyyy")</f>
        <v>mar/yyyy</v>
      </c>
      <c r="F17" t="s">
        <v>10</v>
      </c>
      <c r="G17" t="s">
        <v>220</v>
      </c>
      <c r="H17" t="s">
        <v>549</v>
      </c>
      <c r="I17" s="104">
        <f>'P&amp;L Mensal'!H6</f>
        <v>0.12844279256183011</v>
      </c>
      <c r="J17" t="s">
        <v>545</v>
      </c>
      <c r="K17" t="s">
        <v>564</v>
      </c>
      <c r="L17">
        <v>6</v>
      </c>
    </row>
    <row r="18" spans="1:12" ht="18" customHeight="1" x14ac:dyDescent="0.25">
      <c r="A18" t="s">
        <v>544</v>
      </c>
      <c r="B18" s="23">
        <f>DATE(YEAR('P&amp;L Mensal'!$F$1),MONTH('P&amp;L Mensal'!$F$1),1)</f>
        <v>46082</v>
      </c>
      <c r="C18" s="23">
        <f>'P&amp;L Mensal'!$F$1</f>
        <v>46112</v>
      </c>
      <c r="D18" s="23">
        <f>'P&amp;L Mensal'!$F$1</f>
        <v>46112</v>
      </c>
      <c r="E18" t="str">
        <f>TEXT('P&amp;L Mensal'!$F$1,"mmm/yyyy")</f>
        <v>mar/yyyy</v>
      </c>
      <c r="F18" t="s">
        <v>10</v>
      </c>
      <c r="G18" t="s">
        <v>96</v>
      </c>
      <c r="H18" t="s">
        <v>5</v>
      </c>
      <c r="I18" s="429">
        <f>'P&amp;L Mensal'!I6</f>
        <v>37524634.24000001</v>
      </c>
      <c r="J18" t="s">
        <v>545</v>
      </c>
      <c r="K18" t="s">
        <v>565</v>
      </c>
      <c r="L18">
        <v>6</v>
      </c>
    </row>
    <row r="19" spans="1:12" ht="18" customHeight="1" x14ac:dyDescent="0.25">
      <c r="A19" t="s">
        <v>544</v>
      </c>
      <c r="B19" s="23">
        <f>DATE(YEAR('P&amp;L Mensal'!$F$1),MONTH('P&amp;L Mensal'!$F$1),1)</f>
        <v>46082</v>
      </c>
      <c r="C19" s="23">
        <f>'P&amp;L Mensal'!$F$1</f>
        <v>46112</v>
      </c>
      <c r="D19" s="23">
        <f>'P&amp;L Mensal'!$F$1</f>
        <v>46112</v>
      </c>
      <c r="E19" t="str">
        <f>TEXT('P&amp;L Mensal'!$F$1,"mmm/yyyy")</f>
        <v>mar/yyyy</v>
      </c>
      <c r="F19" t="s">
        <v>10</v>
      </c>
      <c r="G19" t="s">
        <v>96</v>
      </c>
      <c r="H19" t="s">
        <v>6</v>
      </c>
      <c r="I19" s="429">
        <f>'P&amp;L Mensal'!J6</f>
        <v>34027532.440817401</v>
      </c>
      <c r="J19" t="s">
        <v>545</v>
      </c>
      <c r="K19" t="s">
        <v>566</v>
      </c>
      <c r="L19">
        <v>6</v>
      </c>
    </row>
    <row r="20" spans="1:12" ht="18" customHeight="1" x14ac:dyDescent="0.25">
      <c r="A20" t="s">
        <v>544</v>
      </c>
      <c r="B20" s="23">
        <f>DATE(YEAR('P&amp;L Mensal'!$F$1),MONTH('P&amp;L Mensal'!$F$1),1)</f>
        <v>46082</v>
      </c>
      <c r="C20" s="23">
        <f>'P&amp;L Mensal'!$F$1</f>
        <v>46112</v>
      </c>
      <c r="D20" s="23">
        <f>'P&amp;L Mensal'!$F$1</f>
        <v>46112</v>
      </c>
      <c r="E20" t="str">
        <f>TEXT('P&amp;L Mensal'!$F$1,"mmm/yyyy")</f>
        <v>mar/yyyy</v>
      </c>
      <c r="F20" t="s">
        <v>10</v>
      </c>
      <c r="G20" t="s">
        <v>96</v>
      </c>
      <c r="H20" t="s">
        <v>549</v>
      </c>
      <c r="I20" s="104">
        <f>'P&amp;L Mensal'!K6</f>
        <v>0.1027727122225206</v>
      </c>
      <c r="J20" t="s">
        <v>545</v>
      </c>
      <c r="K20" t="s">
        <v>567</v>
      </c>
      <c r="L20">
        <v>6</v>
      </c>
    </row>
    <row r="21" spans="1:12" ht="18" customHeight="1" x14ac:dyDescent="0.25">
      <c r="A21" t="s">
        <v>544</v>
      </c>
      <c r="B21" s="23">
        <f>DATE(YEAR('P&amp;L Mensal'!$F$1),MONTH('P&amp;L Mensal'!$F$1),1)</f>
        <v>46082</v>
      </c>
      <c r="C21" s="23">
        <f>'P&amp;L Mensal'!$F$1</f>
        <v>46112</v>
      </c>
      <c r="D21" s="23">
        <f>'P&amp;L Mensal'!$F$1</f>
        <v>46112</v>
      </c>
      <c r="E21" t="str">
        <f>TEXT('P&amp;L Mensal'!$F$1,"mmm/yyyy")</f>
        <v>mar/yyyy</v>
      </c>
      <c r="F21" t="s">
        <v>10</v>
      </c>
      <c r="G21" t="s">
        <v>96</v>
      </c>
      <c r="H21" t="s">
        <v>557</v>
      </c>
      <c r="I21" s="429">
        <f>'P&amp;L Mensal'!L6</f>
        <v>3497101.7991826087</v>
      </c>
      <c r="J21" t="s">
        <v>545</v>
      </c>
      <c r="K21" t="s">
        <v>568</v>
      </c>
      <c r="L21">
        <v>6</v>
      </c>
    </row>
    <row r="22" spans="1:12" ht="18" customHeight="1" x14ac:dyDescent="0.25">
      <c r="A22" t="s">
        <v>544</v>
      </c>
      <c r="B22" s="23">
        <f>DATE(YEAR('P&amp;L Mensal'!$F$1),MONTH('P&amp;L Mensal'!$F$1),1)</f>
        <v>46082</v>
      </c>
      <c r="C22" s="23">
        <f>'P&amp;L Mensal'!$F$1</f>
        <v>46112</v>
      </c>
      <c r="D22" s="23">
        <f>'P&amp;L Mensal'!$F$1</f>
        <v>46112</v>
      </c>
      <c r="E22" t="str">
        <f>TEXT('P&amp;L Mensal'!$F$1,"mmm/yyyy")</f>
        <v>mar/yyyy</v>
      </c>
      <c r="F22" t="s">
        <v>11</v>
      </c>
      <c r="G22" t="s">
        <v>205</v>
      </c>
      <c r="H22" t="s">
        <v>5</v>
      </c>
      <c r="I22" s="429">
        <f>'P&amp;L Mensal'!C7</f>
        <v>6041460.75</v>
      </c>
      <c r="J22" t="s">
        <v>545</v>
      </c>
      <c r="K22" t="s">
        <v>569</v>
      </c>
      <c r="L22">
        <v>7</v>
      </c>
    </row>
    <row r="23" spans="1:12" ht="18" customHeight="1" x14ac:dyDescent="0.25">
      <c r="A23" t="s">
        <v>544</v>
      </c>
      <c r="B23" s="23">
        <f>DATE(YEAR('P&amp;L Mensal'!$F$1),MONTH('P&amp;L Mensal'!$F$1),1)</f>
        <v>46082</v>
      </c>
      <c r="C23" s="23">
        <f>'P&amp;L Mensal'!$F$1</f>
        <v>46112</v>
      </c>
      <c r="D23" s="23">
        <f>'P&amp;L Mensal'!$F$1</f>
        <v>46112</v>
      </c>
      <c r="E23" t="str">
        <f>TEXT('P&amp;L Mensal'!$F$1,"mmm/yyyy")</f>
        <v>mar/yyyy</v>
      </c>
      <c r="F23" t="s">
        <v>11</v>
      </c>
      <c r="G23" t="s">
        <v>205</v>
      </c>
      <c r="H23" t="s">
        <v>6</v>
      </c>
      <c r="I23" s="429">
        <f>'P&amp;L Mensal'!D7</f>
        <v>6046154.6488325596</v>
      </c>
      <c r="J23" t="s">
        <v>545</v>
      </c>
      <c r="K23" t="s">
        <v>570</v>
      </c>
      <c r="L23">
        <v>7</v>
      </c>
    </row>
    <row r="24" spans="1:12" ht="18" customHeight="1" x14ac:dyDescent="0.25">
      <c r="A24" t="s">
        <v>544</v>
      </c>
      <c r="B24" s="23">
        <f>DATE(YEAR('P&amp;L Mensal'!$F$1),MONTH('P&amp;L Mensal'!$F$1),1)</f>
        <v>46082</v>
      </c>
      <c r="C24" s="23">
        <f>'P&amp;L Mensal'!$F$1</f>
        <v>46112</v>
      </c>
      <c r="D24" s="23">
        <f>'P&amp;L Mensal'!$F$1</f>
        <v>46112</v>
      </c>
      <c r="E24" t="str">
        <f>TEXT('P&amp;L Mensal'!$F$1,"mmm/yyyy")</f>
        <v>mar/yyyy</v>
      </c>
      <c r="F24" t="s">
        <v>11</v>
      </c>
      <c r="G24" t="s">
        <v>205</v>
      </c>
      <c r="H24" t="s">
        <v>549</v>
      </c>
      <c r="I24" s="104">
        <f>'P&amp;L Mensal'!E7</f>
        <v>-7.7634448756047636E-4</v>
      </c>
      <c r="J24" t="s">
        <v>545</v>
      </c>
      <c r="K24" t="s">
        <v>571</v>
      </c>
      <c r="L24">
        <v>7</v>
      </c>
    </row>
    <row r="25" spans="1:12" ht="18" customHeight="1" x14ac:dyDescent="0.25">
      <c r="A25" t="s">
        <v>544</v>
      </c>
      <c r="B25" s="23">
        <f>DATE(YEAR('P&amp;L Mensal'!$F$1),MONTH('P&amp;L Mensal'!$F$1),1)</f>
        <v>46082</v>
      </c>
      <c r="C25" s="23">
        <f>'P&amp;L Mensal'!$F$1</f>
        <v>46112</v>
      </c>
      <c r="D25" s="23">
        <f>'P&amp;L Mensal'!$F$1</f>
        <v>46112</v>
      </c>
      <c r="E25" t="str">
        <f>TEXT('P&amp;L Mensal'!$F$1,"mmm/yyyy")</f>
        <v>mar/yyyy</v>
      </c>
      <c r="F25" t="s">
        <v>11</v>
      </c>
      <c r="G25" t="s">
        <v>220</v>
      </c>
      <c r="H25" t="s">
        <v>5</v>
      </c>
      <c r="I25" s="429">
        <f>'P&amp;L Mensal'!F7</f>
        <v>21983325.100000009</v>
      </c>
      <c r="J25" t="s">
        <v>545</v>
      </c>
      <c r="K25" t="s">
        <v>572</v>
      </c>
      <c r="L25">
        <v>7</v>
      </c>
    </row>
    <row r="26" spans="1:12" ht="18" customHeight="1" x14ac:dyDescent="0.25">
      <c r="A26" t="s">
        <v>544</v>
      </c>
      <c r="B26" s="23">
        <f>DATE(YEAR('P&amp;L Mensal'!$F$1),MONTH('P&amp;L Mensal'!$F$1),1)</f>
        <v>46082</v>
      </c>
      <c r="C26" s="23">
        <f>'P&amp;L Mensal'!$F$1</f>
        <v>46112</v>
      </c>
      <c r="D26" s="23">
        <f>'P&amp;L Mensal'!$F$1</f>
        <v>46112</v>
      </c>
      <c r="E26" t="str">
        <f>TEXT('P&amp;L Mensal'!$F$1,"mmm/yyyy")</f>
        <v>mar/yyyy</v>
      </c>
      <c r="F26" t="s">
        <v>11</v>
      </c>
      <c r="G26" t="s">
        <v>220</v>
      </c>
      <c r="H26" t="s">
        <v>6</v>
      </c>
      <c r="I26" s="429">
        <f>'P&amp;L Mensal'!G7</f>
        <v>20556771.502015632</v>
      </c>
      <c r="J26" t="s">
        <v>545</v>
      </c>
      <c r="K26" t="s">
        <v>573</v>
      </c>
      <c r="L26">
        <v>7</v>
      </c>
    </row>
    <row r="27" spans="1:12" ht="18" customHeight="1" x14ac:dyDescent="0.25">
      <c r="A27" t="s">
        <v>544</v>
      </c>
      <c r="B27" s="23">
        <f>DATE(YEAR('P&amp;L Mensal'!$F$1),MONTH('P&amp;L Mensal'!$F$1),1)</f>
        <v>46082</v>
      </c>
      <c r="C27" s="23">
        <f>'P&amp;L Mensal'!$F$1</f>
        <v>46112</v>
      </c>
      <c r="D27" s="23">
        <f>'P&amp;L Mensal'!$F$1</f>
        <v>46112</v>
      </c>
      <c r="E27" t="str">
        <f>TEXT('P&amp;L Mensal'!$F$1,"mmm/yyyy")</f>
        <v>mar/yyyy</v>
      </c>
      <c r="F27" t="s">
        <v>11</v>
      </c>
      <c r="G27" t="s">
        <v>220</v>
      </c>
      <c r="H27" t="s">
        <v>549</v>
      </c>
      <c r="I27" s="104">
        <f>'P&amp;L Mensal'!H7</f>
        <v>6.939579971711507E-2</v>
      </c>
      <c r="J27" t="s">
        <v>545</v>
      </c>
      <c r="K27" t="s">
        <v>574</v>
      </c>
      <c r="L27">
        <v>7</v>
      </c>
    </row>
    <row r="28" spans="1:12" ht="18" customHeight="1" x14ac:dyDescent="0.25">
      <c r="A28" t="s">
        <v>544</v>
      </c>
      <c r="B28" s="23">
        <f>DATE(YEAR('P&amp;L Mensal'!$F$1),MONTH('P&amp;L Mensal'!$F$1),1)</f>
        <v>46082</v>
      </c>
      <c r="C28" s="23">
        <f>'P&amp;L Mensal'!$F$1</f>
        <v>46112</v>
      </c>
      <c r="D28" s="23">
        <f>'P&amp;L Mensal'!$F$1</f>
        <v>46112</v>
      </c>
      <c r="E28" t="str">
        <f>TEXT('P&amp;L Mensal'!$F$1,"mmm/yyyy")</f>
        <v>mar/yyyy</v>
      </c>
      <c r="F28" t="s">
        <v>11</v>
      </c>
      <c r="G28" t="s">
        <v>96</v>
      </c>
      <c r="H28" t="s">
        <v>5</v>
      </c>
      <c r="I28" s="429">
        <f>'P&amp;L Mensal'!I7</f>
        <v>28024785.850000009</v>
      </c>
      <c r="J28" t="s">
        <v>545</v>
      </c>
      <c r="K28" t="s">
        <v>575</v>
      </c>
      <c r="L28">
        <v>7</v>
      </c>
    </row>
    <row r="29" spans="1:12" ht="18" customHeight="1" x14ac:dyDescent="0.25">
      <c r="A29" t="s">
        <v>544</v>
      </c>
      <c r="B29" s="23">
        <f>DATE(YEAR('P&amp;L Mensal'!$F$1),MONTH('P&amp;L Mensal'!$F$1),1)</f>
        <v>46082</v>
      </c>
      <c r="C29" s="23">
        <f>'P&amp;L Mensal'!$F$1</f>
        <v>46112</v>
      </c>
      <c r="D29" s="23">
        <f>'P&amp;L Mensal'!$F$1</f>
        <v>46112</v>
      </c>
      <c r="E29" t="str">
        <f>TEXT('P&amp;L Mensal'!$F$1,"mmm/yyyy")</f>
        <v>mar/yyyy</v>
      </c>
      <c r="F29" t="s">
        <v>11</v>
      </c>
      <c r="G29" t="s">
        <v>96</v>
      </c>
      <c r="H29" t="s">
        <v>6</v>
      </c>
      <c r="I29" s="429">
        <f>'P&amp;L Mensal'!J7</f>
        <v>26602926.150848191</v>
      </c>
      <c r="J29" t="s">
        <v>545</v>
      </c>
      <c r="K29" t="s">
        <v>576</v>
      </c>
      <c r="L29">
        <v>7</v>
      </c>
    </row>
    <row r="30" spans="1:12" ht="18" customHeight="1" x14ac:dyDescent="0.25">
      <c r="A30" t="s">
        <v>544</v>
      </c>
      <c r="B30" s="23">
        <f>DATE(YEAR('P&amp;L Mensal'!$F$1),MONTH('P&amp;L Mensal'!$F$1),1)</f>
        <v>46082</v>
      </c>
      <c r="C30" s="23">
        <f>'P&amp;L Mensal'!$F$1</f>
        <v>46112</v>
      </c>
      <c r="D30" s="23">
        <f>'P&amp;L Mensal'!$F$1</f>
        <v>46112</v>
      </c>
      <c r="E30" t="str">
        <f>TEXT('P&amp;L Mensal'!$F$1,"mmm/yyyy")</f>
        <v>mar/yyyy</v>
      </c>
      <c r="F30" t="s">
        <v>11</v>
      </c>
      <c r="G30" t="s">
        <v>96</v>
      </c>
      <c r="H30" t="s">
        <v>549</v>
      </c>
      <c r="I30" s="104">
        <f>'P&amp;L Mensal'!K7</f>
        <v>5.3447492621276238E-2</v>
      </c>
      <c r="J30" t="s">
        <v>545</v>
      </c>
      <c r="K30" t="s">
        <v>577</v>
      </c>
      <c r="L30">
        <v>7</v>
      </c>
    </row>
    <row r="31" spans="1:12" ht="18" customHeight="1" x14ac:dyDescent="0.25">
      <c r="A31" t="s">
        <v>544</v>
      </c>
      <c r="B31" s="23">
        <f>DATE(YEAR('P&amp;L Mensal'!$F$1),MONTH('P&amp;L Mensal'!$F$1),1)</f>
        <v>46082</v>
      </c>
      <c r="C31" s="23">
        <f>'P&amp;L Mensal'!$F$1</f>
        <v>46112</v>
      </c>
      <c r="D31" s="23">
        <f>'P&amp;L Mensal'!$F$1</f>
        <v>46112</v>
      </c>
      <c r="E31" t="str">
        <f>TEXT('P&amp;L Mensal'!$F$1,"mmm/yyyy")</f>
        <v>mar/yyyy</v>
      </c>
      <c r="F31" t="s">
        <v>11</v>
      </c>
      <c r="G31" t="s">
        <v>96</v>
      </c>
      <c r="H31" t="s">
        <v>557</v>
      </c>
      <c r="I31" s="429">
        <f>'P&amp;L Mensal'!L7</f>
        <v>1421859.6991518177</v>
      </c>
      <c r="J31" t="s">
        <v>545</v>
      </c>
      <c r="K31" t="s">
        <v>578</v>
      </c>
      <c r="L31">
        <v>7</v>
      </c>
    </row>
    <row r="32" spans="1:12" ht="18" customHeight="1" x14ac:dyDescent="0.25">
      <c r="A32" t="s">
        <v>544</v>
      </c>
      <c r="B32" s="23">
        <f>DATE(YEAR('P&amp;L Mensal'!$F$1),MONTH('P&amp;L Mensal'!$F$1),1)</f>
        <v>46082</v>
      </c>
      <c r="C32" s="23">
        <f>'P&amp;L Mensal'!$F$1</f>
        <v>46112</v>
      </c>
      <c r="D32" s="23">
        <f>'P&amp;L Mensal'!$F$1</f>
        <v>46112</v>
      </c>
      <c r="E32" t="str">
        <f>TEXT('P&amp;L Mensal'!$F$1,"mmm/yyyy")</f>
        <v>mar/yyyy</v>
      </c>
      <c r="F32" t="s">
        <v>12</v>
      </c>
      <c r="G32" t="s">
        <v>205</v>
      </c>
      <c r="H32" t="s">
        <v>5</v>
      </c>
      <c r="I32" s="429">
        <f>'P&amp;L Mensal'!C10</f>
        <v>0</v>
      </c>
      <c r="J32" t="s">
        <v>545</v>
      </c>
      <c r="K32" t="s">
        <v>579</v>
      </c>
      <c r="L32">
        <v>10</v>
      </c>
    </row>
    <row r="33" spans="1:12" ht="18" customHeight="1" x14ac:dyDescent="0.25">
      <c r="A33" t="s">
        <v>544</v>
      </c>
      <c r="B33" s="23">
        <f>DATE(YEAR('P&amp;L Mensal'!$F$1),MONTH('P&amp;L Mensal'!$F$1),1)</f>
        <v>46082</v>
      </c>
      <c r="C33" s="23">
        <f>'P&amp;L Mensal'!$F$1</f>
        <v>46112</v>
      </c>
      <c r="D33" s="23">
        <f>'P&amp;L Mensal'!$F$1</f>
        <v>46112</v>
      </c>
      <c r="E33" t="str">
        <f>TEXT('P&amp;L Mensal'!$F$1,"mmm/yyyy")</f>
        <v>mar/yyyy</v>
      </c>
      <c r="F33" t="s">
        <v>12</v>
      </c>
      <c r="G33" t="s">
        <v>205</v>
      </c>
      <c r="H33" t="s">
        <v>6</v>
      </c>
      <c r="I33" s="429">
        <f>'P&amp;L Mensal'!D10</f>
        <v>0</v>
      </c>
      <c r="J33" t="s">
        <v>545</v>
      </c>
      <c r="K33" t="s">
        <v>580</v>
      </c>
      <c r="L33">
        <v>10</v>
      </c>
    </row>
    <row r="34" spans="1:12" ht="18" customHeight="1" x14ac:dyDescent="0.25">
      <c r="A34" t="s">
        <v>544</v>
      </c>
      <c r="B34" s="23">
        <f>DATE(YEAR('P&amp;L Mensal'!$F$1),MONTH('P&amp;L Mensal'!$F$1),1)</f>
        <v>46082</v>
      </c>
      <c r="C34" s="23">
        <f>'P&amp;L Mensal'!$F$1</f>
        <v>46112</v>
      </c>
      <c r="D34" s="23">
        <f>'P&amp;L Mensal'!$F$1</f>
        <v>46112</v>
      </c>
      <c r="E34" t="str">
        <f>TEXT('P&amp;L Mensal'!$F$1,"mmm/yyyy")</f>
        <v>mar/yyyy</v>
      </c>
      <c r="F34" t="s">
        <v>12</v>
      </c>
      <c r="G34" t="s">
        <v>205</v>
      </c>
      <c r="H34" t="s">
        <v>549</v>
      </c>
      <c r="I34" s="104" t="str">
        <f>'P&amp;L Mensal'!E10</f>
        <v>-</v>
      </c>
      <c r="J34" t="s">
        <v>545</v>
      </c>
      <c r="K34" t="s">
        <v>581</v>
      </c>
      <c r="L34">
        <v>10</v>
      </c>
    </row>
    <row r="35" spans="1:12" ht="18" customHeight="1" x14ac:dyDescent="0.25">
      <c r="A35" t="s">
        <v>544</v>
      </c>
      <c r="B35" s="23">
        <f>DATE(YEAR('P&amp;L Mensal'!$F$1),MONTH('P&amp;L Mensal'!$F$1),1)</f>
        <v>46082</v>
      </c>
      <c r="C35" s="23">
        <f>'P&amp;L Mensal'!$F$1</f>
        <v>46112</v>
      </c>
      <c r="D35" s="23">
        <f>'P&amp;L Mensal'!$F$1</f>
        <v>46112</v>
      </c>
      <c r="E35" t="str">
        <f>TEXT('P&amp;L Mensal'!$F$1,"mmm/yyyy")</f>
        <v>mar/yyyy</v>
      </c>
      <c r="F35" t="s">
        <v>12</v>
      </c>
      <c r="G35" t="s">
        <v>220</v>
      </c>
      <c r="H35" t="s">
        <v>5</v>
      </c>
      <c r="I35" s="429">
        <f>'P&amp;L Mensal'!F10</f>
        <v>7200722.3600000003</v>
      </c>
      <c r="J35" t="s">
        <v>545</v>
      </c>
      <c r="K35" t="s">
        <v>582</v>
      </c>
      <c r="L35">
        <v>10</v>
      </c>
    </row>
    <row r="36" spans="1:12" ht="18" customHeight="1" x14ac:dyDescent="0.25">
      <c r="A36" t="s">
        <v>544</v>
      </c>
      <c r="B36" s="23">
        <f>DATE(YEAR('P&amp;L Mensal'!$F$1),MONTH('P&amp;L Mensal'!$F$1),1)</f>
        <v>46082</v>
      </c>
      <c r="C36" s="23">
        <f>'P&amp;L Mensal'!$F$1</f>
        <v>46112</v>
      </c>
      <c r="D36" s="23">
        <f>'P&amp;L Mensal'!$F$1</f>
        <v>46112</v>
      </c>
      <c r="E36" t="str">
        <f>TEXT('P&amp;L Mensal'!$F$1,"mmm/yyyy")</f>
        <v>mar/yyyy</v>
      </c>
      <c r="F36" t="s">
        <v>12</v>
      </c>
      <c r="G36" t="s">
        <v>220</v>
      </c>
      <c r="H36" t="s">
        <v>6</v>
      </c>
      <c r="I36" s="429">
        <f>'P&amp;L Mensal'!G10</f>
        <v>5309468.9457147149</v>
      </c>
      <c r="J36" t="s">
        <v>545</v>
      </c>
      <c r="K36" t="s">
        <v>583</v>
      </c>
      <c r="L36">
        <v>10</v>
      </c>
    </row>
    <row r="37" spans="1:12" ht="18" customHeight="1" x14ac:dyDescent="0.25">
      <c r="A37" t="s">
        <v>544</v>
      </c>
      <c r="B37" s="23">
        <f>DATE(YEAR('P&amp;L Mensal'!$F$1),MONTH('P&amp;L Mensal'!$F$1),1)</f>
        <v>46082</v>
      </c>
      <c r="C37" s="23">
        <f>'P&amp;L Mensal'!$F$1</f>
        <v>46112</v>
      </c>
      <c r="D37" s="23">
        <f>'P&amp;L Mensal'!$F$1</f>
        <v>46112</v>
      </c>
      <c r="E37" t="str">
        <f>TEXT('P&amp;L Mensal'!$F$1,"mmm/yyyy")</f>
        <v>mar/yyyy</v>
      </c>
      <c r="F37" t="s">
        <v>12</v>
      </c>
      <c r="G37" t="s">
        <v>220</v>
      </c>
      <c r="H37" t="s">
        <v>549</v>
      </c>
      <c r="I37" s="104">
        <f>'P&amp;L Mensal'!H10</f>
        <v>0.35620387530691189</v>
      </c>
      <c r="J37" t="s">
        <v>545</v>
      </c>
      <c r="K37" t="s">
        <v>584</v>
      </c>
      <c r="L37">
        <v>10</v>
      </c>
    </row>
    <row r="38" spans="1:12" ht="18" customHeight="1" x14ac:dyDescent="0.25">
      <c r="A38" t="s">
        <v>544</v>
      </c>
      <c r="B38" s="23">
        <f>DATE(YEAR('P&amp;L Mensal'!$F$1),MONTH('P&amp;L Mensal'!$F$1),1)</f>
        <v>46082</v>
      </c>
      <c r="C38" s="23">
        <f>'P&amp;L Mensal'!$F$1</f>
        <v>46112</v>
      </c>
      <c r="D38" s="23">
        <f>'P&amp;L Mensal'!$F$1</f>
        <v>46112</v>
      </c>
      <c r="E38" t="str">
        <f>TEXT('P&amp;L Mensal'!$F$1,"mmm/yyyy")</f>
        <v>mar/yyyy</v>
      </c>
      <c r="F38" t="s">
        <v>12</v>
      </c>
      <c r="G38" t="s">
        <v>96</v>
      </c>
      <c r="H38" t="s">
        <v>5</v>
      </c>
      <c r="I38" s="429">
        <f>'P&amp;L Mensal'!I10</f>
        <v>7200722.3600000003</v>
      </c>
      <c r="J38" t="s">
        <v>545</v>
      </c>
      <c r="K38" t="s">
        <v>585</v>
      </c>
      <c r="L38">
        <v>10</v>
      </c>
    </row>
    <row r="39" spans="1:12" ht="18" customHeight="1" x14ac:dyDescent="0.25">
      <c r="A39" t="s">
        <v>544</v>
      </c>
      <c r="B39" s="23">
        <f>DATE(YEAR('P&amp;L Mensal'!$F$1),MONTH('P&amp;L Mensal'!$F$1),1)</f>
        <v>46082</v>
      </c>
      <c r="C39" s="23">
        <f>'P&amp;L Mensal'!$F$1</f>
        <v>46112</v>
      </c>
      <c r="D39" s="23">
        <f>'P&amp;L Mensal'!$F$1</f>
        <v>46112</v>
      </c>
      <c r="E39" t="str">
        <f>TEXT('P&amp;L Mensal'!$F$1,"mmm/yyyy")</f>
        <v>mar/yyyy</v>
      </c>
      <c r="F39" t="s">
        <v>12</v>
      </c>
      <c r="G39" t="s">
        <v>96</v>
      </c>
      <c r="H39" t="s">
        <v>6</v>
      </c>
      <c r="I39" s="429">
        <f>'P&amp;L Mensal'!J10</f>
        <v>5309468.9457147149</v>
      </c>
      <c r="J39" t="s">
        <v>545</v>
      </c>
      <c r="K39" t="s">
        <v>586</v>
      </c>
      <c r="L39">
        <v>10</v>
      </c>
    </row>
    <row r="40" spans="1:12" ht="18" customHeight="1" x14ac:dyDescent="0.25">
      <c r="A40" t="s">
        <v>544</v>
      </c>
      <c r="B40" s="23">
        <f>DATE(YEAR('P&amp;L Mensal'!$F$1),MONTH('P&amp;L Mensal'!$F$1),1)</f>
        <v>46082</v>
      </c>
      <c r="C40" s="23">
        <f>'P&amp;L Mensal'!$F$1</f>
        <v>46112</v>
      </c>
      <c r="D40" s="23">
        <f>'P&amp;L Mensal'!$F$1</f>
        <v>46112</v>
      </c>
      <c r="E40" t="str">
        <f>TEXT('P&amp;L Mensal'!$F$1,"mmm/yyyy")</f>
        <v>mar/yyyy</v>
      </c>
      <c r="F40" t="s">
        <v>12</v>
      </c>
      <c r="G40" t="s">
        <v>96</v>
      </c>
      <c r="H40" t="s">
        <v>549</v>
      </c>
      <c r="I40" s="104">
        <f>'P&amp;L Mensal'!K10</f>
        <v>0.35620387530691189</v>
      </c>
      <c r="J40" t="s">
        <v>545</v>
      </c>
      <c r="K40" t="s">
        <v>587</v>
      </c>
      <c r="L40">
        <v>10</v>
      </c>
    </row>
    <row r="41" spans="1:12" ht="18" customHeight="1" x14ac:dyDescent="0.25">
      <c r="A41" t="s">
        <v>544</v>
      </c>
      <c r="B41" s="23">
        <f>DATE(YEAR('P&amp;L Mensal'!$F$1),MONTH('P&amp;L Mensal'!$F$1),1)</f>
        <v>46082</v>
      </c>
      <c r="C41" s="23">
        <f>'P&amp;L Mensal'!$F$1</f>
        <v>46112</v>
      </c>
      <c r="D41" s="23">
        <f>'P&amp;L Mensal'!$F$1</f>
        <v>46112</v>
      </c>
      <c r="E41" t="str">
        <f>TEXT('P&amp;L Mensal'!$F$1,"mmm/yyyy")</f>
        <v>mar/yyyy</v>
      </c>
      <c r="F41" t="s">
        <v>12</v>
      </c>
      <c r="G41" t="s">
        <v>96</v>
      </c>
      <c r="H41" t="s">
        <v>557</v>
      </c>
      <c r="I41" s="429">
        <f>'P&amp;L Mensal'!L10</f>
        <v>1891253.4142852854</v>
      </c>
      <c r="J41" t="s">
        <v>545</v>
      </c>
      <c r="K41" t="s">
        <v>588</v>
      </c>
      <c r="L41">
        <v>10</v>
      </c>
    </row>
    <row r="42" spans="1:12" ht="18" customHeight="1" x14ac:dyDescent="0.25">
      <c r="A42" t="s">
        <v>544</v>
      </c>
      <c r="B42" s="23">
        <f>DATE(YEAR('P&amp;L Mensal'!$F$1),MONTH('P&amp;L Mensal'!$F$1),1)</f>
        <v>46082</v>
      </c>
      <c r="C42" s="23">
        <f>'P&amp;L Mensal'!$F$1</f>
        <v>46112</v>
      </c>
      <c r="D42" s="23">
        <f>'P&amp;L Mensal'!$F$1</f>
        <v>46112</v>
      </c>
      <c r="E42" t="str">
        <f>TEXT('P&amp;L Mensal'!$F$1,"mmm/yyyy")</f>
        <v>mar/yyyy</v>
      </c>
      <c r="F42" t="s">
        <v>13</v>
      </c>
      <c r="G42" t="s">
        <v>205</v>
      </c>
      <c r="H42" t="s">
        <v>5</v>
      </c>
      <c r="I42" s="429">
        <f>'P&amp;L Mensal'!C11</f>
        <v>0</v>
      </c>
      <c r="J42" t="s">
        <v>545</v>
      </c>
      <c r="K42" t="s">
        <v>589</v>
      </c>
      <c r="L42">
        <v>11</v>
      </c>
    </row>
    <row r="43" spans="1:12" ht="18" customHeight="1" x14ac:dyDescent="0.25">
      <c r="A43" t="s">
        <v>544</v>
      </c>
      <c r="B43" s="23">
        <f>DATE(YEAR('P&amp;L Mensal'!$F$1),MONTH('P&amp;L Mensal'!$F$1),1)</f>
        <v>46082</v>
      </c>
      <c r="C43" s="23">
        <f>'P&amp;L Mensal'!$F$1</f>
        <v>46112</v>
      </c>
      <c r="D43" s="23">
        <f>'P&amp;L Mensal'!$F$1</f>
        <v>46112</v>
      </c>
      <c r="E43" t="str">
        <f>TEXT('P&amp;L Mensal'!$F$1,"mmm/yyyy")</f>
        <v>mar/yyyy</v>
      </c>
      <c r="F43" t="s">
        <v>13</v>
      </c>
      <c r="G43" t="s">
        <v>205</v>
      </c>
      <c r="H43" t="s">
        <v>6</v>
      </c>
      <c r="I43" s="429">
        <f>'P&amp;L Mensal'!D11</f>
        <v>0</v>
      </c>
      <c r="J43" t="s">
        <v>545</v>
      </c>
      <c r="K43" t="s">
        <v>590</v>
      </c>
      <c r="L43">
        <v>11</v>
      </c>
    </row>
    <row r="44" spans="1:12" ht="18" customHeight="1" x14ac:dyDescent="0.25">
      <c r="A44" t="s">
        <v>544</v>
      </c>
      <c r="B44" s="23">
        <f>DATE(YEAR('P&amp;L Mensal'!$F$1),MONTH('P&amp;L Mensal'!$F$1),1)</f>
        <v>46082</v>
      </c>
      <c r="C44" s="23">
        <f>'P&amp;L Mensal'!$F$1</f>
        <v>46112</v>
      </c>
      <c r="D44" s="23">
        <f>'P&amp;L Mensal'!$F$1</f>
        <v>46112</v>
      </c>
      <c r="E44" t="str">
        <f>TEXT('P&amp;L Mensal'!$F$1,"mmm/yyyy")</f>
        <v>mar/yyyy</v>
      </c>
      <c r="F44" t="s">
        <v>13</v>
      </c>
      <c r="G44" t="s">
        <v>205</v>
      </c>
      <c r="H44" t="s">
        <v>549</v>
      </c>
      <c r="I44" s="104" t="str">
        <f>'P&amp;L Mensal'!E11</f>
        <v>-</v>
      </c>
      <c r="J44" t="s">
        <v>545</v>
      </c>
      <c r="K44" t="s">
        <v>591</v>
      </c>
      <c r="L44">
        <v>11</v>
      </c>
    </row>
    <row r="45" spans="1:12" ht="18" customHeight="1" x14ac:dyDescent="0.25">
      <c r="A45" t="s">
        <v>544</v>
      </c>
      <c r="B45" s="23">
        <f>DATE(YEAR('P&amp;L Mensal'!$F$1),MONTH('P&amp;L Mensal'!$F$1),1)</f>
        <v>46082</v>
      </c>
      <c r="C45" s="23">
        <f>'P&amp;L Mensal'!$F$1</f>
        <v>46112</v>
      </c>
      <c r="D45" s="23">
        <f>'P&amp;L Mensal'!$F$1</f>
        <v>46112</v>
      </c>
      <c r="E45" t="str">
        <f>TEXT('P&amp;L Mensal'!$F$1,"mmm/yyyy")</f>
        <v>mar/yyyy</v>
      </c>
      <c r="F45" t="s">
        <v>13</v>
      </c>
      <c r="G45" t="s">
        <v>220</v>
      </c>
      <c r="H45" t="s">
        <v>5</v>
      </c>
      <c r="I45" s="429">
        <f>'P&amp;L Mensal'!F11</f>
        <v>394865.93000000011</v>
      </c>
      <c r="J45" t="s">
        <v>545</v>
      </c>
      <c r="K45" t="s">
        <v>592</v>
      </c>
      <c r="L45">
        <v>11</v>
      </c>
    </row>
    <row r="46" spans="1:12" ht="18" customHeight="1" x14ac:dyDescent="0.25">
      <c r="A46" t="s">
        <v>544</v>
      </c>
      <c r="B46" s="23">
        <f>DATE(YEAR('P&amp;L Mensal'!$F$1),MONTH('P&amp;L Mensal'!$F$1),1)</f>
        <v>46082</v>
      </c>
      <c r="C46" s="23">
        <f>'P&amp;L Mensal'!$F$1</f>
        <v>46112</v>
      </c>
      <c r="D46" s="23">
        <f>'P&amp;L Mensal'!$F$1</f>
        <v>46112</v>
      </c>
      <c r="E46" t="str">
        <f>TEXT('P&amp;L Mensal'!$F$1,"mmm/yyyy")</f>
        <v>mar/yyyy</v>
      </c>
      <c r="F46" t="s">
        <v>13</v>
      </c>
      <c r="G46" t="s">
        <v>220</v>
      </c>
      <c r="H46" t="s">
        <v>6</v>
      </c>
      <c r="I46" s="429">
        <f>'P&amp;L Mensal'!G11</f>
        <v>372913.43435100798</v>
      </c>
      <c r="J46" t="s">
        <v>545</v>
      </c>
      <c r="K46" t="s">
        <v>593</v>
      </c>
      <c r="L46">
        <v>11</v>
      </c>
    </row>
    <row r="47" spans="1:12" ht="18" customHeight="1" x14ac:dyDescent="0.25">
      <c r="A47" t="s">
        <v>544</v>
      </c>
      <c r="B47" s="23">
        <f>DATE(YEAR('P&amp;L Mensal'!$F$1),MONTH('P&amp;L Mensal'!$F$1),1)</f>
        <v>46082</v>
      </c>
      <c r="C47" s="23">
        <f>'P&amp;L Mensal'!$F$1</f>
        <v>46112</v>
      </c>
      <c r="D47" s="23">
        <f>'P&amp;L Mensal'!$F$1</f>
        <v>46112</v>
      </c>
      <c r="E47" t="str">
        <f>TEXT('P&amp;L Mensal'!$F$1,"mmm/yyyy")</f>
        <v>mar/yyyy</v>
      </c>
      <c r="F47" t="s">
        <v>13</v>
      </c>
      <c r="G47" t="s">
        <v>220</v>
      </c>
      <c r="H47" t="s">
        <v>549</v>
      </c>
      <c r="I47" s="104">
        <f>'P&amp;L Mensal'!H11</f>
        <v>5.8867537682563587E-2</v>
      </c>
      <c r="J47" t="s">
        <v>545</v>
      </c>
      <c r="K47" t="s">
        <v>594</v>
      </c>
      <c r="L47">
        <v>11</v>
      </c>
    </row>
    <row r="48" spans="1:12" ht="18" customHeight="1" x14ac:dyDescent="0.25">
      <c r="A48" t="s">
        <v>544</v>
      </c>
      <c r="B48" s="23">
        <f>DATE(YEAR('P&amp;L Mensal'!$F$1),MONTH('P&amp;L Mensal'!$F$1),1)</f>
        <v>46082</v>
      </c>
      <c r="C48" s="23">
        <f>'P&amp;L Mensal'!$F$1</f>
        <v>46112</v>
      </c>
      <c r="D48" s="23">
        <f>'P&amp;L Mensal'!$F$1</f>
        <v>46112</v>
      </c>
      <c r="E48" t="str">
        <f>TEXT('P&amp;L Mensal'!$F$1,"mmm/yyyy")</f>
        <v>mar/yyyy</v>
      </c>
      <c r="F48" t="s">
        <v>13</v>
      </c>
      <c r="G48" t="s">
        <v>96</v>
      </c>
      <c r="H48" t="s">
        <v>5</v>
      </c>
      <c r="I48" s="429">
        <f>'P&amp;L Mensal'!I11</f>
        <v>394865.93000000011</v>
      </c>
      <c r="J48" t="s">
        <v>545</v>
      </c>
      <c r="K48" t="s">
        <v>595</v>
      </c>
      <c r="L48">
        <v>11</v>
      </c>
    </row>
    <row r="49" spans="1:12" ht="18" customHeight="1" x14ac:dyDescent="0.25">
      <c r="A49" t="s">
        <v>544</v>
      </c>
      <c r="B49" s="23">
        <f>DATE(YEAR('P&amp;L Mensal'!$F$1),MONTH('P&amp;L Mensal'!$F$1),1)</f>
        <v>46082</v>
      </c>
      <c r="C49" s="23">
        <f>'P&amp;L Mensal'!$F$1</f>
        <v>46112</v>
      </c>
      <c r="D49" s="23">
        <f>'P&amp;L Mensal'!$F$1</f>
        <v>46112</v>
      </c>
      <c r="E49" t="str">
        <f>TEXT('P&amp;L Mensal'!$F$1,"mmm/yyyy")</f>
        <v>mar/yyyy</v>
      </c>
      <c r="F49" t="s">
        <v>13</v>
      </c>
      <c r="G49" t="s">
        <v>96</v>
      </c>
      <c r="H49" t="s">
        <v>6</v>
      </c>
      <c r="I49" s="429">
        <f>'P&amp;L Mensal'!J11</f>
        <v>372913.43435100798</v>
      </c>
      <c r="J49" t="s">
        <v>545</v>
      </c>
      <c r="K49" t="s">
        <v>596</v>
      </c>
      <c r="L49">
        <v>11</v>
      </c>
    </row>
    <row r="50" spans="1:12" ht="18" customHeight="1" x14ac:dyDescent="0.25">
      <c r="A50" t="s">
        <v>544</v>
      </c>
      <c r="B50" s="23">
        <f>DATE(YEAR('P&amp;L Mensal'!$F$1),MONTH('P&amp;L Mensal'!$F$1),1)</f>
        <v>46082</v>
      </c>
      <c r="C50" s="23">
        <f>'P&amp;L Mensal'!$F$1</f>
        <v>46112</v>
      </c>
      <c r="D50" s="23">
        <f>'P&amp;L Mensal'!$F$1</f>
        <v>46112</v>
      </c>
      <c r="E50" t="str">
        <f>TEXT('P&amp;L Mensal'!$F$1,"mmm/yyyy")</f>
        <v>mar/yyyy</v>
      </c>
      <c r="F50" t="s">
        <v>13</v>
      </c>
      <c r="G50" t="s">
        <v>96</v>
      </c>
      <c r="H50" t="s">
        <v>549</v>
      </c>
      <c r="I50" s="104">
        <f>'P&amp;L Mensal'!K11</f>
        <v>5.8867537682563587E-2</v>
      </c>
      <c r="J50" t="s">
        <v>545</v>
      </c>
      <c r="K50" t="s">
        <v>597</v>
      </c>
      <c r="L50">
        <v>11</v>
      </c>
    </row>
    <row r="51" spans="1:12" ht="18" customHeight="1" x14ac:dyDescent="0.25">
      <c r="A51" t="s">
        <v>544</v>
      </c>
      <c r="B51" s="23">
        <f>DATE(YEAR('P&amp;L Mensal'!$F$1),MONTH('P&amp;L Mensal'!$F$1),1)</f>
        <v>46082</v>
      </c>
      <c r="C51" s="23">
        <f>'P&amp;L Mensal'!$F$1</f>
        <v>46112</v>
      </c>
      <c r="D51" s="23">
        <f>'P&amp;L Mensal'!$F$1</f>
        <v>46112</v>
      </c>
      <c r="E51" t="str">
        <f>TEXT('P&amp;L Mensal'!$F$1,"mmm/yyyy")</f>
        <v>mar/yyyy</v>
      </c>
      <c r="F51" t="s">
        <v>13</v>
      </c>
      <c r="G51" t="s">
        <v>96</v>
      </c>
      <c r="H51" t="s">
        <v>557</v>
      </c>
      <c r="I51" s="429">
        <f>'P&amp;L Mensal'!L11</f>
        <v>21952.495648992131</v>
      </c>
      <c r="J51" t="s">
        <v>545</v>
      </c>
      <c r="K51" t="s">
        <v>598</v>
      </c>
      <c r="L51">
        <v>11</v>
      </c>
    </row>
    <row r="52" spans="1:12" ht="18" customHeight="1" x14ac:dyDescent="0.25">
      <c r="A52" t="s">
        <v>544</v>
      </c>
      <c r="B52" s="23">
        <f>DATE(YEAR('P&amp;L Mensal'!$F$1),MONTH('P&amp;L Mensal'!$F$1),1)</f>
        <v>46082</v>
      </c>
      <c r="C52" s="23">
        <f>'P&amp;L Mensal'!$F$1</f>
        <v>46112</v>
      </c>
      <c r="D52" s="23">
        <f>'P&amp;L Mensal'!$F$1</f>
        <v>46112</v>
      </c>
      <c r="E52" t="str">
        <f>TEXT('P&amp;L Mensal'!$F$1,"mmm/yyyy")</f>
        <v>mar/yyyy</v>
      </c>
      <c r="F52" t="s">
        <v>14</v>
      </c>
      <c r="G52" t="s">
        <v>205</v>
      </c>
      <c r="H52" t="s">
        <v>5</v>
      </c>
      <c r="I52" s="429">
        <f>'P&amp;L Mensal'!C12</f>
        <v>1827012.67</v>
      </c>
      <c r="J52" t="s">
        <v>545</v>
      </c>
      <c r="K52" t="s">
        <v>599</v>
      </c>
      <c r="L52">
        <v>12</v>
      </c>
    </row>
    <row r="53" spans="1:12" ht="18" customHeight="1" x14ac:dyDescent="0.25">
      <c r="A53" t="s">
        <v>544</v>
      </c>
      <c r="B53" s="23">
        <f>DATE(YEAR('P&amp;L Mensal'!$F$1),MONTH('P&amp;L Mensal'!$F$1),1)</f>
        <v>46082</v>
      </c>
      <c r="C53" s="23">
        <f>'P&amp;L Mensal'!$F$1</f>
        <v>46112</v>
      </c>
      <c r="D53" s="23">
        <f>'P&amp;L Mensal'!$F$1</f>
        <v>46112</v>
      </c>
      <c r="E53" t="str">
        <f>TEXT('P&amp;L Mensal'!$F$1,"mmm/yyyy")</f>
        <v>mar/yyyy</v>
      </c>
      <c r="F53" t="s">
        <v>14</v>
      </c>
      <c r="G53" t="s">
        <v>205</v>
      </c>
      <c r="H53" t="s">
        <v>6</v>
      </c>
      <c r="I53" s="429">
        <f>'P&amp;L Mensal'!D12</f>
        <v>1700771.4418183819</v>
      </c>
      <c r="J53" t="s">
        <v>545</v>
      </c>
      <c r="K53" t="s">
        <v>600</v>
      </c>
      <c r="L53">
        <v>12</v>
      </c>
    </row>
    <row r="54" spans="1:12" ht="18" customHeight="1" x14ac:dyDescent="0.25">
      <c r="A54" t="s">
        <v>544</v>
      </c>
      <c r="B54" s="23">
        <f>DATE(YEAR('P&amp;L Mensal'!$F$1),MONTH('P&amp;L Mensal'!$F$1),1)</f>
        <v>46082</v>
      </c>
      <c r="C54" s="23">
        <f>'P&amp;L Mensal'!$F$1</f>
        <v>46112</v>
      </c>
      <c r="D54" s="23">
        <f>'P&amp;L Mensal'!$F$1</f>
        <v>46112</v>
      </c>
      <c r="E54" t="str">
        <f>TEXT('P&amp;L Mensal'!$F$1,"mmm/yyyy")</f>
        <v>mar/yyyy</v>
      </c>
      <c r="F54" t="s">
        <v>14</v>
      </c>
      <c r="G54" t="s">
        <v>205</v>
      </c>
      <c r="H54" t="s">
        <v>549</v>
      </c>
      <c r="I54" s="104">
        <f>'P&amp;L Mensal'!E12</f>
        <v>7.4225863086369248E-2</v>
      </c>
      <c r="J54" t="s">
        <v>545</v>
      </c>
      <c r="K54" t="s">
        <v>601</v>
      </c>
      <c r="L54">
        <v>12</v>
      </c>
    </row>
    <row r="55" spans="1:12" ht="18" customHeight="1" x14ac:dyDescent="0.25">
      <c r="A55" t="s">
        <v>544</v>
      </c>
      <c r="B55" s="23">
        <f>DATE(YEAR('P&amp;L Mensal'!$F$1),MONTH('P&amp;L Mensal'!$F$1),1)</f>
        <v>46082</v>
      </c>
      <c r="C55" s="23">
        <f>'P&amp;L Mensal'!$F$1</f>
        <v>46112</v>
      </c>
      <c r="D55" s="23">
        <f>'P&amp;L Mensal'!$F$1</f>
        <v>46112</v>
      </c>
      <c r="E55" t="str">
        <f>TEXT('P&amp;L Mensal'!$F$1,"mmm/yyyy")</f>
        <v>mar/yyyy</v>
      </c>
      <c r="F55" t="s">
        <v>14</v>
      </c>
      <c r="G55" t="s">
        <v>220</v>
      </c>
      <c r="H55" t="s">
        <v>5</v>
      </c>
      <c r="I55" s="429">
        <f>'P&amp;L Mensal'!F12</f>
        <v>77247.429999999993</v>
      </c>
      <c r="J55" t="s">
        <v>545</v>
      </c>
      <c r="K55" t="s">
        <v>602</v>
      </c>
      <c r="L55">
        <v>12</v>
      </c>
    </row>
    <row r="56" spans="1:12" ht="18" customHeight="1" x14ac:dyDescent="0.25">
      <c r="A56" t="s">
        <v>544</v>
      </c>
      <c r="B56" s="23">
        <f>DATE(YEAR('P&amp;L Mensal'!$F$1),MONTH('P&amp;L Mensal'!$F$1),1)</f>
        <v>46082</v>
      </c>
      <c r="C56" s="23">
        <f>'P&amp;L Mensal'!$F$1</f>
        <v>46112</v>
      </c>
      <c r="D56" s="23">
        <f>'P&amp;L Mensal'!$F$1</f>
        <v>46112</v>
      </c>
      <c r="E56" t="str">
        <f>TEXT('P&amp;L Mensal'!$F$1,"mmm/yyyy")</f>
        <v>mar/yyyy</v>
      </c>
      <c r="F56" t="s">
        <v>14</v>
      </c>
      <c r="G56" t="s">
        <v>220</v>
      </c>
      <c r="H56" t="s">
        <v>6</v>
      </c>
      <c r="I56" s="429">
        <f>'P&amp;L Mensal'!G12</f>
        <v>41452.468085106389</v>
      </c>
      <c r="J56" t="s">
        <v>545</v>
      </c>
      <c r="K56" t="s">
        <v>603</v>
      </c>
      <c r="L56">
        <v>12</v>
      </c>
    </row>
    <row r="57" spans="1:12" ht="18" customHeight="1" x14ac:dyDescent="0.25">
      <c r="A57" t="s">
        <v>544</v>
      </c>
      <c r="B57" s="23">
        <f>DATE(YEAR('P&amp;L Mensal'!$F$1),MONTH('P&amp;L Mensal'!$F$1),1)</f>
        <v>46082</v>
      </c>
      <c r="C57" s="23">
        <f>'P&amp;L Mensal'!$F$1</f>
        <v>46112</v>
      </c>
      <c r="D57" s="23">
        <f>'P&amp;L Mensal'!$F$1</f>
        <v>46112</v>
      </c>
      <c r="E57" t="str">
        <f>TEXT('P&amp;L Mensal'!$F$1,"mmm/yyyy")</f>
        <v>mar/yyyy</v>
      </c>
      <c r="F57" t="s">
        <v>14</v>
      </c>
      <c r="G57" t="s">
        <v>220</v>
      </c>
      <c r="H57" t="s">
        <v>549</v>
      </c>
      <c r="I57" s="104">
        <f>'P&amp;L Mensal'!H12</f>
        <v>0.86351823108343484</v>
      </c>
      <c r="J57" t="s">
        <v>545</v>
      </c>
      <c r="K57" t="s">
        <v>604</v>
      </c>
      <c r="L57">
        <v>12</v>
      </c>
    </row>
    <row r="58" spans="1:12" ht="18" customHeight="1" x14ac:dyDescent="0.25">
      <c r="A58" t="s">
        <v>544</v>
      </c>
      <c r="B58" s="23">
        <f>DATE(YEAR('P&amp;L Mensal'!$F$1),MONTH('P&amp;L Mensal'!$F$1),1)</f>
        <v>46082</v>
      </c>
      <c r="C58" s="23">
        <f>'P&amp;L Mensal'!$F$1</f>
        <v>46112</v>
      </c>
      <c r="D58" s="23">
        <f>'P&amp;L Mensal'!$F$1</f>
        <v>46112</v>
      </c>
      <c r="E58" t="str">
        <f>TEXT('P&amp;L Mensal'!$F$1,"mmm/yyyy")</f>
        <v>mar/yyyy</v>
      </c>
      <c r="F58" t="s">
        <v>14</v>
      </c>
      <c r="G58" t="s">
        <v>96</v>
      </c>
      <c r="H58" t="s">
        <v>5</v>
      </c>
      <c r="I58" s="429">
        <f>'P&amp;L Mensal'!I12</f>
        <v>1904260.0999999999</v>
      </c>
      <c r="J58" t="s">
        <v>545</v>
      </c>
      <c r="K58" t="s">
        <v>605</v>
      </c>
      <c r="L58">
        <v>12</v>
      </c>
    </row>
    <row r="59" spans="1:12" ht="18" customHeight="1" x14ac:dyDescent="0.25">
      <c r="A59" t="s">
        <v>544</v>
      </c>
      <c r="B59" s="23">
        <f>DATE(YEAR('P&amp;L Mensal'!$F$1),MONTH('P&amp;L Mensal'!$F$1),1)</f>
        <v>46082</v>
      </c>
      <c r="C59" s="23">
        <f>'P&amp;L Mensal'!$F$1</f>
        <v>46112</v>
      </c>
      <c r="D59" s="23">
        <f>'P&amp;L Mensal'!$F$1</f>
        <v>46112</v>
      </c>
      <c r="E59" t="str">
        <f>TEXT('P&amp;L Mensal'!$F$1,"mmm/yyyy")</f>
        <v>mar/yyyy</v>
      </c>
      <c r="F59" t="s">
        <v>14</v>
      </c>
      <c r="G59" t="s">
        <v>96</v>
      </c>
      <c r="H59" t="s">
        <v>6</v>
      </c>
      <c r="I59" s="429">
        <f>'P&amp;L Mensal'!J12</f>
        <v>1742223.9099034884</v>
      </c>
      <c r="J59" t="s">
        <v>545</v>
      </c>
      <c r="K59" t="s">
        <v>606</v>
      </c>
      <c r="L59">
        <v>12</v>
      </c>
    </row>
    <row r="60" spans="1:12" ht="18" customHeight="1" x14ac:dyDescent="0.25">
      <c r="A60" t="s">
        <v>544</v>
      </c>
      <c r="B60" s="23">
        <f>DATE(YEAR('P&amp;L Mensal'!$F$1),MONTH('P&amp;L Mensal'!$F$1),1)</f>
        <v>46082</v>
      </c>
      <c r="C60" s="23">
        <f>'P&amp;L Mensal'!$F$1</f>
        <v>46112</v>
      </c>
      <c r="D60" s="23">
        <f>'P&amp;L Mensal'!$F$1</f>
        <v>46112</v>
      </c>
      <c r="E60" t="str">
        <f>TEXT('P&amp;L Mensal'!$F$1,"mmm/yyyy")</f>
        <v>mar/yyyy</v>
      </c>
      <c r="F60" t="s">
        <v>14</v>
      </c>
      <c r="G60" t="s">
        <v>96</v>
      </c>
      <c r="H60" t="s">
        <v>549</v>
      </c>
      <c r="I60" s="104">
        <f>'P&amp;L Mensal'!K12</f>
        <v>9.3005376160569142E-2</v>
      </c>
      <c r="J60" t="s">
        <v>545</v>
      </c>
      <c r="K60" t="s">
        <v>607</v>
      </c>
      <c r="L60">
        <v>12</v>
      </c>
    </row>
    <row r="61" spans="1:12" ht="18" customHeight="1" x14ac:dyDescent="0.25">
      <c r="A61" t="s">
        <v>544</v>
      </c>
      <c r="B61" s="23">
        <f>DATE(YEAR('P&amp;L Mensal'!$F$1),MONTH('P&amp;L Mensal'!$F$1),1)</f>
        <v>46082</v>
      </c>
      <c r="C61" s="23">
        <f>'P&amp;L Mensal'!$F$1</f>
        <v>46112</v>
      </c>
      <c r="D61" s="23">
        <f>'P&amp;L Mensal'!$F$1</f>
        <v>46112</v>
      </c>
      <c r="E61" t="str">
        <f>TEXT('P&amp;L Mensal'!$F$1,"mmm/yyyy")</f>
        <v>mar/yyyy</v>
      </c>
      <c r="F61" t="s">
        <v>14</v>
      </c>
      <c r="G61" t="s">
        <v>96</v>
      </c>
      <c r="H61" t="s">
        <v>557</v>
      </c>
      <c r="I61" s="429">
        <f>'P&amp;L Mensal'!L12</f>
        <v>162036.19009651151</v>
      </c>
      <c r="J61" t="s">
        <v>545</v>
      </c>
      <c r="K61" t="s">
        <v>608</v>
      </c>
      <c r="L61">
        <v>12</v>
      </c>
    </row>
    <row r="62" spans="1:12" ht="18" customHeight="1" x14ac:dyDescent="0.25">
      <c r="A62" t="s">
        <v>544</v>
      </c>
      <c r="B62" s="23">
        <f>DATE(YEAR('P&amp;L Mensal'!$F$1),MONTH('P&amp;L Mensal'!$F$1),1)</f>
        <v>46082</v>
      </c>
      <c r="C62" s="23">
        <f>'P&amp;L Mensal'!$F$1</f>
        <v>46112</v>
      </c>
      <c r="D62" s="23">
        <f>'P&amp;L Mensal'!$F$1</f>
        <v>46112</v>
      </c>
      <c r="E62" t="str">
        <f>TEXT('P&amp;L Mensal'!$F$1,"mmm/yyyy")</f>
        <v>mar/yyyy</v>
      </c>
      <c r="F62" t="s">
        <v>609</v>
      </c>
      <c r="G62" t="s">
        <v>205</v>
      </c>
      <c r="H62" t="s">
        <v>5</v>
      </c>
      <c r="I62" s="429">
        <f>'P&amp;L Mensal'!C13</f>
        <v>0</v>
      </c>
      <c r="J62" t="s">
        <v>545</v>
      </c>
      <c r="K62" t="s">
        <v>610</v>
      </c>
      <c r="L62">
        <v>13</v>
      </c>
    </row>
    <row r="63" spans="1:12" ht="18" customHeight="1" x14ac:dyDescent="0.25">
      <c r="A63" t="s">
        <v>544</v>
      </c>
      <c r="B63" s="23">
        <f>DATE(YEAR('P&amp;L Mensal'!$F$1),MONTH('P&amp;L Mensal'!$F$1),1)</f>
        <v>46082</v>
      </c>
      <c r="C63" s="23">
        <f>'P&amp;L Mensal'!$F$1</f>
        <v>46112</v>
      </c>
      <c r="D63" s="23">
        <f>'P&amp;L Mensal'!$F$1</f>
        <v>46112</v>
      </c>
      <c r="E63" t="str">
        <f>TEXT('P&amp;L Mensal'!$F$1,"mmm/yyyy")</f>
        <v>mar/yyyy</v>
      </c>
      <c r="F63" t="s">
        <v>609</v>
      </c>
      <c r="G63" t="s">
        <v>205</v>
      </c>
      <c r="H63" t="s">
        <v>6</v>
      </c>
      <c r="I63" s="429">
        <f>'P&amp;L Mensal'!D13</f>
        <v>0</v>
      </c>
      <c r="J63" t="s">
        <v>545</v>
      </c>
      <c r="K63" t="s">
        <v>611</v>
      </c>
      <c r="L63">
        <v>13</v>
      </c>
    </row>
    <row r="64" spans="1:12" ht="18" customHeight="1" x14ac:dyDescent="0.25">
      <c r="A64" t="s">
        <v>544</v>
      </c>
      <c r="B64" s="23">
        <f>DATE(YEAR('P&amp;L Mensal'!$F$1),MONTH('P&amp;L Mensal'!$F$1),1)</f>
        <v>46082</v>
      </c>
      <c r="C64" s="23">
        <f>'P&amp;L Mensal'!$F$1</f>
        <v>46112</v>
      </c>
      <c r="D64" s="23">
        <f>'P&amp;L Mensal'!$F$1</f>
        <v>46112</v>
      </c>
      <c r="E64" t="str">
        <f>TEXT('P&amp;L Mensal'!$F$1,"mmm/yyyy")</f>
        <v>mar/yyyy</v>
      </c>
      <c r="F64" t="s">
        <v>609</v>
      </c>
      <c r="G64" t="s">
        <v>205</v>
      </c>
      <c r="H64" t="s">
        <v>549</v>
      </c>
      <c r="I64" s="104" t="str">
        <f>'P&amp;L Mensal'!E13</f>
        <v>-</v>
      </c>
      <c r="J64" t="s">
        <v>545</v>
      </c>
      <c r="K64" t="s">
        <v>612</v>
      </c>
      <c r="L64">
        <v>13</v>
      </c>
    </row>
    <row r="65" spans="1:12" ht="18" customHeight="1" x14ac:dyDescent="0.25">
      <c r="A65" t="s">
        <v>544</v>
      </c>
      <c r="B65" s="23">
        <f>DATE(YEAR('P&amp;L Mensal'!$F$1),MONTH('P&amp;L Mensal'!$F$1),1)</f>
        <v>46082</v>
      </c>
      <c r="C65" s="23">
        <f>'P&amp;L Mensal'!$F$1</f>
        <v>46112</v>
      </c>
      <c r="D65" s="23">
        <f>'P&amp;L Mensal'!$F$1</f>
        <v>46112</v>
      </c>
      <c r="E65" t="str">
        <f>TEXT('P&amp;L Mensal'!$F$1,"mmm/yyyy")</f>
        <v>mar/yyyy</v>
      </c>
      <c r="F65" t="s">
        <v>609</v>
      </c>
      <c r="G65" t="s">
        <v>220</v>
      </c>
      <c r="H65" t="s">
        <v>5</v>
      </c>
      <c r="I65" s="429">
        <f>'P&amp;L Mensal'!F13</f>
        <v>2558364.5600000061</v>
      </c>
      <c r="J65" t="s">
        <v>545</v>
      </c>
      <c r="K65" t="s">
        <v>613</v>
      </c>
      <c r="L65">
        <v>13</v>
      </c>
    </row>
    <row r="66" spans="1:12" ht="18" customHeight="1" x14ac:dyDescent="0.25">
      <c r="A66" t="s">
        <v>544</v>
      </c>
      <c r="B66" s="23">
        <f>DATE(YEAR('P&amp;L Mensal'!$F$1),MONTH('P&amp;L Mensal'!$F$1),1)</f>
        <v>46082</v>
      </c>
      <c r="C66" s="23">
        <f>'P&amp;L Mensal'!$F$1</f>
        <v>46112</v>
      </c>
      <c r="D66" s="23">
        <f>'P&amp;L Mensal'!$F$1</f>
        <v>46112</v>
      </c>
      <c r="E66" t="str">
        <f>TEXT('P&amp;L Mensal'!$F$1,"mmm/yyyy")</f>
        <v>mar/yyyy</v>
      </c>
      <c r="F66" t="s">
        <v>609</v>
      </c>
      <c r="G66" t="s">
        <v>220</v>
      </c>
      <c r="H66" t="s">
        <v>6</v>
      </c>
      <c r="I66" s="429">
        <f>'P&amp;L Mensal'!G13</f>
        <v>1754400</v>
      </c>
      <c r="J66" t="s">
        <v>545</v>
      </c>
      <c r="K66" t="s">
        <v>614</v>
      </c>
      <c r="L66">
        <v>13</v>
      </c>
    </row>
    <row r="67" spans="1:12" ht="18" customHeight="1" x14ac:dyDescent="0.25">
      <c r="A67" t="s">
        <v>544</v>
      </c>
      <c r="B67" s="23">
        <f>DATE(YEAR('P&amp;L Mensal'!$F$1),MONTH('P&amp;L Mensal'!$F$1),1)</f>
        <v>46082</v>
      </c>
      <c r="C67" s="23">
        <f>'P&amp;L Mensal'!$F$1</f>
        <v>46112</v>
      </c>
      <c r="D67" s="23">
        <f>'P&amp;L Mensal'!$F$1</f>
        <v>46112</v>
      </c>
      <c r="E67" t="str">
        <f>TEXT('P&amp;L Mensal'!$F$1,"mmm/yyyy")</f>
        <v>mar/yyyy</v>
      </c>
      <c r="F67" t="s">
        <v>609</v>
      </c>
      <c r="G67" t="s">
        <v>220</v>
      </c>
      <c r="H67" t="s">
        <v>549</v>
      </c>
      <c r="I67" s="104">
        <f>'P&amp;L Mensal'!H13</f>
        <v>0.45825613315093827</v>
      </c>
      <c r="J67" t="s">
        <v>545</v>
      </c>
      <c r="K67" t="s">
        <v>615</v>
      </c>
      <c r="L67">
        <v>13</v>
      </c>
    </row>
    <row r="68" spans="1:12" ht="18" customHeight="1" x14ac:dyDescent="0.25">
      <c r="A68" t="s">
        <v>544</v>
      </c>
      <c r="B68" s="23">
        <f>DATE(YEAR('P&amp;L Mensal'!$F$1),MONTH('P&amp;L Mensal'!$F$1),1)</f>
        <v>46082</v>
      </c>
      <c r="C68" s="23">
        <f>'P&amp;L Mensal'!$F$1</f>
        <v>46112</v>
      </c>
      <c r="D68" s="23">
        <f>'P&amp;L Mensal'!$F$1</f>
        <v>46112</v>
      </c>
      <c r="E68" t="str">
        <f>TEXT('P&amp;L Mensal'!$F$1,"mmm/yyyy")</f>
        <v>mar/yyyy</v>
      </c>
      <c r="F68" t="s">
        <v>609</v>
      </c>
      <c r="G68" t="s">
        <v>96</v>
      </c>
      <c r="H68" t="s">
        <v>5</v>
      </c>
      <c r="I68" s="429">
        <f>'P&amp;L Mensal'!I13</f>
        <v>2558364.5600000061</v>
      </c>
      <c r="J68" t="s">
        <v>545</v>
      </c>
      <c r="K68" t="s">
        <v>616</v>
      </c>
      <c r="L68">
        <v>13</v>
      </c>
    </row>
    <row r="69" spans="1:12" ht="18" customHeight="1" x14ac:dyDescent="0.25">
      <c r="A69" t="s">
        <v>544</v>
      </c>
      <c r="B69" s="23">
        <f>DATE(YEAR('P&amp;L Mensal'!$F$1),MONTH('P&amp;L Mensal'!$F$1),1)</f>
        <v>46082</v>
      </c>
      <c r="C69" s="23">
        <f>'P&amp;L Mensal'!$F$1</f>
        <v>46112</v>
      </c>
      <c r="D69" s="23">
        <f>'P&amp;L Mensal'!$F$1</f>
        <v>46112</v>
      </c>
      <c r="E69" t="str">
        <f>TEXT('P&amp;L Mensal'!$F$1,"mmm/yyyy")</f>
        <v>mar/yyyy</v>
      </c>
      <c r="F69" t="s">
        <v>609</v>
      </c>
      <c r="G69" t="s">
        <v>96</v>
      </c>
      <c r="H69" t="s">
        <v>6</v>
      </c>
      <c r="I69" s="429">
        <f>'P&amp;L Mensal'!J13</f>
        <v>1754400</v>
      </c>
      <c r="J69" t="s">
        <v>545</v>
      </c>
      <c r="K69" t="s">
        <v>617</v>
      </c>
      <c r="L69">
        <v>13</v>
      </c>
    </row>
    <row r="70" spans="1:12" ht="18" customHeight="1" x14ac:dyDescent="0.25">
      <c r="A70" t="s">
        <v>544</v>
      </c>
      <c r="B70" s="23">
        <f>DATE(YEAR('P&amp;L Mensal'!$F$1),MONTH('P&amp;L Mensal'!$F$1),1)</f>
        <v>46082</v>
      </c>
      <c r="C70" s="23">
        <f>'P&amp;L Mensal'!$F$1</f>
        <v>46112</v>
      </c>
      <c r="D70" s="23">
        <f>'P&amp;L Mensal'!$F$1</f>
        <v>46112</v>
      </c>
      <c r="E70" t="str">
        <f>TEXT('P&amp;L Mensal'!$F$1,"mmm/yyyy")</f>
        <v>mar/yyyy</v>
      </c>
      <c r="F70" t="s">
        <v>609</v>
      </c>
      <c r="G70" t="s">
        <v>96</v>
      </c>
      <c r="H70" t="s">
        <v>549</v>
      </c>
      <c r="I70" s="104">
        <f>'P&amp;L Mensal'!K13</f>
        <v>0.45825613315093827</v>
      </c>
      <c r="J70" t="s">
        <v>545</v>
      </c>
      <c r="K70" t="s">
        <v>618</v>
      </c>
      <c r="L70">
        <v>13</v>
      </c>
    </row>
    <row r="71" spans="1:12" ht="18" customHeight="1" x14ac:dyDescent="0.25">
      <c r="A71" t="s">
        <v>544</v>
      </c>
      <c r="B71" s="23">
        <f>DATE(YEAR('P&amp;L Mensal'!$F$1),MONTH('P&amp;L Mensal'!$F$1),1)</f>
        <v>46082</v>
      </c>
      <c r="C71" s="23">
        <f>'P&amp;L Mensal'!$F$1</f>
        <v>46112</v>
      </c>
      <c r="D71" s="23">
        <f>'P&amp;L Mensal'!$F$1</f>
        <v>46112</v>
      </c>
      <c r="E71" t="str">
        <f>TEXT('P&amp;L Mensal'!$F$1,"mmm/yyyy")</f>
        <v>mar/yyyy</v>
      </c>
      <c r="F71" t="s">
        <v>609</v>
      </c>
      <c r="G71" t="s">
        <v>96</v>
      </c>
      <c r="H71" t="s">
        <v>557</v>
      </c>
      <c r="I71" s="429">
        <f>'P&amp;L Mensal'!L13</f>
        <v>803964.56000000611</v>
      </c>
      <c r="J71" t="s">
        <v>545</v>
      </c>
      <c r="K71" t="s">
        <v>619</v>
      </c>
      <c r="L71">
        <v>13</v>
      </c>
    </row>
    <row r="72" spans="1:12" ht="18" customHeight="1" x14ac:dyDescent="0.25">
      <c r="A72" t="s">
        <v>544</v>
      </c>
      <c r="B72" s="23">
        <f>DATE(YEAR('P&amp;L Mensal'!$F$1),MONTH('P&amp;L Mensal'!$F$1),1)</f>
        <v>46082</v>
      </c>
      <c r="C72" s="23">
        <f>'P&amp;L Mensal'!$F$1</f>
        <v>46112</v>
      </c>
      <c r="D72" s="23">
        <f>'P&amp;L Mensal'!$F$1</f>
        <v>46112</v>
      </c>
      <c r="E72" t="str">
        <f>TEXT('P&amp;L Mensal'!$F$1,"mmm/yyyy")</f>
        <v>mar/yyyy</v>
      </c>
      <c r="F72" t="s">
        <v>16</v>
      </c>
      <c r="G72" t="s">
        <v>205</v>
      </c>
      <c r="H72" t="s">
        <v>5</v>
      </c>
      <c r="I72" s="429">
        <f>'P&amp;L Mensal'!C14</f>
        <v>8879.4971400000013</v>
      </c>
      <c r="J72" t="s">
        <v>545</v>
      </c>
      <c r="K72" t="s">
        <v>620</v>
      </c>
      <c r="L72">
        <v>14</v>
      </c>
    </row>
    <row r="73" spans="1:12" ht="18" customHeight="1" x14ac:dyDescent="0.25">
      <c r="A73" t="s">
        <v>544</v>
      </c>
      <c r="B73" s="23">
        <f>DATE(YEAR('P&amp;L Mensal'!$F$1),MONTH('P&amp;L Mensal'!$F$1),1)</f>
        <v>46082</v>
      </c>
      <c r="C73" s="23">
        <f>'P&amp;L Mensal'!$F$1</f>
        <v>46112</v>
      </c>
      <c r="D73" s="23">
        <f>'P&amp;L Mensal'!$F$1</f>
        <v>46112</v>
      </c>
      <c r="E73" t="str">
        <f>TEXT('P&amp;L Mensal'!$F$1,"mmm/yyyy")</f>
        <v>mar/yyyy</v>
      </c>
      <c r="F73" t="s">
        <v>16</v>
      </c>
      <c r="G73" t="s">
        <v>205</v>
      </c>
      <c r="H73" t="s">
        <v>6</v>
      </c>
      <c r="I73" s="429">
        <f>'P&amp;L Mensal'!D14</f>
        <v>12466.561702127659</v>
      </c>
      <c r="J73" t="s">
        <v>545</v>
      </c>
      <c r="K73" t="s">
        <v>621</v>
      </c>
      <c r="L73">
        <v>14</v>
      </c>
    </row>
    <row r="74" spans="1:12" ht="18" customHeight="1" x14ac:dyDescent="0.25">
      <c r="A74" t="s">
        <v>544</v>
      </c>
      <c r="B74" s="23">
        <f>DATE(YEAR('P&amp;L Mensal'!$F$1),MONTH('P&amp;L Mensal'!$F$1),1)</f>
        <v>46082</v>
      </c>
      <c r="C74" s="23">
        <f>'P&amp;L Mensal'!$F$1</f>
        <v>46112</v>
      </c>
      <c r="D74" s="23">
        <f>'P&amp;L Mensal'!$F$1</f>
        <v>46112</v>
      </c>
      <c r="E74" t="str">
        <f>TEXT('P&amp;L Mensal'!$F$1,"mmm/yyyy")</f>
        <v>mar/yyyy</v>
      </c>
      <c r="F74" t="s">
        <v>16</v>
      </c>
      <c r="G74" t="s">
        <v>205</v>
      </c>
      <c r="H74" t="s">
        <v>549</v>
      </c>
      <c r="I74" s="104">
        <f>'P&amp;L Mensal'!E14</f>
        <v>-0.28773487412455157</v>
      </c>
      <c r="J74" t="s">
        <v>545</v>
      </c>
      <c r="K74" t="s">
        <v>622</v>
      </c>
      <c r="L74">
        <v>14</v>
      </c>
    </row>
    <row r="75" spans="1:12" ht="18" customHeight="1" x14ac:dyDescent="0.25">
      <c r="A75" t="s">
        <v>544</v>
      </c>
      <c r="B75" s="23">
        <f>DATE(YEAR('P&amp;L Mensal'!$F$1),MONTH('P&amp;L Mensal'!$F$1),1)</f>
        <v>46082</v>
      </c>
      <c r="C75" s="23">
        <f>'P&amp;L Mensal'!$F$1</f>
        <v>46112</v>
      </c>
      <c r="D75" s="23">
        <f>'P&amp;L Mensal'!$F$1</f>
        <v>46112</v>
      </c>
      <c r="E75" t="str">
        <f>TEXT('P&amp;L Mensal'!$F$1,"mmm/yyyy")</f>
        <v>mar/yyyy</v>
      </c>
      <c r="F75" t="s">
        <v>16</v>
      </c>
      <c r="G75" t="s">
        <v>220</v>
      </c>
      <c r="H75" t="s">
        <v>5</v>
      </c>
      <c r="I75" s="429">
        <f>'P&amp;L Mensal'!F14</f>
        <v>11964.39286</v>
      </c>
      <c r="J75" t="s">
        <v>545</v>
      </c>
      <c r="K75" t="s">
        <v>623</v>
      </c>
      <c r="L75">
        <v>14</v>
      </c>
    </row>
    <row r="76" spans="1:12" ht="18" customHeight="1" x14ac:dyDescent="0.25">
      <c r="A76" t="s">
        <v>544</v>
      </c>
      <c r="B76" s="23">
        <f>DATE(YEAR('P&amp;L Mensal'!$F$1),MONTH('P&amp;L Mensal'!$F$1),1)</f>
        <v>46082</v>
      </c>
      <c r="C76" s="23">
        <f>'P&amp;L Mensal'!$F$1</f>
        <v>46112</v>
      </c>
      <c r="D76" s="23">
        <f>'P&amp;L Mensal'!$F$1</f>
        <v>46112</v>
      </c>
      <c r="E76" t="str">
        <f>TEXT('P&amp;L Mensal'!$F$1,"mmm/yyyy")</f>
        <v>mar/yyyy</v>
      </c>
      <c r="F76" t="s">
        <v>16</v>
      </c>
      <c r="G76" t="s">
        <v>220</v>
      </c>
      <c r="H76" t="s">
        <v>6</v>
      </c>
      <c r="I76" s="429">
        <f>'P&amp;L Mensal'!G14</f>
        <v>16829.858297872339</v>
      </c>
      <c r="J76" t="s">
        <v>545</v>
      </c>
      <c r="K76" t="s">
        <v>624</v>
      </c>
      <c r="L76">
        <v>14</v>
      </c>
    </row>
    <row r="77" spans="1:12" ht="18" customHeight="1" x14ac:dyDescent="0.25">
      <c r="A77" t="s">
        <v>544</v>
      </c>
      <c r="B77" s="23">
        <f>DATE(YEAR('P&amp;L Mensal'!$F$1),MONTH('P&amp;L Mensal'!$F$1),1)</f>
        <v>46082</v>
      </c>
      <c r="C77" s="23">
        <f>'P&amp;L Mensal'!$F$1</f>
        <v>46112</v>
      </c>
      <c r="D77" s="23">
        <f>'P&amp;L Mensal'!$F$1</f>
        <v>46112</v>
      </c>
      <c r="E77" t="str">
        <f>TEXT('P&amp;L Mensal'!$F$1,"mmm/yyyy")</f>
        <v>mar/yyyy</v>
      </c>
      <c r="F77" t="s">
        <v>16</v>
      </c>
      <c r="G77" t="s">
        <v>220</v>
      </c>
      <c r="H77" t="s">
        <v>549</v>
      </c>
      <c r="I77" s="104">
        <f>'P&amp;L Mensal'!H14</f>
        <v>-0.2890972313467095</v>
      </c>
      <c r="J77" t="s">
        <v>545</v>
      </c>
      <c r="K77" t="s">
        <v>625</v>
      </c>
      <c r="L77">
        <v>14</v>
      </c>
    </row>
    <row r="78" spans="1:12" ht="18" customHeight="1" x14ac:dyDescent="0.25">
      <c r="A78" t="s">
        <v>544</v>
      </c>
      <c r="B78" s="23">
        <f>DATE(YEAR('P&amp;L Mensal'!$F$1),MONTH('P&amp;L Mensal'!$F$1),1)</f>
        <v>46082</v>
      </c>
      <c r="C78" s="23">
        <f>'P&amp;L Mensal'!$F$1</f>
        <v>46112</v>
      </c>
      <c r="D78" s="23">
        <f>'P&amp;L Mensal'!$F$1</f>
        <v>46112</v>
      </c>
      <c r="E78" t="str">
        <f>TEXT('P&amp;L Mensal'!$F$1,"mmm/yyyy")</f>
        <v>mar/yyyy</v>
      </c>
      <c r="F78" t="s">
        <v>16</v>
      </c>
      <c r="G78" t="s">
        <v>96</v>
      </c>
      <c r="H78" t="s">
        <v>5</v>
      </c>
      <c r="I78" s="429">
        <f>'P&amp;L Mensal'!I14</f>
        <v>20843.89</v>
      </c>
      <c r="J78" t="s">
        <v>545</v>
      </c>
      <c r="K78" t="s">
        <v>626</v>
      </c>
      <c r="L78">
        <v>14</v>
      </c>
    </row>
    <row r="79" spans="1:12" ht="18" customHeight="1" x14ac:dyDescent="0.25">
      <c r="A79" t="s">
        <v>544</v>
      </c>
      <c r="B79" s="23">
        <f>DATE(YEAR('P&amp;L Mensal'!$F$1),MONTH('P&amp;L Mensal'!$F$1),1)</f>
        <v>46082</v>
      </c>
      <c r="C79" s="23">
        <f>'P&amp;L Mensal'!$F$1</f>
        <v>46112</v>
      </c>
      <c r="D79" s="23">
        <f>'P&amp;L Mensal'!$F$1</f>
        <v>46112</v>
      </c>
      <c r="E79" t="str">
        <f>TEXT('P&amp;L Mensal'!$F$1,"mmm/yyyy")</f>
        <v>mar/yyyy</v>
      </c>
      <c r="F79" t="s">
        <v>16</v>
      </c>
      <c r="G79" t="s">
        <v>96</v>
      </c>
      <c r="H79" t="s">
        <v>6</v>
      </c>
      <c r="I79" s="429">
        <f>'P&amp;L Mensal'!J14</f>
        <v>29296.42</v>
      </c>
      <c r="J79" t="s">
        <v>545</v>
      </c>
      <c r="K79" t="s">
        <v>627</v>
      </c>
      <c r="L79">
        <v>14</v>
      </c>
    </row>
    <row r="80" spans="1:12" ht="18" customHeight="1" x14ac:dyDescent="0.25">
      <c r="A80" t="s">
        <v>544</v>
      </c>
      <c r="B80" s="23">
        <f>DATE(YEAR('P&amp;L Mensal'!$F$1),MONTH('P&amp;L Mensal'!$F$1),1)</f>
        <v>46082</v>
      </c>
      <c r="C80" s="23">
        <f>'P&amp;L Mensal'!$F$1</f>
        <v>46112</v>
      </c>
      <c r="D80" s="23">
        <f>'P&amp;L Mensal'!$F$1</f>
        <v>46112</v>
      </c>
      <c r="E80" t="str">
        <f>TEXT('P&amp;L Mensal'!$F$1,"mmm/yyyy")</f>
        <v>mar/yyyy</v>
      </c>
      <c r="F80" t="s">
        <v>16</v>
      </c>
      <c r="G80" t="s">
        <v>96</v>
      </c>
      <c r="H80" t="s">
        <v>549</v>
      </c>
      <c r="I80" s="104">
        <f>'P&amp;L Mensal'!K14</f>
        <v>-0.28851750486919558</v>
      </c>
      <c r="J80" t="s">
        <v>545</v>
      </c>
      <c r="K80" t="s">
        <v>628</v>
      </c>
      <c r="L80">
        <v>14</v>
      </c>
    </row>
    <row r="81" spans="1:12" ht="18" customHeight="1" x14ac:dyDescent="0.25">
      <c r="A81" t="s">
        <v>544</v>
      </c>
      <c r="B81" s="23">
        <f>DATE(YEAR('P&amp;L Mensal'!$F$1),MONTH('P&amp;L Mensal'!$F$1),1)</f>
        <v>46082</v>
      </c>
      <c r="C81" s="23">
        <f>'P&amp;L Mensal'!$F$1</f>
        <v>46112</v>
      </c>
      <c r="D81" s="23">
        <f>'P&amp;L Mensal'!$F$1</f>
        <v>46112</v>
      </c>
      <c r="E81" t="str">
        <f>TEXT('P&amp;L Mensal'!$F$1,"mmm/yyyy")</f>
        <v>mar/yyyy</v>
      </c>
      <c r="F81" t="s">
        <v>16</v>
      </c>
      <c r="G81" t="s">
        <v>96</v>
      </c>
      <c r="H81" t="s">
        <v>557</v>
      </c>
      <c r="I81" s="429">
        <f>'P&amp;L Mensal'!L14</f>
        <v>-8452.5299999999988</v>
      </c>
      <c r="J81" t="s">
        <v>545</v>
      </c>
      <c r="K81" t="s">
        <v>629</v>
      </c>
      <c r="L81">
        <v>14</v>
      </c>
    </row>
    <row r="82" spans="1:12" ht="18" customHeight="1" x14ac:dyDescent="0.25">
      <c r="A82" t="s">
        <v>544</v>
      </c>
      <c r="B82" s="23">
        <f>DATE(YEAR('P&amp;L Mensal'!$F$1),MONTH('P&amp;L Mensal'!$F$1),1)</f>
        <v>46082</v>
      </c>
      <c r="C82" s="23">
        <f>'P&amp;L Mensal'!$F$1</f>
        <v>46112</v>
      </c>
      <c r="D82" s="23">
        <f>'P&amp;L Mensal'!$F$1</f>
        <v>46112</v>
      </c>
      <c r="E82" t="str">
        <f>TEXT('P&amp;L Mensal'!$F$1,"mmm/yyyy")</f>
        <v>mar/yyyy</v>
      </c>
      <c r="F82" t="s">
        <v>17</v>
      </c>
      <c r="G82" t="s">
        <v>205</v>
      </c>
      <c r="H82" t="s">
        <v>5</v>
      </c>
      <c r="I82" s="429">
        <f>'P&amp;L Mensal'!C15</f>
        <v>0</v>
      </c>
      <c r="J82" t="s">
        <v>545</v>
      </c>
      <c r="K82" t="s">
        <v>630</v>
      </c>
      <c r="L82">
        <v>15</v>
      </c>
    </row>
    <row r="83" spans="1:12" ht="18" customHeight="1" x14ac:dyDescent="0.25">
      <c r="A83" t="s">
        <v>544</v>
      </c>
      <c r="B83" s="23">
        <f>DATE(YEAR('P&amp;L Mensal'!$F$1),MONTH('P&amp;L Mensal'!$F$1),1)</f>
        <v>46082</v>
      </c>
      <c r="C83" s="23">
        <f>'P&amp;L Mensal'!$F$1</f>
        <v>46112</v>
      </c>
      <c r="D83" s="23">
        <f>'P&amp;L Mensal'!$F$1</f>
        <v>46112</v>
      </c>
      <c r="E83" t="str">
        <f>TEXT('P&amp;L Mensal'!$F$1,"mmm/yyyy")</f>
        <v>mar/yyyy</v>
      </c>
      <c r="F83" t="s">
        <v>17</v>
      </c>
      <c r="G83" t="s">
        <v>205</v>
      </c>
      <c r="H83" t="s">
        <v>6</v>
      </c>
      <c r="I83" s="429">
        <f>'P&amp;L Mensal'!D15</f>
        <v>0</v>
      </c>
      <c r="J83" t="s">
        <v>545</v>
      </c>
      <c r="K83" t="s">
        <v>631</v>
      </c>
      <c r="L83">
        <v>15</v>
      </c>
    </row>
    <row r="84" spans="1:12" ht="18" customHeight="1" x14ac:dyDescent="0.25">
      <c r="A84" t="s">
        <v>544</v>
      </c>
      <c r="B84" s="23">
        <f>DATE(YEAR('P&amp;L Mensal'!$F$1),MONTH('P&amp;L Mensal'!$F$1),1)</f>
        <v>46082</v>
      </c>
      <c r="C84" s="23">
        <f>'P&amp;L Mensal'!$F$1</f>
        <v>46112</v>
      </c>
      <c r="D84" s="23">
        <f>'P&amp;L Mensal'!$F$1</f>
        <v>46112</v>
      </c>
      <c r="E84" t="str">
        <f>TEXT('P&amp;L Mensal'!$F$1,"mmm/yyyy")</f>
        <v>mar/yyyy</v>
      </c>
      <c r="F84" t="s">
        <v>17</v>
      </c>
      <c r="G84" t="s">
        <v>205</v>
      </c>
      <c r="H84" t="s">
        <v>549</v>
      </c>
      <c r="I84" s="104" t="str">
        <f>'P&amp;L Mensal'!E15</f>
        <v>-</v>
      </c>
      <c r="J84" t="s">
        <v>545</v>
      </c>
      <c r="K84" t="s">
        <v>632</v>
      </c>
      <c r="L84">
        <v>15</v>
      </c>
    </row>
    <row r="85" spans="1:12" ht="18" customHeight="1" x14ac:dyDescent="0.25">
      <c r="A85" t="s">
        <v>544</v>
      </c>
      <c r="B85" s="23">
        <f>DATE(YEAR('P&amp;L Mensal'!$F$1),MONTH('P&amp;L Mensal'!$F$1),1)</f>
        <v>46082</v>
      </c>
      <c r="C85" s="23">
        <f>'P&amp;L Mensal'!$F$1</f>
        <v>46112</v>
      </c>
      <c r="D85" s="23">
        <f>'P&amp;L Mensal'!$F$1</f>
        <v>46112</v>
      </c>
      <c r="E85" t="str">
        <f>TEXT('P&amp;L Mensal'!$F$1,"mmm/yyyy")</f>
        <v>mar/yyyy</v>
      </c>
      <c r="F85" t="s">
        <v>17</v>
      </c>
      <c r="G85" t="s">
        <v>220</v>
      </c>
      <c r="H85" t="s">
        <v>5</v>
      </c>
      <c r="I85" s="429">
        <f>'P&amp;L Mensal'!F15</f>
        <v>0</v>
      </c>
      <c r="J85" t="s">
        <v>545</v>
      </c>
      <c r="K85" t="s">
        <v>633</v>
      </c>
      <c r="L85">
        <v>15</v>
      </c>
    </row>
    <row r="86" spans="1:12" ht="18" customHeight="1" x14ac:dyDescent="0.25">
      <c r="A86" t="s">
        <v>544</v>
      </c>
      <c r="B86" s="23">
        <f>DATE(YEAR('P&amp;L Mensal'!$F$1),MONTH('P&amp;L Mensal'!$F$1),1)</f>
        <v>46082</v>
      </c>
      <c r="C86" s="23">
        <f>'P&amp;L Mensal'!$F$1</f>
        <v>46112</v>
      </c>
      <c r="D86" s="23">
        <f>'P&amp;L Mensal'!$F$1</f>
        <v>46112</v>
      </c>
      <c r="E86" t="str">
        <f>TEXT('P&amp;L Mensal'!$F$1,"mmm/yyyy")</f>
        <v>mar/yyyy</v>
      </c>
      <c r="F86" t="s">
        <v>17</v>
      </c>
      <c r="G86" t="s">
        <v>220</v>
      </c>
      <c r="H86" t="s">
        <v>6</v>
      </c>
      <c r="I86" s="429">
        <f>'P&amp;L Mensal'!G15</f>
        <v>0</v>
      </c>
      <c r="J86" t="s">
        <v>545</v>
      </c>
      <c r="K86" t="s">
        <v>634</v>
      </c>
      <c r="L86">
        <v>15</v>
      </c>
    </row>
    <row r="87" spans="1:12" ht="18" customHeight="1" x14ac:dyDescent="0.25">
      <c r="A87" t="s">
        <v>544</v>
      </c>
      <c r="B87" s="23">
        <f>DATE(YEAR('P&amp;L Mensal'!$F$1),MONTH('P&amp;L Mensal'!$F$1),1)</f>
        <v>46082</v>
      </c>
      <c r="C87" s="23">
        <f>'P&amp;L Mensal'!$F$1</f>
        <v>46112</v>
      </c>
      <c r="D87" s="23">
        <f>'P&amp;L Mensal'!$F$1</f>
        <v>46112</v>
      </c>
      <c r="E87" t="str">
        <f>TEXT('P&amp;L Mensal'!$F$1,"mmm/yyyy")</f>
        <v>mar/yyyy</v>
      </c>
      <c r="F87" t="s">
        <v>17</v>
      </c>
      <c r="G87" t="s">
        <v>220</v>
      </c>
      <c r="H87" t="s">
        <v>549</v>
      </c>
      <c r="I87" s="104" t="str">
        <f>'P&amp;L Mensal'!H15</f>
        <v>-</v>
      </c>
      <c r="J87" t="s">
        <v>545</v>
      </c>
      <c r="K87" t="s">
        <v>635</v>
      </c>
      <c r="L87">
        <v>15</v>
      </c>
    </row>
    <row r="88" spans="1:12" ht="18" customHeight="1" x14ac:dyDescent="0.25">
      <c r="A88" t="s">
        <v>544</v>
      </c>
      <c r="B88" s="23">
        <f>DATE(YEAR('P&amp;L Mensal'!$F$1),MONTH('P&amp;L Mensal'!$F$1),1)</f>
        <v>46082</v>
      </c>
      <c r="C88" s="23">
        <f>'P&amp;L Mensal'!$F$1</f>
        <v>46112</v>
      </c>
      <c r="D88" s="23">
        <f>'P&amp;L Mensal'!$F$1</f>
        <v>46112</v>
      </c>
      <c r="E88" t="str">
        <f>TEXT('P&amp;L Mensal'!$F$1,"mmm/yyyy")</f>
        <v>mar/yyyy</v>
      </c>
      <c r="F88" t="s">
        <v>17</v>
      </c>
      <c r="G88" t="s">
        <v>96</v>
      </c>
      <c r="H88" t="s">
        <v>5</v>
      </c>
      <c r="I88" s="429">
        <f>'P&amp;L Mensal'!I15</f>
        <v>0</v>
      </c>
      <c r="J88" t="s">
        <v>545</v>
      </c>
      <c r="K88" t="s">
        <v>636</v>
      </c>
      <c r="L88">
        <v>15</v>
      </c>
    </row>
    <row r="89" spans="1:12" ht="18" customHeight="1" x14ac:dyDescent="0.25">
      <c r="A89" t="s">
        <v>544</v>
      </c>
      <c r="B89" s="23">
        <f>DATE(YEAR('P&amp;L Mensal'!$F$1),MONTH('P&amp;L Mensal'!$F$1),1)</f>
        <v>46082</v>
      </c>
      <c r="C89" s="23">
        <f>'P&amp;L Mensal'!$F$1</f>
        <v>46112</v>
      </c>
      <c r="D89" s="23">
        <f>'P&amp;L Mensal'!$F$1</f>
        <v>46112</v>
      </c>
      <c r="E89" t="str">
        <f>TEXT('P&amp;L Mensal'!$F$1,"mmm/yyyy")</f>
        <v>mar/yyyy</v>
      </c>
      <c r="F89" t="s">
        <v>17</v>
      </c>
      <c r="G89" t="s">
        <v>96</v>
      </c>
      <c r="H89" t="s">
        <v>6</v>
      </c>
      <c r="I89" s="429">
        <f>'P&amp;L Mensal'!J15</f>
        <v>0</v>
      </c>
      <c r="J89" t="s">
        <v>545</v>
      </c>
      <c r="K89" t="s">
        <v>637</v>
      </c>
      <c r="L89">
        <v>15</v>
      </c>
    </row>
    <row r="90" spans="1:12" ht="18" customHeight="1" x14ac:dyDescent="0.25">
      <c r="A90" t="s">
        <v>544</v>
      </c>
      <c r="B90" s="23">
        <f>DATE(YEAR('P&amp;L Mensal'!$F$1),MONTH('P&amp;L Mensal'!$F$1),1)</f>
        <v>46082</v>
      </c>
      <c r="C90" s="23">
        <f>'P&amp;L Mensal'!$F$1</f>
        <v>46112</v>
      </c>
      <c r="D90" s="23">
        <f>'P&amp;L Mensal'!$F$1</f>
        <v>46112</v>
      </c>
      <c r="E90" t="str">
        <f>TEXT('P&amp;L Mensal'!$F$1,"mmm/yyyy")</f>
        <v>mar/yyyy</v>
      </c>
      <c r="F90" t="s">
        <v>17</v>
      </c>
      <c r="G90" t="s">
        <v>96</v>
      </c>
      <c r="H90" t="s">
        <v>549</v>
      </c>
      <c r="I90" s="104" t="str">
        <f>'P&amp;L Mensal'!K15</f>
        <v>-</v>
      </c>
      <c r="J90" t="s">
        <v>545</v>
      </c>
      <c r="K90" t="s">
        <v>638</v>
      </c>
      <c r="L90">
        <v>15</v>
      </c>
    </row>
    <row r="91" spans="1:12" ht="18" customHeight="1" x14ac:dyDescent="0.25">
      <c r="A91" t="s">
        <v>544</v>
      </c>
      <c r="B91" s="23">
        <f>DATE(YEAR('P&amp;L Mensal'!$F$1),MONTH('P&amp;L Mensal'!$F$1),1)</f>
        <v>46082</v>
      </c>
      <c r="C91" s="23">
        <f>'P&amp;L Mensal'!$F$1</f>
        <v>46112</v>
      </c>
      <c r="D91" s="23">
        <f>'P&amp;L Mensal'!$F$1</f>
        <v>46112</v>
      </c>
      <c r="E91" t="str">
        <f>TEXT('P&amp;L Mensal'!$F$1,"mmm/yyyy")</f>
        <v>mar/yyyy</v>
      </c>
      <c r="F91" t="s">
        <v>17</v>
      </c>
      <c r="G91" t="s">
        <v>96</v>
      </c>
      <c r="H91" t="s">
        <v>557</v>
      </c>
      <c r="I91" s="429">
        <f>'P&amp;L Mensal'!L15</f>
        <v>0</v>
      </c>
      <c r="J91" t="s">
        <v>545</v>
      </c>
      <c r="K91" t="s">
        <v>639</v>
      </c>
      <c r="L91">
        <v>15</v>
      </c>
    </row>
    <row r="92" spans="1:12" ht="18" customHeight="1" x14ac:dyDescent="0.25">
      <c r="A92" t="s">
        <v>544</v>
      </c>
      <c r="B92" s="23">
        <f>DATE(YEAR('P&amp;L Mensal'!$F$1),MONTH('P&amp;L Mensal'!$F$1),1)</f>
        <v>46082</v>
      </c>
      <c r="C92" s="23">
        <f>'P&amp;L Mensal'!$F$1</f>
        <v>46112</v>
      </c>
      <c r="D92" s="23">
        <f>'P&amp;L Mensal'!$F$1</f>
        <v>46112</v>
      </c>
      <c r="E92" t="str">
        <f>TEXT('P&amp;L Mensal'!$F$1,"mmm/yyyy")</f>
        <v>mar/yyyy</v>
      </c>
      <c r="F92" t="s">
        <v>18</v>
      </c>
      <c r="G92" t="s">
        <v>205</v>
      </c>
      <c r="H92" t="s">
        <v>5</v>
      </c>
      <c r="I92" s="429">
        <f>'P&amp;L Mensal'!C16</f>
        <v>0</v>
      </c>
      <c r="J92" t="s">
        <v>545</v>
      </c>
      <c r="K92" t="s">
        <v>640</v>
      </c>
      <c r="L92">
        <v>16</v>
      </c>
    </row>
    <row r="93" spans="1:12" ht="18" customHeight="1" x14ac:dyDescent="0.25">
      <c r="A93" t="s">
        <v>544</v>
      </c>
      <c r="B93" s="23">
        <f>DATE(YEAR('P&amp;L Mensal'!$F$1),MONTH('P&amp;L Mensal'!$F$1),1)</f>
        <v>46082</v>
      </c>
      <c r="C93" s="23">
        <f>'P&amp;L Mensal'!$F$1</f>
        <v>46112</v>
      </c>
      <c r="D93" s="23">
        <f>'P&amp;L Mensal'!$F$1</f>
        <v>46112</v>
      </c>
      <c r="E93" t="str">
        <f>TEXT('P&amp;L Mensal'!$F$1,"mmm/yyyy")</f>
        <v>mar/yyyy</v>
      </c>
      <c r="F93" t="s">
        <v>18</v>
      </c>
      <c r="G93" t="s">
        <v>205</v>
      </c>
      <c r="H93" t="s">
        <v>6</v>
      </c>
      <c r="I93" s="429">
        <f>'P&amp;L Mensal'!D16</f>
        <v>0</v>
      </c>
      <c r="J93" t="s">
        <v>545</v>
      </c>
      <c r="K93" t="s">
        <v>641</v>
      </c>
      <c r="L93">
        <v>16</v>
      </c>
    </row>
    <row r="94" spans="1:12" ht="18" customHeight="1" x14ac:dyDescent="0.25">
      <c r="A94" t="s">
        <v>544</v>
      </c>
      <c r="B94" s="23">
        <f>DATE(YEAR('P&amp;L Mensal'!$F$1),MONTH('P&amp;L Mensal'!$F$1),1)</f>
        <v>46082</v>
      </c>
      <c r="C94" s="23">
        <f>'P&amp;L Mensal'!$F$1</f>
        <v>46112</v>
      </c>
      <c r="D94" s="23">
        <f>'P&amp;L Mensal'!$F$1</f>
        <v>46112</v>
      </c>
      <c r="E94" t="str">
        <f>TEXT('P&amp;L Mensal'!$F$1,"mmm/yyyy")</f>
        <v>mar/yyyy</v>
      </c>
      <c r="F94" t="s">
        <v>18</v>
      </c>
      <c r="G94" t="s">
        <v>205</v>
      </c>
      <c r="H94" t="s">
        <v>549</v>
      </c>
      <c r="I94" s="104" t="str">
        <f>'P&amp;L Mensal'!E16</f>
        <v>-</v>
      </c>
      <c r="J94" t="s">
        <v>545</v>
      </c>
      <c r="K94" t="s">
        <v>642</v>
      </c>
      <c r="L94">
        <v>16</v>
      </c>
    </row>
    <row r="95" spans="1:12" ht="18" customHeight="1" x14ac:dyDescent="0.25">
      <c r="A95" t="s">
        <v>544</v>
      </c>
      <c r="B95" s="23">
        <f>DATE(YEAR('P&amp;L Mensal'!$F$1),MONTH('P&amp;L Mensal'!$F$1),1)</f>
        <v>46082</v>
      </c>
      <c r="C95" s="23">
        <f>'P&amp;L Mensal'!$F$1</f>
        <v>46112</v>
      </c>
      <c r="D95" s="23">
        <f>'P&amp;L Mensal'!$F$1</f>
        <v>46112</v>
      </c>
      <c r="E95" t="str">
        <f>TEXT('P&amp;L Mensal'!$F$1,"mmm/yyyy")</f>
        <v>mar/yyyy</v>
      </c>
      <c r="F95" t="s">
        <v>18</v>
      </c>
      <c r="G95" t="s">
        <v>220</v>
      </c>
      <c r="H95" t="s">
        <v>5</v>
      </c>
      <c r="I95" s="429">
        <f>'P&amp;L Mensal'!F16</f>
        <v>155899.01</v>
      </c>
      <c r="J95" t="s">
        <v>545</v>
      </c>
      <c r="K95" t="s">
        <v>643</v>
      </c>
      <c r="L95">
        <v>16</v>
      </c>
    </row>
    <row r="96" spans="1:12" ht="18" customHeight="1" x14ac:dyDescent="0.25">
      <c r="A96" t="s">
        <v>544</v>
      </c>
      <c r="B96" s="23">
        <f>DATE(YEAR('P&amp;L Mensal'!$F$1),MONTH('P&amp;L Mensal'!$F$1),1)</f>
        <v>46082</v>
      </c>
      <c r="C96" s="23">
        <f>'P&amp;L Mensal'!$F$1</f>
        <v>46112</v>
      </c>
      <c r="D96" s="23">
        <f>'P&amp;L Mensal'!$F$1</f>
        <v>46112</v>
      </c>
      <c r="E96" t="str">
        <f>TEXT('P&amp;L Mensal'!$F$1,"mmm/yyyy")</f>
        <v>mar/yyyy</v>
      </c>
      <c r="F96" t="s">
        <v>18</v>
      </c>
      <c r="G96" t="s">
        <v>220</v>
      </c>
      <c r="H96" t="s">
        <v>6</v>
      </c>
      <c r="I96" s="429">
        <f>'P&amp;L Mensal'!G16</f>
        <v>282753.77250000002</v>
      </c>
      <c r="J96" t="s">
        <v>545</v>
      </c>
      <c r="K96" t="s">
        <v>644</v>
      </c>
      <c r="L96">
        <v>16</v>
      </c>
    </row>
    <row r="97" spans="1:12" ht="18" customHeight="1" x14ac:dyDescent="0.25">
      <c r="A97" t="s">
        <v>544</v>
      </c>
      <c r="B97" s="23">
        <f>DATE(YEAR('P&amp;L Mensal'!$F$1),MONTH('P&amp;L Mensal'!$F$1),1)</f>
        <v>46082</v>
      </c>
      <c r="C97" s="23">
        <f>'P&amp;L Mensal'!$F$1</f>
        <v>46112</v>
      </c>
      <c r="D97" s="23">
        <f>'P&amp;L Mensal'!$F$1</f>
        <v>46112</v>
      </c>
      <c r="E97" t="str">
        <f>TEXT('P&amp;L Mensal'!$F$1,"mmm/yyyy")</f>
        <v>mar/yyyy</v>
      </c>
      <c r="F97" t="s">
        <v>18</v>
      </c>
      <c r="G97" t="s">
        <v>220</v>
      </c>
      <c r="H97" t="s">
        <v>549</v>
      </c>
      <c r="I97" s="104">
        <f>'P&amp;L Mensal'!H16</f>
        <v>-0.44864038905086578</v>
      </c>
      <c r="J97" t="s">
        <v>545</v>
      </c>
      <c r="K97" t="s">
        <v>645</v>
      </c>
      <c r="L97">
        <v>16</v>
      </c>
    </row>
    <row r="98" spans="1:12" ht="18" customHeight="1" x14ac:dyDescent="0.25">
      <c r="A98" t="s">
        <v>544</v>
      </c>
      <c r="B98" s="23">
        <f>DATE(YEAR('P&amp;L Mensal'!$F$1),MONTH('P&amp;L Mensal'!$F$1),1)</f>
        <v>46082</v>
      </c>
      <c r="C98" s="23">
        <f>'P&amp;L Mensal'!$F$1</f>
        <v>46112</v>
      </c>
      <c r="D98" s="23">
        <f>'P&amp;L Mensal'!$F$1</f>
        <v>46112</v>
      </c>
      <c r="E98" t="str">
        <f>TEXT('P&amp;L Mensal'!$F$1,"mmm/yyyy")</f>
        <v>mar/yyyy</v>
      </c>
      <c r="F98" t="s">
        <v>18</v>
      </c>
      <c r="G98" t="s">
        <v>96</v>
      </c>
      <c r="H98" t="s">
        <v>5</v>
      </c>
      <c r="I98" s="429">
        <f>'P&amp;L Mensal'!I16</f>
        <v>155899.01</v>
      </c>
      <c r="J98" t="s">
        <v>545</v>
      </c>
      <c r="K98" t="s">
        <v>646</v>
      </c>
      <c r="L98">
        <v>16</v>
      </c>
    </row>
    <row r="99" spans="1:12" ht="18" customHeight="1" x14ac:dyDescent="0.25">
      <c r="A99" t="s">
        <v>544</v>
      </c>
      <c r="B99" s="23">
        <f>DATE(YEAR('P&amp;L Mensal'!$F$1),MONTH('P&amp;L Mensal'!$F$1),1)</f>
        <v>46082</v>
      </c>
      <c r="C99" s="23">
        <f>'P&amp;L Mensal'!$F$1</f>
        <v>46112</v>
      </c>
      <c r="D99" s="23">
        <f>'P&amp;L Mensal'!$F$1</f>
        <v>46112</v>
      </c>
      <c r="E99" t="str">
        <f>TEXT('P&amp;L Mensal'!$F$1,"mmm/yyyy")</f>
        <v>mar/yyyy</v>
      </c>
      <c r="F99" t="s">
        <v>18</v>
      </c>
      <c r="G99" t="s">
        <v>96</v>
      </c>
      <c r="H99" t="s">
        <v>6</v>
      </c>
      <c r="I99" s="429">
        <f>'P&amp;L Mensal'!J16</f>
        <v>282753.77250000002</v>
      </c>
      <c r="J99" t="s">
        <v>545</v>
      </c>
      <c r="K99" t="s">
        <v>647</v>
      </c>
      <c r="L99">
        <v>16</v>
      </c>
    </row>
    <row r="100" spans="1:12" ht="18" customHeight="1" x14ac:dyDescent="0.25">
      <c r="A100" t="s">
        <v>544</v>
      </c>
      <c r="B100" s="23">
        <f>DATE(YEAR('P&amp;L Mensal'!$F$1),MONTH('P&amp;L Mensal'!$F$1),1)</f>
        <v>46082</v>
      </c>
      <c r="C100" s="23">
        <f>'P&amp;L Mensal'!$F$1</f>
        <v>46112</v>
      </c>
      <c r="D100" s="23">
        <f>'P&amp;L Mensal'!$F$1</f>
        <v>46112</v>
      </c>
      <c r="E100" t="str">
        <f>TEXT('P&amp;L Mensal'!$F$1,"mmm/yyyy")</f>
        <v>mar/yyyy</v>
      </c>
      <c r="F100" t="s">
        <v>18</v>
      </c>
      <c r="G100" t="s">
        <v>96</v>
      </c>
      <c r="H100" t="s">
        <v>549</v>
      </c>
      <c r="I100" s="104">
        <f>'P&amp;L Mensal'!K16</f>
        <v>-0.44864038905086578</v>
      </c>
      <c r="J100" t="s">
        <v>545</v>
      </c>
      <c r="K100" t="s">
        <v>648</v>
      </c>
      <c r="L100">
        <v>16</v>
      </c>
    </row>
    <row r="101" spans="1:12" ht="18" customHeight="1" x14ac:dyDescent="0.25">
      <c r="A101" t="s">
        <v>544</v>
      </c>
      <c r="B101" s="23">
        <f>DATE(YEAR('P&amp;L Mensal'!$F$1),MONTH('P&amp;L Mensal'!$F$1),1)</f>
        <v>46082</v>
      </c>
      <c r="C101" s="23">
        <f>'P&amp;L Mensal'!$F$1</f>
        <v>46112</v>
      </c>
      <c r="D101" s="23">
        <f>'P&amp;L Mensal'!$F$1</f>
        <v>46112</v>
      </c>
      <c r="E101" t="str">
        <f>TEXT('P&amp;L Mensal'!$F$1,"mmm/yyyy")</f>
        <v>mar/yyyy</v>
      </c>
      <c r="F101" t="s">
        <v>18</v>
      </c>
      <c r="G101" t="s">
        <v>96</v>
      </c>
      <c r="H101" t="s">
        <v>557</v>
      </c>
      <c r="I101" s="429">
        <f>'P&amp;L Mensal'!L16</f>
        <v>-126854.76250000001</v>
      </c>
      <c r="J101" t="s">
        <v>545</v>
      </c>
      <c r="K101" t="s">
        <v>649</v>
      </c>
      <c r="L101">
        <v>16</v>
      </c>
    </row>
    <row r="102" spans="1:12" ht="18" customHeight="1" x14ac:dyDescent="0.25">
      <c r="A102" t="s">
        <v>544</v>
      </c>
      <c r="B102" s="23">
        <f>DATE(YEAR('P&amp;L Mensal'!$F$1),MONTH('P&amp;L Mensal'!$F$1),1)</f>
        <v>46082</v>
      </c>
      <c r="C102" s="23">
        <f>'P&amp;L Mensal'!$F$1</f>
        <v>46112</v>
      </c>
      <c r="D102" s="23">
        <f>'P&amp;L Mensal'!$F$1</f>
        <v>46112</v>
      </c>
      <c r="E102" t="str">
        <f>TEXT('P&amp;L Mensal'!$F$1,"mmm/yyyy")</f>
        <v>mar/yyyy</v>
      </c>
      <c r="F102" t="s">
        <v>19</v>
      </c>
      <c r="G102" t="s">
        <v>205</v>
      </c>
      <c r="H102" t="s">
        <v>5</v>
      </c>
      <c r="I102" s="429">
        <f>'P&amp;L Mensal'!C17</f>
        <v>0</v>
      </c>
      <c r="J102" t="s">
        <v>545</v>
      </c>
      <c r="K102" t="s">
        <v>650</v>
      </c>
      <c r="L102">
        <v>17</v>
      </c>
    </row>
    <row r="103" spans="1:12" ht="18" customHeight="1" x14ac:dyDescent="0.25">
      <c r="A103" t="s">
        <v>544</v>
      </c>
      <c r="B103" s="23">
        <f>DATE(YEAR('P&amp;L Mensal'!$F$1),MONTH('P&amp;L Mensal'!$F$1),1)</f>
        <v>46082</v>
      </c>
      <c r="C103" s="23">
        <f>'P&amp;L Mensal'!$F$1</f>
        <v>46112</v>
      </c>
      <c r="D103" s="23">
        <f>'P&amp;L Mensal'!$F$1</f>
        <v>46112</v>
      </c>
      <c r="E103" t="str">
        <f>TEXT('P&amp;L Mensal'!$F$1,"mmm/yyyy")</f>
        <v>mar/yyyy</v>
      </c>
      <c r="F103" t="s">
        <v>19</v>
      </c>
      <c r="G103" t="s">
        <v>205</v>
      </c>
      <c r="H103" t="s">
        <v>6</v>
      </c>
      <c r="I103" s="429">
        <f>'P&amp;L Mensal'!D17</f>
        <v>0</v>
      </c>
      <c r="J103" t="s">
        <v>545</v>
      </c>
      <c r="K103" t="s">
        <v>651</v>
      </c>
      <c r="L103">
        <v>17</v>
      </c>
    </row>
    <row r="104" spans="1:12" ht="18" customHeight="1" x14ac:dyDescent="0.25">
      <c r="A104" t="s">
        <v>544</v>
      </c>
      <c r="B104" s="23">
        <f>DATE(YEAR('P&amp;L Mensal'!$F$1),MONTH('P&amp;L Mensal'!$F$1),1)</f>
        <v>46082</v>
      </c>
      <c r="C104" s="23">
        <f>'P&amp;L Mensal'!$F$1</f>
        <v>46112</v>
      </c>
      <c r="D104" s="23">
        <f>'P&amp;L Mensal'!$F$1</f>
        <v>46112</v>
      </c>
      <c r="E104" t="str">
        <f>TEXT('P&amp;L Mensal'!$F$1,"mmm/yyyy")</f>
        <v>mar/yyyy</v>
      </c>
      <c r="F104" t="s">
        <v>19</v>
      </c>
      <c r="G104" t="s">
        <v>205</v>
      </c>
      <c r="H104" t="s">
        <v>549</v>
      </c>
      <c r="I104" s="104" t="str">
        <f>'P&amp;L Mensal'!E17</f>
        <v>-</v>
      </c>
      <c r="J104" t="s">
        <v>545</v>
      </c>
      <c r="K104" t="s">
        <v>652</v>
      </c>
      <c r="L104">
        <v>17</v>
      </c>
    </row>
    <row r="105" spans="1:12" ht="18" customHeight="1" x14ac:dyDescent="0.25">
      <c r="A105" t="s">
        <v>544</v>
      </c>
      <c r="B105" s="23">
        <f>DATE(YEAR('P&amp;L Mensal'!$F$1),MONTH('P&amp;L Mensal'!$F$1),1)</f>
        <v>46082</v>
      </c>
      <c r="C105" s="23">
        <f>'P&amp;L Mensal'!$F$1</f>
        <v>46112</v>
      </c>
      <c r="D105" s="23">
        <f>'P&amp;L Mensal'!$F$1</f>
        <v>46112</v>
      </c>
      <c r="E105" t="str">
        <f>TEXT('P&amp;L Mensal'!$F$1,"mmm/yyyy")</f>
        <v>mar/yyyy</v>
      </c>
      <c r="F105" t="s">
        <v>19</v>
      </c>
      <c r="G105" t="s">
        <v>220</v>
      </c>
      <c r="H105" t="s">
        <v>5</v>
      </c>
      <c r="I105" s="429">
        <f>'P&amp;L Mensal'!F17</f>
        <v>1006702.7</v>
      </c>
      <c r="J105" t="s">
        <v>545</v>
      </c>
      <c r="K105" t="s">
        <v>653</v>
      </c>
      <c r="L105">
        <v>17</v>
      </c>
    </row>
    <row r="106" spans="1:12" ht="18" customHeight="1" x14ac:dyDescent="0.25">
      <c r="A106" t="s">
        <v>544</v>
      </c>
      <c r="B106" s="23">
        <f>DATE(YEAR('P&amp;L Mensal'!$F$1),MONTH('P&amp;L Mensal'!$F$1),1)</f>
        <v>46082</v>
      </c>
      <c r="C106" s="23">
        <f>'P&amp;L Mensal'!$F$1</f>
        <v>46112</v>
      </c>
      <c r="D106" s="23">
        <f>'P&amp;L Mensal'!$F$1</f>
        <v>46112</v>
      </c>
      <c r="E106" t="str">
        <f>TEXT('P&amp;L Mensal'!$F$1,"mmm/yyyy")</f>
        <v>mar/yyyy</v>
      </c>
      <c r="F106" t="s">
        <v>19</v>
      </c>
      <c r="G106" t="s">
        <v>220</v>
      </c>
      <c r="H106" t="s">
        <v>6</v>
      </c>
      <c r="I106" s="429">
        <f>'P&amp;L Mensal'!G17</f>
        <v>900000</v>
      </c>
      <c r="J106" t="s">
        <v>545</v>
      </c>
      <c r="K106" t="s">
        <v>654</v>
      </c>
      <c r="L106">
        <v>17</v>
      </c>
    </row>
    <row r="107" spans="1:12" ht="18" customHeight="1" x14ac:dyDescent="0.25">
      <c r="A107" t="s">
        <v>544</v>
      </c>
      <c r="B107" s="23">
        <f>DATE(YEAR('P&amp;L Mensal'!$F$1),MONTH('P&amp;L Mensal'!$F$1),1)</f>
        <v>46082</v>
      </c>
      <c r="C107" s="23">
        <f>'P&amp;L Mensal'!$F$1</f>
        <v>46112</v>
      </c>
      <c r="D107" s="23">
        <f>'P&amp;L Mensal'!$F$1</f>
        <v>46112</v>
      </c>
      <c r="E107" t="str">
        <f>TEXT('P&amp;L Mensal'!$F$1,"mmm/yyyy")</f>
        <v>mar/yyyy</v>
      </c>
      <c r="F107" t="s">
        <v>19</v>
      </c>
      <c r="G107" t="s">
        <v>220</v>
      </c>
      <c r="H107" t="s">
        <v>549</v>
      </c>
      <c r="I107" s="104">
        <f>'P&amp;L Mensal'!H17</f>
        <v>0.1185585555555555</v>
      </c>
      <c r="J107" t="s">
        <v>545</v>
      </c>
      <c r="K107" t="s">
        <v>655</v>
      </c>
      <c r="L107">
        <v>17</v>
      </c>
    </row>
    <row r="108" spans="1:12" ht="18" customHeight="1" x14ac:dyDescent="0.25">
      <c r="A108" t="s">
        <v>544</v>
      </c>
      <c r="B108" s="23">
        <f>DATE(YEAR('P&amp;L Mensal'!$F$1),MONTH('P&amp;L Mensal'!$F$1),1)</f>
        <v>46082</v>
      </c>
      <c r="C108" s="23">
        <f>'P&amp;L Mensal'!$F$1</f>
        <v>46112</v>
      </c>
      <c r="D108" s="23">
        <f>'P&amp;L Mensal'!$F$1</f>
        <v>46112</v>
      </c>
      <c r="E108" t="str">
        <f>TEXT('P&amp;L Mensal'!$F$1,"mmm/yyyy")</f>
        <v>mar/yyyy</v>
      </c>
      <c r="F108" t="s">
        <v>19</v>
      </c>
      <c r="G108" t="s">
        <v>96</v>
      </c>
      <c r="H108" t="s">
        <v>5</v>
      </c>
      <c r="I108" s="429">
        <f>'P&amp;L Mensal'!I17</f>
        <v>1006702.7</v>
      </c>
      <c r="J108" t="s">
        <v>545</v>
      </c>
      <c r="K108" t="s">
        <v>656</v>
      </c>
      <c r="L108">
        <v>17</v>
      </c>
    </row>
    <row r="109" spans="1:12" ht="18" customHeight="1" x14ac:dyDescent="0.25">
      <c r="A109" t="s">
        <v>544</v>
      </c>
      <c r="B109" s="23">
        <f>DATE(YEAR('P&amp;L Mensal'!$F$1),MONTH('P&amp;L Mensal'!$F$1),1)</f>
        <v>46082</v>
      </c>
      <c r="C109" s="23">
        <f>'P&amp;L Mensal'!$F$1</f>
        <v>46112</v>
      </c>
      <c r="D109" s="23">
        <f>'P&amp;L Mensal'!$F$1</f>
        <v>46112</v>
      </c>
      <c r="E109" t="str">
        <f>TEXT('P&amp;L Mensal'!$F$1,"mmm/yyyy")</f>
        <v>mar/yyyy</v>
      </c>
      <c r="F109" t="s">
        <v>19</v>
      </c>
      <c r="G109" t="s">
        <v>96</v>
      </c>
      <c r="H109" t="s">
        <v>6</v>
      </c>
      <c r="I109" s="429">
        <f>'P&amp;L Mensal'!J17</f>
        <v>900000</v>
      </c>
      <c r="J109" t="s">
        <v>545</v>
      </c>
      <c r="K109" t="s">
        <v>657</v>
      </c>
      <c r="L109">
        <v>17</v>
      </c>
    </row>
    <row r="110" spans="1:12" ht="18" customHeight="1" x14ac:dyDescent="0.25">
      <c r="A110" t="s">
        <v>544</v>
      </c>
      <c r="B110" s="23">
        <f>DATE(YEAR('P&amp;L Mensal'!$F$1),MONTH('P&amp;L Mensal'!$F$1),1)</f>
        <v>46082</v>
      </c>
      <c r="C110" s="23">
        <f>'P&amp;L Mensal'!$F$1</f>
        <v>46112</v>
      </c>
      <c r="D110" s="23">
        <f>'P&amp;L Mensal'!$F$1</f>
        <v>46112</v>
      </c>
      <c r="E110" t="str">
        <f>TEXT('P&amp;L Mensal'!$F$1,"mmm/yyyy")</f>
        <v>mar/yyyy</v>
      </c>
      <c r="F110" t="s">
        <v>19</v>
      </c>
      <c r="G110" t="s">
        <v>96</v>
      </c>
      <c r="H110" t="s">
        <v>549</v>
      </c>
      <c r="I110" s="104">
        <f>'P&amp;L Mensal'!K17</f>
        <v>0.1185585555555555</v>
      </c>
      <c r="J110" t="s">
        <v>545</v>
      </c>
      <c r="K110" t="s">
        <v>658</v>
      </c>
      <c r="L110">
        <v>17</v>
      </c>
    </row>
    <row r="111" spans="1:12" ht="18" customHeight="1" x14ac:dyDescent="0.25">
      <c r="A111" t="s">
        <v>544</v>
      </c>
      <c r="B111" s="23">
        <f>DATE(YEAR('P&amp;L Mensal'!$F$1),MONTH('P&amp;L Mensal'!$F$1),1)</f>
        <v>46082</v>
      </c>
      <c r="C111" s="23">
        <f>'P&amp;L Mensal'!$F$1</f>
        <v>46112</v>
      </c>
      <c r="D111" s="23">
        <f>'P&amp;L Mensal'!$F$1</f>
        <v>46112</v>
      </c>
      <c r="E111" t="str">
        <f>TEXT('P&amp;L Mensal'!$F$1,"mmm/yyyy")</f>
        <v>mar/yyyy</v>
      </c>
      <c r="F111" t="s">
        <v>19</v>
      </c>
      <c r="G111" t="s">
        <v>96</v>
      </c>
      <c r="H111" t="s">
        <v>557</v>
      </c>
      <c r="I111" s="429">
        <f>'P&amp;L Mensal'!L17</f>
        <v>106702.69999999995</v>
      </c>
      <c r="J111" t="s">
        <v>545</v>
      </c>
      <c r="K111" t="s">
        <v>659</v>
      </c>
      <c r="L111">
        <v>17</v>
      </c>
    </row>
    <row r="112" spans="1:12" ht="18" customHeight="1" x14ac:dyDescent="0.25">
      <c r="A112" t="s">
        <v>544</v>
      </c>
      <c r="B112" s="23">
        <f>DATE(YEAR('P&amp;L Mensal'!$F$1),MONTH('P&amp;L Mensal'!$F$1),1)</f>
        <v>46082</v>
      </c>
      <c r="C112" s="23">
        <f>'P&amp;L Mensal'!$F$1</f>
        <v>46112</v>
      </c>
      <c r="D112" s="23">
        <f>'P&amp;L Mensal'!$F$1</f>
        <v>46112</v>
      </c>
      <c r="E112" t="str">
        <f>TEXT('P&amp;L Mensal'!$F$1,"mmm/yyyy")</f>
        <v>mar/yyyy</v>
      </c>
      <c r="F112" t="s">
        <v>20</v>
      </c>
      <c r="G112" t="s">
        <v>205</v>
      </c>
      <c r="H112" t="s">
        <v>5</v>
      </c>
      <c r="I112" s="429">
        <f>'P&amp;L Mensal'!C18</f>
        <v>0</v>
      </c>
      <c r="J112" t="s">
        <v>545</v>
      </c>
      <c r="K112" t="s">
        <v>660</v>
      </c>
      <c r="L112">
        <v>18</v>
      </c>
    </row>
    <row r="113" spans="1:12" ht="18" customHeight="1" x14ac:dyDescent="0.25">
      <c r="A113" t="s">
        <v>544</v>
      </c>
      <c r="B113" s="23">
        <f>DATE(YEAR('P&amp;L Mensal'!$F$1),MONTH('P&amp;L Mensal'!$F$1),1)</f>
        <v>46082</v>
      </c>
      <c r="C113" s="23">
        <f>'P&amp;L Mensal'!$F$1</f>
        <v>46112</v>
      </c>
      <c r="D113" s="23">
        <f>'P&amp;L Mensal'!$F$1</f>
        <v>46112</v>
      </c>
      <c r="E113" t="str">
        <f>TEXT('P&amp;L Mensal'!$F$1,"mmm/yyyy")</f>
        <v>mar/yyyy</v>
      </c>
      <c r="F113" t="s">
        <v>20</v>
      </c>
      <c r="G113" t="s">
        <v>205</v>
      </c>
      <c r="H113" t="s">
        <v>6</v>
      </c>
      <c r="I113" s="429">
        <f>'P&amp;L Mensal'!D18</f>
        <v>0</v>
      </c>
      <c r="J113" t="s">
        <v>545</v>
      </c>
      <c r="K113" t="s">
        <v>661</v>
      </c>
      <c r="L113">
        <v>18</v>
      </c>
    </row>
    <row r="114" spans="1:12" ht="18" customHeight="1" x14ac:dyDescent="0.25">
      <c r="A114" t="s">
        <v>544</v>
      </c>
      <c r="B114" s="23">
        <f>DATE(YEAR('P&amp;L Mensal'!$F$1),MONTH('P&amp;L Mensal'!$F$1),1)</f>
        <v>46082</v>
      </c>
      <c r="C114" s="23">
        <f>'P&amp;L Mensal'!$F$1</f>
        <v>46112</v>
      </c>
      <c r="D114" s="23">
        <f>'P&amp;L Mensal'!$F$1</f>
        <v>46112</v>
      </c>
      <c r="E114" t="str">
        <f>TEXT('P&amp;L Mensal'!$F$1,"mmm/yyyy")</f>
        <v>mar/yyyy</v>
      </c>
      <c r="F114" t="s">
        <v>20</v>
      </c>
      <c r="G114" t="s">
        <v>205</v>
      </c>
      <c r="H114" t="s">
        <v>549</v>
      </c>
      <c r="I114" s="104" t="str">
        <f>'P&amp;L Mensal'!E18</f>
        <v>-</v>
      </c>
      <c r="J114" t="s">
        <v>545</v>
      </c>
      <c r="K114" t="s">
        <v>662</v>
      </c>
      <c r="L114">
        <v>18</v>
      </c>
    </row>
    <row r="115" spans="1:12" ht="18" customHeight="1" x14ac:dyDescent="0.25">
      <c r="A115" t="s">
        <v>544</v>
      </c>
      <c r="B115" s="23">
        <f>DATE(YEAR('P&amp;L Mensal'!$F$1),MONTH('P&amp;L Mensal'!$F$1),1)</f>
        <v>46082</v>
      </c>
      <c r="C115" s="23">
        <f>'P&amp;L Mensal'!$F$1</f>
        <v>46112</v>
      </c>
      <c r="D115" s="23">
        <f>'P&amp;L Mensal'!$F$1</f>
        <v>46112</v>
      </c>
      <c r="E115" t="str">
        <f>TEXT('P&amp;L Mensal'!$F$1,"mmm/yyyy")</f>
        <v>mar/yyyy</v>
      </c>
      <c r="F115" t="s">
        <v>20</v>
      </c>
      <c r="G115" t="s">
        <v>220</v>
      </c>
      <c r="H115" t="s">
        <v>5</v>
      </c>
      <c r="I115" s="429">
        <f>'P&amp;L Mensal'!F18</f>
        <v>126708.71999999959</v>
      </c>
      <c r="J115" t="s">
        <v>545</v>
      </c>
      <c r="K115" t="s">
        <v>663</v>
      </c>
      <c r="L115">
        <v>18</v>
      </c>
    </row>
    <row r="116" spans="1:12" ht="18" customHeight="1" x14ac:dyDescent="0.25">
      <c r="A116" t="s">
        <v>544</v>
      </c>
      <c r="B116" s="23">
        <f>DATE(YEAR('P&amp;L Mensal'!$F$1),MONTH('P&amp;L Mensal'!$F$1),1)</f>
        <v>46082</v>
      </c>
      <c r="C116" s="23">
        <f>'P&amp;L Mensal'!$F$1</f>
        <v>46112</v>
      </c>
      <c r="D116" s="23">
        <f>'P&amp;L Mensal'!$F$1</f>
        <v>46112</v>
      </c>
      <c r="E116" t="str">
        <f>TEXT('P&amp;L Mensal'!$F$1,"mmm/yyyy")</f>
        <v>mar/yyyy</v>
      </c>
      <c r="F116" t="s">
        <v>20</v>
      </c>
      <c r="G116" t="s">
        <v>220</v>
      </c>
      <c r="H116" t="s">
        <v>6</v>
      </c>
      <c r="I116" s="429">
        <f>'P&amp;L Mensal'!G18</f>
        <v>-163.43500000005221</v>
      </c>
      <c r="J116" t="s">
        <v>545</v>
      </c>
      <c r="K116" t="s">
        <v>664</v>
      </c>
      <c r="L116">
        <v>18</v>
      </c>
    </row>
    <row r="117" spans="1:12" ht="18" customHeight="1" x14ac:dyDescent="0.25">
      <c r="A117" t="s">
        <v>544</v>
      </c>
      <c r="B117" s="23">
        <f>DATE(YEAR('P&amp;L Mensal'!$F$1),MONTH('P&amp;L Mensal'!$F$1),1)</f>
        <v>46082</v>
      </c>
      <c r="C117" s="23">
        <f>'P&amp;L Mensal'!$F$1</f>
        <v>46112</v>
      </c>
      <c r="D117" s="23">
        <f>'P&amp;L Mensal'!$F$1</f>
        <v>46112</v>
      </c>
      <c r="E117" t="str">
        <f>TEXT('P&amp;L Mensal'!$F$1,"mmm/yyyy")</f>
        <v>mar/yyyy</v>
      </c>
      <c r="F117" t="s">
        <v>20</v>
      </c>
      <c r="G117" t="s">
        <v>220</v>
      </c>
      <c r="H117" t="s">
        <v>549</v>
      </c>
      <c r="I117" s="104">
        <f>'P&amp;L Mensal'!H18</f>
        <v>-776.2850980509628</v>
      </c>
      <c r="J117" t="s">
        <v>545</v>
      </c>
      <c r="K117" t="s">
        <v>665</v>
      </c>
      <c r="L117">
        <v>18</v>
      </c>
    </row>
    <row r="118" spans="1:12" ht="18" customHeight="1" x14ac:dyDescent="0.25">
      <c r="A118" t="s">
        <v>544</v>
      </c>
      <c r="B118" s="23">
        <f>DATE(YEAR('P&amp;L Mensal'!$F$1),MONTH('P&amp;L Mensal'!$F$1),1)</f>
        <v>46082</v>
      </c>
      <c r="C118" s="23">
        <f>'P&amp;L Mensal'!$F$1</f>
        <v>46112</v>
      </c>
      <c r="D118" s="23">
        <f>'P&amp;L Mensal'!$F$1</f>
        <v>46112</v>
      </c>
      <c r="E118" t="str">
        <f>TEXT('P&amp;L Mensal'!$F$1,"mmm/yyyy")</f>
        <v>mar/yyyy</v>
      </c>
      <c r="F118" t="s">
        <v>20</v>
      </c>
      <c r="G118" t="s">
        <v>96</v>
      </c>
      <c r="H118" t="s">
        <v>5</v>
      </c>
      <c r="I118" s="429">
        <f>'P&amp;L Mensal'!I18</f>
        <v>126708.71999999959</v>
      </c>
      <c r="J118" t="s">
        <v>545</v>
      </c>
      <c r="K118" t="s">
        <v>666</v>
      </c>
      <c r="L118">
        <v>18</v>
      </c>
    </row>
    <row r="119" spans="1:12" ht="18" customHeight="1" x14ac:dyDescent="0.25">
      <c r="A119" t="s">
        <v>544</v>
      </c>
      <c r="B119" s="23">
        <f>DATE(YEAR('P&amp;L Mensal'!$F$1),MONTH('P&amp;L Mensal'!$F$1),1)</f>
        <v>46082</v>
      </c>
      <c r="C119" s="23">
        <f>'P&amp;L Mensal'!$F$1</f>
        <v>46112</v>
      </c>
      <c r="D119" s="23">
        <f>'P&amp;L Mensal'!$F$1</f>
        <v>46112</v>
      </c>
      <c r="E119" t="str">
        <f>TEXT('P&amp;L Mensal'!$F$1,"mmm/yyyy")</f>
        <v>mar/yyyy</v>
      </c>
      <c r="F119" t="s">
        <v>20</v>
      </c>
      <c r="G119" t="s">
        <v>96</v>
      </c>
      <c r="H119" t="s">
        <v>6</v>
      </c>
      <c r="I119" s="429">
        <f>'P&amp;L Mensal'!J18</f>
        <v>-163.43500000005221</v>
      </c>
      <c r="J119" t="s">
        <v>545</v>
      </c>
      <c r="K119" t="s">
        <v>667</v>
      </c>
      <c r="L119">
        <v>18</v>
      </c>
    </row>
    <row r="120" spans="1:12" ht="18" customHeight="1" x14ac:dyDescent="0.25">
      <c r="A120" t="s">
        <v>544</v>
      </c>
      <c r="B120" s="23">
        <f>DATE(YEAR('P&amp;L Mensal'!$F$1),MONTH('P&amp;L Mensal'!$F$1),1)</f>
        <v>46082</v>
      </c>
      <c r="C120" s="23">
        <f>'P&amp;L Mensal'!$F$1</f>
        <v>46112</v>
      </c>
      <c r="D120" s="23">
        <f>'P&amp;L Mensal'!$F$1</f>
        <v>46112</v>
      </c>
      <c r="E120" t="str">
        <f>TEXT('P&amp;L Mensal'!$F$1,"mmm/yyyy")</f>
        <v>mar/yyyy</v>
      </c>
      <c r="F120" t="s">
        <v>20</v>
      </c>
      <c r="G120" t="s">
        <v>96</v>
      </c>
      <c r="H120" t="s">
        <v>549</v>
      </c>
      <c r="I120" s="104">
        <f>'P&amp;L Mensal'!K18</f>
        <v>-776.2850980509628</v>
      </c>
      <c r="J120" t="s">
        <v>545</v>
      </c>
      <c r="K120" t="s">
        <v>668</v>
      </c>
      <c r="L120">
        <v>18</v>
      </c>
    </row>
    <row r="121" spans="1:12" ht="18" customHeight="1" x14ac:dyDescent="0.25">
      <c r="A121" t="s">
        <v>544</v>
      </c>
      <c r="B121" s="23">
        <f>DATE(YEAR('P&amp;L Mensal'!$F$1),MONTH('P&amp;L Mensal'!$F$1),1)</f>
        <v>46082</v>
      </c>
      <c r="C121" s="23">
        <f>'P&amp;L Mensal'!$F$1</f>
        <v>46112</v>
      </c>
      <c r="D121" s="23">
        <f>'P&amp;L Mensal'!$F$1</f>
        <v>46112</v>
      </c>
      <c r="E121" t="str">
        <f>TEXT('P&amp;L Mensal'!$F$1,"mmm/yyyy")</f>
        <v>mar/yyyy</v>
      </c>
      <c r="F121" t="s">
        <v>20</v>
      </c>
      <c r="G121" t="s">
        <v>96</v>
      </c>
      <c r="H121" t="s">
        <v>557</v>
      </c>
      <c r="I121" s="429">
        <f>'P&amp;L Mensal'!L18</f>
        <v>126872.15499999965</v>
      </c>
      <c r="J121" t="s">
        <v>545</v>
      </c>
      <c r="K121" t="s">
        <v>669</v>
      </c>
      <c r="L121">
        <v>18</v>
      </c>
    </row>
    <row r="122" spans="1:12" ht="18" customHeight="1" x14ac:dyDescent="0.25">
      <c r="A122" t="s">
        <v>544</v>
      </c>
      <c r="B122" s="23">
        <f>DATE(YEAR('P&amp;L Mensal'!$F$1),MONTH('P&amp;L Mensal'!$F$1),1)</f>
        <v>46082</v>
      </c>
      <c r="C122" s="23">
        <f>'P&amp;L Mensal'!$F$1</f>
        <v>46112</v>
      </c>
      <c r="D122" s="23">
        <f>'P&amp;L Mensal'!$F$1</f>
        <v>46112</v>
      </c>
      <c r="E122" t="str">
        <f>TEXT('P&amp;L Mensal'!$F$1,"mmm/yyyy")</f>
        <v>mar/yyyy</v>
      </c>
      <c r="F122" t="s">
        <v>21</v>
      </c>
      <c r="G122" t="s">
        <v>205</v>
      </c>
      <c r="H122" t="s">
        <v>5</v>
      </c>
      <c r="I122" s="429">
        <f>'P&amp;L Mensal'!C19</f>
        <v>0</v>
      </c>
      <c r="J122" t="s">
        <v>545</v>
      </c>
      <c r="K122" t="s">
        <v>670</v>
      </c>
      <c r="L122">
        <v>19</v>
      </c>
    </row>
    <row r="123" spans="1:12" ht="18" customHeight="1" x14ac:dyDescent="0.25">
      <c r="A123" t="s">
        <v>544</v>
      </c>
      <c r="B123" s="23">
        <f>DATE(YEAR('P&amp;L Mensal'!$F$1),MONTH('P&amp;L Mensal'!$F$1),1)</f>
        <v>46082</v>
      </c>
      <c r="C123" s="23">
        <f>'P&amp;L Mensal'!$F$1</f>
        <v>46112</v>
      </c>
      <c r="D123" s="23">
        <f>'P&amp;L Mensal'!$F$1</f>
        <v>46112</v>
      </c>
      <c r="E123" t="str">
        <f>TEXT('P&amp;L Mensal'!$F$1,"mmm/yyyy")</f>
        <v>mar/yyyy</v>
      </c>
      <c r="F123" t="s">
        <v>21</v>
      </c>
      <c r="G123" t="s">
        <v>205</v>
      </c>
      <c r="H123" t="s">
        <v>6</v>
      </c>
      <c r="I123" s="429">
        <f>'P&amp;L Mensal'!D19</f>
        <v>0</v>
      </c>
      <c r="J123" t="s">
        <v>545</v>
      </c>
      <c r="K123" t="s">
        <v>671</v>
      </c>
      <c r="L123">
        <v>19</v>
      </c>
    </row>
    <row r="124" spans="1:12" ht="18" customHeight="1" x14ac:dyDescent="0.25">
      <c r="A124" t="s">
        <v>544</v>
      </c>
      <c r="B124" s="23">
        <f>DATE(YEAR('P&amp;L Mensal'!$F$1),MONTH('P&amp;L Mensal'!$F$1),1)</f>
        <v>46082</v>
      </c>
      <c r="C124" s="23">
        <f>'P&amp;L Mensal'!$F$1</f>
        <v>46112</v>
      </c>
      <c r="D124" s="23">
        <f>'P&amp;L Mensal'!$F$1</f>
        <v>46112</v>
      </c>
      <c r="E124" t="str">
        <f>TEXT('P&amp;L Mensal'!$F$1,"mmm/yyyy")</f>
        <v>mar/yyyy</v>
      </c>
      <c r="F124" t="s">
        <v>21</v>
      </c>
      <c r="G124" t="s">
        <v>205</v>
      </c>
      <c r="H124" t="s">
        <v>549</v>
      </c>
      <c r="I124" s="104" t="str">
        <f>'P&amp;L Mensal'!E19</f>
        <v>-</v>
      </c>
      <c r="J124" t="s">
        <v>545</v>
      </c>
      <c r="K124" t="s">
        <v>672</v>
      </c>
      <c r="L124">
        <v>19</v>
      </c>
    </row>
    <row r="125" spans="1:12" ht="18" customHeight="1" x14ac:dyDescent="0.25">
      <c r="A125" t="s">
        <v>544</v>
      </c>
      <c r="B125" s="23">
        <f>DATE(YEAR('P&amp;L Mensal'!$F$1),MONTH('P&amp;L Mensal'!$F$1),1)</f>
        <v>46082</v>
      </c>
      <c r="C125" s="23">
        <f>'P&amp;L Mensal'!$F$1</f>
        <v>46112</v>
      </c>
      <c r="D125" s="23">
        <f>'P&amp;L Mensal'!$F$1</f>
        <v>46112</v>
      </c>
      <c r="E125" t="str">
        <f>TEXT('P&amp;L Mensal'!$F$1,"mmm/yyyy")</f>
        <v>mar/yyyy</v>
      </c>
      <c r="F125" t="s">
        <v>21</v>
      </c>
      <c r="G125" t="s">
        <v>220</v>
      </c>
      <c r="H125" t="s">
        <v>5</v>
      </c>
      <c r="I125" s="429">
        <f>'P&amp;L Mensal'!F19</f>
        <v>-262478.75</v>
      </c>
      <c r="J125" t="s">
        <v>545</v>
      </c>
      <c r="K125" t="s">
        <v>673</v>
      </c>
      <c r="L125">
        <v>19</v>
      </c>
    </row>
    <row r="126" spans="1:12" ht="18" customHeight="1" x14ac:dyDescent="0.25">
      <c r="A126" t="s">
        <v>544</v>
      </c>
      <c r="B126" s="23">
        <f>DATE(YEAR('P&amp;L Mensal'!$F$1),MONTH('P&amp;L Mensal'!$F$1),1)</f>
        <v>46082</v>
      </c>
      <c r="C126" s="23">
        <f>'P&amp;L Mensal'!$F$1</f>
        <v>46112</v>
      </c>
      <c r="D126" s="23">
        <f>'P&amp;L Mensal'!$F$1</f>
        <v>46112</v>
      </c>
      <c r="E126" t="str">
        <f>TEXT('P&amp;L Mensal'!$F$1,"mmm/yyyy")</f>
        <v>mar/yyyy</v>
      </c>
      <c r="F126" t="s">
        <v>21</v>
      </c>
      <c r="G126" t="s">
        <v>220</v>
      </c>
      <c r="H126" t="s">
        <v>6</v>
      </c>
      <c r="I126" s="429">
        <f>'P&amp;L Mensal'!G19</f>
        <v>19800</v>
      </c>
      <c r="J126" t="s">
        <v>545</v>
      </c>
      <c r="K126" t="s">
        <v>674</v>
      </c>
      <c r="L126">
        <v>19</v>
      </c>
    </row>
    <row r="127" spans="1:12" ht="18" customHeight="1" x14ac:dyDescent="0.25">
      <c r="A127" t="s">
        <v>544</v>
      </c>
      <c r="B127" s="23">
        <f>DATE(YEAR('P&amp;L Mensal'!$F$1),MONTH('P&amp;L Mensal'!$F$1),1)</f>
        <v>46082</v>
      </c>
      <c r="C127" s="23">
        <f>'P&amp;L Mensal'!$F$1</f>
        <v>46112</v>
      </c>
      <c r="D127" s="23">
        <f>'P&amp;L Mensal'!$F$1</f>
        <v>46112</v>
      </c>
      <c r="E127" t="str">
        <f>TEXT('P&amp;L Mensal'!$F$1,"mmm/yyyy")</f>
        <v>mar/yyyy</v>
      </c>
      <c r="F127" t="s">
        <v>21</v>
      </c>
      <c r="G127" t="s">
        <v>220</v>
      </c>
      <c r="H127" t="s">
        <v>549</v>
      </c>
      <c r="I127" s="104">
        <f>'P&amp;L Mensal'!H19</f>
        <v>-14.256502525252525</v>
      </c>
      <c r="J127" t="s">
        <v>545</v>
      </c>
      <c r="K127" t="s">
        <v>675</v>
      </c>
      <c r="L127">
        <v>19</v>
      </c>
    </row>
    <row r="128" spans="1:12" ht="18" customHeight="1" x14ac:dyDescent="0.25">
      <c r="A128" t="s">
        <v>544</v>
      </c>
      <c r="B128" s="23">
        <f>DATE(YEAR('P&amp;L Mensal'!$F$1),MONTH('P&amp;L Mensal'!$F$1),1)</f>
        <v>46082</v>
      </c>
      <c r="C128" s="23">
        <f>'P&amp;L Mensal'!$F$1</f>
        <v>46112</v>
      </c>
      <c r="D128" s="23">
        <f>'P&amp;L Mensal'!$F$1</f>
        <v>46112</v>
      </c>
      <c r="E128" t="str">
        <f>TEXT('P&amp;L Mensal'!$F$1,"mmm/yyyy")</f>
        <v>mar/yyyy</v>
      </c>
      <c r="F128" t="s">
        <v>21</v>
      </c>
      <c r="G128" t="s">
        <v>96</v>
      </c>
      <c r="H128" t="s">
        <v>5</v>
      </c>
      <c r="I128" s="429">
        <f>'P&amp;L Mensal'!I19</f>
        <v>-262478.75</v>
      </c>
      <c r="J128" t="s">
        <v>545</v>
      </c>
      <c r="K128" t="s">
        <v>676</v>
      </c>
      <c r="L128">
        <v>19</v>
      </c>
    </row>
    <row r="129" spans="1:12" ht="18" customHeight="1" x14ac:dyDescent="0.25">
      <c r="A129" t="s">
        <v>544</v>
      </c>
      <c r="B129" s="23">
        <f>DATE(YEAR('P&amp;L Mensal'!$F$1),MONTH('P&amp;L Mensal'!$F$1),1)</f>
        <v>46082</v>
      </c>
      <c r="C129" s="23">
        <f>'P&amp;L Mensal'!$F$1</f>
        <v>46112</v>
      </c>
      <c r="D129" s="23">
        <f>'P&amp;L Mensal'!$F$1</f>
        <v>46112</v>
      </c>
      <c r="E129" t="str">
        <f>TEXT('P&amp;L Mensal'!$F$1,"mmm/yyyy")</f>
        <v>mar/yyyy</v>
      </c>
      <c r="F129" t="s">
        <v>21</v>
      </c>
      <c r="G129" t="s">
        <v>96</v>
      </c>
      <c r="H129" t="s">
        <v>6</v>
      </c>
      <c r="I129" s="429">
        <f>'P&amp;L Mensal'!J19</f>
        <v>19800</v>
      </c>
      <c r="J129" t="s">
        <v>545</v>
      </c>
      <c r="K129" t="s">
        <v>677</v>
      </c>
      <c r="L129">
        <v>19</v>
      </c>
    </row>
    <row r="130" spans="1:12" ht="18" customHeight="1" x14ac:dyDescent="0.25">
      <c r="A130" t="s">
        <v>544</v>
      </c>
      <c r="B130" s="23">
        <f>DATE(YEAR('P&amp;L Mensal'!$F$1),MONTH('P&amp;L Mensal'!$F$1),1)</f>
        <v>46082</v>
      </c>
      <c r="C130" s="23">
        <f>'P&amp;L Mensal'!$F$1</f>
        <v>46112</v>
      </c>
      <c r="D130" s="23">
        <f>'P&amp;L Mensal'!$F$1</f>
        <v>46112</v>
      </c>
      <c r="E130" t="str">
        <f>TEXT('P&amp;L Mensal'!$F$1,"mmm/yyyy")</f>
        <v>mar/yyyy</v>
      </c>
      <c r="F130" t="s">
        <v>21</v>
      </c>
      <c r="G130" t="s">
        <v>96</v>
      </c>
      <c r="H130" t="s">
        <v>549</v>
      </c>
      <c r="I130" s="104">
        <f>'P&amp;L Mensal'!K19</f>
        <v>-14.256502525252525</v>
      </c>
      <c r="J130" t="s">
        <v>545</v>
      </c>
      <c r="K130" t="s">
        <v>678</v>
      </c>
      <c r="L130">
        <v>19</v>
      </c>
    </row>
    <row r="131" spans="1:12" ht="18" customHeight="1" x14ac:dyDescent="0.25">
      <c r="A131" t="s">
        <v>544</v>
      </c>
      <c r="B131" s="23">
        <f>DATE(YEAR('P&amp;L Mensal'!$F$1),MONTH('P&amp;L Mensal'!$F$1),1)</f>
        <v>46082</v>
      </c>
      <c r="C131" s="23">
        <f>'P&amp;L Mensal'!$F$1</f>
        <v>46112</v>
      </c>
      <c r="D131" s="23">
        <f>'P&amp;L Mensal'!$F$1</f>
        <v>46112</v>
      </c>
      <c r="E131" t="str">
        <f>TEXT('P&amp;L Mensal'!$F$1,"mmm/yyyy")</f>
        <v>mar/yyyy</v>
      </c>
      <c r="F131" t="s">
        <v>21</v>
      </c>
      <c r="G131" t="s">
        <v>96</v>
      </c>
      <c r="H131" t="s">
        <v>557</v>
      </c>
      <c r="I131" s="429">
        <f>'P&amp;L Mensal'!L19</f>
        <v>-282278.75</v>
      </c>
      <c r="J131" t="s">
        <v>545</v>
      </c>
      <c r="K131" t="s">
        <v>679</v>
      </c>
      <c r="L131">
        <v>19</v>
      </c>
    </row>
    <row r="132" spans="1:12" ht="18" customHeight="1" x14ac:dyDescent="0.25">
      <c r="A132" t="s">
        <v>544</v>
      </c>
      <c r="B132" s="23">
        <f>DATE(YEAR('P&amp;L Mensal'!$F$1),MONTH('P&amp;L Mensal'!$F$1),1)</f>
        <v>46082</v>
      </c>
      <c r="C132" s="23">
        <f>'P&amp;L Mensal'!$F$1</f>
        <v>46112</v>
      </c>
      <c r="D132" s="23">
        <f>'P&amp;L Mensal'!$F$1</f>
        <v>46112</v>
      </c>
      <c r="E132" t="str">
        <f>TEXT('P&amp;L Mensal'!$F$1,"mmm/yyyy")</f>
        <v>mar/yyyy</v>
      </c>
      <c r="F132" t="s">
        <v>22</v>
      </c>
      <c r="G132" t="s">
        <v>205</v>
      </c>
      <c r="H132" t="s">
        <v>5</v>
      </c>
      <c r="I132" s="429">
        <f>'P&amp;L Mensal'!C20</f>
        <v>0</v>
      </c>
      <c r="J132" t="s">
        <v>545</v>
      </c>
      <c r="K132" t="s">
        <v>680</v>
      </c>
      <c r="L132">
        <v>20</v>
      </c>
    </row>
    <row r="133" spans="1:12" ht="18" customHeight="1" x14ac:dyDescent="0.25">
      <c r="A133" t="s">
        <v>544</v>
      </c>
      <c r="B133" s="23">
        <f>DATE(YEAR('P&amp;L Mensal'!$F$1),MONTH('P&amp;L Mensal'!$F$1),1)</f>
        <v>46082</v>
      </c>
      <c r="C133" s="23">
        <f>'P&amp;L Mensal'!$F$1</f>
        <v>46112</v>
      </c>
      <c r="D133" s="23">
        <f>'P&amp;L Mensal'!$F$1</f>
        <v>46112</v>
      </c>
      <c r="E133" t="str">
        <f>TEXT('P&amp;L Mensal'!$F$1,"mmm/yyyy")</f>
        <v>mar/yyyy</v>
      </c>
      <c r="F133" t="s">
        <v>22</v>
      </c>
      <c r="G133" t="s">
        <v>205</v>
      </c>
      <c r="H133" t="s">
        <v>6</v>
      </c>
      <c r="I133" s="429">
        <f>'P&amp;L Mensal'!D20</f>
        <v>0</v>
      </c>
      <c r="J133" t="s">
        <v>545</v>
      </c>
      <c r="K133" t="s">
        <v>681</v>
      </c>
      <c r="L133">
        <v>20</v>
      </c>
    </row>
    <row r="134" spans="1:12" ht="18" customHeight="1" x14ac:dyDescent="0.25">
      <c r="A134" t="s">
        <v>544</v>
      </c>
      <c r="B134" s="23">
        <f>DATE(YEAR('P&amp;L Mensal'!$F$1),MONTH('P&amp;L Mensal'!$F$1),1)</f>
        <v>46082</v>
      </c>
      <c r="C134" s="23">
        <f>'P&amp;L Mensal'!$F$1</f>
        <v>46112</v>
      </c>
      <c r="D134" s="23">
        <f>'P&amp;L Mensal'!$F$1</f>
        <v>46112</v>
      </c>
      <c r="E134" t="str">
        <f>TEXT('P&amp;L Mensal'!$F$1,"mmm/yyyy")</f>
        <v>mar/yyyy</v>
      </c>
      <c r="F134" t="s">
        <v>22</v>
      </c>
      <c r="G134" t="s">
        <v>205</v>
      </c>
      <c r="H134" t="s">
        <v>549</v>
      </c>
      <c r="I134" s="104" t="str">
        <f>'P&amp;L Mensal'!E20</f>
        <v>-</v>
      </c>
      <c r="J134" t="s">
        <v>545</v>
      </c>
      <c r="K134" t="s">
        <v>682</v>
      </c>
      <c r="L134">
        <v>20</v>
      </c>
    </row>
    <row r="135" spans="1:12" ht="18" customHeight="1" x14ac:dyDescent="0.25">
      <c r="A135" t="s">
        <v>544</v>
      </c>
      <c r="B135" s="23">
        <f>DATE(YEAR('P&amp;L Mensal'!$F$1),MONTH('P&amp;L Mensal'!$F$1),1)</f>
        <v>46082</v>
      </c>
      <c r="C135" s="23">
        <f>'P&amp;L Mensal'!$F$1</f>
        <v>46112</v>
      </c>
      <c r="D135" s="23">
        <f>'P&amp;L Mensal'!$F$1</f>
        <v>46112</v>
      </c>
      <c r="E135" t="str">
        <f>TEXT('P&amp;L Mensal'!$F$1,"mmm/yyyy")</f>
        <v>mar/yyyy</v>
      </c>
      <c r="F135" t="s">
        <v>22</v>
      </c>
      <c r="G135" t="s">
        <v>220</v>
      </c>
      <c r="H135" t="s">
        <v>5</v>
      </c>
      <c r="I135" s="429">
        <f>'P&amp;L Mensal'!F20</f>
        <v>521291.11</v>
      </c>
      <c r="J135" t="s">
        <v>545</v>
      </c>
      <c r="K135" t="s">
        <v>683</v>
      </c>
      <c r="L135">
        <v>20</v>
      </c>
    </row>
    <row r="136" spans="1:12" ht="18" customHeight="1" x14ac:dyDescent="0.25">
      <c r="A136" t="s">
        <v>544</v>
      </c>
      <c r="B136" s="23">
        <f>DATE(YEAR('P&amp;L Mensal'!$F$1),MONTH('P&amp;L Mensal'!$F$1),1)</f>
        <v>46082</v>
      </c>
      <c r="C136" s="23">
        <f>'P&amp;L Mensal'!$F$1</f>
        <v>46112</v>
      </c>
      <c r="D136" s="23">
        <f>'P&amp;L Mensal'!$F$1</f>
        <v>46112</v>
      </c>
      <c r="E136" t="str">
        <f>TEXT('P&amp;L Mensal'!$F$1,"mmm/yyyy")</f>
        <v>mar/yyyy</v>
      </c>
      <c r="F136" t="s">
        <v>22</v>
      </c>
      <c r="G136" t="s">
        <v>220</v>
      </c>
      <c r="H136" t="s">
        <v>6</v>
      </c>
      <c r="I136" s="429">
        <f>'P&amp;L Mensal'!G20</f>
        <v>210147.86749999999</v>
      </c>
      <c r="J136" t="s">
        <v>545</v>
      </c>
      <c r="K136" t="s">
        <v>684</v>
      </c>
      <c r="L136">
        <v>20</v>
      </c>
    </row>
    <row r="137" spans="1:12" ht="18" customHeight="1" x14ac:dyDescent="0.25">
      <c r="A137" t="s">
        <v>544</v>
      </c>
      <c r="B137" s="23">
        <f>DATE(YEAR('P&amp;L Mensal'!$F$1),MONTH('P&amp;L Mensal'!$F$1),1)</f>
        <v>46082</v>
      </c>
      <c r="C137" s="23">
        <f>'P&amp;L Mensal'!$F$1</f>
        <v>46112</v>
      </c>
      <c r="D137" s="23">
        <f>'P&amp;L Mensal'!$F$1</f>
        <v>46112</v>
      </c>
      <c r="E137" t="str">
        <f>TEXT('P&amp;L Mensal'!$F$1,"mmm/yyyy")</f>
        <v>mar/yyyy</v>
      </c>
      <c r="F137" t="s">
        <v>22</v>
      </c>
      <c r="G137" t="s">
        <v>220</v>
      </c>
      <c r="H137" t="s">
        <v>549</v>
      </c>
      <c r="I137" s="104">
        <f>'P&amp;L Mensal'!H20</f>
        <v>1.4805919574701369</v>
      </c>
      <c r="J137" t="s">
        <v>545</v>
      </c>
      <c r="K137" t="s">
        <v>685</v>
      </c>
      <c r="L137">
        <v>20</v>
      </c>
    </row>
    <row r="138" spans="1:12" ht="18" customHeight="1" x14ac:dyDescent="0.25">
      <c r="A138" t="s">
        <v>544</v>
      </c>
      <c r="B138" s="23">
        <f>DATE(YEAR('P&amp;L Mensal'!$F$1),MONTH('P&amp;L Mensal'!$F$1),1)</f>
        <v>46082</v>
      </c>
      <c r="C138" s="23">
        <f>'P&amp;L Mensal'!$F$1</f>
        <v>46112</v>
      </c>
      <c r="D138" s="23">
        <f>'P&amp;L Mensal'!$F$1</f>
        <v>46112</v>
      </c>
      <c r="E138" t="str">
        <f>TEXT('P&amp;L Mensal'!$F$1,"mmm/yyyy")</f>
        <v>mar/yyyy</v>
      </c>
      <c r="F138" t="s">
        <v>22</v>
      </c>
      <c r="G138" t="s">
        <v>96</v>
      </c>
      <c r="H138" t="s">
        <v>5</v>
      </c>
      <c r="I138" s="429">
        <f>'P&amp;L Mensal'!I20</f>
        <v>521291.11</v>
      </c>
      <c r="J138" t="s">
        <v>545</v>
      </c>
      <c r="K138" t="s">
        <v>686</v>
      </c>
      <c r="L138">
        <v>20</v>
      </c>
    </row>
    <row r="139" spans="1:12" ht="18" customHeight="1" x14ac:dyDescent="0.25">
      <c r="A139" t="s">
        <v>544</v>
      </c>
      <c r="B139" s="23">
        <f>DATE(YEAR('P&amp;L Mensal'!$F$1),MONTH('P&amp;L Mensal'!$F$1),1)</f>
        <v>46082</v>
      </c>
      <c r="C139" s="23">
        <f>'P&amp;L Mensal'!$F$1</f>
        <v>46112</v>
      </c>
      <c r="D139" s="23">
        <f>'P&amp;L Mensal'!$F$1</f>
        <v>46112</v>
      </c>
      <c r="E139" t="str">
        <f>TEXT('P&amp;L Mensal'!$F$1,"mmm/yyyy")</f>
        <v>mar/yyyy</v>
      </c>
      <c r="F139" t="s">
        <v>22</v>
      </c>
      <c r="G139" t="s">
        <v>96</v>
      </c>
      <c r="H139" t="s">
        <v>6</v>
      </c>
      <c r="I139" s="429">
        <f>'P&amp;L Mensal'!J20</f>
        <v>210147.86749999999</v>
      </c>
      <c r="J139" t="s">
        <v>545</v>
      </c>
      <c r="K139" t="s">
        <v>687</v>
      </c>
      <c r="L139">
        <v>20</v>
      </c>
    </row>
    <row r="140" spans="1:12" ht="18" customHeight="1" x14ac:dyDescent="0.25">
      <c r="A140" t="s">
        <v>544</v>
      </c>
      <c r="B140" s="23">
        <f>DATE(YEAR('P&amp;L Mensal'!$F$1),MONTH('P&amp;L Mensal'!$F$1),1)</f>
        <v>46082</v>
      </c>
      <c r="C140" s="23">
        <f>'P&amp;L Mensal'!$F$1</f>
        <v>46112</v>
      </c>
      <c r="D140" s="23">
        <f>'P&amp;L Mensal'!$F$1</f>
        <v>46112</v>
      </c>
      <c r="E140" t="str">
        <f>TEXT('P&amp;L Mensal'!$F$1,"mmm/yyyy")</f>
        <v>mar/yyyy</v>
      </c>
      <c r="F140" t="s">
        <v>22</v>
      </c>
      <c r="G140" t="s">
        <v>96</v>
      </c>
      <c r="H140" t="s">
        <v>549</v>
      </c>
      <c r="I140" s="104">
        <f>'P&amp;L Mensal'!K20</f>
        <v>1.4805919574701369</v>
      </c>
      <c r="J140" t="s">
        <v>545</v>
      </c>
      <c r="K140" t="s">
        <v>688</v>
      </c>
      <c r="L140">
        <v>20</v>
      </c>
    </row>
    <row r="141" spans="1:12" ht="18" customHeight="1" x14ac:dyDescent="0.25">
      <c r="A141" t="s">
        <v>544</v>
      </c>
      <c r="B141" s="23">
        <f>DATE(YEAR('P&amp;L Mensal'!$F$1),MONTH('P&amp;L Mensal'!$F$1),1)</f>
        <v>46082</v>
      </c>
      <c r="C141" s="23">
        <f>'P&amp;L Mensal'!$F$1</f>
        <v>46112</v>
      </c>
      <c r="D141" s="23">
        <f>'P&amp;L Mensal'!$F$1</f>
        <v>46112</v>
      </c>
      <c r="E141" t="str">
        <f>TEXT('P&amp;L Mensal'!$F$1,"mmm/yyyy")</f>
        <v>mar/yyyy</v>
      </c>
      <c r="F141" t="s">
        <v>22</v>
      </c>
      <c r="G141" t="s">
        <v>96</v>
      </c>
      <c r="H141" t="s">
        <v>557</v>
      </c>
      <c r="I141" s="429">
        <f>'P&amp;L Mensal'!L20</f>
        <v>311143.24249999999</v>
      </c>
      <c r="J141" t="s">
        <v>545</v>
      </c>
      <c r="K141" t="s">
        <v>689</v>
      </c>
      <c r="L141">
        <v>20</v>
      </c>
    </row>
    <row r="142" spans="1:12" ht="18" customHeight="1" x14ac:dyDescent="0.25">
      <c r="A142" t="s">
        <v>544</v>
      </c>
      <c r="B142" s="23">
        <f>DATE(YEAR('P&amp;L Mensal'!$F$1),MONTH('P&amp;L Mensal'!$F$1),1)</f>
        <v>46082</v>
      </c>
      <c r="C142" s="23">
        <f>'P&amp;L Mensal'!$F$1</f>
        <v>46112</v>
      </c>
      <c r="D142" s="23">
        <f>'P&amp;L Mensal'!$F$1</f>
        <v>46112</v>
      </c>
      <c r="E142" t="str">
        <f>TEXT('P&amp;L Mensal'!$F$1,"mmm/yyyy")</f>
        <v>mar/yyyy</v>
      </c>
      <c r="F142" t="s">
        <v>23</v>
      </c>
      <c r="G142" t="s">
        <v>205</v>
      </c>
      <c r="H142" t="s">
        <v>5</v>
      </c>
      <c r="I142" s="429">
        <f>'P&amp;L Mensal'!C21</f>
        <v>-4803644.101999077</v>
      </c>
      <c r="J142" t="s">
        <v>545</v>
      </c>
      <c r="K142" t="s">
        <v>690</v>
      </c>
      <c r="L142">
        <v>21</v>
      </c>
    </row>
    <row r="143" spans="1:12" ht="18" customHeight="1" x14ac:dyDescent="0.25">
      <c r="A143" t="s">
        <v>544</v>
      </c>
      <c r="B143" s="23">
        <f>DATE(YEAR('P&amp;L Mensal'!$F$1),MONTH('P&amp;L Mensal'!$F$1),1)</f>
        <v>46082</v>
      </c>
      <c r="C143" s="23">
        <f>'P&amp;L Mensal'!$F$1</f>
        <v>46112</v>
      </c>
      <c r="D143" s="23">
        <f>'P&amp;L Mensal'!$F$1</f>
        <v>46112</v>
      </c>
      <c r="E143" t="str">
        <f>TEXT('P&amp;L Mensal'!$F$1,"mmm/yyyy")</f>
        <v>mar/yyyy</v>
      </c>
      <c r="F143" t="s">
        <v>23</v>
      </c>
      <c r="G143" t="s">
        <v>205</v>
      </c>
      <c r="H143" t="s">
        <v>6</v>
      </c>
      <c r="I143" s="429">
        <f>'P&amp;L Mensal'!D21</f>
        <v>-4620516.8878536606</v>
      </c>
      <c r="J143" t="s">
        <v>545</v>
      </c>
      <c r="K143" t="s">
        <v>691</v>
      </c>
      <c r="L143">
        <v>21</v>
      </c>
    </row>
    <row r="144" spans="1:12" ht="18" customHeight="1" x14ac:dyDescent="0.25">
      <c r="A144" t="s">
        <v>544</v>
      </c>
      <c r="B144" s="23">
        <f>DATE(YEAR('P&amp;L Mensal'!$F$1),MONTH('P&amp;L Mensal'!$F$1),1)</f>
        <v>46082</v>
      </c>
      <c r="C144" s="23">
        <f>'P&amp;L Mensal'!$F$1</f>
        <v>46112</v>
      </c>
      <c r="D144" s="23">
        <f>'P&amp;L Mensal'!$F$1</f>
        <v>46112</v>
      </c>
      <c r="E144" t="str">
        <f>TEXT('P&amp;L Mensal'!$F$1,"mmm/yyyy")</f>
        <v>mar/yyyy</v>
      </c>
      <c r="F144" t="s">
        <v>23</v>
      </c>
      <c r="G144" t="s">
        <v>205</v>
      </c>
      <c r="H144" t="s">
        <v>549</v>
      </c>
      <c r="I144" s="104">
        <f>'P&amp;L Mensal'!E21</f>
        <v>3.9633490925402359E-2</v>
      </c>
      <c r="J144" t="s">
        <v>545</v>
      </c>
      <c r="K144" t="s">
        <v>692</v>
      </c>
      <c r="L144">
        <v>21</v>
      </c>
    </row>
    <row r="145" spans="1:12" ht="18" customHeight="1" x14ac:dyDescent="0.25">
      <c r="A145" t="s">
        <v>544</v>
      </c>
      <c r="B145" s="23">
        <f>DATE(YEAR('P&amp;L Mensal'!$F$1),MONTH('P&amp;L Mensal'!$F$1),1)</f>
        <v>46082</v>
      </c>
      <c r="C145" s="23">
        <f>'P&amp;L Mensal'!$F$1</f>
        <v>46112</v>
      </c>
      <c r="D145" s="23">
        <f>'P&amp;L Mensal'!$F$1</f>
        <v>46112</v>
      </c>
      <c r="E145" t="str">
        <f>TEXT('P&amp;L Mensal'!$F$1,"mmm/yyyy")</f>
        <v>mar/yyyy</v>
      </c>
      <c r="F145" t="s">
        <v>23</v>
      </c>
      <c r="G145" t="s">
        <v>220</v>
      </c>
      <c r="H145" t="s">
        <v>5</v>
      </c>
      <c r="I145" s="429">
        <f>'P&amp;L Mensal'!F21</f>
        <v>-17862654.088000923</v>
      </c>
      <c r="J145" t="s">
        <v>545</v>
      </c>
      <c r="K145" t="s">
        <v>693</v>
      </c>
      <c r="L145">
        <v>21</v>
      </c>
    </row>
    <row r="146" spans="1:12" ht="18" customHeight="1" x14ac:dyDescent="0.25">
      <c r="A146" t="s">
        <v>544</v>
      </c>
      <c r="B146" s="23">
        <f>DATE(YEAR('P&amp;L Mensal'!$F$1),MONTH('P&amp;L Mensal'!$F$1),1)</f>
        <v>46082</v>
      </c>
      <c r="C146" s="23">
        <f>'P&amp;L Mensal'!$F$1</f>
        <v>46112</v>
      </c>
      <c r="D146" s="23">
        <f>'P&amp;L Mensal'!$F$1</f>
        <v>46112</v>
      </c>
      <c r="E146" t="str">
        <f>TEXT('P&amp;L Mensal'!$F$1,"mmm/yyyy")</f>
        <v>mar/yyyy</v>
      </c>
      <c r="F146" t="s">
        <v>23</v>
      </c>
      <c r="G146" t="s">
        <v>220</v>
      </c>
      <c r="H146" t="s">
        <v>6</v>
      </c>
      <c r="I146" s="429">
        <f>'P&amp;L Mensal'!G21</f>
        <v>-15301310.231830858</v>
      </c>
      <c r="J146" t="s">
        <v>545</v>
      </c>
      <c r="K146" t="s">
        <v>694</v>
      </c>
      <c r="L146">
        <v>21</v>
      </c>
    </row>
    <row r="147" spans="1:12" ht="18" customHeight="1" x14ac:dyDescent="0.25">
      <c r="A147" t="s">
        <v>544</v>
      </c>
      <c r="B147" s="23">
        <f>DATE(YEAR('P&amp;L Mensal'!$F$1),MONTH('P&amp;L Mensal'!$F$1),1)</f>
        <v>46082</v>
      </c>
      <c r="C147" s="23">
        <f>'P&amp;L Mensal'!$F$1</f>
        <v>46112</v>
      </c>
      <c r="D147" s="23">
        <f>'P&amp;L Mensal'!$F$1</f>
        <v>46112</v>
      </c>
      <c r="E147" t="str">
        <f>TEXT('P&amp;L Mensal'!$F$1,"mmm/yyyy")</f>
        <v>mar/yyyy</v>
      </c>
      <c r="F147" t="s">
        <v>23</v>
      </c>
      <c r="G147" t="s">
        <v>220</v>
      </c>
      <c r="H147" t="s">
        <v>549</v>
      </c>
      <c r="I147" s="104">
        <f>'P&amp;L Mensal'!H21</f>
        <v>0.16739376023118457</v>
      </c>
      <c r="J147" t="s">
        <v>545</v>
      </c>
      <c r="K147" t="s">
        <v>695</v>
      </c>
      <c r="L147">
        <v>21</v>
      </c>
    </row>
    <row r="148" spans="1:12" ht="18" customHeight="1" x14ac:dyDescent="0.25">
      <c r="A148" t="s">
        <v>544</v>
      </c>
      <c r="B148" s="23">
        <f>DATE(YEAR('P&amp;L Mensal'!$F$1),MONTH('P&amp;L Mensal'!$F$1),1)</f>
        <v>46082</v>
      </c>
      <c r="C148" s="23">
        <f>'P&amp;L Mensal'!$F$1</f>
        <v>46112</v>
      </c>
      <c r="D148" s="23">
        <f>'P&amp;L Mensal'!$F$1</f>
        <v>46112</v>
      </c>
      <c r="E148" t="str">
        <f>TEXT('P&amp;L Mensal'!$F$1,"mmm/yyyy")</f>
        <v>mar/yyyy</v>
      </c>
      <c r="F148" t="s">
        <v>23</v>
      </c>
      <c r="G148" t="s">
        <v>96</v>
      </c>
      <c r="H148" t="s">
        <v>5</v>
      </c>
      <c r="I148" s="429">
        <f>'P&amp;L Mensal'!I21</f>
        <v>-22666298.190000001</v>
      </c>
      <c r="J148" t="s">
        <v>545</v>
      </c>
      <c r="K148" t="s">
        <v>696</v>
      </c>
      <c r="L148">
        <v>21</v>
      </c>
    </row>
    <row r="149" spans="1:12" ht="18" customHeight="1" x14ac:dyDescent="0.25">
      <c r="A149" t="s">
        <v>544</v>
      </c>
      <c r="B149" s="23">
        <f>DATE(YEAR('P&amp;L Mensal'!$F$1),MONTH('P&amp;L Mensal'!$F$1),1)</f>
        <v>46082</v>
      </c>
      <c r="C149" s="23">
        <f>'P&amp;L Mensal'!$F$1</f>
        <v>46112</v>
      </c>
      <c r="D149" s="23">
        <f>'P&amp;L Mensal'!$F$1</f>
        <v>46112</v>
      </c>
      <c r="E149" t="str">
        <f>TEXT('P&amp;L Mensal'!$F$1,"mmm/yyyy")</f>
        <v>mar/yyyy</v>
      </c>
      <c r="F149" t="s">
        <v>23</v>
      </c>
      <c r="G149" t="s">
        <v>96</v>
      </c>
      <c r="H149" t="s">
        <v>6</v>
      </c>
      <c r="I149" s="429">
        <f>'P&amp;L Mensal'!J21</f>
        <v>-19921827.119684517</v>
      </c>
      <c r="J149" t="s">
        <v>545</v>
      </c>
      <c r="K149" t="s">
        <v>697</v>
      </c>
      <c r="L149">
        <v>21</v>
      </c>
    </row>
    <row r="150" spans="1:12" ht="18" customHeight="1" x14ac:dyDescent="0.25">
      <c r="A150" t="s">
        <v>544</v>
      </c>
      <c r="B150" s="23">
        <f>DATE(YEAR('P&amp;L Mensal'!$F$1),MONTH('P&amp;L Mensal'!$F$1),1)</f>
        <v>46082</v>
      </c>
      <c r="C150" s="23">
        <f>'P&amp;L Mensal'!$F$1</f>
        <v>46112</v>
      </c>
      <c r="D150" s="23">
        <f>'P&amp;L Mensal'!$F$1</f>
        <v>46112</v>
      </c>
      <c r="E150" t="str">
        <f>TEXT('P&amp;L Mensal'!$F$1,"mmm/yyyy")</f>
        <v>mar/yyyy</v>
      </c>
      <c r="F150" t="s">
        <v>23</v>
      </c>
      <c r="G150" t="s">
        <v>96</v>
      </c>
      <c r="H150" t="s">
        <v>549</v>
      </c>
      <c r="I150" s="104">
        <f>'P&amp;L Mensal'!K21</f>
        <v>0.13776201619597961</v>
      </c>
      <c r="J150" t="s">
        <v>545</v>
      </c>
      <c r="K150" t="s">
        <v>698</v>
      </c>
      <c r="L150">
        <v>21</v>
      </c>
    </row>
    <row r="151" spans="1:12" ht="18" customHeight="1" x14ac:dyDescent="0.25">
      <c r="A151" t="s">
        <v>544</v>
      </c>
      <c r="B151" s="23">
        <f>DATE(YEAR('P&amp;L Mensal'!$F$1),MONTH('P&amp;L Mensal'!$F$1),1)</f>
        <v>46082</v>
      </c>
      <c r="C151" s="23">
        <f>'P&amp;L Mensal'!$F$1</f>
        <v>46112</v>
      </c>
      <c r="D151" s="23">
        <f>'P&amp;L Mensal'!$F$1</f>
        <v>46112</v>
      </c>
      <c r="E151" t="str">
        <f>TEXT('P&amp;L Mensal'!$F$1,"mmm/yyyy")</f>
        <v>mar/yyyy</v>
      </c>
      <c r="F151" t="s">
        <v>23</v>
      </c>
      <c r="G151" t="s">
        <v>96</v>
      </c>
      <c r="H151" t="s">
        <v>557</v>
      </c>
      <c r="I151" s="429">
        <f>'P&amp;L Mensal'!L21</f>
        <v>2744471.070315484</v>
      </c>
      <c r="J151" t="s">
        <v>545</v>
      </c>
      <c r="K151" t="s">
        <v>699</v>
      </c>
      <c r="L151">
        <v>21</v>
      </c>
    </row>
    <row r="152" spans="1:12" ht="18" customHeight="1" x14ac:dyDescent="0.25">
      <c r="A152" t="s">
        <v>544</v>
      </c>
      <c r="B152" s="23">
        <f>DATE(YEAR('P&amp;L Mensal'!$F$1),MONTH('P&amp;L Mensal'!$F$1),1)</f>
        <v>46082</v>
      </c>
      <c r="C152" s="23">
        <f>'P&amp;L Mensal'!$F$1</f>
        <v>46112</v>
      </c>
      <c r="D152" s="23">
        <f>'P&amp;L Mensal'!$F$1</f>
        <v>46112</v>
      </c>
      <c r="E152" t="str">
        <f>TEXT('P&amp;L Mensal'!$F$1,"mmm/yyyy")</f>
        <v>mar/yyyy</v>
      </c>
      <c r="F152" t="s">
        <v>24</v>
      </c>
      <c r="G152" t="s">
        <v>205</v>
      </c>
      <c r="H152" t="s">
        <v>5</v>
      </c>
      <c r="I152" s="429">
        <f>'P&amp;L Mensal'!C22</f>
        <v>-4803644.101999077</v>
      </c>
      <c r="J152" t="s">
        <v>545</v>
      </c>
      <c r="K152" t="s">
        <v>700</v>
      </c>
      <c r="L152">
        <v>22</v>
      </c>
    </row>
    <row r="153" spans="1:12" ht="18" customHeight="1" x14ac:dyDescent="0.25">
      <c r="A153" t="s">
        <v>544</v>
      </c>
      <c r="B153" s="23">
        <f>DATE(YEAR('P&amp;L Mensal'!$F$1),MONTH('P&amp;L Mensal'!$F$1),1)</f>
        <v>46082</v>
      </c>
      <c r="C153" s="23">
        <f>'P&amp;L Mensal'!$F$1</f>
        <v>46112</v>
      </c>
      <c r="D153" s="23">
        <f>'P&amp;L Mensal'!$F$1</f>
        <v>46112</v>
      </c>
      <c r="E153" t="str">
        <f>TEXT('P&amp;L Mensal'!$F$1,"mmm/yyyy")</f>
        <v>mar/yyyy</v>
      </c>
      <c r="F153" t="s">
        <v>24</v>
      </c>
      <c r="G153" t="s">
        <v>205</v>
      </c>
      <c r="H153" t="s">
        <v>6</v>
      </c>
      <c r="I153" s="429">
        <f>'P&amp;L Mensal'!D22</f>
        <v>-4620516.8878536606</v>
      </c>
      <c r="J153" t="s">
        <v>545</v>
      </c>
      <c r="K153" t="s">
        <v>701</v>
      </c>
      <c r="L153">
        <v>22</v>
      </c>
    </row>
    <row r="154" spans="1:12" ht="18" customHeight="1" x14ac:dyDescent="0.25">
      <c r="A154" t="s">
        <v>544</v>
      </c>
      <c r="B154" s="23">
        <f>DATE(YEAR('P&amp;L Mensal'!$F$1),MONTH('P&amp;L Mensal'!$F$1),1)</f>
        <v>46082</v>
      </c>
      <c r="C154" s="23">
        <f>'P&amp;L Mensal'!$F$1</f>
        <v>46112</v>
      </c>
      <c r="D154" s="23">
        <f>'P&amp;L Mensal'!$F$1</f>
        <v>46112</v>
      </c>
      <c r="E154" t="str">
        <f>TEXT('P&amp;L Mensal'!$F$1,"mmm/yyyy")</f>
        <v>mar/yyyy</v>
      </c>
      <c r="F154" t="s">
        <v>24</v>
      </c>
      <c r="G154" t="s">
        <v>205</v>
      </c>
      <c r="H154" t="s">
        <v>549</v>
      </c>
      <c r="I154" s="104">
        <f>'P&amp;L Mensal'!E22</f>
        <v>3.9633490925402359E-2</v>
      </c>
      <c r="J154" t="s">
        <v>545</v>
      </c>
      <c r="K154" t="s">
        <v>702</v>
      </c>
      <c r="L154">
        <v>22</v>
      </c>
    </row>
    <row r="155" spans="1:12" ht="18" customHeight="1" x14ac:dyDescent="0.25">
      <c r="A155" t="s">
        <v>544</v>
      </c>
      <c r="B155" s="23">
        <f>DATE(YEAR('P&amp;L Mensal'!$F$1),MONTH('P&amp;L Mensal'!$F$1),1)</f>
        <v>46082</v>
      </c>
      <c r="C155" s="23">
        <f>'P&amp;L Mensal'!$F$1</f>
        <v>46112</v>
      </c>
      <c r="D155" s="23">
        <f>'P&amp;L Mensal'!$F$1</f>
        <v>46112</v>
      </c>
      <c r="E155" t="str">
        <f>TEXT('P&amp;L Mensal'!$F$1,"mmm/yyyy")</f>
        <v>mar/yyyy</v>
      </c>
      <c r="F155" t="s">
        <v>24</v>
      </c>
      <c r="G155" t="s">
        <v>220</v>
      </c>
      <c r="H155" t="s">
        <v>5</v>
      </c>
      <c r="I155" s="429">
        <f>'P&amp;L Mensal'!F22</f>
        <v>-17862654.088000923</v>
      </c>
      <c r="J155" t="s">
        <v>545</v>
      </c>
      <c r="K155" t="s">
        <v>703</v>
      </c>
      <c r="L155">
        <v>22</v>
      </c>
    </row>
    <row r="156" spans="1:12" ht="18" customHeight="1" x14ac:dyDescent="0.25">
      <c r="A156" t="s">
        <v>544</v>
      </c>
      <c r="B156" s="23">
        <f>DATE(YEAR('P&amp;L Mensal'!$F$1),MONTH('P&amp;L Mensal'!$F$1),1)</f>
        <v>46082</v>
      </c>
      <c r="C156" s="23">
        <f>'P&amp;L Mensal'!$F$1</f>
        <v>46112</v>
      </c>
      <c r="D156" s="23">
        <f>'P&amp;L Mensal'!$F$1</f>
        <v>46112</v>
      </c>
      <c r="E156" t="str">
        <f>TEXT('P&amp;L Mensal'!$F$1,"mmm/yyyy")</f>
        <v>mar/yyyy</v>
      </c>
      <c r="F156" t="s">
        <v>24</v>
      </c>
      <c r="G156" t="s">
        <v>220</v>
      </c>
      <c r="H156" t="s">
        <v>6</v>
      </c>
      <c r="I156" s="429">
        <f>'P&amp;L Mensal'!G22</f>
        <v>-15301310.231830858</v>
      </c>
      <c r="J156" t="s">
        <v>545</v>
      </c>
      <c r="K156" t="s">
        <v>704</v>
      </c>
      <c r="L156">
        <v>22</v>
      </c>
    </row>
    <row r="157" spans="1:12" ht="18" customHeight="1" x14ac:dyDescent="0.25">
      <c r="A157" t="s">
        <v>544</v>
      </c>
      <c r="B157" s="23">
        <f>DATE(YEAR('P&amp;L Mensal'!$F$1),MONTH('P&amp;L Mensal'!$F$1),1)</f>
        <v>46082</v>
      </c>
      <c r="C157" s="23">
        <f>'P&amp;L Mensal'!$F$1</f>
        <v>46112</v>
      </c>
      <c r="D157" s="23">
        <f>'P&amp;L Mensal'!$F$1</f>
        <v>46112</v>
      </c>
      <c r="E157" t="str">
        <f>TEXT('P&amp;L Mensal'!$F$1,"mmm/yyyy")</f>
        <v>mar/yyyy</v>
      </c>
      <c r="F157" t="s">
        <v>24</v>
      </c>
      <c r="G157" t="s">
        <v>220</v>
      </c>
      <c r="H157" t="s">
        <v>549</v>
      </c>
      <c r="I157" s="104">
        <f>'P&amp;L Mensal'!H22</f>
        <v>0.16739376023118457</v>
      </c>
      <c r="J157" t="s">
        <v>545</v>
      </c>
      <c r="K157" t="s">
        <v>705</v>
      </c>
      <c r="L157">
        <v>22</v>
      </c>
    </row>
    <row r="158" spans="1:12" ht="18" customHeight="1" x14ac:dyDescent="0.25">
      <c r="A158" t="s">
        <v>544</v>
      </c>
      <c r="B158" s="23">
        <f>DATE(YEAR('P&amp;L Mensal'!$F$1),MONTH('P&amp;L Mensal'!$F$1),1)</f>
        <v>46082</v>
      </c>
      <c r="C158" s="23">
        <f>'P&amp;L Mensal'!$F$1</f>
        <v>46112</v>
      </c>
      <c r="D158" s="23">
        <f>'P&amp;L Mensal'!$F$1</f>
        <v>46112</v>
      </c>
      <c r="E158" t="str">
        <f>TEXT('P&amp;L Mensal'!$F$1,"mmm/yyyy")</f>
        <v>mar/yyyy</v>
      </c>
      <c r="F158" t="s">
        <v>24</v>
      </c>
      <c r="G158" t="s">
        <v>96</v>
      </c>
      <c r="H158" t="s">
        <v>5</v>
      </c>
      <c r="I158" s="429">
        <f>'P&amp;L Mensal'!I22</f>
        <v>-22666298.190000001</v>
      </c>
      <c r="J158" t="s">
        <v>545</v>
      </c>
      <c r="K158" t="s">
        <v>706</v>
      </c>
      <c r="L158">
        <v>22</v>
      </c>
    </row>
    <row r="159" spans="1:12" ht="18" customHeight="1" x14ac:dyDescent="0.25">
      <c r="A159" t="s">
        <v>544</v>
      </c>
      <c r="B159" s="23">
        <f>DATE(YEAR('P&amp;L Mensal'!$F$1),MONTH('P&amp;L Mensal'!$F$1),1)</f>
        <v>46082</v>
      </c>
      <c r="C159" s="23">
        <f>'P&amp;L Mensal'!$F$1</f>
        <v>46112</v>
      </c>
      <c r="D159" s="23">
        <f>'P&amp;L Mensal'!$F$1</f>
        <v>46112</v>
      </c>
      <c r="E159" t="str">
        <f>TEXT('P&amp;L Mensal'!$F$1,"mmm/yyyy")</f>
        <v>mar/yyyy</v>
      </c>
      <c r="F159" t="s">
        <v>24</v>
      </c>
      <c r="G159" t="s">
        <v>96</v>
      </c>
      <c r="H159" t="s">
        <v>6</v>
      </c>
      <c r="I159" s="429">
        <f>'P&amp;L Mensal'!J22</f>
        <v>-19921827.119684517</v>
      </c>
      <c r="J159" t="s">
        <v>545</v>
      </c>
      <c r="K159" t="s">
        <v>707</v>
      </c>
      <c r="L159">
        <v>22</v>
      </c>
    </row>
    <row r="160" spans="1:12" ht="18" customHeight="1" x14ac:dyDescent="0.25">
      <c r="A160" t="s">
        <v>544</v>
      </c>
      <c r="B160" s="23">
        <f>DATE(YEAR('P&amp;L Mensal'!$F$1),MONTH('P&amp;L Mensal'!$F$1),1)</f>
        <v>46082</v>
      </c>
      <c r="C160" s="23">
        <f>'P&amp;L Mensal'!$F$1</f>
        <v>46112</v>
      </c>
      <c r="D160" s="23">
        <f>'P&amp;L Mensal'!$F$1</f>
        <v>46112</v>
      </c>
      <c r="E160" t="str">
        <f>TEXT('P&amp;L Mensal'!$F$1,"mmm/yyyy")</f>
        <v>mar/yyyy</v>
      </c>
      <c r="F160" t="s">
        <v>24</v>
      </c>
      <c r="G160" t="s">
        <v>96</v>
      </c>
      <c r="H160" t="s">
        <v>549</v>
      </c>
      <c r="I160" s="104">
        <f>'P&amp;L Mensal'!K22</f>
        <v>0.13776201619597961</v>
      </c>
      <c r="J160" t="s">
        <v>545</v>
      </c>
      <c r="K160" t="s">
        <v>708</v>
      </c>
      <c r="L160">
        <v>22</v>
      </c>
    </row>
    <row r="161" spans="1:12" ht="18" customHeight="1" x14ac:dyDescent="0.25">
      <c r="A161" t="s">
        <v>544</v>
      </c>
      <c r="B161" s="23">
        <f>DATE(YEAR('P&amp;L Mensal'!$F$1),MONTH('P&amp;L Mensal'!$F$1),1)</f>
        <v>46082</v>
      </c>
      <c r="C161" s="23">
        <f>'P&amp;L Mensal'!$F$1</f>
        <v>46112</v>
      </c>
      <c r="D161" s="23">
        <f>'P&amp;L Mensal'!$F$1</f>
        <v>46112</v>
      </c>
      <c r="E161" t="str">
        <f>TEXT('P&amp;L Mensal'!$F$1,"mmm/yyyy")</f>
        <v>mar/yyyy</v>
      </c>
      <c r="F161" t="s">
        <v>24</v>
      </c>
      <c r="G161" t="s">
        <v>96</v>
      </c>
      <c r="H161" t="s">
        <v>557</v>
      </c>
      <c r="I161" s="429">
        <f>'P&amp;L Mensal'!L22</f>
        <v>2744471.070315484</v>
      </c>
      <c r="J161" t="s">
        <v>545</v>
      </c>
      <c r="K161" t="s">
        <v>709</v>
      </c>
      <c r="L161">
        <v>22</v>
      </c>
    </row>
    <row r="162" spans="1:12" ht="18" customHeight="1" x14ac:dyDescent="0.25">
      <c r="A162" t="s">
        <v>544</v>
      </c>
      <c r="B162" s="23">
        <f>DATE(YEAR('P&amp;L Mensal'!$F$1),MONTH('P&amp;L Mensal'!$F$1),1)</f>
        <v>46082</v>
      </c>
      <c r="C162" s="23">
        <f>'P&amp;L Mensal'!$F$1</f>
        <v>46112</v>
      </c>
      <c r="D162" s="23">
        <f>'P&amp;L Mensal'!$F$1</f>
        <v>46112</v>
      </c>
      <c r="E162" t="str">
        <f>TEXT('P&amp;L Mensal'!$F$1,"mmm/yyyy")</f>
        <v>mar/yyyy</v>
      </c>
      <c r="F162" t="s">
        <v>25</v>
      </c>
      <c r="G162" t="s">
        <v>205</v>
      </c>
      <c r="H162" t="s">
        <v>5</v>
      </c>
      <c r="I162" s="429">
        <f>'P&amp;L Mensal'!C23</f>
        <v>0</v>
      </c>
      <c r="J162" t="s">
        <v>545</v>
      </c>
      <c r="K162" t="s">
        <v>710</v>
      </c>
      <c r="L162">
        <v>23</v>
      </c>
    </row>
    <row r="163" spans="1:12" ht="18" customHeight="1" x14ac:dyDescent="0.25">
      <c r="A163" t="s">
        <v>544</v>
      </c>
      <c r="B163" s="23">
        <f>DATE(YEAR('P&amp;L Mensal'!$F$1),MONTH('P&amp;L Mensal'!$F$1),1)</f>
        <v>46082</v>
      </c>
      <c r="C163" s="23">
        <f>'P&amp;L Mensal'!$F$1</f>
        <v>46112</v>
      </c>
      <c r="D163" s="23">
        <f>'P&amp;L Mensal'!$F$1</f>
        <v>46112</v>
      </c>
      <c r="E163" t="str">
        <f>TEXT('P&amp;L Mensal'!$F$1,"mmm/yyyy")</f>
        <v>mar/yyyy</v>
      </c>
      <c r="F163" t="s">
        <v>25</v>
      </c>
      <c r="G163" t="s">
        <v>205</v>
      </c>
      <c r="H163" t="s">
        <v>6</v>
      </c>
      <c r="I163" s="429">
        <f>'P&amp;L Mensal'!D23</f>
        <v>0</v>
      </c>
      <c r="J163" t="s">
        <v>545</v>
      </c>
      <c r="K163" t="s">
        <v>711</v>
      </c>
      <c r="L163">
        <v>23</v>
      </c>
    </row>
    <row r="164" spans="1:12" ht="18" customHeight="1" x14ac:dyDescent="0.25">
      <c r="A164" t="s">
        <v>544</v>
      </c>
      <c r="B164" s="23">
        <f>DATE(YEAR('P&amp;L Mensal'!$F$1),MONTH('P&amp;L Mensal'!$F$1),1)</f>
        <v>46082</v>
      </c>
      <c r="C164" s="23">
        <f>'P&amp;L Mensal'!$F$1</f>
        <v>46112</v>
      </c>
      <c r="D164" s="23">
        <f>'P&amp;L Mensal'!$F$1</f>
        <v>46112</v>
      </c>
      <c r="E164" t="str">
        <f>TEXT('P&amp;L Mensal'!$F$1,"mmm/yyyy")</f>
        <v>mar/yyyy</v>
      </c>
      <c r="F164" t="s">
        <v>25</v>
      </c>
      <c r="G164" t="s">
        <v>205</v>
      </c>
      <c r="H164" t="s">
        <v>549</v>
      </c>
      <c r="I164" s="104" t="str">
        <f>'P&amp;L Mensal'!E23</f>
        <v>-</v>
      </c>
      <c r="J164" t="s">
        <v>545</v>
      </c>
      <c r="K164" t="s">
        <v>712</v>
      </c>
      <c r="L164">
        <v>23</v>
      </c>
    </row>
    <row r="165" spans="1:12" ht="18" customHeight="1" x14ac:dyDescent="0.25">
      <c r="A165" t="s">
        <v>544</v>
      </c>
      <c r="B165" s="23">
        <f>DATE(YEAR('P&amp;L Mensal'!$F$1),MONTH('P&amp;L Mensal'!$F$1),1)</f>
        <v>46082</v>
      </c>
      <c r="C165" s="23">
        <f>'P&amp;L Mensal'!$F$1</f>
        <v>46112</v>
      </c>
      <c r="D165" s="23">
        <f>'P&amp;L Mensal'!$F$1</f>
        <v>46112</v>
      </c>
      <c r="E165" t="str">
        <f>TEXT('P&amp;L Mensal'!$F$1,"mmm/yyyy")</f>
        <v>mar/yyyy</v>
      </c>
      <c r="F165" t="s">
        <v>25</v>
      </c>
      <c r="G165" t="s">
        <v>220</v>
      </c>
      <c r="H165" t="s">
        <v>5</v>
      </c>
      <c r="I165" s="429">
        <f>'P&amp;L Mensal'!F23</f>
        <v>-6665373.2300000004</v>
      </c>
      <c r="J165" t="s">
        <v>545</v>
      </c>
      <c r="K165" t="s">
        <v>713</v>
      </c>
      <c r="L165">
        <v>23</v>
      </c>
    </row>
    <row r="166" spans="1:12" ht="18" customHeight="1" x14ac:dyDescent="0.25">
      <c r="A166" t="s">
        <v>544</v>
      </c>
      <c r="B166" s="23">
        <f>DATE(YEAR('P&amp;L Mensal'!$F$1),MONTH('P&amp;L Mensal'!$F$1),1)</f>
        <v>46082</v>
      </c>
      <c r="C166" s="23">
        <f>'P&amp;L Mensal'!$F$1</f>
        <v>46112</v>
      </c>
      <c r="D166" s="23">
        <f>'P&amp;L Mensal'!$F$1</f>
        <v>46112</v>
      </c>
      <c r="E166" t="str">
        <f>TEXT('P&amp;L Mensal'!$F$1,"mmm/yyyy")</f>
        <v>mar/yyyy</v>
      </c>
      <c r="F166" t="s">
        <v>25</v>
      </c>
      <c r="G166" t="s">
        <v>220</v>
      </c>
      <c r="H166" t="s">
        <v>6</v>
      </c>
      <c r="I166" s="429">
        <f>'P&amp;L Mensal'!G23</f>
        <v>-5380522.1826135786</v>
      </c>
      <c r="J166" t="s">
        <v>545</v>
      </c>
      <c r="K166" t="s">
        <v>714</v>
      </c>
      <c r="L166">
        <v>23</v>
      </c>
    </row>
    <row r="167" spans="1:12" ht="18" customHeight="1" x14ac:dyDescent="0.25">
      <c r="A167" t="s">
        <v>544</v>
      </c>
      <c r="B167" s="23">
        <f>DATE(YEAR('P&amp;L Mensal'!$F$1),MONTH('P&amp;L Mensal'!$F$1),1)</f>
        <v>46082</v>
      </c>
      <c r="C167" s="23">
        <f>'P&amp;L Mensal'!$F$1</f>
        <v>46112</v>
      </c>
      <c r="D167" s="23">
        <f>'P&amp;L Mensal'!$F$1</f>
        <v>46112</v>
      </c>
      <c r="E167" t="str">
        <f>TEXT('P&amp;L Mensal'!$F$1,"mmm/yyyy")</f>
        <v>mar/yyyy</v>
      </c>
      <c r="F167" t="s">
        <v>25</v>
      </c>
      <c r="G167" t="s">
        <v>220</v>
      </c>
      <c r="H167" t="s">
        <v>549</v>
      </c>
      <c r="I167" s="104">
        <f>'P&amp;L Mensal'!H23</f>
        <v>0.2387967196823837</v>
      </c>
      <c r="J167" t="s">
        <v>545</v>
      </c>
      <c r="K167" t="s">
        <v>715</v>
      </c>
      <c r="L167">
        <v>23</v>
      </c>
    </row>
    <row r="168" spans="1:12" ht="18" customHeight="1" x14ac:dyDescent="0.25">
      <c r="A168" t="s">
        <v>544</v>
      </c>
      <c r="B168" s="23">
        <f>DATE(YEAR('P&amp;L Mensal'!$F$1),MONTH('P&amp;L Mensal'!$F$1),1)</f>
        <v>46082</v>
      </c>
      <c r="C168" s="23">
        <f>'P&amp;L Mensal'!$F$1</f>
        <v>46112</v>
      </c>
      <c r="D168" s="23">
        <f>'P&amp;L Mensal'!$F$1</f>
        <v>46112</v>
      </c>
      <c r="E168" t="str">
        <f>TEXT('P&amp;L Mensal'!$F$1,"mmm/yyyy")</f>
        <v>mar/yyyy</v>
      </c>
      <c r="F168" t="s">
        <v>25</v>
      </c>
      <c r="G168" t="s">
        <v>96</v>
      </c>
      <c r="H168" t="s">
        <v>5</v>
      </c>
      <c r="I168" s="429">
        <f>'P&amp;L Mensal'!I23</f>
        <v>-6665373.2300000004</v>
      </c>
      <c r="J168" t="s">
        <v>545</v>
      </c>
      <c r="K168" t="s">
        <v>716</v>
      </c>
      <c r="L168">
        <v>23</v>
      </c>
    </row>
    <row r="169" spans="1:12" ht="18" customHeight="1" x14ac:dyDescent="0.25">
      <c r="A169" t="s">
        <v>544</v>
      </c>
      <c r="B169" s="23">
        <f>DATE(YEAR('P&amp;L Mensal'!$F$1),MONTH('P&amp;L Mensal'!$F$1),1)</f>
        <v>46082</v>
      </c>
      <c r="C169" s="23">
        <f>'P&amp;L Mensal'!$F$1</f>
        <v>46112</v>
      </c>
      <c r="D169" s="23">
        <f>'P&amp;L Mensal'!$F$1</f>
        <v>46112</v>
      </c>
      <c r="E169" t="str">
        <f>TEXT('P&amp;L Mensal'!$F$1,"mmm/yyyy")</f>
        <v>mar/yyyy</v>
      </c>
      <c r="F169" t="s">
        <v>25</v>
      </c>
      <c r="G169" t="s">
        <v>96</v>
      </c>
      <c r="H169" t="s">
        <v>6</v>
      </c>
      <c r="I169" s="429">
        <f>'P&amp;L Mensal'!J23</f>
        <v>-5380522.1826135786</v>
      </c>
      <c r="J169" t="s">
        <v>545</v>
      </c>
      <c r="K169" t="s">
        <v>717</v>
      </c>
      <c r="L169">
        <v>23</v>
      </c>
    </row>
    <row r="170" spans="1:12" ht="18" customHeight="1" x14ac:dyDescent="0.25">
      <c r="A170" t="s">
        <v>544</v>
      </c>
      <c r="B170" s="23">
        <f>DATE(YEAR('P&amp;L Mensal'!$F$1),MONTH('P&amp;L Mensal'!$F$1),1)</f>
        <v>46082</v>
      </c>
      <c r="C170" s="23">
        <f>'P&amp;L Mensal'!$F$1</f>
        <v>46112</v>
      </c>
      <c r="D170" s="23">
        <f>'P&amp;L Mensal'!$F$1</f>
        <v>46112</v>
      </c>
      <c r="E170" t="str">
        <f>TEXT('P&amp;L Mensal'!$F$1,"mmm/yyyy")</f>
        <v>mar/yyyy</v>
      </c>
      <c r="F170" t="s">
        <v>25</v>
      </c>
      <c r="G170" t="s">
        <v>96</v>
      </c>
      <c r="H170" t="s">
        <v>549</v>
      </c>
      <c r="I170" s="104">
        <f>'P&amp;L Mensal'!K23</f>
        <v>0.2387967196823837</v>
      </c>
      <c r="J170" t="s">
        <v>545</v>
      </c>
      <c r="K170" t="s">
        <v>718</v>
      </c>
      <c r="L170">
        <v>23</v>
      </c>
    </row>
    <row r="171" spans="1:12" ht="18" customHeight="1" x14ac:dyDescent="0.25">
      <c r="A171" t="s">
        <v>544</v>
      </c>
      <c r="B171" s="23">
        <f>DATE(YEAR('P&amp;L Mensal'!$F$1),MONTH('P&amp;L Mensal'!$F$1),1)</f>
        <v>46082</v>
      </c>
      <c r="C171" s="23">
        <f>'P&amp;L Mensal'!$F$1</f>
        <v>46112</v>
      </c>
      <c r="D171" s="23">
        <f>'P&amp;L Mensal'!$F$1</f>
        <v>46112</v>
      </c>
      <c r="E171" t="str">
        <f>TEXT('P&amp;L Mensal'!$F$1,"mmm/yyyy")</f>
        <v>mar/yyyy</v>
      </c>
      <c r="F171" t="s">
        <v>25</v>
      </c>
      <c r="G171" t="s">
        <v>96</v>
      </c>
      <c r="H171" t="s">
        <v>557</v>
      </c>
      <c r="I171" s="429">
        <f>'P&amp;L Mensal'!L23</f>
        <v>1284851.0473864218</v>
      </c>
      <c r="J171" t="s">
        <v>545</v>
      </c>
      <c r="K171" t="s">
        <v>719</v>
      </c>
      <c r="L171">
        <v>23</v>
      </c>
    </row>
    <row r="172" spans="1:12" ht="18" customHeight="1" x14ac:dyDescent="0.25">
      <c r="A172" t="s">
        <v>544</v>
      </c>
      <c r="B172" s="23">
        <f>DATE(YEAR('P&amp;L Mensal'!$F$1),MONTH('P&amp;L Mensal'!$F$1),1)</f>
        <v>46082</v>
      </c>
      <c r="C172" s="23">
        <f>'P&amp;L Mensal'!$F$1</f>
        <v>46112</v>
      </c>
      <c r="D172" s="23">
        <f>'P&amp;L Mensal'!$F$1</f>
        <v>46112</v>
      </c>
      <c r="E172" t="str">
        <f>TEXT('P&amp;L Mensal'!$F$1,"mmm/yyyy")</f>
        <v>mar/yyyy</v>
      </c>
      <c r="F172" t="s">
        <v>26</v>
      </c>
      <c r="G172" t="s">
        <v>205</v>
      </c>
      <c r="H172" t="s">
        <v>5</v>
      </c>
      <c r="I172" s="429">
        <f>'P&amp;L Mensal'!C24</f>
        <v>0</v>
      </c>
      <c r="J172" t="s">
        <v>545</v>
      </c>
      <c r="K172" t="s">
        <v>720</v>
      </c>
      <c r="L172">
        <v>24</v>
      </c>
    </row>
    <row r="173" spans="1:12" ht="18" customHeight="1" x14ac:dyDescent="0.25">
      <c r="A173" t="s">
        <v>544</v>
      </c>
      <c r="B173" s="23">
        <f>DATE(YEAR('P&amp;L Mensal'!$F$1),MONTH('P&amp;L Mensal'!$F$1),1)</f>
        <v>46082</v>
      </c>
      <c r="C173" s="23">
        <f>'P&amp;L Mensal'!$F$1</f>
        <v>46112</v>
      </c>
      <c r="D173" s="23">
        <f>'P&amp;L Mensal'!$F$1</f>
        <v>46112</v>
      </c>
      <c r="E173" t="str">
        <f>TEXT('P&amp;L Mensal'!$F$1,"mmm/yyyy")</f>
        <v>mar/yyyy</v>
      </c>
      <c r="F173" t="s">
        <v>26</v>
      </c>
      <c r="G173" t="s">
        <v>205</v>
      </c>
      <c r="H173" t="s">
        <v>6</v>
      </c>
      <c r="I173" s="429">
        <f>'P&amp;L Mensal'!D24</f>
        <v>0</v>
      </c>
      <c r="J173" t="s">
        <v>545</v>
      </c>
      <c r="K173" t="s">
        <v>721</v>
      </c>
      <c r="L173">
        <v>24</v>
      </c>
    </row>
    <row r="174" spans="1:12" ht="18" customHeight="1" x14ac:dyDescent="0.25">
      <c r="A174" t="s">
        <v>544</v>
      </c>
      <c r="B174" s="23">
        <f>DATE(YEAR('P&amp;L Mensal'!$F$1),MONTH('P&amp;L Mensal'!$F$1),1)</f>
        <v>46082</v>
      </c>
      <c r="C174" s="23">
        <f>'P&amp;L Mensal'!$F$1</f>
        <v>46112</v>
      </c>
      <c r="D174" s="23">
        <f>'P&amp;L Mensal'!$F$1</f>
        <v>46112</v>
      </c>
      <c r="E174" t="str">
        <f>TEXT('P&amp;L Mensal'!$F$1,"mmm/yyyy")</f>
        <v>mar/yyyy</v>
      </c>
      <c r="F174" t="s">
        <v>26</v>
      </c>
      <c r="G174" t="s">
        <v>205</v>
      </c>
      <c r="H174" t="s">
        <v>549</v>
      </c>
      <c r="I174" s="104">
        <f>'P&amp;L Mensal'!E24</f>
        <v>0</v>
      </c>
      <c r="J174" t="s">
        <v>545</v>
      </c>
      <c r="K174" t="s">
        <v>722</v>
      </c>
      <c r="L174">
        <v>24</v>
      </c>
    </row>
    <row r="175" spans="1:12" ht="18" customHeight="1" x14ac:dyDescent="0.25">
      <c r="A175" t="s">
        <v>544</v>
      </c>
      <c r="B175" s="23">
        <f>DATE(YEAR('P&amp;L Mensal'!$F$1),MONTH('P&amp;L Mensal'!$F$1),1)</f>
        <v>46082</v>
      </c>
      <c r="C175" s="23">
        <f>'P&amp;L Mensal'!$F$1</f>
        <v>46112</v>
      </c>
      <c r="D175" s="23">
        <f>'P&amp;L Mensal'!$F$1</f>
        <v>46112</v>
      </c>
      <c r="E175" t="str">
        <f>TEXT('P&amp;L Mensal'!$F$1,"mmm/yyyy")</f>
        <v>mar/yyyy</v>
      </c>
      <c r="F175" t="s">
        <v>26</v>
      </c>
      <c r="G175" t="s">
        <v>220</v>
      </c>
      <c r="H175" t="s">
        <v>5</v>
      </c>
      <c r="I175" s="429">
        <f>'P&amp;L Mensal'!F24</f>
        <v>0</v>
      </c>
      <c r="J175" t="s">
        <v>545</v>
      </c>
      <c r="K175" t="s">
        <v>723</v>
      </c>
      <c r="L175">
        <v>24</v>
      </c>
    </row>
    <row r="176" spans="1:12" ht="18" customHeight="1" x14ac:dyDescent="0.25">
      <c r="A176" t="s">
        <v>544</v>
      </c>
      <c r="B176" s="23">
        <f>DATE(YEAR('P&amp;L Mensal'!$F$1),MONTH('P&amp;L Mensal'!$F$1),1)</f>
        <v>46082</v>
      </c>
      <c r="C176" s="23">
        <f>'P&amp;L Mensal'!$F$1</f>
        <v>46112</v>
      </c>
      <c r="D176" s="23">
        <f>'P&amp;L Mensal'!$F$1</f>
        <v>46112</v>
      </c>
      <c r="E176" t="str">
        <f>TEXT('P&amp;L Mensal'!$F$1,"mmm/yyyy")</f>
        <v>mar/yyyy</v>
      </c>
      <c r="F176" t="s">
        <v>26</v>
      </c>
      <c r="G176" t="s">
        <v>220</v>
      </c>
      <c r="H176" t="s">
        <v>6</v>
      </c>
      <c r="I176" s="429">
        <f>'P&amp;L Mensal'!G24</f>
        <v>-2734250.6567985099</v>
      </c>
      <c r="J176" t="s">
        <v>545</v>
      </c>
      <c r="K176" t="s">
        <v>724</v>
      </c>
      <c r="L176">
        <v>24</v>
      </c>
    </row>
    <row r="177" spans="1:12" ht="18" customHeight="1" x14ac:dyDescent="0.25">
      <c r="A177" t="s">
        <v>544</v>
      </c>
      <c r="B177" s="23">
        <f>DATE(YEAR('P&amp;L Mensal'!$F$1),MONTH('P&amp;L Mensal'!$F$1),1)</f>
        <v>46082</v>
      </c>
      <c r="C177" s="23">
        <f>'P&amp;L Mensal'!$F$1</f>
        <v>46112</v>
      </c>
      <c r="D177" s="23">
        <f>'P&amp;L Mensal'!$F$1</f>
        <v>46112</v>
      </c>
      <c r="E177" t="str">
        <f>TEXT('P&amp;L Mensal'!$F$1,"mmm/yyyy")</f>
        <v>mar/yyyy</v>
      </c>
      <c r="F177" t="s">
        <v>26</v>
      </c>
      <c r="G177" t="s">
        <v>220</v>
      </c>
      <c r="H177" t="s">
        <v>549</v>
      </c>
      <c r="I177" s="104">
        <f>'P&amp;L Mensal'!H24</f>
        <v>0</v>
      </c>
      <c r="J177" t="s">
        <v>545</v>
      </c>
      <c r="K177" t="s">
        <v>725</v>
      </c>
      <c r="L177">
        <v>24</v>
      </c>
    </row>
    <row r="178" spans="1:12" ht="18" customHeight="1" x14ac:dyDescent="0.25">
      <c r="A178" t="s">
        <v>544</v>
      </c>
      <c r="B178" s="23">
        <f>DATE(YEAR('P&amp;L Mensal'!$F$1),MONTH('P&amp;L Mensal'!$F$1),1)</f>
        <v>46082</v>
      </c>
      <c r="C178" s="23">
        <f>'P&amp;L Mensal'!$F$1</f>
        <v>46112</v>
      </c>
      <c r="D178" s="23">
        <f>'P&amp;L Mensal'!$F$1</f>
        <v>46112</v>
      </c>
      <c r="E178" t="str">
        <f>TEXT('P&amp;L Mensal'!$F$1,"mmm/yyyy")</f>
        <v>mar/yyyy</v>
      </c>
      <c r="F178" t="s">
        <v>26</v>
      </c>
      <c r="G178" t="s">
        <v>96</v>
      </c>
      <c r="H178" t="s">
        <v>5</v>
      </c>
      <c r="I178" s="429">
        <f>'P&amp;L Mensal'!I24</f>
        <v>0</v>
      </c>
      <c r="J178" t="s">
        <v>545</v>
      </c>
      <c r="K178" t="s">
        <v>726</v>
      </c>
      <c r="L178">
        <v>24</v>
      </c>
    </row>
    <row r="179" spans="1:12" ht="18" customHeight="1" x14ac:dyDescent="0.25">
      <c r="A179" t="s">
        <v>544</v>
      </c>
      <c r="B179" s="23">
        <f>DATE(YEAR('P&amp;L Mensal'!$F$1),MONTH('P&amp;L Mensal'!$F$1),1)</f>
        <v>46082</v>
      </c>
      <c r="C179" s="23">
        <f>'P&amp;L Mensal'!$F$1</f>
        <v>46112</v>
      </c>
      <c r="D179" s="23">
        <f>'P&amp;L Mensal'!$F$1</f>
        <v>46112</v>
      </c>
      <c r="E179" t="str">
        <f>TEXT('P&amp;L Mensal'!$F$1,"mmm/yyyy")</f>
        <v>mar/yyyy</v>
      </c>
      <c r="F179" t="s">
        <v>26</v>
      </c>
      <c r="G179" t="s">
        <v>96</v>
      </c>
      <c r="H179" t="s">
        <v>6</v>
      </c>
      <c r="I179" s="429">
        <f>'P&amp;L Mensal'!J24</f>
        <v>-2734250.6567985099</v>
      </c>
      <c r="J179" t="s">
        <v>545</v>
      </c>
      <c r="K179" t="s">
        <v>727</v>
      </c>
      <c r="L179">
        <v>24</v>
      </c>
    </row>
    <row r="180" spans="1:12" ht="18" customHeight="1" x14ac:dyDescent="0.25">
      <c r="A180" t="s">
        <v>544</v>
      </c>
      <c r="B180" s="23">
        <f>DATE(YEAR('P&amp;L Mensal'!$F$1),MONTH('P&amp;L Mensal'!$F$1),1)</f>
        <v>46082</v>
      </c>
      <c r="C180" s="23">
        <f>'P&amp;L Mensal'!$F$1</f>
        <v>46112</v>
      </c>
      <c r="D180" s="23">
        <f>'P&amp;L Mensal'!$F$1</f>
        <v>46112</v>
      </c>
      <c r="E180" t="str">
        <f>TEXT('P&amp;L Mensal'!$F$1,"mmm/yyyy")</f>
        <v>mar/yyyy</v>
      </c>
      <c r="F180" t="s">
        <v>26</v>
      </c>
      <c r="G180" t="s">
        <v>96</v>
      </c>
      <c r="H180" t="s">
        <v>549</v>
      </c>
      <c r="I180" s="104">
        <f>'P&amp;L Mensal'!K24</f>
        <v>0</v>
      </c>
      <c r="J180" t="s">
        <v>545</v>
      </c>
      <c r="K180" t="s">
        <v>728</v>
      </c>
      <c r="L180">
        <v>24</v>
      </c>
    </row>
    <row r="181" spans="1:12" ht="18" customHeight="1" x14ac:dyDescent="0.25">
      <c r="A181" t="s">
        <v>544</v>
      </c>
      <c r="B181" s="23">
        <f>DATE(YEAR('P&amp;L Mensal'!$F$1),MONTH('P&amp;L Mensal'!$F$1),1)</f>
        <v>46082</v>
      </c>
      <c r="C181" s="23">
        <f>'P&amp;L Mensal'!$F$1</f>
        <v>46112</v>
      </c>
      <c r="D181" s="23">
        <f>'P&amp;L Mensal'!$F$1</f>
        <v>46112</v>
      </c>
      <c r="E181" t="str">
        <f>TEXT('P&amp;L Mensal'!$F$1,"mmm/yyyy")</f>
        <v>mar/yyyy</v>
      </c>
      <c r="F181" t="s">
        <v>26</v>
      </c>
      <c r="G181" t="s">
        <v>96</v>
      </c>
      <c r="H181" t="s">
        <v>557</v>
      </c>
      <c r="I181" s="429">
        <f>'P&amp;L Mensal'!L24</f>
        <v>0</v>
      </c>
      <c r="J181" t="s">
        <v>545</v>
      </c>
      <c r="K181" t="s">
        <v>729</v>
      </c>
      <c r="L181">
        <v>24</v>
      </c>
    </row>
    <row r="182" spans="1:12" ht="18" customHeight="1" x14ac:dyDescent="0.25">
      <c r="A182" t="s">
        <v>544</v>
      </c>
      <c r="B182" s="23">
        <f>DATE(YEAR('P&amp;L Mensal'!$F$1),MONTH('P&amp;L Mensal'!$F$1),1)</f>
        <v>46082</v>
      </c>
      <c r="C182" s="23">
        <f>'P&amp;L Mensal'!$F$1</f>
        <v>46112</v>
      </c>
      <c r="D182" s="23">
        <f>'P&amp;L Mensal'!$F$1</f>
        <v>46112</v>
      </c>
      <c r="E182" t="str">
        <f>TEXT('P&amp;L Mensal'!$F$1,"mmm/yyyy")</f>
        <v>mar/yyyy</v>
      </c>
      <c r="F182" t="s">
        <v>27</v>
      </c>
      <c r="G182" t="s">
        <v>205</v>
      </c>
      <c r="H182" t="s">
        <v>5</v>
      </c>
      <c r="I182" s="429">
        <f>'P&amp;L Mensal'!C25</f>
        <v>0</v>
      </c>
      <c r="J182" t="s">
        <v>545</v>
      </c>
      <c r="K182" t="s">
        <v>730</v>
      </c>
      <c r="L182">
        <v>25</v>
      </c>
    </row>
    <row r="183" spans="1:12" ht="18" customHeight="1" x14ac:dyDescent="0.25">
      <c r="A183" t="s">
        <v>544</v>
      </c>
      <c r="B183" s="23">
        <f>DATE(YEAR('P&amp;L Mensal'!$F$1),MONTH('P&amp;L Mensal'!$F$1),1)</f>
        <v>46082</v>
      </c>
      <c r="C183" s="23">
        <f>'P&amp;L Mensal'!$F$1</f>
        <v>46112</v>
      </c>
      <c r="D183" s="23">
        <f>'P&amp;L Mensal'!$F$1</f>
        <v>46112</v>
      </c>
      <c r="E183" t="str">
        <f>TEXT('P&amp;L Mensal'!$F$1,"mmm/yyyy")</f>
        <v>mar/yyyy</v>
      </c>
      <c r="F183" t="s">
        <v>27</v>
      </c>
      <c r="G183" t="s">
        <v>205</v>
      </c>
      <c r="H183" t="s">
        <v>6</v>
      </c>
      <c r="I183" s="429">
        <f>'P&amp;L Mensal'!D25</f>
        <v>0</v>
      </c>
      <c r="J183" t="s">
        <v>545</v>
      </c>
      <c r="K183" t="s">
        <v>731</v>
      </c>
      <c r="L183">
        <v>25</v>
      </c>
    </row>
    <row r="184" spans="1:12" ht="18" customHeight="1" x14ac:dyDescent="0.25">
      <c r="A184" t="s">
        <v>544</v>
      </c>
      <c r="B184" s="23">
        <f>DATE(YEAR('P&amp;L Mensal'!$F$1),MONTH('P&amp;L Mensal'!$F$1),1)</f>
        <v>46082</v>
      </c>
      <c r="C184" s="23">
        <f>'P&amp;L Mensal'!$F$1</f>
        <v>46112</v>
      </c>
      <c r="D184" s="23">
        <f>'P&amp;L Mensal'!$F$1</f>
        <v>46112</v>
      </c>
      <c r="E184" t="str">
        <f>TEXT('P&amp;L Mensal'!$F$1,"mmm/yyyy")</f>
        <v>mar/yyyy</v>
      </c>
      <c r="F184" t="s">
        <v>27</v>
      </c>
      <c r="G184" t="s">
        <v>205</v>
      </c>
      <c r="H184" t="s">
        <v>549</v>
      </c>
      <c r="I184" s="104">
        <f>'P&amp;L Mensal'!E25</f>
        <v>0</v>
      </c>
      <c r="J184" t="s">
        <v>545</v>
      </c>
      <c r="K184" t="s">
        <v>732</v>
      </c>
      <c r="L184">
        <v>25</v>
      </c>
    </row>
    <row r="185" spans="1:12" ht="18" customHeight="1" x14ac:dyDescent="0.25">
      <c r="A185" t="s">
        <v>544</v>
      </c>
      <c r="B185" s="23">
        <f>DATE(YEAR('P&amp;L Mensal'!$F$1),MONTH('P&amp;L Mensal'!$F$1),1)</f>
        <v>46082</v>
      </c>
      <c r="C185" s="23">
        <f>'P&amp;L Mensal'!$F$1</f>
        <v>46112</v>
      </c>
      <c r="D185" s="23">
        <f>'P&amp;L Mensal'!$F$1</f>
        <v>46112</v>
      </c>
      <c r="E185" t="str">
        <f>TEXT('P&amp;L Mensal'!$F$1,"mmm/yyyy")</f>
        <v>mar/yyyy</v>
      </c>
      <c r="F185" t="s">
        <v>27</v>
      </c>
      <c r="G185" t="s">
        <v>220</v>
      </c>
      <c r="H185" t="s">
        <v>5</v>
      </c>
      <c r="I185" s="429">
        <f>'P&amp;L Mensal'!F25</f>
        <v>0</v>
      </c>
      <c r="J185" t="s">
        <v>545</v>
      </c>
      <c r="K185" t="s">
        <v>733</v>
      </c>
      <c r="L185">
        <v>25</v>
      </c>
    </row>
    <row r="186" spans="1:12" ht="18" customHeight="1" x14ac:dyDescent="0.25">
      <c r="A186" t="s">
        <v>544</v>
      </c>
      <c r="B186" s="23">
        <f>DATE(YEAR('P&amp;L Mensal'!$F$1),MONTH('P&amp;L Mensal'!$F$1),1)</f>
        <v>46082</v>
      </c>
      <c r="C186" s="23">
        <f>'P&amp;L Mensal'!$F$1</f>
        <v>46112</v>
      </c>
      <c r="D186" s="23">
        <f>'P&amp;L Mensal'!$F$1</f>
        <v>46112</v>
      </c>
      <c r="E186" t="str">
        <f>TEXT('P&amp;L Mensal'!$F$1,"mmm/yyyy")</f>
        <v>mar/yyyy</v>
      </c>
      <c r="F186" t="s">
        <v>27</v>
      </c>
      <c r="G186" t="s">
        <v>220</v>
      </c>
      <c r="H186" t="s">
        <v>6</v>
      </c>
      <c r="I186" s="429">
        <f>'P&amp;L Mensal'!G25</f>
        <v>-1783873.7280349501</v>
      </c>
      <c r="J186" t="s">
        <v>545</v>
      </c>
      <c r="K186" t="s">
        <v>734</v>
      </c>
      <c r="L186">
        <v>25</v>
      </c>
    </row>
    <row r="187" spans="1:12" ht="18" customHeight="1" x14ac:dyDescent="0.25">
      <c r="A187" t="s">
        <v>544</v>
      </c>
      <c r="B187" s="23">
        <f>DATE(YEAR('P&amp;L Mensal'!$F$1),MONTH('P&amp;L Mensal'!$F$1),1)</f>
        <v>46082</v>
      </c>
      <c r="C187" s="23">
        <f>'P&amp;L Mensal'!$F$1</f>
        <v>46112</v>
      </c>
      <c r="D187" s="23">
        <f>'P&amp;L Mensal'!$F$1</f>
        <v>46112</v>
      </c>
      <c r="E187" t="str">
        <f>TEXT('P&amp;L Mensal'!$F$1,"mmm/yyyy")</f>
        <v>mar/yyyy</v>
      </c>
      <c r="F187" t="s">
        <v>27</v>
      </c>
      <c r="G187" t="s">
        <v>220</v>
      </c>
      <c r="H187" t="s">
        <v>549</v>
      </c>
      <c r="I187" s="104">
        <f>'P&amp;L Mensal'!H25</f>
        <v>0</v>
      </c>
      <c r="J187" t="s">
        <v>545</v>
      </c>
      <c r="K187" t="s">
        <v>735</v>
      </c>
      <c r="L187">
        <v>25</v>
      </c>
    </row>
    <row r="188" spans="1:12" ht="18" customHeight="1" x14ac:dyDescent="0.25">
      <c r="A188" t="s">
        <v>544</v>
      </c>
      <c r="B188" s="23">
        <f>DATE(YEAR('P&amp;L Mensal'!$F$1),MONTH('P&amp;L Mensal'!$F$1),1)</f>
        <v>46082</v>
      </c>
      <c r="C188" s="23">
        <f>'P&amp;L Mensal'!$F$1</f>
        <v>46112</v>
      </c>
      <c r="D188" s="23">
        <f>'P&amp;L Mensal'!$F$1</f>
        <v>46112</v>
      </c>
      <c r="E188" t="str">
        <f>TEXT('P&amp;L Mensal'!$F$1,"mmm/yyyy")</f>
        <v>mar/yyyy</v>
      </c>
      <c r="F188" t="s">
        <v>27</v>
      </c>
      <c r="G188" t="s">
        <v>96</v>
      </c>
      <c r="H188" t="s">
        <v>5</v>
      </c>
      <c r="I188" s="429">
        <f>'P&amp;L Mensal'!I25</f>
        <v>0</v>
      </c>
      <c r="J188" t="s">
        <v>545</v>
      </c>
      <c r="K188" t="s">
        <v>736</v>
      </c>
      <c r="L188">
        <v>25</v>
      </c>
    </row>
    <row r="189" spans="1:12" ht="18" customHeight="1" x14ac:dyDescent="0.25">
      <c r="A189" t="s">
        <v>544</v>
      </c>
      <c r="B189" s="23">
        <f>DATE(YEAR('P&amp;L Mensal'!$F$1),MONTH('P&amp;L Mensal'!$F$1),1)</f>
        <v>46082</v>
      </c>
      <c r="C189" s="23">
        <f>'P&amp;L Mensal'!$F$1</f>
        <v>46112</v>
      </c>
      <c r="D189" s="23">
        <f>'P&amp;L Mensal'!$F$1</f>
        <v>46112</v>
      </c>
      <c r="E189" t="str">
        <f>TEXT('P&amp;L Mensal'!$F$1,"mmm/yyyy")</f>
        <v>mar/yyyy</v>
      </c>
      <c r="F189" t="s">
        <v>27</v>
      </c>
      <c r="G189" t="s">
        <v>96</v>
      </c>
      <c r="H189" t="s">
        <v>6</v>
      </c>
      <c r="I189" s="429">
        <f>'P&amp;L Mensal'!J25</f>
        <v>-1783873.7280349501</v>
      </c>
      <c r="J189" t="s">
        <v>545</v>
      </c>
      <c r="K189" t="s">
        <v>737</v>
      </c>
      <c r="L189">
        <v>25</v>
      </c>
    </row>
    <row r="190" spans="1:12" ht="18" customHeight="1" x14ac:dyDescent="0.25">
      <c r="A190" t="s">
        <v>544</v>
      </c>
      <c r="B190" s="23">
        <f>DATE(YEAR('P&amp;L Mensal'!$F$1),MONTH('P&amp;L Mensal'!$F$1),1)</f>
        <v>46082</v>
      </c>
      <c r="C190" s="23">
        <f>'P&amp;L Mensal'!$F$1</f>
        <v>46112</v>
      </c>
      <c r="D190" s="23">
        <f>'P&amp;L Mensal'!$F$1</f>
        <v>46112</v>
      </c>
      <c r="E190" t="str">
        <f>TEXT('P&amp;L Mensal'!$F$1,"mmm/yyyy")</f>
        <v>mar/yyyy</v>
      </c>
      <c r="F190" t="s">
        <v>27</v>
      </c>
      <c r="G190" t="s">
        <v>96</v>
      </c>
      <c r="H190" t="s">
        <v>549</v>
      </c>
      <c r="I190" s="104">
        <f>'P&amp;L Mensal'!K25</f>
        <v>0</v>
      </c>
      <c r="J190" t="s">
        <v>545</v>
      </c>
      <c r="K190" t="s">
        <v>738</v>
      </c>
      <c r="L190">
        <v>25</v>
      </c>
    </row>
    <row r="191" spans="1:12" ht="18" customHeight="1" x14ac:dyDescent="0.25">
      <c r="A191" t="s">
        <v>544</v>
      </c>
      <c r="B191" s="23">
        <f>DATE(YEAR('P&amp;L Mensal'!$F$1),MONTH('P&amp;L Mensal'!$F$1),1)</f>
        <v>46082</v>
      </c>
      <c r="C191" s="23">
        <f>'P&amp;L Mensal'!$F$1</f>
        <v>46112</v>
      </c>
      <c r="D191" s="23">
        <f>'P&amp;L Mensal'!$F$1</f>
        <v>46112</v>
      </c>
      <c r="E191" t="str">
        <f>TEXT('P&amp;L Mensal'!$F$1,"mmm/yyyy")</f>
        <v>mar/yyyy</v>
      </c>
      <c r="F191" t="s">
        <v>27</v>
      </c>
      <c r="G191" t="s">
        <v>96</v>
      </c>
      <c r="H191" t="s">
        <v>557</v>
      </c>
      <c r="I191" s="429">
        <f>'P&amp;L Mensal'!L25</f>
        <v>0</v>
      </c>
      <c r="J191" t="s">
        <v>545</v>
      </c>
      <c r="K191" t="s">
        <v>739</v>
      </c>
      <c r="L191">
        <v>25</v>
      </c>
    </row>
    <row r="192" spans="1:12" ht="18" customHeight="1" x14ac:dyDescent="0.25">
      <c r="A192" t="s">
        <v>544</v>
      </c>
      <c r="B192" s="23">
        <f>DATE(YEAR('P&amp;L Mensal'!$F$1),MONTH('P&amp;L Mensal'!$F$1),1)</f>
        <v>46082</v>
      </c>
      <c r="C192" s="23">
        <f>'P&amp;L Mensal'!$F$1</f>
        <v>46112</v>
      </c>
      <c r="D192" s="23">
        <f>'P&amp;L Mensal'!$F$1</f>
        <v>46112</v>
      </c>
      <c r="E192" t="str">
        <f>TEXT('P&amp;L Mensal'!$F$1,"mmm/yyyy")</f>
        <v>mar/yyyy</v>
      </c>
      <c r="F192" t="s">
        <v>28</v>
      </c>
      <c r="G192" t="s">
        <v>205</v>
      </c>
      <c r="H192" t="s">
        <v>5</v>
      </c>
      <c r="I192" s="429">
        <f>'P&amp;L Mensal'!C26</f>
        <v>-5760280.4879999999</v>
      </c>
      <c r="J192" t="s">
        <v>545</v>
      </c>
      <c r="K192" t="s">
        <v>740</v>
      </c>
      <c r="L192">
        <v>26</v>
      </c>
    </row>
    <row r="193" spans="1:12" ht="18" customHeight="1" x14ac:dyDescent="0.25">
      <c r="A193" t="s">
        <v>544</v>
      </c>
      <c r="B193" s="23">
        <f>DATE(YEAR('P&amp;L Mensal'!$F$1),MONTH('P&amp;L Mensal'!$F$1),1)</f>
        <v>46082</v>
      </c>
      <c r="C193" s="23">
        <f>'P&amp;L Mensal'!$F$1</f>
        <v>46112</v>
      </c>
      <c r="D193" s="23">
        <f>'P&amp;L Mensal'!$F$1</f>
        <v>46112</v>
      </c>
      <c r="E193" t="str">
        <f>TEXT('P&amp;L Mensal'!$F$1,"mmm/yyyy")</f>
        <v>mar/yyyy</v>
      </c>
      <c r="F193" t="s">
        <v>28</v>
      </c>
      <c r="G193" t="s">
        <v>205</v>
      </c>
      <c r="H193" t="s">
        <v>6</v>
      </c>
      <c r="I193" s="429">
        <f>'P&amp;L Mensal'!D26</f>
        <v>-5697287.0868866928</v>
      </c>
      <c r="J193" t="s">
        <v>545</v>
      </c>
      <c r="K193" t="s">
        <v>741</v>
      </c>
      <c r="L193">
        <v>26</v>
      </c>
    </row>
    <row r="194" spans="1:12" ht="18" customHeight="1" x14ac:dyDescent="0.25">
      <c r="A194" t="s">
        <v>544</v>
      </c>
      <c r="B194" s="23">
        <f>DATE(YEAR('P&amp;L Mensal'!$F$1),MONTH('P&amp;L Mensal'!$F$1),1)</f>
        <v>46082</v>
      </c>
      <c r="C194" s="23">
        <f>'P&amp;L Mensal'!$F$1</f>
        <v>46112</v>
      </c>
      <c r="D194" s="23">
        <f>'P&amp;L Mensal'!$F$1</f>
        <v>46112</v>
      </c>
      <c r="E194" t="str">
        <f>TEXT('P&amp;L Mensal'!$F$1,"mmm/yyyy")</f>
        <v>mar/yyyy</v>
      </c>
      <c r="F194" t="s">
        <v>28</v>
      </c>
      <c r="G194" t="s">
        <v>205</v>
      </c>
      <c r="H194" t="s">
        <v>549</v>
      </c>
      <c r="I194" s="104">
        <f>'P&amp;L Mensal'!E26</f>
        <v>1.1056736329523753E-2</v>
      </c>
      <c r="J194" t="s">
        <v>545</v>
      </c>
      <c r="K194" t="s">
        <v>742</v>
      </c>
      <c r="L194">
        <v>26</v>
      </c>
    </row>
    <row r="195" spans="1:12" ht="18" customHeight="1" x14ac:dyDescent="0.25">
      <c r="A195" t="s">
        <v>544</v>
      </c>
      <c r="B195" s="23">
        <f>DATE(YEAR('P&amp;L Mensal'!$F$1),MONTH('P&amp;L Mensal'!$F$1),1)</f>
        <v>46082</v>
      </c>
      <c r="C195" s="23">
        <f>'P&amp;L Mensal'!$F$1</f>
        <v>46112</v>
      </c>
      <c r="D195" s="23">
        <f>'P&amp;L Mensal'!$F$1</f>
        <v>46112</v>
      </c>
      <c r="E195" t="str">
        <f>TEXT('P&amp;L Mensal'!$F$1,"mmm/yyyy")</f>
        <v>mar/yyyy</v>
      </c>
      <c r="F195" t="s">
        <v>28</v>
      </c>
      <c r="G195" t="s">
        <v>220</v>
      </c>
      <c r="H195" t="s">
        <v>5</v>
      </c>
      <c r="I195" s="429">
        <f>'P&amp;L Mensal'!F26</f>
        <v>-13440654.471999999</v>
      </c>
      <c r="J195" t="s">
        <v>545</v>
      </c>
      <c r="K195" t="s">
        <v>743</v>
      </c>
      <c r="L195">
        <v>26</v>
      </c>
    </row>
    <row r="196" spans="1:12" ht="18" customHeight="1" x14ac:dyDescent="0.25">
      <c r="A196" t="s">
        <v>544</v>
      </c>
      <c r="B196" s="23">
        <f>DATE(YEAR('P&amp;L Mensal'!$F$1),MONTH('P&amp;L Mensal'!$F$1),1)</f>
        <v>46082</v>
      </c>
      <c r="C196" s="23">
        <f>'P&amp;L Mensal'!$F$1</f>
        <v>46112</v>
      </c>
      <c r="D196" s="23">
        <f>'P&amp;L Mensal'!$F$1</f>
        <v>46112</v>
      </c>
      <c r="E196" t="str">
        <f>TEXT('P&amp;L Mensal'!$F$1,"mmm/yyyy")</f>
        <v>mar/yyyy</v>
      </c>
      <c r="F196" t="s">
        <v>28</v>
      </c>
      <c r="G196" t="s">
        <v>220</v>
      </c>
      <c r="H196" t="s">
        <v>6</v>
      </c>
      <c r="I196" s="429">
        <f>'P&amp;L Mensal'!G26</f>
        <v>-12757575.74436051</v>
      </c>
      <c r="J196" t="s">
        <v>545</v>
      </c>
      <c r="K196" t="s">
        <v>744</v>
      </c>
      <c r="L196">
        <v>26</v>
      </c>
    </row>
    <row r="197" spans="1:12" ht="18" customHeight="1" x14ac:dyDescent="0.25">
      <c r="A197" t="s">
        <v>544</v>
      </c>
      <c r="B197" s="23">
        <f>DATE(YEAR('P&amp;L Mensal'!$F$1),MONTH('P&amp;L Mensal'!$F$1),1)</f>
        <v>46082</v>
      </c>
      <c r="C197" s="23">
        <f>'P&amp;L Mensal'!$F$1</f>
        <v>46112</v>
      </c>
      <c r="D197" s="23">
        <f>'P&amp;L Mensal'!$F$1</f>
        <v>46112</v>
      </c>
      <c r="E197" t="str">
        <f>TEXT('P&amp;L Mensal'!$F$1,"mmm/yyyy")</f>
        <v>mar/yyyy</v>
      </c>
      <c r="F197" t="s">
        <v>28</v>
      </c>
      <c r="G197" t="s">
        <v>220</v>
      </c>
      <c r="H197" t="s">
        <v>549</v>
      </c>
      <c r="I197" s="104">
        <f>'P&amp;L Mensal'!H26</f>
        <v>5.3542988207727849E-2</v>
      </c>
      <c r="J197" t="s">
        <v>545</v>
      </c>
      <c r="K197" t="s">
        <v>745</v>
      </c>
      <c r="L197">
        <v>26</v>
      </c>
    </row>
    <row r="198" spans="1:12" ht="18" customHeight="1" x14ac:dyDescent="0.25">
      <c r="A198" t="s">
        <v>544</v>
      </c>
      <c r="B198" s="23">
        <f>DATE(YEAR('P&amp;L Mensal'!$F$1),MONTH('P&amp;L Mensal'!$F$1),1)</f>
        <v>46082</v>
      </c>
      <c r="C198" s="23">
        <f>'P&amp;L Mensal'!$F$1</f>
        <v>46112</v>
      </c>
      <c r="D198" s="23">
        <f>'P&amp;L Mensal'!$F$1</f>
        <v>46112</v>
      </c>
      <c r="E198" t="str">
        <f>TEXT('P&amp;L Mensal'!$F$1,"mmm/yyyy")</f>
        <v>mar/yyyy</v>
      </c>
      <c r="F198" t="s">
        <v>28</v>
      </c>
      <c r="G198" t="s">
        <v>96</v>
      </c>
      <c r="H198" t="s">
        <v>5</v>
      </c>
      <c r="I198" s="429">
        <f>'P&amp;L Mensal'!I26</f>
        <v>-19200934.960000001</v>
      </c>
      <c r="J198" t="s">
        <v>545</v>
      </c>
      <c r="K198" t="s">
        <v>746</v>
      </c>
      <c r="L198">
        <v>26</v>
      </c>
    </row>
    <row r="199" spans="1:12" ht="18" customHeight="1" x14ac:dyDescent="0.25">
      <c r="A199" t="s">
        <v>544</v>
      </c>
      <c r="B199" s="23">
        <f>DATE(YEAR('P&amp;L Mensal'!$F$1),MONTH('P&amp;L Mensal'!$F$1),1)</f>
        <v>46082</v>
      </c>
      <c r="C199" s="23">
        <f>'P&amp;L Mensal'!$F$1</f>
        <v>46112</v>
      </c>
      <c r="D199" s="23">
        <f>'P&amp;L Mensal'!$F$1</f>
        <v>46112</v>
      </c>
      <c r="E199" t="str">
        <f>TEXT('P&amp;L Mensal'!$F$1,"mmm/yyyy")</f>
        <v>mar/yyyy</v>
      </c>
      <c r="F199" t="s">
        <v>28</v>
      </c>
      <c r="G199" t="s">
        <v>96</v>
      </c>
      <c r="H199" t="s">
        <v>6</v>
      </c>
      <c r="I199" s="429">
        <f>'P&amp;L Mensal'!J26</f>
        <v>-18454862.831247203</v>
      </c>
      <c r="J199" t="s">
        <v>545</v>
      </c>
      <c r="K199" t="s">
        <v>747</v>
      </c>
      <c r="L199">
        <v>26</v>
      </c>
    </row>
    <row r="200" spans="1:12" ht="18" customHeight="1" x14ac:dyDescent="0.25">
      <c r="A200" t="s">
        <v>544</v>
      </c>
      <c r="B200" s="23">
        <f>DATE(YEAR('P&amp;L Mensal'!$F$1),MONTH('P&amp;L Mensal'!$F$1),1)</f>
        <v>46082</v>
      </c>
      <c r="C200" s="23">
        <f>'P&amp;L Mensal'!$F$1</f>
        <v>46112</v>
      </c>
      <c r="D200" s="23">
        <f>'P&amp;L Mensal'!$F$1</f>
        <v>46112</v>
      </c>
      <c r="E200" t="str">
        <f>TEXT('P&amp;L Mensal'!$F$1,"mmm/yyyy")</f>
        <v>mar/yyyy</v>
      </c>
      <c r="F200" t="s">
        <v>28</v>
      </c>
      <c r="G200" t="s">
        <v>96</v>
      </c>
      <c r="H200" t="s">
        <v>549</v>
      </c>
      <c r="I200" s="104">
        <f>'P&amp;L Mensal'!K26</f>
        <v>4.0426858523682441E-2</v>
      </c>
      <c r="J200" t="s">
        <v>545</v>
      </c>
      <c r="K200" t="s">
        <v>748</v>
      </c>
      <c r="L200">
        <v>26</v>
      </c>
    </row>
    <row r="201" spans="1:12" ht="18" customHeight="1" x14ac:dyDescent="0.25">
      <c r="A201" t="s">
        <v>544</v>
      </c>
      <c r="B201" s="23">
        <f>DATE(YEAR('P&amp;L Mensal'!$F$1),MONTH('P&amp;L Mensal'!$F$1),1)</f>
        <v>46082</v>
      </c>
      <c r="C201" s="23">
        <f>'P&amp;L Mensal'!$F$1</f>
        <v>46112</v>
      </c>
      <c r="D201" s="23">
        <f>'P&amp;L Mensal'!$F$1</f>
        <v>46112</v>
      </c>
      <c r="E201" t="str">
        <f>TEXT('P&amp;L Mensal'!$F$1,"mmm/yyyy")</f>
        <v>mar/yyyy</v>
      </c>
      <c r="F201" t="s">
        <v>28</v>
      </c>
      <c r="G201" t="s">
        <v>96</v>
      </c>
      <c r="H201" t="s">
        <v>557</v>
      </c>
      <c r="I201" s="429">
        <f>'P&amp;L Mensal'!L26</f>
        <v>746072.12875279784</v>
      </c>
      <c r="J201" t="s">
        <v>545</v>
      </c>
      <c r="K201" t="s">
        <v>749</v>
      </c>
      <c r="L201">
        <v>26</v>
      </c>
    </row>
    <row r="202" spans="1:12" ht="18" customHeight="1" x14ac:dyDescent="0.25">
      <c r="A202" t="s">
        <v>544</v>
      </c>
      <c r="B202" s="23">
        <f>DATE(YEAR('P&amp;L Mensal'!$F$1),MONTH('P&amp;L Mensal'!$F$1),1)</f>
        <v>46082</v>
      </c>
      <c r="C202" s="23">
        <f>'P&amp;L Mensal'!$F$1</f>
        <v>46112</v>
      </c>
      <c r="D202" s="23">
        <f>'P&amp;L Mensal'!$F$1</f>
        <v>46112</v>
      </c>
      <c r="E202" t="str">
        <f>TEXT('P&amp;L Mensal'!$F$1,"mmm/yyyy")</f>
        <v>mar/yyyy</v>
      </c>
      <c r="F202" t="s">
        <v>29</v>
      </c>
      <c r="G202" t="s">
        <v>205</v>
      </c>
      <c r="H202" t="s">
        <v>5</v>
      </c>
      <c r="I202" s="429">
        <f>'P&amp;L Mensal'!C27</f>
        <v>683833.17600092292</v>
      </c>
      <c r="J202" t="s">
        <v>545</v>
      </c>
      <c r="K202" t="s">
        <v>750</v>
      </c>
      <c r="L202">
        <v>27</v>
      </c>
    </row>
    <row r="203" spans="1:12" ht="18" customHeight="1" x14ac:dyDescent="0.25">
      <c r="A203" t="s">
        <v>544</v>
      </c>
      <c r="B203" s="23">
        <f>DATE(YEAR('P&amp;L Mensal'!$F$1),MONTH('P&amp;L Mensal'!$F$1),1)</f>
        <v>46082</v>
      </c>
      <c r="C203" s="23">
        <f>'P&amp;L Mensal'!$F$1</f>
        <v>46112</v>
      </c>
      <c r="D203" s="23">
        <f>'P&amp;L Mensal'!$F$1</f>
        <v>46112</v>
      </c>
      <c r="E203" t="str">
        <f>TEXT('P&amp;L Mensal'!$F$1,"mmm/yyyy")</f>
        <v>mar/yyyy</v>
      </c>
      <c r="F203" t="s">
        <v>29</v>
      </c>
      <c r="G203" t="s">
        <v>205</v>
      </c>
      <c r="H203" t="s">
        <v>6</v>
      </c>
      <c r="I203" s="429">
        <f>'P&amp;L Mensal'!D27</f>
        <v>685924.94413180952</v>
      </c>
      <c r="J203" t="s">
        <v>545</v>
      </c>
      <c r="K203" t="s">
        <v>751</v>
      </c>
      <c r="L203">
        <v>27</v>
      </c>
    </row>
    <row r="204" spans="1:12" ht="18" customHeight="1" x14ac:dyDescent="0.25">
      <c r="A204" t="s">
        <v>544</v>
      </c>
      <c r="B204" s="23">
        <f>DATE(YEAR('P&amp;L Mensal'!$F$1),MONTH('P&amp;L Mensal'!$F$1),1)</f>
        <v>46082</v>
      </c>
      <c r="C204" s="23">
        <f>'P&amp;L Mensal'!$F$1</f>
        <v>46112</v>
      </c>
      <c r="D204" s="23">
        <f>'P&amp;L Mensal'!$F$1</f>
        <v>46112</v>
      </c>
      <c r="E204" t="str">
        <f>TEXT('P&amp;L Mensal'!$F$1,"mmm/yyyy")</f>
        <v>mar/yyyy</v>
      </c>
      <c r="F204" t="s">
        <v>29</v>
      </c>
      <c r="G204" t="s">
        <v>205</v>
      </c>
      <c r="H204" t="s">
        <v>549</v>
      </c>
      <c r="I204" s="104">
        <f>'P&amp;L Mensal'!E27</f>
        <v>-3.0495583354738232E-3</v>
      </c>
      <c r="J204" t="s">
        <v>545</v>
      </c>
      <c r="K204" t="s">
        <v>752</v>
      </c>
      <c r="L204">
        <v>27</v>
      </c>
    </row>
    <row r="205" spans="1:12" ht="18" customHeight="1" x14ac:dyDescent="0.25">
      <c r="A205" t="s">
        <v>544</v>
      </c>
      <c r="B205" s="23">
        <f>DATE(YEAR('P&amp;L Mensal'!$F$1),MONTH('P&amp;L Mensal'!$F$1),1)</f>
        <v>46082</v>
      </c>
      <c r="C205" s="23">
        <f>'P&amp;L Mensal'!$F$1</f>
        <v>46112</v>
      </c>
      <c r="D205" s="23">
        <f>'P&amp;L Mensal'!$F$1</f>
        <v>46112</v>
      </c>
      <c r="E205" t="str">
        <f>TEXT('P&amp;L Mensal'!$F$1,"mmm/yyyy")</f>
        <v>mar/yyyy</v>
      </c>
      <c r="F205" t="s">
        <v>29</v>
      </c>
      <c r="G205" t="s">
        <v>220</v>
      </c>
      <c r="H205" t="s">
        <v>5</v>
      </c>
      <c r="I205" s="429">
        <f>'P&amp;L Mensal'!F27</f>
        <v>2424498.8439990771</v>
      </c>
      <c r="J205" t="s">
        <v>545</v>
      </c>
      <c r="K205" t="s">
        <v>753</v>
      </c>
      <c r="L205">
        <v>27</v>
      </c>
    </row>
    <row r="206" spans="1:12" ht="18" customHeight="1" x14ac:dyDescent="0.25">
      <c r="A206" t="s">
        <v>544</v>
      </c>
      <c r="B206" s="23">
        <f>DATE(YEAR('P&amp;L Mensal'!$F$1),MONTH('P&amp;L Mensal'!$F$1),1)</f>
        <v>46082</v>
      </c>
      <c r="C206" s="23">
        <f>'P&amp;L Mensal'!$F$1</f>
        <v>46112</v>
      </c>
      <c r="D206" s="23">
        <f>'P&amp;L Mensal'!$F$1</f>
        <v>46112</v>
      </c>
      <c r="E206" t="str">
        <f>TEXT('P&amp;L Mensal'!$F$1,"mmm/yyyy")</f>
        <v>mar/yyyy</v>
      </c>
      <c r="F206" t="s">
        <v>29</v>
      </c>
      <c r="G206" t="s">
        <v>220</v>
      </c>
      <c r="H206" t="s">
        <v>6</v>
      </c>
      <c r="I206" s="429">
        <f>'P&amp;L Mensal'!G27</f>
        <v>2565677.8285521958</v>
      </c>
      <c r="J206" t="s">
        <v>545</v>
      </c>
      <c r="K206" t="s">
        <v>754</v>
      </c>
      <c r="L206">
        <v>27</v>
      </c>
    </row>
    <row r="207" spans="1:12" ht="18" customHeight="1" x14ac:dyDescent="0.25">
      <c r="A207" t="s">
        <v>544</v>
      </c>
      <c r="B207" s="23">
        <f>DATE(YEAR('P&amp;L Mensal'!$F$1),MONTH('P&amp;L Mensal'!$F$1),1)</f>
        <v>46082</v>
      </c>
      <c r="C207" s="23">
        <f>'P&amp;L Mensal'!$F$1</f>
        <v>46112</v>
      </c>
      <c r="D207" s="23">
        <f>'P&amp;L Mensal'!$F$1</f>
        <v>46112</v>
      </c>
      <c r="E207" t="str">
        <f>TEXT('P&amp;L Mensal'!$F$1,"mmm/yyyy")</f>
        <v>mar/yyyy</v>
      </c>
      <c r="F207" t="s">
        <v>29</v>
      </c>
      <c r="G207" t="s">
        <v>220</v>
      </c>
      <c r="H207" t="s">
        <v>549</v>
      </c>
      <c r="I207" s="104">
        <f>'P&amp;L Mensal'!H27</f>
        <v>-5.502599858096191E-2</v>
      </c>
      <c r="J207" t="s">
        <v>545</v>
      </c>
      <c r="K207" t="s">
        <v>755</v>
      </c>
      <c r="L207">
        <v>27</v>
      </c>
    </row>
    <row r="208" spans="1:12" ht="18" customHeight="1" x14ac:dyDescent="0.25">
      <c r="A208" t="s">
        <v>544</v>
      </c>
      <c r="B208" s="23">
        <f>DATE(YEAR('P&amp;L Mensal'!$F$1),MONTH('P&amp;L Mensal'!$F$1),1)</f>
        <v>46082</v>
      </c>
      <c r="C208" s="23">
        <f>'P&amp;L Mensal'!$F$1</f>
        <v>46112</v>
      </c>
      <c r="D208" s="23">
        <f>'P&amp;L Mensal'!$F$1</f>
        <v>46112</v>
      </c>
      <c r="E208" t="str">
        <f>TEXT('P&amp;L Mensal'!$F$1,"mmm/yyyy")</f>
        <v>mar/yyyy</v>
      </c>
      <c r="F208" t="s">
        <v>29</v>
      </c>
      <c r="G208" t="s">
        <v>96</v>
      </c>
      <c r="H208" t="s">
        <v>5</v>
      </c>
      <c r="I208" s="429">
        <f>'P&amp;L Mensal'!I27</f>
        <v>3108332.02</v>
      </c>
      <c r="J208" t="s">
        <v>545</v>
      </c>
      <c r="K208" t="s">
        <v>756</v>
      </c>
      <c r="L208">
        <v>27</v>
      </c>
    </row>
    <row r="209" spans="1:12" ht="18" customHeight="1" x14ac:dyDescent="0.25">
      <c r="A209" t="s">
        <v>544</v>
      </c>
      <c r="B209" s="23">
        <f>DATE(YEAR('P&amp;L Mensal'!$F$1),MONTH('P&amp;L Mensal'!$F$1),1)</f>
        <v>46082</v>
      </c>
      <c r="C209" s="23">
        <f>'P&amp;L Mensal'!$F$1</f>
        <v>46112</v>
      </c>
      <c r="D209" s="23">
        <f>'P&amp;L Mensal'!$F$1</f>
        <v>46112</v>
      </c>
      <c r="E209" t="str">
        <f>TEXT('P&amp;L Mensal'!$F$1,"mmm/yyyy")</f>
        <v>mar/yyyy</v>
      </c>
      <c r="F209" t="s">
        <v>29</v>
      </c>
      <c r="G209" t="s">
        <v>96</v>
      </c>
      <c r="H209" t="s">
        <v>6</v>
      </c>
      <c r="I209" s="429">
        <f>'P&amp;L Mensal'!J27</f>
        <v>3251602.7726840051</v>
      </c>
      <c r="J209" t="s">
        <v>545</v>
      </c>
      <c r="K209" t="s">
        <v>757</v>
      </c>
      <c r="L209">
        <v>27</v>
      </c>
    </row>
    <row r="210" spans="1:12" ht="18" customHeight="1" x14ac:dyDescent="0.25">
      <c r="A210" t="s">
        <v>544</v>
      </c>
      <c r="B210" s="23">
        <f>DATE(YEAR('P&amp;L Mensal'!$F$1),MONTH('P&amp;L Mensal'!$F$1),1)</f>
        <v>46082</v>
      </c>
      <c r="C210" s="23">
        <f>'P&amp;L Mensal'!$F$1</f>
        <v>46112</v>
      </c>
      <c r="D210" s="23">
        <f>'P&amp;L Mensal'!$F$1</f>
        <v>46112</v>
      </c>
      <c r="E210" t="str">
        <f>TEXT('P&amp;L Mensal'!$F$1,"mmm/yyyy")</f>
        <v>mar/yyyy</v>
      </c>
      <c r="F210" t="s">
        <v>29</v>
      </c>
      <c r="G210" t="s">
        <v>96</v>
      </c>
      <c r="H210" t="s">
        <v>549</v>
      </c>
      <c r="I210" s="104">
        <f>'P&amp;L Mensal'!K27</f>
        <v>-4.4061579073431445E-2</v>
      </c>
      <c r="J210" t="s">
        <v>545</v>
      </c>
      <c r="K210" t="s">
        <v>758</v>
      </c>
      <c r="L210">
        <v>27</v>
      </c>
    </row>
    <row r="211" spans="1:12" ht="18" customHeight="1" x14ac:dyDescent="0.25">
      <c r="A211" t="s">
        <v>544</v>
      </c>
      <c r="B211" s="23">
        <f>DATE(YEAR('P&amp;L Mensal'!$F$1),MONTH('P&amp;L Mensal'!$F$1),1)</f>
        <v>46082</v>
      </c>
      <c r="C211" s="23">
        <f>'P&amp;L Mensal'!$F$1</f>
        <v>46112</v>
      </c>
      <c r="D211" s="23">
        <f>'P&amp;L Mensal'!$F$1</f>
        <v>46112</v>
      </c>
      <c r="E211" t="str">
        <f>TEXT('P&amp;L Mensal'!$F$1,"mmm/yyyy")</f>
        <v>mar/yyyy</v>
      </c>
      <c r="F211" t="s">
        <v>29</v>
      </c>
      <c r="G211" t="s">
        <v>96</v>
      </c>
      <c r="H211" t="s">
        <v>557</v>
      </c>
      <c r="I211" s="429">
        <f>'P&amp;L Mensal'!L27</f>
        <v>-143270.75268400507</v>
      </c>
      <c r="J211" t="s">
        <v>545</v>
      </c>
      <c r="K211" t="s">
        <v>759</v>
      </c>
      <c r="L211">
        <v>27</v>
      </c>
    </row>
    <row r="212" spans="1:12" ht="18" customHeight="1" x14ac:dyDescent="0.25">
      <c r="A212" t="s">
        <v>544</v>
      </c>
      <c r="B212" s="23">
        <f>DATE(YEAR('P&amp;L Mensal'!$F$1),MONTH('P&amp;L Mensal'!$F$1),1)</f>
        <v>46082</v>
      </c>
      <c r="C212" s="23">
        <f>'P&amp;L Mensal'!$F$1</f>
        <v>46112</v>
      </c>
      <c r="D212" s="23">
        <f>'P&amp;L Mensal'!$F$1</f>
        <v>46112</v>
      </c>
      <c r="E212" t="str">
        <f>TEXT('P&amp;L Mensal'!$F$1,"mmm/yyyy")</f>
        <v>mar/yyyy</v>
      </c>
      <c r="F212" t="s">
        <v>30</v>
      </c>
      <c r="G212" t="s">
        <v>205</v>
      </c>
      <c r="H212" t="s">
        <v>5</v>
      </c>
      <c r="I212" s="429">
        <f>'P&amp;L Mensal'!C28</f>
        <v>272803.21000000002</v>
      </c>
      <c r="J212" t="s">
        <v>545</v>
      </c>
      <c r="K212" t="s">
        <v>760</v>
      </c>
      <c r="L212">
        <v>28</v>
      </c>
    </row>
    <row r="213" spans="1:12" ht="18" customHeight="1" x14ac:dyDescent="0.25">
      <c r="A213" t="s">
        <v>544</v>
      </c>
      <c r="B213" s="23">
        <f>DATE(YEAR('P&amp;L Mensal'!$F$1),MONTH('P&amp;L Mensal'!$F$1),1)</f>
        <v>46082</v>
      </c>
      <c r="C213" s="23">
        <f>'P&amp;L Mensal'!$F$1</f>
        <v>46112</v>
      </c>
      <c r="D213" s="23">
        <f>'P&amp;L Mensal'!$F$1</f>
        <v>46112</v>
      </c>
      <c r="E213" t="str">
        <f>TEXT('P&amp;L Mensal'!$F$1,"mmm/yyyy")</f>
        <v>mar/yyyy</v>
      </c>
      <c r="F213" t="s">
        <v>30</v>
      </c>
      <c r="G213" t="s">
        <v>205</v>
      </c>
      <c r="H213" t="s">
        <v>6</v>
      </c>
      <c r="I213" s="429">
        <f>'P&amp;L Mensal'!D28</f>
        <v>390845.25490122271</v>
      </c>
      <c r="J213" t="s">
        <v>545</v>
      </c>
      <c r="K213" t="s">
        <v>761</v>
      </c>
      <c r="L213">
        <v>28</v>
      </c>
    </row>
    <row r="214" spans="1:12" ht="18" customHeight="1" x14ac:dyDescent="0.25">
      <c r="A214" t="s">
        <v>544</v>
      </c>
      <c r="B214" s="23">
        <f>DATE(YEAR('P&amp;L Mensal'!$F$1),MONTH('P&amp;L Mensal'!$F$1),1)</f>
        <v>46082</v>
      </c>
      <c r="C214" s="23">
        <f>'P&amp;L Mensal'!$F$1</f>
        <v>46112</v>
      </c>
      <c r="D214" s="23">
        <f>'P&amp;L Mensal'!$F$1</f>
        <v>46112</v>
      </c>
      <c r="E214" t="str">
        <f>TEXT('P&amp;L Mensal'!$F$1,"mmm/yyyy")</f>
        <v>mar/yyyy</v>
      </c>
      <c r="F214" t="s">
        <v>30</v>
      </c>
      <c r="G214" t="s">
        <v>205</v>
      </c>
      <c r="H214" t="s">
        <v>549</v>
      </c>
      <c r="I214" s="104">
        <f>'P&amp;L Mensal'!E28</f>
        <v>-0.30201734169973526</v>
      </c>
      <c r="J214" t="s">
        <v>545</v>
      </c>
      <c r="K214" t="s">
        <v>762</v>
      </c>
      <c r="L214">
        <v>28</v>
      </c>
    </row>
    <row r="215" spans="1:12" ht="18" customHeight="1" x14ac:dyDescent="0.25">
      <c r="A215" t="s">
        <v>544</v>
      </c>
      <c r="B215" s="23">
        <f>DATE(YEAR('P&amp;L Mensal'!$F$1),MONTH('P&amp;L Mensal'!$F$1),1)</f>
        <v>46082</v>
      </c>
      <c r="C215" s="23">
        <f>'P&amp;L Mensal'!$F$1</f>
        <v>46112</v>
      </c>
      <c r="D215" s="23">
        <f>'P&amp;L Mensal'!$F$1</f>
        <v>46112</v>
      </c>
      <c r="E215" t="str">
        <f>TEXT('P&amp;L Mensal'!$F$1,"mmm/yyyy")</f>
        <v>mar/yyyy</v>
      </c>
      <c r="F215" t="s">
        <v>30</v>
      </c>
      <c r="G215" t="s">
        <v>220</v>
      </c>
      <c r="H215" t="s">
        <v>5</v>
      </c>
      <c r="I215" s="429">
        <f>'P&amp;L Mensal'!F28</f>
        <v>-181125.23</v>
      </c>
      <c r="J215" t="s">
        <v>545</v>
      </c>
      <c r="K215" t="s">
        <v>763</v>
      </c>
      <c r="L215">
        <v>28</v>
      </c>
    </row>
    <row r="216" spans="1:12" ht="18" customHeight="1" x14ac:dyDescent="0.25">
      <c r="A216" t="s">
        <v>544</v>
      </c>
      <c r="B216" s="23">
        <f>DATE(YEAR('P&amp;L Mensal'!$F$1),MONTH('P&amp;L Mensal'!$F$1),1)</f>
        <v>46082</v>
      </c>
      <c r="C216" s="23">
        <f>'P&amp;L Mensal'!$F$1</f>
        <v>46112</v>
      </c>
      <c r="D216" s="23">
        <f>'P&amp;L Mensal'!$F$1</f>
        <v>46112</v>
      </c>
      <c r="E216" t="str">
        <f>TEXT('P&amp;L Mensal'!$F$1,"mmm/yyyy")</f>
        <v>mar/yyyy</v>
      </c>
      <c r="F216" t="s">
        <v>30</v>
      </c>
      <c r="G216" t="s">
        <v>220</v>
      </c>
      <c r="H216" t="s">
        <v>6</v>
      </c>
      <c r="I216" s="429">
        <f>'P&amp;L Mensal'!G28</f>
        <v>271109.86659103452</v>
      </c>
      <c r="J216" t="s">
        <v>545</v>
      </c>
      <c r="K216" t="s">
        <v>764</v>
      </c>
      <c r="L216">
        <v>28</v>
      </c>
    </row>
    <row r="217" spans="1:12" ht="18" customHeight="1" x14ac:dyDescent="0.25">
      <c r="A217" t="s">
        <v>544</v>
      </c>
      <c r="B217" s="23">
        <f>DATE(YEAR('P&amp;L Mensal'!$F$1),MONTH('P&amp;L Mensal'!$F$1),1)</f>
        <v>46082</v>
      </c>
      <c r="C217" s="23">
        <f>'P&amp;L Mensal'!$F$1</f>
        <v>46112</v>
      </c>
      <c r="D217" s="23">
        <f>'P&amp;L Mensal'!$F$1</f>
        <v>46112</v>
      </c>
      <c r="E217" t="str">
        <f>TEXT('P&amp;L Mensal'!$F$1,"mmm/yyyy")</f>
        <v>mar/yyyy</v>
      </c>
      <c r="F217" t="s">
        <v>30</v>
      </c>
      <c r="G217" t="s">
        <v>220</v>
      </c>
      <c r="H217" t="s">
        <v>549</v>
      </c>
      <c r="I217" s="104">
        <f>'P&amp;L Mensal'!H28</f>
        <v>-1.6680879315736041</v>
      </c>
      <c r="J217" t="s">
        <v>545</v>
      </c>
      <c r="K217" t="s">
        <v>765</v>
      </c>
      <c r="L217">
        <v>28</v>
      </c>
    </row>
    <row r="218" spans="1:12" ht="18" customHeight="1" x14ac:dyDescent="0.25">
      <c r="A218" t="s">
        <v>544</v>
      </c>
      <c r="B218" s="23">
        <f>DATE(YEAR('P&amp;L Mensal'!$F$1),MONTH('P&amp;L Mensal'!$F$1),1)</f>
        <v>46082</v>
      </c>
      <c r="C218" s="23">
        <f>'P&amp;L Mensal'!$F$1</f>
        <v>46112</v>
      </c>
      <c r="D218" s="23">
        <f>'P&amp;L Mensal'!$F$1</f>
        <v>46112</v>
      </c>
      <c r="E218" t="str">
        <f>TEXT('P&amp;L Mensal'!$F$1,"mmm/yyyy")</f>
        <v>mar/yyyy</v>
      </c>
      <c r="F218" t="s">
        <v>30</v>
      </c>
      <c r="G218" t="s">
        <v>96</v>
      </c>
      <c r="H218" t="s">
        <v>5</v>
      </c>
      <c r="I218" s="429">
        <f>'P&amp;L Mensal'!I28</f>
        <v>91677.98000000001</v>
      </c>
      <c r="J218" t="s">
        <v>545</v>
      </c>
      <c r="K218" t="s">
        <v>766</v>
      </c>
      <c r="L218">
        <v>28</v>
      </c>
    </row>
    <row r="219" spans="1:12" ht="18" customHeight="1" x14ac:dyDescent="0.25">
      <c r="A219" t="s">
        <v>544</v>
      </c>
      <c r="B219" s="23">
        <f>DATE(YEAR('P&amp;L Mensal'!$F$1),MONTH('P&amp;L Mensal'!$F$1),1)</f>
        <v>46082</v>
      </c>
      <c r="C219" s="23">
        <f>'P&amp;L Mensal'!$F$1</f>
        <v>46112</v>
      </c>
      <c r="D219" s="23">
        <f>'P&amp;L Mensal'!$F$1</f>
        <v>46112</v>
      </c>
      <c r="E219" t="str">
        <f>TEXT('P&amp;L Mensal'!$F$1,"mmm/yyyy")</f>
        <v>mar/yyyy</v>
      </c>
      <c r="F219" t="s">
        <v>30</v>
      </c>
      <c r="G219" t="s">
        <v>96</v>
      </c>
      <c r="H219" t="s">
        <v>6</v>
      </c>
      <c r="I219" s="429">
        <f>'P&amp;L Mensal'!J28</f>
        <v>661955.12149225723</v>
      </c>
      <c r="J219" t="s">
        <v>545</v>
      </c>
      <c r="K219" t="s">
        <v>767</v>
      </c>
      <c r="L219">
        <v>28</v>
      </c>
    </row>
    <row r="220" spans="1:12" ht="18" customHeight="1" x14ac:dyDescent="0.25">
      <c r="A220" t="s">
        <v>544</v>
      </c>
      <c r="B220" s="23">
        <f>DATE(YEAR('P&amp;L Mensal'!$F$1),MONTH('P&amp;L Mensal'!$F$1),1)</f>
        <v>46082</v>
      </c>
      <c r="C220" s="23">
        <f>'P&amp;L Mensal'!$F$1</f>
        <v>46112</v>
      </c>
      <c r="D220" s="23">
        <f>'P&amp;L Mensal'!$F$1</f>
        <v>46112</v>
      </c>
      <c r="E220" t="str">
        <f>TEXT('P&amp;L Mensal'!$F$1,"mmm/yyyy")</f>
        <v>mar/yyyy</v>
      </c>
      <c r="F220" t="s">
        <v>30</v>
      </c>
      <c r="G220" t="s">
        <v>96</v>
      </c>
      <c r="H220" t="s">
        <v>549</v>
      </c>
      <c r="I220" s="104">
        <f>'P&amp;L Mensal'!K28</f>
        <v>-0.8615042364302149</v>
      </c>
      <c r="J220" t="s">
        <v>545</v>
      </c>
      <c r="K220" t="s">
        <v>768</v>
      </c>
      <c r="L220">
        <v>28</v>
      </c>
    </row>
    <row r="221" spans="1:12" ht="18" customHeight="1" x14ac:dyDescent="0.25">
      <c r="A221" t="s">
        <v>544</v>
      </c>
      <c r="B221" s="23">
        <f>DATE(YEAR('P&amp;L Mensal'!$F$1),MONTH('P&amp;L Mensal'!$F$1),1)</f>
        <v>46082</v>
      </c>
      <c r="C221" s="23">
        <f>'P&amp;L Mensal'!$F$1</f>
        <v>46112</v>
      </c>
      <c r="D221" s="23">
        <f>'P&amp;L Mensal'!$F$1</f>
        <v>46112</v>
      </c>
      <c r="E221" t="str">
        <f>TEXT('P&amp;L Mensal'!$F$1,"mmm/yyyy")</f>
        <v>mar/yyyy</v>
      </c>
      <c r="F221" t="s">
        <v>30</v>
      </c>
      <c r="G221" t="s">
        <v>96</v>
      </c>
      <c r="H221" t="s">
        <v>557</v>
      </c>
      <c r="I221" s="429">
        <f>'P&amp;L Mensal'!L28</f>
        <v>-570277.14149225724</v>
      </c>
      <c r="J221" t="s">
        <v>545</v>
      </c>
      <c r="K221" t="s">
        <v>769</v>
      </c>
      <c r="L221">
        <v>28</v>
      </c>
    </row>
    <row r="222" spans="1:12" ht="18" customHeight="1" x14ac:dyDescent="0.25">
      <c r="A222" t="s">
        <v>544</v>
      </c>
      <c r="B222" s="23">
        <f>DATE(YEAR('P&amp;L Mensal'!$F$1),MONTH('P&amp;L Mensal'!$F$1),1)</f>
        <v>46082</v>
      </c>
      <c r="C222" s="23">
        <f>'P&amp;L Mensal'!$F$1</f>
        <v>46112</v>
      </c>
      <c r="D222" s="23">
        <f>'P&amp;L Mensal'!$F$1</f>
        <v>46112</v>
      </c>
      <c r="E222" t="str">
        <f>TEXT('P&amp;L Mensal'!$F$1,"mmm/yyyy")</f>
        <v>mar/yyyy</v>
      </c>
      <c r="F222" t="s">
        <v>31</v>
      </c>
      <c r="G222" t="s">
        <v>205</v>
      </c>
      <c r="H222" t="s">
        <v>5</v>
      </c>
      <c r="I222" s="429">
        <f>'P&amp;L Mensal'!C29</f>
        <v>-220529.89273334079</v>
      </c>
      <c r="J222" t="s">
        <v>545</v>
      </c>
      <c r="K222" t="s">
        <v>770</v>
      </c>
      <c r="L222">
        <v>29</v>
      </c>
    </row>
    <row r="223" spans="1:12" ht="18" customHeight="1" x14ac:dyDescent="0.25">
      <c r="A223" t="s">
        <v>544</v>
      </c>
      <c r="B223" s="23">
        <f>DATE(YEAR('P&amp;L Mensal'!$F$1),MONTH('P&amp;L Mensal'!$F$1),1)</f>
        <v>46082</v>
      </c>
      <c r="C223" s="23">
        <f>'P&amp;L Mensal'!$F$1</f>
        <v>46112</v>
      </c>
      <c r="D223" s="23">
        <f>'P&amp;L Mensal'!$F$1</f>
        <v>46112</v>
      </c>
      <c r="E223" t="str">
        <f>TEXT('P&amp;L Mensal'!$F$1,"mmm/yyyy")</f>
        <v>mar/yyyy</v>
      </c>
      <c r="F223" t="s">
        <v>31</v>
      </c>
      <c r="G223" t="s">
        <v>205</v>
      </c>
      <c r="H223" t="s">
        <v>6</v>
      </c>
      <c r="I223" s="429">
        <f>'P&amp;L Mensal'!D29</f>
        <v>-169005.8018210294</v>
      </c>
      <c r="J223" t="s">
        <v>545</v>
      </c>
      <c r="K223" t="s">
        <v>771</v>
      </c>
      <c r="L223">
        <v>29</v>
      </c>
    </row>
    <row r="224" spans="1:12" ht="18" customHeight="1" x14ac:dyDescent="0.25">
      <c r="A224" t="s">
        <v>544</v>
      </c>
      <c r="B224" s="23">
        <f>DATE(YEAR('P&amp;L Mensal'!$F$1),MONTH('P&amp;L Mensal'!$F$1),1)</f>
        <v>46082</v>
      </c>
      <c r="C224" s="23">
        <f>'P&amp;L Mensal'!$F$1</f>
        <v>46112</v>
      </c>
      <c r="D224" s="23">
        <f>'P&amp;L Mensal'!$F$1</f>
        <v>46112</v>
      </c>
      <c r="E224" t="str">
        <f>TEXT('P&amp;L Mensal'!$F$1,"mmm/yyyy")</f>
        <v>mar/yyyy</v>
      </c>
      <c r="F224" t="s">
        <v>31</v>
      </c>
      <c r="G224" t="s">
        <v>205</v>
      </c>
      <c r="H224" t="s">
        <v>549</v>
      </c>
      <c r="I224" s="104">
        <f>'P&amp;L Mensal'!E29</f>
        <v>0.3048658114522802</v>
      </c>
      <c r="J224" t="s">
        <v>545</v>
      </c>
      <c r="K224" t="s">
        <v>772</v>
      </c>
      <c r="L224">
        <v>29</v>
      </c>
    </row>
    <row r="225" spans="1:12" ht="18" customHeight="1" x14ac:dyDescent="0.25">
      <c r="A225" t="s">
        <v>544</v>
      </c>
      <c r="B225" s="23">
        <f>DATE(YEAR('P&amp;L Mensal'!$F$1),MONTH('P&amp;L Mensal'!$F$1),1)</f>
        <v>46082</v>
      </c>
      <c r="C225" s="23">
        <f>'P&amp;L Mensal'!$F$1</f>
        <v>46112</v>
      </c>
      <c r="D225" s="23">
        <f>'P&amp;L Mensal'!$F$1</f>
        <v>46112</v>
      </c>
      <c r="E225" t="str">
        <f>TEXT('P&amp;L Mensal'!$F$1,"mmm/yyyy")</f>
        <v>mar/yyyy</v>
      </c>
      <c r="F225" t="s">
        <v>31</v>
      </c>
      <c r="G225" t="s">
        <v>220</v>
      </c>
      <c r="H225" t="s">
        <v>5</v>
      </c>
      <c r="I225" s="429">
        <f>'P&amp;L Mensal'!F29</f>
        <v>-871661.10726665927</v>
      </c>
      <c r="J225" t="s">
        <v>545</v>
      </c>
      <c r="K225" t="s">
        <v>773</v>
      </c>
      <c r="L225">
        <v>29</v>
      </c>
    </row>
    <row r="226" spans="1:12" ht="18" customHeight="1" x14ac:dyDescent="0.25">
      <c r="A226" t="s">
        <v>544</v>
      </c>
      <c r="B226" s="23">
        <f>DATE(YEAR('P&amp;L Mensal'!$F$1),MONTH('P&amp;L Mensal'!$F$1),1)</f>
        <v>46082</v>
      </c>
      <c r="C226" s="23">
        <f>'P&amp;L Mensal'!$F$1</f>
        <v>46112</v>
      </c>
      <c r="D226" s="23">
        <f>'P&amp;L Mensal'!$F$1</f>
        <v>46112</v>
      </c>
      <c r="E226" t="str">
        <f>TEXT('P&amp;L Mensal'!$F$1,"mmm/yyyy")</f>
        <v>mar/yyyy</v>
      </c>
      <c r="F226" t="s">
        <v>31</v>
      </c>
      <c r="G226" t="s">
        <v>220</v>
      </c>
      <c r="H226" t="s">
        <v>6</v>
      </c>
      <c r="I226" s="429">
        <f>'P&amp;L Mensal'!G29</f>
        <v>-599202.3882745587</v>
      </c>
      <c r="J226" t="s">
        <v>545</v>
      </c>
      <c r="K226" t="s">
        <v>774</v>
      </c>
      <c r="L226">
        <v>29</v>
      </c>
    </row>
    <row r="227" spans="1:12" ht="18" customHeight="1" x14ac:dyDescent="0.25">
      <c r="A227" t="s">
        <v>544</v>
      </c>
      <c r="B227" s="23">
        <f>DATE(YEAR('P&amp;L Mensal'!$F$1),MONTH('P&amp;L Mensal'!$F$1),1)</f>
        <v>46082</v>
      </c>
      <c r="C227" s="23">
        <f>'P&amp;L Mensal'!$F$1</f>
        <v>46112</v>
      </c>
      <c r="D227" s="23">
        <f>'P&amp;L Mensal'!$F$1</f>
        <v>46112</v>
      </c>
      <c r="E227" t="str">
        <f>TEXT('P&amp;L Mensal'!$F$1,"mmm/yyyy")</f>
        <v>mar/yyyy</v>
      </c>
      <c r="F227" t="s">
        <v>31</v>
      </c>
      <c r="G227" t="s">
        <v>220</v>
      </c>
      <c r="H227" t="s">
        <v>549</v>
      </c>
      <c r="I227" s="104">
        <f>'P&amp;L Mensal'!H29</f>
        <v>0.45470232482995065</v>
      </c>
      <c r="J227" t="s">
        <v>545</v>
      </c>
      <c r="K227" t="s">
        <v>775</v>
      </c>
      <c r="L227">
        <v>29</v>
      </c>
    </row>
    <row r="228" spans="1:12" ht="18" customHeight="1" x14ac:dyDescent="0.25">
      <c r="A228" t="s">
        <v>544</v>
      </c>
      <c r="B228" s="23">
        <f>DATE(YEAR('P&amp;L Mensal'!$F$1),MONTH('P&amp;L Mensal'!$F$1),1)</f>
        <v>46082</v>
      </c>
      <c r="C228" s="23">
        <f>'P&amp;L Mensal'!$F$1</f>
        <v>46112</v>
      </c>
      <c r="D228" s="23">
        <f>'P&amp;L Mensal'!$F$1</f>
        <v>46112</v>
      </c>
      <c r="E228" t="str">
        <f>TEXT('P&amp;L Mensal'!$F$1,"mmm/yyyy")</f>
        <v>mar/yyyy</v>
      </c>
      <c r="F228" t="s">
        <v>31</v>
      </c>
      <c r="G228" t="s">
        <v>96</v>
      </c>
      <c r="H228" t="s">
        <v>5</v>
      </c>
      <c r="I228" s="429">
        <f>'P&amp;L Mensal'!I29</f>
        <v>-1092191</v>
      </c>
      <c r="J228" t="s">
        <v>545</v>
      </c>
      <c r="K228" t="s">
        <v>776</v>
      </c>
      <c r="L228">
        <v>29</v>
      </c>
    </row>
    <row r="229" spans="1:12" ht="18" customHeight="1" x14ac:dyDescent="0.25">
      <c r="A229" t="s">
        <v>544</v>
      </c>
      <c r="B229" s="23">
        <f>DATE(YEAR('P&amp;L Mensal'!$F$1),MONTH('P&amp;L Mensal'!$F$1),1)</f>
        <v>46082</v>
      </c>
      <c r="C229" s="23">
        <f>'P&amp;L Mensal'!$F$1</f>
        <v>46112</v>
      </c>
      <c r="D229" s="23">
        <f>'P&amp;L Mensal'!$F$1</f>
        <v>46112</v>
      </c>
      <c r="E229" t="str">
        <f>TEXT('P&amp;L Mensal'!$F$1,"mmm/yyyy")</f>
        <v>mar/yyyy</v>
      </c>
      <c r="F229" t="s">
        <v>31</v>
      </c>
      <c r="G229" t="s">
        <v>96</v>
      </c>
      <c r="H229" t="s">
        <v>6</v>
      </c>
      <c r="I229" s="429">
        <f>'P&amp;L Mensal'!J29</f>
        <v>-768208.1900955881</v>
      </c>
      <c r="J229" t="s">
        <v>545</v>
      </c>
      <c r="K229" t="s">
        <v>777</v>
      </c>
      <c r="L229">
        <v>29</v>
      </c>
    </row>
    <row r="230" spans="1:12" ht="18" customHeight="1" x14ac:dyDescent="0.25">
      <c r="A230" t="s">
        <v>544</v>
      </c>
      <c r="B230" s="23">
        <f>DATE(YEAR('P&amp;L Mensal'!$F$1),MONTH('P&amp;L Mensal'!$F$1),1)</f>
        <v>46082</v>
      </c>
      <c r="C230" s="23">
        <f>'P&amp;L Mensal'!$F$1</f>
        <v>46112</v>
      </c>
      <c r="D230" s="23">
        <f>'P&amp;L Mensal'!$F$1</f>
        <v>46112</v>
      </c>
      <c r="E230" t="str">
        <f>TEXT('P&amp;L Mensal'!$F$1,"mmm/yyyy")</f>
        <v>mar/yyyy</v>
      </c>
      <c r="F230" t="s">
        <v>31</v>
      </c>
      <c r="G230" t="s">
        <v>96</v>
      </c>
      <c r="H230" t="s">
        <v>549</v>
      </c>
      <c r="I230" s="104">
        <f>'P&amp;L Mensal'!K29</f>
        <v>0.42173829188686307</v>
      </c>
      <c r="J230" t="s">
        <v>545</v>
      </c>
      <c r="K230" t="s">
        <v>778</v>
      </c>
      <c r="L230">
        <v>29</v>
      </c>
    </row>
    <row r="231" spans="1:12" ht="18" customHeight="1" x14ac:dyDescent="0.25">
      <c r="A231" t="s">
        <v>544</v>
      </c>
      <c r="B231" s="23">
        <f>DATE(YEAR('P&amp;L Mensal'!$F$1),MONTH('P&amp;L Mensal'!$F$1),1)</f>
        <v>46082</v>
      </c>
      <c r="C231" s="23">
        <f>'P&amp;L Mensal'!$F$1</f>
        <v>46112</v>
      </c>
      <c r="D231" s="23">
        <f>'P&amp;L Mensal'!$F$1</f>
        <v>46112</v>
      </c>
      <c r="E231" t="str">
        <f>TEXT('P&amp;L Mensal'!$F$1,"mmm/yyyy")</f>
        <v>mar/yyyy</v>
      </c>
      <c r="F231" t="s">
        <v>31</v>
      </c>
      <c r="G231" t="s">
        <v>96</v>
      </c>
      <c r="H231" t="s">
        <v>557</v>
      </c>
      <c r="I231" s="429">
        <f>'P&amp;L Mensal'!L29</f>
        <v>323982.8099044119</v>
      </c>
      <c r="J231" t="s">
        <v>545</v>
      </c>
      <c r="K231" t="s">
        <v>779</v>
      </c>
      <c r="L231">
        <v>29</v>
      </c>
    </row>
    <row r="232" spans="1:12" ht="18" customHeight="1" x14ac:dyDescent="0.25">
      <c r="A232" t="s">
        <v>544</v>
      </c>
      <c r="B232" s="23">
        <f>DATE(YEAR('P&amp;L Mensal'!$F$1),MONTH('P&amp;L Mensal'!$F$1),1)</f>
        <v>46082</v>
      </c>
      <c r="C232" s="23">
        <f>'P&amp;L Mensal'!$F$1</f>
        <v>46112</v>
      </c>
      <c r="D232" s="23">
        <f>'P&amp;L Mensal'!$F$1</f>
        <v>46112</v>
      </c>
      <c r="E232" t="str">
        <f>TEXT('P&amp;L Mensal'!$F$1,"mmm/yyyy")</f>
        <v>mar/yyyy</v>
      </c>
      <c r="F232" t="s">
        <v>32</v>
      </c>
      <c r="G232" t="s">
        <v>205</v>
      </c>
      <c r="H232" t="s">
        <v>5</v>
      </c>
      <c r="I232" s="429">
        <f>'P&amp;L Mensal'!C30</f>
        <v>2853178.9224075819</v>
      </c>
      <c r="J232" t="s">
        <v>545</v>
      </c>
      <c r="K232" t="s">
        <v>780</v>
      </c>
      <c r="L232">
        <v>30</v>
      </c>
    </row>
    <row r="233" spans="1:12" ht="18" customHeight="1" x14ac:dyDescent="0.25">
      <c r="A233" t="s">
        <v>544</v>
      </c>
      <c r="B233" s="23">
        <f>DATE(YEAR('P&amp;L Mensal'!$F$1),MONTH('P&amp;L Mensal'!$F$1),1)</f>
        <v>46082</v>
      </c>
      <c r="C233" s="23">
        <f>'P&amp;L Mensal'!$F$1</f>
        <v>46112</v>
      </c>
      <c r="D233" s="23">
        <f>'P&amp;L Mensal'!$F$1</f>
        <v>46112</v>
      </c>
      <c r="E233" t="str">
        <f>TEXT('P&amp;L Mensal'!$F$1,"mmm/yyyy")</f>
        <v>mar/yyyy</v>
      </c>
      <c r="F233" t="s">
        <v>32</v>
      </c>
      <c r="G233" t="s">
        <v>205</v>
      </c>
      <c r="H233" t="s">
        <v>6</v>
      </c>
      <c r="I233" s="429">
        <f>'P&amp;L Mensal'!D30</f>
        <v>2969869.9626783789</v>
      </c>
      <c r="J233" t="s">
        <v>545</v>
      </c>
      <c r="K233" t="s">
        <v>781</v>
      </c>
      <c r="L233">
        <v>30</v>
      </c>
    </row>
    <row r="234" spans="1:12" ht="18" customHeight="1" x14ac:dyDescent="0.25">
      <c r="A234" t="s">
        <v>544</v>
      </c>
      <c r="B234" s="23">
        <f>DATE(YEAR('P&amp;L Mensal'!$F$1),MONTH('P&amp;L Mensal'!$F$1),1)</f>
        <v>46082</v>
      </c>
      <c r="C234" s="23">
        <f>'P&amp;L Mensal'!$F$1</f>
        <v>46112</v>
      </c>
      <c r="D234" s="23">
        <f>'P&amp;L Mensal'!$F$1</f>
        <v>46112</v>
      </c>
      <c r="E234" t="str">
        <f>TEXT('P&amp;L Mensal'!$F$1,"mmm/yyyy")</f>
        <v>mar/yyyy</v>
      </c>
      <c r="F234" t="s">
        <v>32</v>
      </c>
      <c r="G234" t="s">
        <v>205</v>
      </c>
      <c r="H234" t="s">
        <v>549</v>
      </c>
      <c r="I234" s="104">
        <f>'P&amp;L Mensal'!E30</f>
        <v>-3.9291632878619032E-2</v>
      </c>
      <c r="J234" t="s">
        <v>545</v>
      </c>
      <c r="K234" t="s">
        <v>782</v>
      </c>
      <c r="L234">
        <v>30</v>
      </c>
    </row>
    <row r="235" spans="1:12" ht="18" customHeight="1" x14ac:dyDescent="0.25">
      <c r="A235" t="s">
        <v>544</v>
      </c>
      <c r="B235" s="23">
        <f>DATE(YEAR('P&amp;L Mensal'!$F$1),MONTH('P&amp;L Mensal'!$F$1),1)</f>
        <v>46082</v>
      </c>
      <c r="C235" s="23">
        <f>'P&amp;L Mensal'!$F$1</f>
        <v>46112</v>
      </c>
      <c r="D235" s="23">
        <f>'P&amp;L Mensal'!$F$1</f>
        <v>46112</v>
      </c>
      <c r="E235" t="str">
        <f>TEXT('P&amp;L Mensal'!$F$1,"mmm/yyyy")</f>
        <v>mar/yyyy</v>
      </c>
      <c r="F235" t="s">
        <v>32</v>
      </c>
      <c r="G235" t="s">
        <v>220</v>
      </c>
      <c r="H235" t="s">
        <v>5</v>
      </c>
      <c r="I235" s="429">
        <f>'P&amp;L Mensal'!F30</f>
        <v>15040297.36759243</v>
      </c>
      <c r="J235" t="s">
        <v>545</v>
      </c>
      <c r="K235" t="s">
        <v>783</v>
      </c>
      <c r="L235">
        <v>30</v>
      </c>
    </row>
    <row r="236" spans="1:12" ht="18" customHeight="1" x14ac:dyDescent="0.25">
      <c r="A236" t="s">
        <v>544</v>
      </c>
      <c r="B236" s="23">
        <f>DATE(YEAR('P&amp;L Mensal'!$F$1),MONTH('P&amp;L Mensal'!$F$1),1)</f>
        <v>46082</v>
      </c>
      <c r="C236" s="23">
        <f>'P&amp;L Mensal'!$F$1</f>
        <v>46112</v>
      </c>
      <c r="D236" s="23">
        <f>'P&amp;L Mensal'!$F$1</f>
        <v>46112</v>
      </c>
      <c r="E236" t="str">
        <f>TEXT('P&amp;L Mensal'!$F$1,"mmm/yyyy")</f>
        <v>mar/yyyy</v>
      </c>
      <c r="F236" t="s">
        <v>32</v>
      </c>
      <c r="G236" t="s">
        <v>220</v>
      </c>
      <c r="H236" t="s">
        <v>6</v>
      </c>
      <c r="I236" s="429">
        <f>'P&amp;L Mensal'!G30</f>
        <v>13563861.793358922</v>
      </c>
      <c r="J236" t="s">
        <v>545</v>
      </c>
      <c r="K236" t="s">
        <v>784</v>
      </c>
      <c r="L236">
        <v>30</v>
      </c>
    </row>
    <row r="237" spans="1:12" ht="18" customHeight="1" x14ac:dyDescent="0.25">
      <c r="A237" t="s">
        <v>544</v>
      </c>
      <c r="B237" s="23">
        <f>DATE(YEAR('P&amp;L Mensal'!$F$1),MONTH('P&amp;L Mensal'!$F$1),1)</f>
        <v>46082</v>
      </c>
      <c r="C237" s="23">
        <f>'P&amp;L Mensal'!$F$1</f>
        <v>46112</v>
      </c>
      <c r="D237" s="23">
        <f>'P&amp;L Mensal'!$F$1</f>
        <v>46112</v>
      </c>
      <c r="E237" t="str">
        <f>TEXT('P&amp;L Mensal'!$F$1,"mmm/yyyy")</f>
        <v>mar/yyyy</v>
      </c>
      <c r="F237" t="s">
        <v>32</v>
      </c>
      <c r="G237" t="s">
        <v>220</v>
      </c>
      <c r="H237" t="s">
        <v>549</v>
      </c>
      <c r="I237" s="104">
        <f>'P&amp;L Mensal'!H30</f>
        <v>0.10885067960191064</v>
      </c>
      <c r="J237" t="s">
        <v>545</v>
      </c>
      <c r="K237" t="s">
        <v>785</v>
      </c>
      <c r="L237">
        <v>30</v>
      </c>
    </row>
    <row r="238" spans="1:12" ht="18" customHeight="1" x14ac:dyDescent="0.25">
      <c r="A238" t="s">
        <v>544</v>
      </c>
      <c r="B238" s="23">
        <f>DATE(YEAR('P&amp;L Mensal'!$F$1),MONTH('P&amp;L Mensal'!$F$1),1)</f>
        <v>46082</v>
      </c>
      <c r="C238" s="23">
        <f>'P&amp;L Mensal'!$F$1</f>
        <v>46112</v>
      </c>
      <c r="D238" s="23">
        <f>'P&amp;L Mensal'!$F$1</f>
        <v>46112</v>
      </c>
      <c r="E238" t="str">
        <f>TEXT('P&amp;L Mensal'!$F$1,"mmm/yyyy")</f>
        <v>mar/yyyy</v>
      </c>
      <c r="F238" t="s">
        <v>32</v>
      </c>
      <c r="G238" t="s">
        <v>96</v>
      </c>
      <c r="H238" t="s">
        <v>5</v>
      </c>
      <c r="I238" s="429">
        <f>'P&amp;L Mensal'!I30</f>
        <v>17893476.29000001</v>
      </c>
      <c r="J238" t="s">
        <v>545</v>
      </c>
      <c r="K238" t="s">
        <v>786</v>
      </c>
      <c r="L238">
        <v>30</v>
      </c>
    </row>
    <row r="239" spans="1:12" ht="18" customHeight="1" x14ac:dyDescent="0.25">
      <c r="A239" t="s">
        <v>544</v>
      </c>
      <c r="B239" s="23">
        <f>DATE(YEAR('P&amp;L Mensal'!$F$1),MONTH('P&amp;L Mensal'!$F$1),1)</f>
        <v>46082</v>
      </c>
      <c r="C239" s="23">
        <f>'P&amp;L Mensal'!$F$1</f>
        <v>46112</v>
      </c>
      <c r="D239" s="23">
        <f>'P&amp;L Mensal'!$F$1</f>
        <v>46112</v>
      </c>
      <c r="E239" t="str">
        <f>TEXT('P&amp;L Mensal'!$F$1,"mmm/yyyy")</f>
        <v>mar/yyyy</v>
      </c>
      <c r="F239" t="s">
        <v>32</v>
      </c>
      <c r="G239" t="s">
        <v>96</v>
      </c>
      <c r="H239" t="s">
        <v>6</v>
      </c>
      <c r="I239" s="429">
        <f>'P&amp;L Mensal'!J30</f>
        <v>16533731.756037295</v>
      </c>
      <c r="J239" t="s">
        <v>545</v>
      </c>
      <c r="K239" t="s">
        <v>787</v>
      </c>
      <c r="L239">
        <v>30</v>
      </c>
    </row>
    <row r="240" spans="1:12" ht="18" customHeight="1" x14ac:dyDescent="0.25">
      <c r="A240" t="s">
        <v>544</v>
      </c>
      <c r="B240" s="23">
        <f>DATE(YEAR('P&amp;L Mensal'!$F$1),MONTH('P&amp;L Mensal'!$F$1),1)</f>
        <v>46082</v>
      </c>
      <c r="C240" s="23">
        <f>'P&amp;L Mensal'!$F$1</f>
        <v>46112</v>
      </c>
      <c r="D240" s="23">
        <f>'P&amp;L Mensal'!$F$1</f>
        <v>46112</v>
      </c>
      <c r="E240" t="str">
        <f>TEXT('P&amp;L Mensal'!$F$1,"mmm/yyyy")</f>
        <v>mar/yyyy</v>
      </c>
      <c r="F240" t="s">
        <v>32</v>
      </c>
      <c r="G240" t="s">
        <v>96</v>
      </c>
      <c r="H240" t="s">
        <v>549</v>
      </c>
      <c r="I240" s="104">
        <f>'P&amp;L Mensal'!K30</f>
        <v>8.2240631094441463E-2</v>
      </c>
      <c r="J240" t="s">
        <v>545</v>
      </c>
      <c r="K240" t="s">
        <v>788</v>
      </c>
      <c r="L240">
        <v>30</v>
      </c>
    </row>
    <row r="241" spans="1:12" ht="18" customHeight="1" x14ac:dyDescent="0.25">
      <c r="A241" t="s">
        <v>544</v>
      </c>
      <c r="B241" s="23">
        <f>DATE(YEAR('P&amp;L Mensal'!$F$1),MONTH('P&amp;L Mensal'!$F$1),1)</f>
        <v>46082</v>
      </c>
      <c r="C241" s="23">
        <f>'P&amp;L Mensal'!$F$1</f>
        <v>46112</v>
      </c>
      <c r="D241" s="23">
        <f>'P&amp;L Mensal'!$F$1</f>
        <v>46112</v>
      </c>
      <c r="E241" t="str">
        <f>TEXT('P&amp;L Mensal'!$F$1,"mmm/yyyy")</f>
        <v>mar/yyyy</v>
      </c>
      <c r="F241" t="s">
        <v>32</v>
      </c>
      <c r="G241" t="s">
        <v>96</v>
      </c>
      <c r="H241" t="s">
        <v>557</v>
      </c>
      <c r="I241" s="429">
        <f>'P&amp;L Mensal'!L30</f>
        <v>1359744.5339627154</v>
      </c>
      <c r="J241" t="s">
        <v>545</v>
      </c>
      <c r="K241" t="s">
        <v>789</v>
      </c>
      <c r="L241">
        <v>30</v>
      </c>
    </row>
    <row r="242" spans="1:12" ht="18" customHeight="1" x14ac:dyDescent="0.25">
      <c r="A242" t="s">
        <v>544</v>
      </c>
      <c r="B242" s="23">
        <f>DATE(YEAR('P&amp;L Mensal'!$F$1),MONTH('P&amp;L Mensal'!$F$1),1)</f>
        <v>46082</v>
      </c>
      <c r="C242" s="23">
        <f>'P&amp;L Mensal'!$F$1</f>
        <v>46112</v>
      </c>
      <c r="D242" s="23">
        <f>'P&amp;L Mensal'!$F$1</f>
        <v>46112</v>
      </c>
      <c r="E242" t="str">
        <f>TEXT('P&amp;L Mensal'!$F$1,"mmm/yyyy")</f>
        <v>mar/yyyy</v>
      </c>
      <c r="F242" t="s">
        <v>33</v>
      </c>
      <c r="G242" t="s">
        <v>205</v>
      </c>
      <c r="H242" t="s">
        <v>5</v>
      </c>
      <c r="I242" s="429">
        <f>'P&amp;L Mensal'!C31</f>
        <v>-610260.52</v>
      </c>
      <c r="J242" t="s">
        <v>545</v>
      </c>
      <c r="K242" t="s">
        <v>790</v>
      </c>
      <c r="L242">
        <v>31</v>
      </c>
    </row>
    <row r="243" spans="1:12" ht="18" customHeight="1" x14ac:dyDescent="0.25">
      <c r="A243" t="s">
        <v>544</v>
      </c>
      <c r="B243" s="23">
        <f>DATE(YEAR('P&amp;L Mensal'!$F$1),MONTH('P&amp;L Mensal'!$F$1),1)</f>
        <v>46082</v>
      </c>
      <c r="C243" s="23">
        <f>'P&amp;L Mensal'!$F$1</f>
        <v>46112</v>
      </c>
      <c r="D243" s="23">
        <f>'P&amp;L Mensal'!$F$1</f>
        <v>46112</v>
      </c>
      <c r="E243" t="str">
        <f>TEXT('P&amp;L Mensal'!$F$1,"mmm/yyyy")</f>
        <v>mar/yyyy</v>
      </c>
      <c r="F243" t="s">
        <v>33</v>
      </c>
      <c r="G243" t="s">
        <v>205</v>
      </c>
      <c r="H243" t="s">
        <v>6</v>
      </c>
      <c r="I243" s="429">
        <f>'P&amp;L Mensal'!D31</f>
        <v>-577819.12003649399</v>
      </c>
      <c r="J243" t="s">
        <v>545</v>
      </c>
      <c r="K243" t="s">
        <v>791</v>
      </c>
      <c r="L243">
        <v>31</v>
      </c>
    </row>
    <row r="244" spans="1:12" ht="18" customHeight="1" x14ac:dyDescent="0.25">
      <c r="A244" t="s">
        <v>544</v>
      </c>
      <c r="B244" s="23">
        <f>DATE(YEAR('P&amp;L Mensal'!$F$1),MONTH('P&amp;L Mensal'!$F$1),1)</f>
        <v>46082</v>
      </c>
      <c r="C244" s="23">
        <f>'P&amp;L Mensal'!$F$1</f>
        <v>46112</v>
      </c>
      <c r="D244" s="23">
        <f>'P&amp;L Mensal'!$F$1</f>
        <v>46112</v>
      </c>
      <c r="E244" t="str">
        <f>TEXT('P&amp;L Mensal'!$F$1,"mmm/yyyy")</f>
        <v>mar/yyyy</v>
      </c>
      <c r="F244" t="s">
        <v>33</v>
      </c>
      <c r="G244" t="s">
        <v>205</v>
      </c>
      <c r="H244" t="s">
        <v>549</v>
      </c>
      <c r="I244" s="104">
        <f>'P&amp;L Mensal'!E31</f>
        <v>5.6144559497195434E-2</v>
      </c>
      <c r="J244" t="s">
        <v>545</v>
      </c>
      <c r="K244" t="s">
        <v>792</v>
      </c>
      <c r="L244">
        <v>31</v>
      </c>
    </row>
    <row r="245" spans="1:12" ht="18" customHeight="1" x14ac:dyDescent="0.25">
      <c r="A245" t="s">
        <v>544</v>
      </c>
      <c r="B245" s="23">
        <f>DATE(YEAR('P&amp;L Mensal'!$F$1),MONTH('P&amp;L Mensal'!$F$1),1)</f>
        <v>46082</v>
      </c>
      <c r="C245" s="23">
        <f>'P&amp;L Mensal'!$F$1</f>
        <v>46112</v>
      </c>
      <c r="D245" s="23">
        <f>'P&amp;L Mensal'!$F$1</f>
        <v>46112</v>
      </c>
      <c r="E245" t="str">
        <f>TEXT('P&amp;L Mensal'!$F$1,"mmm/yyyy")</f>
        <v>mar/yyyy</v>
      </c>
      <c r="F245" t="s">
        <v>33</v>
      </c>
      <c r="G245" t="s">
        <v>220</v>
      </c>
      <c r="H245" t="s">
        <v>5</v>
      </c>
      <c r="I245" s="429">
        <f>'P&amp;L Mensal'!F31</f>
        <v>-439697.64999999991</v>
      </c>
      <c r="J245" t="s">
        <v>545</v>
      </c>
      <c r="K245" t="s">
        <v>793</v>
      </c>
      <c r="L245">
        <v>31</v>
      </c>
    </row>
    <row r="246" spans="1:12" ht="18" customHeight="1" x14ac:dyDescent="0.25">
      <c r="A246" t="s">
        <v>544</v>
      </c>
      <c r="B246" s="23">
        <f>DATE(YEAR('P&amp;L Mensal'!$F$1),MONTH('P&amp;L Mensal'!$F$1),1)</f>
        <v>46082</v>
      </c>
      <c r="C246" s="23">
        <f>'P&amp;L Mensal'!$F$1</f>
        <v>46112</v>
      </c>
      <c r="D246" s="23">
        <f>'P&amp;L Mensal'!$F$1</f>
        <v>46112</v>
      </c>
      <c r="E246" t="str">
        <f>TEXT('P&amp;L Mensal'!$F$1,"mmm/yyyy")</f>
        <v>mar/yyyy</v>
      </c>
      <c r="F246" t="s">
        <v>33</v>
      </c>
      <c r="G246" t="s">
        <v>220</v>
      </c>
      <c r="H246" t="s">
        <v>6</v>
      </c>
      <c r="I246" s="429">
        <f>'P&amp;L Mensal'!G31</f>
        <v>-1292046.243950896</v>
      </c>
      <c r="J246" t="s">
        <v>545</v>
      </c>
      <c r="K246" t="s">
        <v>794</v>
      </c>
      <c r="L246">
        <v>31</v>
      </c>
    </row>
    <row r="247" spans="1:12" ht="18" customHeight="1" x14ac:dyDescent="0.25">
      <c r="A247" t="s">
        <v>544</v>
      </c>
      <c r="B247" s="23">
        <f>DATE(YEAR('P&amp;L Mensal'!$F$1),MONTH('P&amp;L Mensal'!$F$1),1)</f>
        <v>46082</v>
      </c>
      <c r="C247" s="23">
        <f>'P&amp;L Mensal'!$F$1</f>
        <v>46112</v>
      </c>
      <c r="D247" s="23">
        <f>'P&amp;L Mensal'!$F$1</f>
        <v>46112</v>
      </c>
      <c r="E247" t="str">
        <f>TEXT('P&amp;L Mensal'!$F$1,"mmm/yyyy")</f>
        <v>mar/yyyy</v>
      </c>
      <c r="F247" t="s">
        <v>33</v>
      </c>
      <c r="G247" t="s">
        <v>220</v>
      </c>
      <c r="H247" t="s">
        <v>549</v>
      </c>
      <c r="I247" s="104">
        <f>'P&amp;L Mensal'!H31</f>
        <v>-0.65968892208109653</v>
      </c>
      <c r="J247" t="s">
        <v>545</v>
      </c>
      <c r="K247" t="s">
        <v>795</v>
      </c>
      <c r="L247">
        <v>31</v>
      </c>
    </row>
    <row r="248" spans="1:12" ht="18" customHeight="1" x14ac:dyDescent="0.25">
      <c r="A248" t="s">
        <v>544</v>
      </c>
      <c r="B248" s="23">
        <f>DATE(YEAR('P&amp;L Mensal'!$F$1),MONTH('P&amp;L Mensal'!$F$1),1)</f>
        <v>46082</v>
      </c>
      <c r="C248" s="23">
        <f>'P&amp;L Mensal'!$F$1</f>
        <v>46112</v>
      </c>
      <c r="D248" s="23">
        <f>'P&amp;L Mensal'!$F$1</f>
        <v>46112</v>
      </c>
      <c r="E248" t="str">
        <f>TEXT('P&amp;L Mensal'!$F$1,"mmm/yyyy")</f>
        <v>mar/yyyy</v>
      </c>
      <c r="F248" t="s">
        <v>33</v>
      </c>
      <c r="G248" t="s">
        <v>96</v>
      </c>
      <c r="H248" t="s">
        <v>5</v>
      </c>
      <c r="I248" s="429">
        <f>'P&amp;L Mensal'!I31</f>
        <v>-1049958.17</v>
      </c>
      <c r="J248" t="s">
        <v>545</v>
      </c>
      <c r="K248" t="s">
        <v>796</v>
      </c>
      <c r="L248">
        <v>31</v>
      </c>
    </row>
    <row r="249" spans="1:12" ht="18" customHeight="1" x14ac:dyDescent="0.25">
      <c r="A249" t="s">
        <v>544</v>
      </c>
      <c r="B249" s="23">
        <f>DATE(YEAR('P&amp;L Mensal'!$F$1),MONTH('P&amp;L Mensal'!$F$1),1)</f>
        <v>46082</v>
      </c>
      <c r="C249" s="23">
        <f>'P&amp;L Mensal'!$F$1</f>
        <v>46112</v>
      </c>
      <c r="D249" s="23">
        <f>'P&amp;L Mensal'!$F$1</f>
        <v>46112</v>
      </c>
      <c r="E249" t="str">
        <f>TEXT('P&amp;L Mensal'!$F$1,"mmm/yyyy")</f>
        <v>mar/yyyy</v>
      </c>
      <c r="F249" t="s">
        <v>33</v>
      </c>
      <c r="G249" t="s">
        <v>96</v>
      </c>
      <c r="H249" t="s">
        <v>6</v>
      </c>
      <c r="I249" s="429">
        <f>'P&amp;L Mensal'!J31</f>
        <v>-1869865.36398739</v>
      </c>
      <c r="J249" t="s">
        <v>545</v>
      </c>
      <c r="K249" t="s">
        <v>797</v>
      </c>
      <c r="L249">
        <v>31</v>
      </c>
    </row>
    <row r="250" spans="1:12" ht="18" customHeight="1" x14ac:dyDescent="0.25">
      <c r="A250" t="s">
        <v>544</v>
      </c>
      <c r="B250" s="23">
        <f>DATE(YEAR('P&amp;L Mensal'!$F$1),MONTH('P&amp;L Mensal'!$F$1),1)</f>
        <v>46082</v>
      </c>
      <c r="C250" s="23">
        <f>'P&amp;L Mensal'!$F$1</f>
        <v>46112</v>
      </c>
      <c r="D250" s="23">
        <f>'P&amp;L Mensal'!$F$1</f>
        <v>46112</v>
      </c>
      <c r="E250" t="str">
        <f>TEXT('P&amp;L Mensal'!$F$1,"mmm/yyyy")</f>
        <v>mar/yyyy</v>
      </c>
      <c r="F250" t="s">
        <v>33</v>
      </c>
      <c r="G250" t="s">
        <v>96</v>
      </c>
      <c r="H250" t="s">
        <v>549</v>
      </c>
      <c r="I250" s="104">
        <f>'P&amp;L Mensal'!K31</f>
        <v>-0.4384846148703353</v>
      </c>
      <c r="J250" t="s">
        <v>545</v>
      </c>
      <c r="K250" t="s">
        <v>798</v>
      </c>
      <c r="L250">
        <v>31</v>
      </c>
    </row>
    <row r="251" spans="1:12" ht="18" customHeight="1" x14ac:dyDescent="0.25">
      <c r="A251" t="s">
        <v>544</v>
      </c>
      <c r="B251" s="23">
        <f>DATE(YEAR('P&amp;L Mensal'!$F$1),MONTH('P&amp;L Mensal'!$F$1),1)</f>
        <v>46082</v>
      </c>
      <c r="C251" s="23">
        <f>'P&amp;L Mensal'!$F$1</f>
        <v>46112</v>
      </c>
      <c r="D251" s="23">
        <f>'P&amp;L Mensal'!$F$1</f>
        <v>46112</v>
      </c>
      <c r="E251" t="str">
        <f>TEXT('P&amp;L Mensal'!$F$1,"mmm/yyyy")</f>
        <v>mar/yyyy</v>
      </c>
      <c r="F251" t="s">
        <v>33</v>
      </c>
      <c r="G251" t="s">
        <v>96</v>
      </c>
      <c r="H251" t="s">
        <v>557</v>
      </c>
      <c r="I251" s="429">
        <f>'P&amp;L Mensal'!L31</f>
        <v>-819907.19398739003</v>
      </c>
      <c r="J251" t="s">
        <v>545</v>
      </c>
      <c r="K251" t="s">
        <v>799</v>
      </c>
      <c r="L251">
        <v>31</v>
      </c>
    </row>
    <row r="252" spans="1:12" ht="18" customHeight="1" x14ac:dyDescent="0.25">
      <c r="A252" t="s">
        <v>544</v>
      </c>
      <c r="B252" s="23">
        <f>DATE(YEAR('P&amp;L Mensal'!$F$1),MONTH('P&amp;L Mensal'!$F$1),1)</f>
        <v>46082</v>
      </c>
      <c r="C252" s="23">
        <f>'P&amp;L Mensal'!$F$1</f>
        <v>46112</v>
      </c>
      <c r="D252" s="23">
        <f>'P&amp;L Mensal'!$F$1</f>
        <v>46112</v>
      </c>
      <c r="E252" t="str">
        <f>TEXT('P&amp;L Mensal'!$F$1,"mmm/yyyy")</f>
        <v>mar/yyyy</v>
      </c>
      <c r="F252" t="s">
        <v>33</v>
      </c>
      <c r="G252" t="s">
        <v>205</v>
      </c>
      <c r="H252" t="s">
        <v>5</v>
      </c>
      <c r="I252" s="429">
        <f>'P&amp;L Mensal'!C32</f>
        <v>-610260.52</v>
      </c>
      <c r="J252" t="s">
        <v>545</v>
      </c>
      <c r="K252" t="s">
        <v>800</v>
      </c>
      <c r="L252">
        <v>32</v>
      </c>
    </row>
    <row r="253" spans="1:12" ht="18" customHeight="1" x14ac:dyDescent="0.25">
      <c r="A253" t="s">
        <v>544</v>
      </c>
      <c r="B253" s="23">
        <f>DATE(YEAR('P&amp;L Mensal'!$F$1),MONTH('P&amp;L Mensal'!$F$1),1)</f>
        <v>46082</v>
      </c>
      <c r="C253" s="23">
        <f>'P&amp;L Mensal'!$F$1</f>
        <v>46112</v>
      </c>
      <c r="D253" s="23">
        <f>'P&amp;L Mensal'!$F$1</f>
        <v>46112</v>
      </c>
      <c r="E253" t="str">
        <f>TEXT('P&amp;L Mensal'!$F$1,"mmm/yyyy")</f>
        <v>mar/yyyy</v>
      </c>
      <c r="F253" t="s">
        <v>33</v>
      </c>
      <c r="G253" t="s">
        <v>205</v>
      </c>
      <c r="H253" t="s">
        <v>6</v>
      </c>
      <c r="I253" s="429">
        <f>'P&amp;L Mensal'!D32</f>
        <v>-577819.12003649399</v>
      </c>
      <c r="J253" t="s">
        <v>545</v>
      </c>
      <c r="K253" t="s">
        <v>801</v>
      </c>
      <c r="L253">
        <v>32</v>
      </c>
    </row>
    <row r="254" spans="1:12" ht="18" customHeight="1" x14ac:dyDescent="0.25">
      <c r="A254" t="s">
        <v>544</v>
      </c>
      <c r="B254" s="23">
        <f>DATE(YEAR('P&amp;L Mensal'!$F$1),MONTH('P&amp;L Mensal'!$F$1),1)</f>
        <v>46082</v>
      </c>
      <c r="C254" s="23">
        <f>'P&amp;L Mensal'!$F$1</f>
        <v>46112</v>
      </c>
      <c r="D254" s="23">
        <f>'P&amp;L Mensal'!$F$1</f>
        <v>46112</v>
      </c>
      <c r="E254" t="str">
        <f>TEXT('P&amp;L Mensal'!$F$1,"mmm/yyyy")</f>
        <v>mar/yyyy</v>
      </c>
      <c r="F254" t="s">
        <v>33</v>
      </c>
      <c r="G254" t="s">
        <v>205</v>
      </c>
      <c r="H254" t="s">
        <v>549</v>
      </c>
      <c r="I254" s="104">
        <f>'P&amp;L Mensal'!E32</f>
        <v>5.6144559497195434E-2</v>
      </c>
      <c r="J254" t="s">
        <v>545</v>
      </c>
      <c r="K254" t="s">
        <v>802</v>
      </c>
      <c r="L254">
        <v>32</v>
      </c>
    </row>
    <row r="255" spans="1:12" ht="18" customHeight="1" x14ac:dyDescent="0.25">
      <c r="A255" t="s">
        <v>544</v>
      </c>
      <c r="B255" s="23">
        <f>DATE(YEAR('P&amp;L Mensal'!$F$1),MONTH('P&amp;L Mensal'!$F$1),1)</f>
        <v>46082</v>
      </c>
      <c r="C255" s="23">
        <f>'P&amp;L Mensal'!$F$1</f>
        <v>46112</v>
      </c>
      <c r="D255" s="23">
        <f>'P&amp;L Mensal'!$F$1</f>
        <v>46112</v>
      </c>
      <c r="E255" t="str">
        <f>TEXT('P&amp;L Mensal'!$F$1,"mmm/yyyy")</f>
        <v>mar/yyyy</v>
      </c>
      <c r="F255" t="s">
        <v>33</v>
      </c>
      <c r="G255" t="s">
        <v>220</v>
      </c>
      <c r="H255" t="s">
        <v>5</v>
      </c>
      <c r="I255" s="429">
        <f>'P&amp;L Mensal'!F32</f>
        <v>-439697.64999999991</v>
      </c>
      <c r="J255" t="s">
        <v>545</v>
      </c>
      <c r="K255" t="s">
        <v>803</v>
      </c>
      <c r="L255">
        <v>32</v>
      </c>
    </row>
    <row r="256" spans="1:12" ht="18" customHeight="1" x14ac:dyDescent="0.25">
      <c r="A256" t="s">
        <v>544</v>
      </c>
      <c r="B256" s="23">
        <f>DATE(YEAR('P&amp;L Mensal'!$F$1),MONTH('P&amp;L Mensal'!$F$1),1)</f>
        <v>46082</v>
      </c>
      <c r="C256" s="23">
        <f>'P&amp;L Mensal'!$F$1</f>
        <v>46112</v>
      </c>
      <c r="D256" s="23">
        <f>'P&amp;L Mensal'!$F$1</f>
        <v>46112</v>
      </c>
      <c r="E256" t="str">
        <f>TEXT('P&amp;L Mensal'!$F$1,"mmm/yyyy")</f>
        <v>mar/yyyy</v>
      </c>
      <c r="F256" t="s">
        <v>33</v>
      </c>
      <c r="G256" t="s">
        <v>220</v>
      </c>
      <c r="H256" t="s">
        <v>6</v>
      </c>
      <c r="I256" s="429">
        <f>'P&amp;L Mensal'!G32</f>
        <v>-1292046.243950896</v>
      </c>
      <c r="J256" t="s">
        <v>545</v>
      </c>
      <c r="K256" t="s">
        <v>804</v>
      </c>
      <c r="L256">
        <v>32</v>
      </c>
    </row>
    <row r="257" spans="1:12" ht="18" customHeight="1" x14ac:dyDescent="0.25">
      <c r="A257" t="s">
        <v>544</v>
      </c>
      <c r="B257" s="23">
        <f>DATE(YEAR('P&amp;L Mensal'!$F$1),MONTH('P&amp;L Mensal'!$F$1),1)</f>
        <v>46082</v>
      </c>
      <c r="C257" s="23">
        <f>'P&amp;L Mensal'!$F$1</f>
        <v>46112</v>
      </c>
      <c r="D257" s="23">
        <f>'P&amp;L Mensal'!$F$1</f>
        <v>46112</v>
      </c>
      <c r="E257" t="str">
        <f>TEXT('P&amp;L Mensal'!$F$1,"mmm/yyyy")</f>
        <v>mar/yyyy</v>
      </c>
      <c r="F257" t="s">
        <v>33</v>
      </c>
      <c r="G257" t="s">
        <v>220</v>
      </c>
      <c r="H257" t="s">
        <v>549</v>
      </c>
      <c r="I257" s="104">
        <f>'P&amp;L Mensal'!H32</f>
        <v>-0.65968892208109653</v>
      </c>
      <c r="J257" t="s">
        <v>545</v>
      </c>
      <c r="K257" t="s">
        <v>805</v>
      </c>
      <c r="L257">
        <v>32</v>
      </c>
    </row>
    <row r="258" spans="1:12" ht="18" customHeight="1" x14ac:dyDescent="0.25">
      <c r="A258" t="s">
        <v>544</v>
      </c>
      <c r="B258" s="23">
        <f>DATE(YEAR('P&amp;L Mensal'!$F$1),MONTH('P&amp;L Mensal'!$F$1),1)</f>
        <v>46082</v>
      </c>
      <c r="C258" s="23">
        <f>'P&amp;L Mensal'!$F$1</f>
        <v>46112</v>
      </c>
      <c r="D258" s="23">
        <f>'P&amp;L Mensal'!$F$1</f>
        <v>46112</v>
      </c>
      <c r="E258" t="str">
        <f>TEXT('P&amp;L Mensal'!$F$1,"mmm/yyyy")</f>
        <v>mar/yyyy</v>
      </c>
      <c r="F258" t="s">
        <v>33</v>
      </c>
      <c r="G258" t="s">
        <v>96</v>
      </c>
      <c r="H258" t="s">
        <v>5</v>
      </c>
      <c r="I258" s="429">
        <f>'P&amp;L Mensal'!I32</f>
        <v>-1049958.17</v>
      </c>
      <c r="J258" t="s">
        <v>545</v>
      </c>
      <c r="K258" t="s">
        <v>806</v>
      </c>
      <c r="L258">
        <v>32</v>
      </c>
    </row>
    <row r="259" spans="1:12" ht="18" customHeight="1" x14ac:dyDescent="0.25">
      <c r="A259" t="s">
        <v>544</v>
      </c>
      <c r="B259" s="23">
        <f>DATE(YEAR('P&amp;L Mensal'!$F$1),MONTH('P&amp;L Mensal'!$F$1),1)</f>
        <v>46082</v>
      </c>
      <c r="C259" s="23">
        <f>'P&amp;L Mensal'!$F$1</f>
        <v>46112</v>
      </c>
      <c r="D259" s="23">
        <f>'P&amp;L Mensal'!$F$1</f>
        <v>46112</v>
      </c>
      <c r="E259" t="str">
        <f>TEXT('P&amp;L Mensal'!$F$1,"mmm/yyyy")</f>
        <v>mar/yyyy</v>
      </c>
      <c r="F259" t="s">
        <v>33</v>
      </c>
      <c r="G259" t="s">
        <v>96</v>
      </c>
      <c r="H259" t="s">
        <v>6</v>
      </c>
      <c r="I259" s="429">
        <f>'P&amp;L Mensal'!J32</f>
        <v>-1869865.36398739</v>
      </c>
      <c r="J259" t="s">
        <v>545</v>
      </c>
      <c r="K259" t="s">
        <v>807</v>
      </c>
      <c r="L259">
        <v>32</v>
      </c>
    </row>
    <row r="260" spans="1:12" ht="18" customHeight="1" x14ac:dyDescent="0.25">
      <c r="A260" t="s">
        <v>544</v>
      </c>
      <c r="B260" s="23">
        <f>DATE(YEAR('P&amp;L Mensal'!$F$1),MONTH('P&amp;L Mensal'!$F$1),1)</f>
        <v>46082</v>
      </c>
      <c r="C260" s="23">
        <f>'P&amp;L Mensal'!$F$1</f>
        <v>46112</v>
      </c>
      <c r="D260" s="23">
        <f>'P&amp;L Mensal'!$F$1</f>
        <v>46112</v>
      </c>
      <c r="E260" t="str">
        <f>TEXT('P&amp;L Mensal'!$F$1,"mmm/yyyy")</f>
        <v>mar/yyyy</v>
      </c>
      <c r="F260" t="s">
        <v>33</v>
      </c>
      <c r="G260" t="s">
        <v>96</v>
      </c>
      <c r="H260" t="s">
        <v>549</v>
      </c>
      <c r="I260" s="104">
        <f>'P&amp;L Mensal'!K32</f>
        <v>-0.4384846148703353</v>
      </c>
      <c r="J260" t="s">
        <v>545</v>
      </c>
      <c r="K260" t="s">
        <v>808</v>
      </c>
      <c r="L260">
        <v>32</v>
      </c>
    </row>
    <row r="261" spans="1:12" ht="18" customHeight="1" x14ac:dyDescent="0.25">
      <c r="A261" t="s">
        <v>544</v>
      </c>
      <c r="B261" s="23">
        <f>DATE(YEAR('P&amp;L Mensal'!$F$1),MONTH('P&amp;L Mensal'!$F$1),1)</f>
        <v>46082</v>
      </c>
      <c r="C261" s="23">
        <f>'P&amp;L Mensal'!$F$1</f>
        <v>46112</v>
      </c>
      <c r="D261" s="23">
        <f>'P&amp;L Mensal'!$F$1</f>
        <v>46112</v>
      </c>
      <c r="E261" t="str">
        <f>TEXT('P&amp;L Mensal'!$F$1,"mmm/yyyy")</f>
        <v>mar/yyyy</v>
      </c>
      <c r="F261" t="s">
        <v>33</v>
      </c>
      <c r="G261" t="s">
        <v>96</v>
      </c>
      <c r="H261" t="s">
        <v>557</v>
      </c>
      <c r="I261" s="429">
        <f>'P&amp;L Mensal'!L32</f>
        <v>-819907.19398739003</v>
      </c>
      <c r="J261" t="s">
        <v>545</v>
      </c>
      <c r="K261" t="s">
        <v>809</v>
      </c>
      <c r="L261">
        <v>32</v>
      </c>
    </row>
    <row r="262" spans="1:12" ht="18" customHeight="1" x14ac:dyDescent="0.25">
      <c r="A262" t="s">
        <v>544</v>
      </c>
      <c r="B262" s="23">
        <f>DATE(YEAR('P&amp;L Mensal'!$F$1),MONTH('P&amp;L Mensal'!$F$1),1)</f>
        <v>46082</v>
      </c>
      <c r="C262" s="23">
        <f>'P&amp;L Mensal'!$F$1</f>
        <v>46112</v>
      </c>
      <c r="D262" s="23">
        <f>'P&amp;L Mensal'!$F$1</f>
        <v>46112</v>
      </c>
      <c r="E262" t="str">
        <f>TEXT('P&amp;L Mensal'!$F$1,"mmm/yyyy")</f>
        <v>mar/yyyy</v>
      </c>
      <c r="F262" t="s">
        <v>34</v>
      </c>
      <c r="G262" t="s">
        <v>205</v>
      </c>
      <c r="H262" t="s">
        <v>5</v>
      </c>
      <c r="I262" s="429">
        <f>'P&amp;L Mensal'!C33</f>
        <v>0</v>
      </c>
      <c r="J262" t="s">
        <v>545</v>
      </c>
      <c r="K262" t="s">
        <v>810</v>
      </c>
      <c r="L262">
        <v>33</v>
      </c>
    </row>
    <row r="263" spans="1:12" ht="18" customHeight="1" x14ac:dyDescent="0.25">
      <c r="A263" t="s">
        <v>544</v>
      </c>
      <c r="B263" s="23">
        <f>DATE(YEAR('P&amp;L Mensal'!$F$1),MONTH('P&amp;L Mensal'!$F$1),1)</f>
        <v>46082</v>
      </c>
      <c r="C263" s="23">
        <f>'P&amp;L Mensal'!$F$1</f>
        <v>46112</v>
      </c>
      <c r="D263" s="23">
        <f>'P&amp;L Mensal'!$F$1</f>
        <v>46112</v>
      </c>
      <c r="E263" t="str">
        <f>TEXT('P&amp;L Mensal'!$F$1,"mmm/yyyy")</f>
        <v>mar/yyyy</v>
      </c>
      <c r="F263" t="s">
        <v>34</v>
      </c>
      <c r="G263" t="s">
        <v>205</v>
      </c>
      <c r="H263" t="s">
        <v>6</v>
      </c>
      <c r="I263" s="429">
        <f>'P&amp;L Mensal'!D33</f>
        <v>0</v>
      </c>
      <c r="J263" t="s">
        <v>545</v>
      </c>
      <c r="K263" t="s">
        <v>811</v>
      </c>
      <c r="L263">
        <v>33</v>
      </c>
    </row>
    <row r="264" spans="1:12" ht="18" customHeight="1" x14ac:dyDescent="0.25">
      <c r="A264" t="s">
        <v>544</v>
      </c>
      <c r="B264" s="23">
        <f>DATE(YEAR('P&amp;L Mensal'!$F$1),MONTH('P&amp;L Mensal'!$F$1),1)</f>
        <v>46082</v>
      </c>
      <c r="C264" s="23">
        <f>'P&amp;L Mensal'!$F$1</f>
        <v>46112</v>
      </c>
      <c r="D264" s="23">
        <f>'P&amp;L Mensal'!$F$1</f>
        <v>46112</v>
      </c>
      <c r="E264" t="str">
        <f>TEXT('P&amp;L Mensal'!$F$1,"mmm/yyyy")</f>
        <v>mar/yyyy</v>
      </c>
      <c r="F264" t="s">
        <v>34</v>
      </c>
      <c r="G264" t="s">
        <v>205</v>
      </c>
      <c r="H264" t="s">
        <v>549</v>
      </c>
      <c r="I264" s="104" t="str">
        <f>'P&amp;L Mensal'!E33</f>
        <v>-</v>
      </c>
      <c r="J264" t="s">
        <v>545</v>
      </c>
      <c r="K264" t="s">
        <v>812</v>
      </c>
      <c r="L264">
        <v>33</v>
      </c>
    </row>
    <row r="265" spans="1:12" ht="18" customHeight="1" x14ac:dyDescent="0.25">
      <c r="A265" t="s">
        <v>544</v>
      </c>
      <c r="B265" s="23">
        <f>DATE(YEAR('P&amp;L Mensal'!$F$1),MONTH('P&amp;L Mensal'!$F$1),1)</f>
        <v>46082</v>
      </c>
      <c r="C265" s="23">
        <f>'P&amp;L Mensal'!$F$1</f>
        <v>46112</v>
      </c>
      <c r="D265" s="23">
        <f>'P&amp;L Mensal'!$F$1</f>
        <v>46112</v>
      </c>
      <c r="E265" t="str">
        <f>TEXT('P&amp;L Mensal'!$F$1,"mmm/yyyy")</f>
        <v>mar/yyyy</v>
      </c>
      <c r="F265" t="s">
        <v>34</v>
      </c>
      <c r="G265" t="s">
        <v>220</v>
      </c>
      <c r="H265" t="s">
        <v>5</v>
      </c>
      <c r="I265" s="429">
        <f>'P&amp;L Mensal'!F33</f>
        <v>0</v>
      </c>
      <c r="J265" t="s">
        <v>545</v>
      </c>
      <c r="K265" t="s">
        <v>813</v>
      </c>
      <c r="L265">
        <v>33</v>
      </c>
    </row>
    <row r="266" spans="1:12" ht="18" customHeight="1" x14ac:dyDescent="0.25">
      <c r="A266" t="s">
        <v>544</v>
      </c>
      <c r="B266" s="23">
        <f>DATE(YEAR('P&amp;L Mensal'!$F$1),MONTH('P&amp;L Mensal'!$F$1),1)</f>
        <v>46082</v>
      </c>
      <c r="C266" s="23">
        <f>'P&amp;L Mensal'!$F$1</f>
        <v>46112</v>
      </c>
      <c r="D266" s="23">
        <f>'P&amp;L Mensal'!$F$1</f>
        <v>46112</v>
      </c>
      <c r="E266" t="str">
        <f>TEXT('P&amp;L Mensal'!$F$1,"mmm/yyyy")</f>
        <v>mar/yyyy</v>
      </c>
      <c r="F266" t="s">
        <v>34</v>
      </c>
      <c r="G266" t="s">
        <v>220</v>
      </c>
      <c r="H266" t="s">
        <v>6</v>
      </c>
      <c r="I266" s="429">
        <f>'P&amp;L Mensal'!G33</f>
        <v>0</v>
      </c>
      <c r="J266" t="s">
        <v>545</v>
      </c>
      <c r="K266" t="s">
        <v>814</v>
      </c>
      <c r="L266">
        <v>33</v>
      </c>
    </row>
    <row r="267" spans="1:12" ht="18" customHeight="1" x14ac:dyDescent="0.25">
      <c r="A267" t="s">
        <v>544</v>
      </c>
      <c r="B267" s="23">
        <f>DATE(YEAR('P&amp;L Mensal'!$F$1),MONTH('P&amp;L Mensal'!$F$1),1)</f>
        <v>46082</v>
      </c>
      <c r="C267" s="23">
        <f>'P&amp;L Mensal'!$F$1</f>
        <v>46112</v>
      </c>
      <c r="D267" s="23">
        <f>'P&amp;L Mensal'!$F$1</f>
        <v>46112</v>
      </c>
      <c r="E267" t="str">
        <f>TEXT('P&amp;L Mensal'!$F$1,"mmm/yyyy")</f>
        <v>mar/yyyy</v>
      </c>
      <c r="F267" t="s">
        <v>34</v>
      </c>
      <c r="G267" t="s">
        <v>220</v>
      </c>
      <c r="H267" t="s">
        <v>549</v>
      </c>
      <c r="I267" s="104" t="str">
        <f>'P&amp;L Mensal'!H33</f>
        <v>-</v>
      </c>
      <c r="J267" t="s">
        <v>545</v>
      </c>
      <c r="K267" t="s">
        <v>815</v>
      </c>
      <c r="L267">
        <v>33</v>
      </c>
    </row>
    <row r="268" spans="1:12" ht="18" customHeight="1" x14ac:dyDescent="0.25">
      <c r="A268" t="s">
        <v>544</v>
      </c>
      <c r="B268" s="23">
        <f>DATE(YEAR('P&amp;L Mensal'!$F$1),MONTH('P&amp;L Mensal'!$F$1),1)</f>
        <v>46082</v>
      </c>
      <c r="C268" s="23">
        <f>'P&amp;L Mensal'!$F$1</f>
        <v>46112</v>
      </c>
      <c r="D268" s="23">
        <f>'P&amp;L Mensal'!$F$1</f>
        <v>46112</v>
      </c>
      <c r="E268" t="str">
        <f>TEXT('P&amp;L Mensal'!$F$1,"mmm/yyyy")</f>
        <v>mar/yyyy</v>
      </c>
      <c r="F268" t="s">
        <v>34</v>
      </c>
      <c r="G268" t="s">
        <v>96</v>
      </c>
      <c r="H268" t="s">
        <v>5</v>
      </c>
      <c r="I268" s="429">
        <f>'P&amp;L Mensal'!I33</f>
        <v>0</v>
      </c>
      <c r="J268" t="s">
        <v>545</v>
      </c>
      <c r="K268" t="s">
        <v>816</v>
      </c>
      <c r="L268">
        <v>33</v>
      </c>
    </row>
    <row r="269" spans="1:12" ht="18" customHeight="1" x14ac:dyDescent="0.25">
      <c r="A269" t="s">
        <v>544</v>
      </c>
      <c r="B269" s="23">
        <f>DATE(YEAR('P&amp;L Mensal'!$F$1),MONTH('P&amp;L Mensal'!$F$1),1)</f>
        <v>46082</v>
      </c>
      <c r="C269" s="23">
        <f>'P&amp;L Mensal'!$F$1</f>
        <v>46112</v>
      </c>
      <c r="D269" s="23">
        <f>'P&amp;L Mensal'!$F$1</f>
        <v>46112</v>
      </c>
      <c r="E269" t="str">
        <f>TEXT('P&amp;L Mensal'!$F$1,"mmm/yyyy")</f>
        <v>mar/yyyy</v>
      </c>
      <c r="F269" t="s">
        <v>34</v>
      </c>
      <c r="G269" t="s">
        <v>96</v>
      </c>
      <c r="H269" t="s">
        <v>6</v>
      </c>
      <c r="I269" s="429">
        <f>'P&amp;L Mensal'!J33</f>
        <v>0</v>
      </c>
      <c r="J269" t="s">
        <v>545</v>
      </c>
      <c r="K269" t="s">
        <v>817</v>
      </c>
      <c r="L269">
        <v>33</v>
      </c>
    </row>
    <row r="270" spans="1:12" ht="18" customHeight="1" x14ac:dyDescent="0.25">
      <c r="A270" t="s">
        <v>544</v>
      </c>
      <c r="B270" s="23">
        <f>DATE(YEAR('P&amp;L Mensal'!$F$1),MONTH('P&amp;L Mensal'!$F$1),1)</f>
        <v>46082</v>
      </c>
      <c r="C270" s="23">
        <f>'P&amp;L Mensal'!$F$1</f>
        <v>46112</v>
      </c>
      <c r="D270" s="23">
        <f>'P&amp;L Mensal'!$F$1</f>
        <v>46112</v>
      </c>
      <c r="E270" t="str">
        <f>TEXT('P&amp;L Mensal'!$F$1,"mmm/yyyy")</f>
        <v>mar/yyyy</v>
      </c>
      <c r="F270" t="s">
        <v>34</v>
      </c>
      <c r="G270" t="s">
        <v>96</v>
      </c>
      <c r="H270" t="s">
        <v>549</v>
      </c>
      <c r="I270" s="104" t="str">
        <f>'P&amp;L Mensal'!K33</f>
        <v>-</v>
      </c>
      <c r="J270" t="s">
        <v>545</v>
      </c>
      <c r="K270" t="s">
        <v>818</v>
      </c>
      <c r="L270">
        <v>33</v>
      </c>
    </row>
    <row r="271" spans="1:12" ht="18" customHeight="1" x14ac:dyDescent="0.25">
      <c r="A271" t="s">
        <v>544</v>
      </c>
      <c r="B271" s="23">
        <f>DATE(YEAR('P&amp;L Mensal'!$F$1),MONTH('P&amp;L Mensal'!$F$1),1)</f>
        <v>46082</v>
      </c>
      <c r="C271" s="23">
        <f>'P&amp;L Mensal'!$F$1</f>
        <v>46112</v>
      </c>
      <c r="D271" s="23">
        <f>'P&amp;L Mensal'!$F$1</f>
        <v>46112</v>
      </c>
      <c r="E271" t="str">
        <f>TEXT('P&amp;L Mensal'!$F$1,"mmm/yyyy")</f>
        <v>mar/yyyy</v>
      </c>
      <c r="F271" t="s">
        <v>34</v>
      </c>
      <c r="G271" t="s">
        <v>96</v>
      </c>
      <c r="H271" t="s">
        <v>557</v>
      </c>
      <c r="I271" s="429">
        <f>'P&amp;L Mensal'!L33</f>
        <v>0</v>
      </c>
      <c r="J271" t="s">
        <v>545</v>
      </c>
      <c r="K271" t="s">
        <v>819</v>
      </c>
      <c r="L271">
        <v>33</v>
      </c>
    </row>
    <row r="272" spans="1:12" ht="18" customHeight="1" x14ac:dyDescent="0.25">
      <c r="A272" t="s">
        <v>544</v>
      </c>
      <c r="B272" s="23">
        <f>DATE(YEAR('P&amp;L Mensal'!$F$1),MONTH('P&amp;L Mensal'!$F$1),1)</f>
        <v>46082</v>
      </c>
      <c r="C272" s="23">
        <f>'P&amp;L Mensal'!$F$1</f>
        <v>46112</v>
      </c>
      <c r="D272" s="23">
        <f>'P&amp;L Mensal'!$F$1</f>
        <v>46112</v>
      </c>
      <c r="E272" t="str">
        <f>TEXT('P&amp;L Mensal'!$F$1,"mmm/yyyy")</f>
        <v>mar/yyyy</v>
      </c>
      <c r="F272" t="s">
        <v>35</v>
      </c>
      <c r="G272" t="s">
        <v>205</v>
      </c>
      <c r="H272" t="s">
        <v>5</v>
      </c>
      <c r="I272" s="429">
        <f>'P&amp;L Mensal'!C34</f>
        <v>2242918.4024075819</v>
      </c>
      <c r="J272" t="s">
        <v>545</v>
      </c>
      <c r="K272" t="s">
        <v>820</v>
      </c>
      <c r="L272">
        <v>34</v>
      </c>
    </row>
    <row r="273" spans="1:12" ht="18" customHeight="1" x14ac:dyDescent="0.25">
      <c r="A273" t="s">
        <v>544</v>
      </c>
      <c r="B273" s="23">
        <f>DATE(YEAR('P&amp;L Mensal'!$F$1),MONTH('P&amp;L Mensal'!$F$1),1)</f>
        <v>46082</v>
      </c>
      <c r="C273" s="23">
        <f>'P&amp;L Mensal'!$F$1</f>
        <v>46112</v>
      </c>
      <c r="D273" s="23">
        <f>'P&amp;L Mensal'!$F$1</f>
        <v>46112</v>
      </c>
      <c r="E273" t="str">
        <f>TEXT('P&amp;L Mensal'!$F$1,"mmm/yyyy")</f>
        <v>mar/yyyy</v>
      </c>
      <c r="F273" t="s">
        <v>35</v>
      </c>
      <c r="G273" t="s">
        <v>205</v>
      </c>
      <c r="H273" t="s">
        <v>6</v>
      </c>
      <c r="I273" s="429">
        <f>'P&amp;L Mensal'!D34</f>
        <v>2392050.8426418849</v>
      </c>
      <c r="J273" t="s">
        <v>545</v>
      </c>
      <c r="K273" t="s">
        <v>821</v>
      </c>
      <c r="L273">
        <v>34</v>
      </c>
    </row>
    <row r="274" spans="1:12" ht="18" customHeight="1" x14ac:dyDescent="0.25">
      <c r="A274" t="s">
        <v>544</v>
      </c>
      <c r="B274" s="23">
        <f>DATE(YEAR('P&amp;L Mensal'!$F$1),MONTH('P&amp;L Mensal'!$F$1),1)</f>
        <v>46082</v>
      </c>
      <c r="C274" s="23">
        <f>'P&amp;L Mensal'!$F$1</f>
        <v>46112</v>
      </c>
      <c r="D274" s="23">
        <f>'P&amp;L Mensal'!$F$1</f>
        <v>46112</v>
      </c>
      <c r="E274" t="str">
        <f>TEXT('P&amp;L Mensal'!$F$1,"mmm/yyyy")</f>
        <v>mar/yyyy</v>
      </c>
      <c r="F274" t="s">
        <v>35</v>
      </c>
      <c r="G274" t="s">
        <v>205</v>
      </c>
      <c r="H274" t="s">
        <v>549</v>
      </c>
      <c r="I274" s="104">
        <f>'P&amp;L Mensal'!E34</f>
        <v>-6.234501272957671E-2</v>
      </c>
      <c r="J274" t="s">
        <v>545</v>
      </c>
      <c r="K274" t="s">
        <v>822</v>
      </c>
      <c r="L274">
        <v>34</v>
      </c>
    </row>
    <row r="275" spans="1:12" ht="18" customHeight="1" x14ac:dyDescent="0.25">
      <c r="A275" t="s">
        <v>544</v>
      </c>
      <c r="B275" s="23">
        <f>DATE(YEAR('P&amp;L Mensal'!$F$1),MONTH('P&amp;L Mensal'!$F$1),1)</f>
        <v>46082</v>
      </c>
      <c r="C275" s="23">
        <f>'P&amp;L Mensal'!$F$1</f>
        <v>46112</v>
      </c>
      <c r="D275" s="23">
        <f>'P&amp;L Mensal'!$F$1</f>
        <v>46112</v>
      </c>
      <c r="E275" t="str">
        <f>TEXT('P&amp;L Mensal'!$F$1,"mmm/yyyy")</f>
        <v>mar/yyyy</v>
      </c>
      <c r="F275" t="s">
        <v>35</v>
      </c>
      <c r="G275" t="s">
        <v>220</v>
      </c>
      <c r="H275" t="s">
        <v>5</v>
      </c>
      <c r="I275" s="429">
        <f>'P&amp;L Mensal'!F34</f>
        <v>14600599.717592429</v>
      </c>
      <c r="J275" t="s">
        <v>545</v>
      </c>
      <c r="K275" t="s">
        <v>823</v>
      </c>
      <c r="L275">
        <v>34</v>
      </c>
    </row>
    <row r="276" spans="1:12" ht="18" customHeight="1" x14ac:dyDescent="0.25">
      <c r="A276" t="s">
        <v>544</v>
      </c>
      <c r="B276" s="23">
        <f>DATE(YEAR('P&amp;L Mensal'!$F$1),MONTH('P&amp;L Mensal'!$F$1),1)</f>
        <v>46082</v>
      </c>
      <c r="C276" s="23">
        <f>'P&amp;L Mensal'!$F$1</f>
        <v>46112</v>
      </c>
      <c r="D276" s="23">
        <f>'P&amp;L Mensal'!$F$1</f>
        <v>46112</v>
      </c>
      <c r="E276" t="str">
        <f>TEXT('P&amp;L Mensal'!$F$1,"mmm/yyyy")</f>
        <v>mar/yyyy</v>
      </c>
      <c r="F276" t="s">
        <v>35</v>
      </c>
      <c r="G276" t="s">
        <v>220</v>
      </c>
      <c r="H276" t="s">
        <v>6</v>
      </c>
      <c r="I276" s="429">
        <f>'P&amp;L Mensal'!G34</f>
        <v>12271815.549408026</v>
      </c>
      <c r="J276" t="s">
        <v>545</v>
      </c>
      <c r="K276" t="s">
        <v>824</v>
      </c>
      <c r="L276">
        <v>34</v>
      </c>
    </row>
    <row r="277" spans="1:12" ht="18" customHeight="1" x14ac:dyDescent="0.25">
      <c r="A277" t="s">
        <v>544</v>
      </c>
      <c r="B277" s="23">
        <f>DATE(YEAR('P&amp;L Mensal'!$F$1),MONTH('P&amp;L Mensal'!$F$1),1)</f>
        <v>46082</v>
      </c>
      <c r="C277" s="23">
        <f>'P&amp;L Mensal'!$F$1</f>
        <v>46112</v>
      </c>
      <c r="D277" s="23">
        <f>'P&amp;L Mensal'!$F$1</f>
        <v>46112</v>
      </c>
      <c r="E277" t="str">
        <f>TEXT('P&amp;L Mensal'!$F$1,"mmm/yyyy")</f>
        <v>mar/yyyy</v>
      </c>
      <c r="F277" t="s">
        <v>35</v>
      </c>
      <c r="G277" t="s">
        <v>220</v>
      </c>
      <c r="H277" t="s">
        <v>549</v>
      </c>
      <c r="I277" s="104">
        <f>'P&amp;L Mensal'!H34</f>
        <v>0.18976688158393484</v>
      </c>
      <c r="J277" t="s">
        <v>545</v>
      </c>
      <c r="K277" t="s">
        <v>825</v>
      </c>
      <c r="L277">
        <v>34</v>
      </c>
    </row>
    <row r="278" spans="1:12" ht="18" customHeight="1" x14ac:dyDescent="0.25">
      <c r="A278" t="s">
        <v>544</v>
      </c>
      <c r="B278" s="23">
        <f>DATE(YEAR('P&amp;L Mensal'!$F$1),MONTH('P&amp;L Mensal'!$F$1),1)</f>
        <v>46082</v>
      </c>
      <c r="C278" s="23">
        <f>'P&amp;L Mensal'!$F$1</f>
        <v>46112</v>
      </c>
      <c r="D278" s="23">
        <f>'P&amp;L Mensal'!$F$1</f>
        <v>46112</v>
      </c>
      <c r="E278" t="str">
        <f>TEXT('P&amp;L Mensal'!$F$1,"mmm/yyyy")</f>
        <v>mar/yyyy</v>
      </c>
      <c r="F278" t="s">
        <v>35</v>
      </c>
      <c r="G278" t="s">
        <v>96</v>
      </c>
      <c r="H278" t="s">
        <v>5</v>
      </c>
      <c r="I278" s="429">
        <f>'P&amp;L Mensal'!I34</f>
        <v>16843518.120000012</v>
      </c>
      <c r="J278" t="s">
        <v>545</v>
      </c>
      <c r="K278" t="s">
        <v>826</v>
      </c>
      <c r="L278">
        <v>34</v>
      </c>
    </row>
    <row r="279" spans="1:12" ht="18" customHeight="1" x14ac:dyDescent="0.25">
      <c r="A279" t="s">
        <v>544</v>
      </c>
      <c r="B279" s="23">
        <f>DATE(YEAR('P&amp;L Mensal'!$F$1),MONTH('P&amp;L Mensal'!$F$1),1)</f>
        <v>46082</v>
      </c>
      <c r="C279" s="23">
        <f>'P&amp;L Mensal'!$F$1</f>
        <v>46112</v>
      </c>
      <c r="D279" s="23">
        <f>'P&amp;L Mensal'!$F$1</f>
        <v>46112</v>
      </c>
      <c r="E279" t="str">
        <f>TEXT('P&amp;L Mensal'!$F$1,"mmm/yyyy")</f>
        <v>mar/yyyy</v>
      </c>
      <c r="F279" t="s">
        <v>35</v>
      </c>
      <c r="G279" t="s">
        <v>96</v>
      </c>
      <c r="H279" t="s">
        <v>6</v>
      </c>
      <c r="I279" s="429">
        <f>'P&amp;L Mensal'!J34</f>
        <v>14663866.392049905</v>
      </c>
      <c r="J279" t="s">
        <v>545</v>
      </c>
      <c r="K279" t="s">
        <v>827</v>
      </c>
      <c r="L279">
        <v>34</v>
      </c>
    </row>
    <row r="280" spans="1:12" ht="18" customHeight="1" x14ac:dyDescent="0.25">
      <c r="A280" t="s">
        <v>544</v>
      </c>
      <c r="B280" s="23">
        <f>DATE(YEAR('P&amp;L Mensal'!$F$1),MONTH('P&amp;L Mensal'!$F$1),1)</f>
        <v>46082</v>
      </c>
      <c r="C280" s="23">
        <f>'P&amp;L Mensal'!$F$1</f>
        <v>46112</v>
      </c>
      <c r="D280" s="23">
        <f>'P&amp;L Mensal'!$F$1</f>
        <v>46112</v>
      </c>
      <c r="E280" t="str">
        <f>TEXT('P&amp;L Mensal'!$F$1,"mmm/yyyy")</f>
        <v>mar/yyyy</v>
      </c>
      <c r="F280" t="s">
        <v>35</v>
      </c>
      <c r="G280" t="s">
        <v>96</v>
      </c>
      <c r="H280" t="s">
        <v>549</v>
      </c>
      <c r="I280" s="104">
        <f>'P&amp;L Mensal'!K34</f>
        <v>0.14864099751562221</v>
      </c>
      <c r="J280" t="s">
        <v>545</v>
      </c>
      <c r="K280" t="s">
        <v>828</v>
      </c>
      <c r="L280">
        <v>34</v>
      </c>
    </row>
    <row r="281" spans="1:12" ht="18" customHeight="1" x14ac:dyDescent="0.25">
      <c r="A281" t="s">
        <v>544</v>
      </c>
      <c r="B281" s="23">
        <f>DATE(YEAR('P&amp;L Mensal'!$F$1),MONTH('P&amp;L Mensal'!$F$1),1)</f>
        <v>46082</v>
      </c>
      <c r="C281" s="23">
        <f>'P&amp;L Mensal'!$F$1</f>
        <v>46112</v>
      </c>
      <c r="D281" s="23">
        <f>'P&amp;L Mensal'!$F$1</f>
        <v>46112</v>
      </c>
      <c r="E281" t="str">
        <f>TEXT('P&amp;L Mensal'!$F$1,"mmm/yyyy")</f>
        <v>mar/yyyy</v>
      </c>
      <c r="F281" t="s">
        <v>35</v>
      </c>
      <c r="G281" t="s">
        <v>96</v>
      </c>
      <c r="H281" t="s">
        <v>557</v>
      </c>
      <c r="I281" s="429">
        <f>'P&amp;L Mensal'!L34</f>
        <v>2179651.7279501073</v>
      </c>
      <c r="J281" t="s">
        <v>545</v>
      </c>
      <c r="K281" t="s">
        <v>829</v>
      </c>
      <c r="L281">
        <v>34</v>
      </c>
    </row>
    <row r="282" spans="1:12" ht="18" customHeight="1" x14ac:dyDescent="0.25">
      <c r="A282" t="s">
        <v>544</v>
      </c>
      <c r="B282" s="23">
        <f>DATE(YEAR('P&amp;L Mensal'!$F$1),MONTH('P&amp;L Mensal'!$F$1),1)</f>
        <v>46082</v>
      </c>
      <c r="C282" s="23">
        <f>'P&amp;L Mensal'!$F$1</f>
        <v>46112</v>
      </c>
      <c r="D282" s="23">
        <f>'P&amp;L Mensal'!$F$1</f>
        <v>46112</v>
      </c>
      <c r="E282" t="str">
        <f>TEXT('P&amp;L Mensal'!$F$1,"mmm/yyyy")</f>
        <v>mar/yyyy</v>
      </c>
      <c r="F282" t="s">
        <v>36</v>
      </c>
      <c r="G282" t="s">
        <v>205</v>
      </c>
      <c r="H282" t="s">
        <v>5</v>
      </c>
      <c r="I282" s="429">
        <f>'P&amp;L Mensal'!C35</f>
        <v>-466515.01000000298</v>
      </c>
      <c r="J282" t="s">
        <v>545</v>
      </c>
      <c r="K282" t="s">
        <v>830</v>
      </c>
      <c r="L282">
        <v>35</v>
      </c>
    </row>
    <row r="283" spans="1:12" ht="18" customHeight="1" x14ac:dyDescent="0.25">
      <c r="A283" t="s">
        <v>544</v>
      </c>
      <c r="B283" s="23">
        <f>DATE(YEAR('P&amp;L Mensal'!$F$1),MONTH('P&amp;L Mensal'!$F$1),1)</f>
        <v>46082</v>
      </c>
      <c r="C283" s="23">
        <f>'P&amp;L Mensal'!$F$1</f>
        <v>46112</v>
      </c>
      <c r="D283" s="23">
        <f>'P&amp;L Mensal'!$F$1</f>
        <v>46112</v>
      </c>
      <c r="E283" t="str">
        <f>TEXT('P&amp;L Mensal'!$F$1,"mmm/yyyy")</f>
        <v>mar/yyyy</v>
      </c>
      <c r="F283" t="s">
        <v>36</v>
      </c>
      <c r="G283" t="s">
        <v>205</v>
      </c>
      <c r="H283" t="s">
        <v>6</v>
      </c>
      <c r="I283" s="429">
        <f>'P&amp;L Mensal'!D35</f>
        <v>-486890.13951879612</v>
      </c>
      <c r="J283" t="s">
        <v>545</v>
      </c>
      <c r="K283" t="s">
        <v>831</v>
      </c>
      <c r="L283">
        <v>35</v>
      </c>
    </row>
    <row r="284" spans="1:12" ht="18" customHeight="1" x14ac:dyDescent="0.25">
      <c r="A284" t="s">
        <v>544</v>
      </c>
      <c r="B284" s="23">
        <f>DATE(YEAR('P&amp;L Mensal'!$F$1),MONTH('P&amp;L Mensal'!$F$1),1)</f>
        <v>46082</v>
      </c>
      <c r="C284" s="23">
        <f>'P&amp;L Mensal'!$F$1</f>
        <v>46112</v>
      </c>
      <c r="D284" s="23">
        <f>'P&amp;L Mensal'!$F$1</f>
        <v>46112</v>
      </c>
      <c r="E284" t="str">
        <f>TEXT('P&amp;L Mensal'!$F$1,"mmm/yyyy")</f>
        <v>mar/yyyy</v>
      </c>
      <c r="F284" t="s">
        <v>36</v>
      </c>
      <c r="G284" t="s">
        <v>205</v>
      </c>
      <c r="H284" t="s">
        <v>549</v>
      </c>
      <c r="I284" s="104">
        <f>'P&amp;L Mensal'!E35</f>
        <v>-4.1847488509277109E-2</v>
      </c>
      <c r="J284" t="s">
        <v>545</v>
      </c>
      <c r="K284" t="s">
        <v>832</v>
      </c>
      <c r="L284">
        <v>35</v>
      </c>
    </row>
    <row r="285" spans="1:12" ht="18" customHeight="1" x14ac:dyDescent="0.25">
      <c r="A285" t="s">
        <v>544</v>
      </c>
      <c r="B285" s="23">
        <f>DATE(YEAR('P&amp;L Mensal'!$F$1),MONTH('P&amp;L Mensal'!$F$1),1)</f>
        <v>46082</v>
      </c>
      <c r="C285" s="23">
        <f>'P&amp;L Mensal'!$F$1</f>
        <v>46112</v>
      </c>
      <c r="D285" s="23">
        <f>'P&amp;L Mensal'!$F$1</f>
        <v>46112</v>
      </c>
      <c r="E285" t="str">
        <f>TEXT('P&amp;L Mensal'!$F$1,"mmm/yyyy")</f>
        <v>mar/yyyy</v>
      </c>
      <c r="F285" t="s">
        <v>36</v>
      </c>
      <c r="G285" t="s">
        <v>220</v>
      </c>
      <c r="H285" t="s">
        <v>5</v>
      </c>
      <c r="I285" s="429">
        <f>'P&amp;L Mensal'!F35</f>
        <v>-1829214.4199999911</v>
      </c>
      <c r="J285" t="s">
        <v>545</v>
      </c>
      <c r="K285" t="s">
        <v>833</v>
      </c>
      <c r="L285">
        <v>35</v>
      </c>
    </row>
    <row r="286" spans="1:12" ht="18" customHeight="1" x14ac:dyDescent="0.25">
      <c r="A286" t="s">
        <v>544</v>
      </c>
      <c r="B286" s="23">
        <f>DATE(YEAR('P&amp;L Mensal'!$F$1),MONTH('P&amp;L Mensal'!$F$1),1)</f>
        <v>46082</v>
      </c>
      <c r="C286" s="23">
        <f>'P&amp;L Mensal'!$F$1</f>
        <v>46112</v>
      </c>
      <c r="D286" s="23">
        <f>'P&amp;L Mensal'!$F$1</f>
        <v>46112</v>
      </c>
      <c r="E286" t="str">
        <f>TEXT('P&amp;L Mensal'!$F$1,"mmm/yyyy")</f>
        <v>mar/yyyy</v>
      </c>
      <c r="F286" t="s">
        <v>36</v>
      </c>
      <c r="G286" t="s">
        <v>220</v>
      </c>
      <c r="H286" t="s">
        <v>6</v>
      </c>
      <c r="I286" s="429">
        <f>'P&amp;L Mensal'!G35</f>
        <v>-2394625.696087528</v>
      </c>
      <c r="J286" t="s">
        <v>545</v>
      </c>
      <c r="K286" t="s">
        <v>834</v>
      </c>
      <c r="L286">
        <v>35</v>
      </c>
    </row>
    <row r="287" spans="1:12" ht="18" customHeight="1" x14ac:dyDescent="0.25">
      <c r="A287" t="s">
        <v>544</v>
      </c>
      <c r="B287" s="23">
        <f>DATE(YEAR('P&amp;L Mensal'!$F$1),MONTH('P&amp;L Mensal'!$F$1),1)</f>
        <v>46082</v>
      </c>
      <c r="C287" s="23">
        <f>'P&amp;L Mensal'!$F$1</f>
        <v>46112</v>
      </c>
      <c r="D287" s="23">
        <f>'P&amp;L Mensal'!$F$1</f>
        <v>46112</v>
      </c>
      <c r="E287" t="str">
        <f>TEXT('P&amp;L Mensal'!$F$1,"mmm/yyyy")</f>
        <v>mar/yyyy</v>
      </c>
      <c r="F287" t="s">
        <v>36</v>
      </c>
      <c r="G287" t="s">
        <v>220</v>
      </c>
      <c r="H287" t="s">
        <v>549</v>
      </c>
      <c r="I287" s="104">
        <f>'P&amp;L Mensal'!H35</f>
        <v>-0.23611676639540669</v>
      </c>
      <c r="J287" t="s">
        <v>545</v>
      </c>
      <c r="K287" t="s">
        <v>835</v>
      </c>
      <c r="L287">
        <v>35</v>
      </c>
    </row>
    <row r="288" spans="1:12" ht="18" customHeight="1" x14ac:dyDescent="0.25">
      <c r="A288" t="s">
        <v>544</v>
      </c>
      <c r="B288" s="23">
        <f>DATE(YEAR('P&amp;L Mensal'!$F$1),MONTH('P&amp;L Mensal'!$F$1),1)</f>
        <v>46082</v>
      </c>
      <c r="C288" s="23">
        <f>'P&amp;L Mensal'!$F$1</f>
        <v>46112</v>
      </c>
      <c r="D288" s="23">
        <f>'P&amp;L Mensal'!$F$1</f>
        <v>46112</v>
      </c>
      <c r="E288" t="str">
        <f>TEXT('P&amp;L Mensal'!$F$1,"mmm/yyyy")</f>
        <v>mar/yyyy</v>
      </c>
      <c r="F288" t="s">
        <v>36</v>
      </c>
      <c r="G288" t="s">
        <v>96</v>
      </c>
      <c r="H288" t="s">
        <v>5</v>
      </c>
      <c r="I288" s="429">
        <f>'P&amp;L Mensal'!I35</f>
        <v>-2295729.4299999941</v>
      </c>
      <c r="J288" t="s">
        <v>545</v>
      </c>
      <c r="K288" t="s">
        <v>836</v>
      </c>
      <c r="L288">
        <v>35</v>
      </c>
    </row>
    <row r="289" spans="1:12" ht="18" customHeight="1" x14ac:dyDescent="0.25">
      <c r="A289" t="s">
        <v>544</v>
      </c>
      <c r="B289" s="23">
        <f>DATE(YEAR('P&amp;L Mensal'!$F$1),MONTH('P&amp;L Mensal'!$F$1),1)</f>
        <v>46082</v>
      </c>
      <c r="C289" s="23">
        <f>'P&amp;L Mensal'!$F$1</f>
        <v>46112</v>
      </c>
      <c r="D289" s="23">
        <f>'P&amp;L Mensal'!$F$1</f>
        <v>46112</v>
      </c>
      <c r="E289" t="str">
        <f>TEXT('P&amp;L Mensal'!$F$1,"mmm/yyyy")</f>
        <v>mar/yyyy</v>
      </c>
      <c r="F289" t="s">
        <v>36</v>
      </c>
      <c r="G289" t="s">
        <v>96</v>
      </c>
      <c r="H289" t="s">
        <v>6</v>
      </c>
      <c r="I289" s="429">
        <f>'P&amp;L Mensal'!J35</f>
        <v>-2881515.835606324</v>
      </c>
      <c r="J289" t="s">
        <v>545</v>
      </c>
      <c r="K289" t="s">
        <v>837</v>
      </c>
      <c r="L289">
        <v>35</v>
      </c>
    </row>
    <row r="290" spans="1:12" ht="18" customHeight="1" x14ac:dyDescent="0.25">
      <c r="A290" t="s">
        <v>544</v>
      </c>
      <c r="B290" s="23">
        <f>DATE(YEAR('P&amp;L Mensal'!$F$1),MONTH('P&amp;L Mensal'!$F$1),1)</f>
        <v>46082</v>
      </c>
      <c r="C290" s="23">
        <f>'P&amp;L Mensal'!$F$1</f>
        <v>46112</v>
      </c>
      <c r="D290" s="23">
        <f>'P&amp;L Mensal'!$F$1</f>
        <v>46112</v>
      </c>
      <c r="E290" t="str">
        <f>TEXT('P&amp;L Mensal'!$F$1,"mmm/yyyy")</f>
        <v>mar/yyyy</v>
      </c>
      <c r="F290" t="s">
        <v>36</v>
      </c>
      <c r="G290" t="s">
        <v>96</v>
      </c>
      <c r="H290" t="s">
        <v>549</v>
      </c>
      <c r="I290" s="104">
        <f>'P&amp;L Mensal'!K35</f>
        <v>-0.20329105895164012</v>
      </c>
      <c r="J290" t="s">
        <v>545</v>
      </c>
      <c r="K290" t="s">
        <v>838</v>
      </c>
      <c r="L290">
        <v>35</v>
      </c>
    </row>
    <row r="291" spans="1:12" ht="18" customHeight="1" x14ac:dyDescent="0.25">
      <c r="A291" t="s">
        <v>544</v>
      </c>
      <c r="B291" s="23">
        <f>DATE(YEAR('P&amp;L Mensal'!$F$1),MONTH('P&amp;L Mensal'!$F$1),1)</f>
        <v>46082</v>
      </c>
      <c r="C291" s="23">
        <f>'P&amp;L Mensal'!$F$1</f>
        <v>46112</v>
      </c>
      <c r="D291" s="23">
        <f>'P&amp;L Mensal'!$F$1</f>
        <v>46112</v>
      </c>
      <c r="E291" t="str">
        <f>TEXT('P&amp;L Mensal'!$F$1,"mmm/yyyy")</f>
        <v>mar/yyyy</v>
      </c>
      <c r="F291" t="s">
        <v>36</v>
      </c>
      <c r="G291" t="s">
        <v>96</v>
      </c>
      <c r="H291" t="s">
        <v>557</v>
      </c>
      <c r="I291" s="429">
        <f>'P&amp;L Mensal'!L35</f>
        <v>-585786.40560632991</v>
      </c>
      <c r="J291" t="s">
        <v>545</v>
      </c>
      <c r="K291" t="s">
        <v>839</v>
      </c>
      <c r="L291">
        <v>35</v>
      </c>
    </row>
    <row r="292" spans="1:12" ht="18" customHeight="1" x14ac:dyDescent="0.25">
      <c r="A292" t="s">
        <v>544</v>
      </c>
      <c r="B292" s="23">
        <f>DATE(YEAR('P&amp;L Mensal'!$F$1),MONTH('P&amp;L Mensal'!$F$1),1)</f>
        <v>46082</v>
      </c>
      <c r="C292" s="23">
        <f>'P&amp;L Mensal'!$F$1</f>
        <v>46112</v>
      </c>
      <c r="D292" s="23">
        <f>'P&amp;L Mensal'!$F$1</f>
        <v>46112</v>
      </c>
      <c r="E292" t="str">
        <f>TEXT('P&amp;L Mensal'!$F$1,"mmm/yyyy")</f>
        <v>mar/yyyy</v>
      </c>
      <c r="F292" t="s">
        <v>37</v>
      </c>
      <c r="G292" t="s">
        <v>205</v>
      </c>
      <c r="H292" t="s">
        <v>5</v>
      </c>
      <c r="I292" s="429">
        <f>'P&amp;L Mensal'!C36</f>
        <v>-40765.594797838887</v>
      </c>
      <c r="J292" t="s">
        <v>545</v>
      </c>
      <c r="K292" t="s">
        <v>840</v>
      </c>
      <c r="L292">
        <v>36</v>
      </c>
    </row>
    <row r="293" spans="1:12" ht="18" customHeight="1" x14ac:dyDescent="0.25">
      <c r="A293" t="s">
        <v>544</v>
      </c>
      <c r="B293" s="23">
        <f>DATE(YEAR('P&amp;L Mensal'!$F$1),MONTH('P&amp;L Mensal'!$F$1),1)</f>
        <v>46082</v>
      </c>
      <c r="C293" s="23">
        <f>'P&amp;L Mensal'!$F$1</f>
        <v>46112</v>
      </c>
      <c r="D293" s="23">
        <f>'P&amp;L Mensal'!$F$1</f>
        <v>46112</v>
      </c>
      <c r="E293" t="str">
        <f>TEXT('P&amp;L Mensal'!$F$1,"mmm/yyyy")</f>
        <v>mar/yyyy</v>
      </c>
      <c r="F293" t="s">
        <v>37</v>
      </c>
      <c r="G293" t="s">
        <v>205</v>
      </c>
      <c r="H293" t="s">
        <v>6</v>
      </c>
      <c r="I293" s="429">
        <f>'P&amp;L Mensal'!D36</f>
        <v>0</v>
      </c>
      <c r="J293" t="s">
        <v>545</v>
      </c>
      <c r="K293" t="s">
        <v>841</v>
      </c>
      <c r="L293">
        <v>36</v>
      </c>
    </row>
    <row r="294" spans="1:12" ht="18" customHeight="1" x14ac:dyDescent="0.25">
      <c r="A294" t="s">
        <v>544</v>
      </c>
      <c r="B294" s="23">
        <f>DATE(YEAR('P&amp;L Mensal'!$F$1),MONTH('P&amp;L Mensal'!$F$1),1)</f>
        <v>46082</v>
      </c>
      <c r="C294" s="23">
        <f>'P&amp;L Mensal'!$F$1</f>
        <v>46112</v>
      </c>
      <c r="D294" s="23">
        <f>'P&amp;L Mensal'!$F$1</f>
        <v>46112</v>
      </c>
      <c r="E294" t="str">
        <f>TEXT('P&amp;L Mensal'!$F$1,"mmm/yyyy")</f>
        <v>mar/yyyy</v>
      </c>
      <c r="F294" t="s">
        <v>37</v>
      </c>
      <c r="G294" t="s">
        <v>205</v>
      </c>
      <c r="H294" t="s">
        <v>549</v>
      </c>
      <c r="I294" s="104" t="str">
        <f>'P&amp;L Mensal'!E36</f>
        <v>-</v>
      </c>
      <c r="J294" t="s">
        <v>545</v>
      </c>
      <c r="K294" t="s">
        <v>842</v>
      </c>
      <c r="L294">
        <v>36</v>
      </c>
    </row>
    <row r="295" spans="1:12" ht="18" customHeight="1" x14ac:dyDescent="0.25">
      <c r="A295" t="s">
        <v>544</v>
      </c>
      <c r="B295" s="23">
        <f>DATE(YEAR('P&amp;L Mensal'!$F$1),MONTH('P&amp;L Mensal'!$F$1),1)</f>
        <v>46082</v>
      </c>
      <c r="C295" s="23">
        <f>'P&amp;L Mensal'!$F$1</f>
        <v>46112</v>
      </c>
      <c r="D295" s="23">
        <f>'P&amp;L Mensal'!$F$1</f>
        <v>46112</v>
      </c>
      <c r="E295" t="str">
        <f>TEXT('P&amp;L Mensal'!$F$1,"mmm/yyyy")</f>
        <v>mar/yyyy</v>
      </c>
      <c r="F295" t="s">
        <v>37</v>
      </c>
      <c r="G295" t="s">
        <v>220</v>
      </c>
      <c r="H295" t="s">
        <v>5</v>
      </c>
      <c r="I295" s="429">
        <f>'P&amp;L Mensal'!F36</f>
        <v>-144532.2652021609</v>
      </c>
      <c r="J295" t="s">
        <v>545</v>
      </c>
      <c r="K295" t="s">
        <v>843</v>
      </c>
      <c r="L295">
        <v>36</v>
      </c>
    </row>
    <row r="296" spans="1:12" ht="18" customHeight="1" x14ac:dyDescent="0.25">
      <c r="A296" t="s">
        <v>544</v>
      </c>
      <c r="B296" s="23">
        <f>DATE(YEAR('P&amp;L Mensal'!$F$1),MONTH('P&amp;L Mensal'!$F$1),1)</f>
        <v>46082</v>
      </c>
      <c r="C296" s="23">
        <f>'P&amp;L Mensal'!$F$1</f>
        <v>46112</v>
      </c>
      <c r="D296" s="23">
        <f>'P&amp;L Mensal'!$F$1</f>
        <v>46112</v>
      </c>
      <c r="E296" t="str">
        <f>TEXT('P&amp;L Mensal'!$F$1,"mmm/yyyy")</f>
        <v>mar/yyyy</v>
      </c>
      <c r="F296" t="s">
        <v>37</v>
      </c>
      <c r="G296" t="s">
        <v>220</v>
      </c>
      <c r="H296" t="s">
        <v>6</v>
      </c>
      <c r="I296" s="429">
        <f>'P&amp;L Mensal'!G36</f>
        <v>-233766.23376623381</v>
      </c>
      <c r="J296" t="s">
        <v>545</v>
      </c>
      <c r="K296" t="s">
        <v>844</v>
      </c>
      <c r="L296">
        <v>36</v>
      </c>
    </row>
    <row r="297" spans="1:12" ht="18" customHeight="1" x14ac:dyDescent="0.25">
      <c r="A297" t="s">
        <v>544</v>
      </c>
      <c r="B297" s="23">
        <f>DATE(YEAR('P&amp;L Mensal'!$F$1),MONTH('P&amp;L Mensal'!$F$1),1)</f>
        <v>46082</v>
      </c>
      <c r="C297" s="23">
        <f>'P&amp;L Mensal'!$F$1</f>
        <v>46112</v>
      </c>
      <c r="D297" s="23">
        <f>'P&amp;L Mensal'!$F$1</f>
        <v>46112</v>
      </c>
      <c r="E297" t="str">
        <f>TEXT('P&amp;L Mensal'!$F$1,"mmm/yyyy")</f>
        <v>mar/yyyy</v>
      </c>
      <c r="F297" t="s">
        <v>37</v>
      </c>
      <c r="G297" t="s">
        <v>220</v>
      </c>
      <c r="H297" t="s">
        <v>549</v>
      </c>
      <c r="I297" s="104">
        <f>'P&amp;L Mensal'!H36</f>
        <v>-0.38172308774631181</v>
      </c>
      <c r="J297" t="s">
        <v>545</v>
      </c>
      <c r="K297" t="s">
        <v>845</v>
      </c>
      <c r="L297">
        <v>36</v>
      </c>
    </row>
    <row r="298" spans="1:12" ht="18" customHeight="1" x14ac:dyDescent="0.25">
      <c r="A298" t="s">
        <v>544</v>
      </c>
      <c r="B298" s="23">
        <f>DATE(YEAR('P&amp;L Mensal'!$F$1),MONTH('P&amp;L Mensal'!$F$1),1)</f>
        <v>46082</v>
      </c>
      <c r="C298" s="23">
        <f>'P&amp;L Mensal'!$F$1</f>
        <v>46112</v>
      </c>
      <c r="D298" s="23">
        <f>'P&amp;L Mensal'!$F$1</f>
        <v>46112</v>
      </c>
      <c r="E298" t="str">
        <f>TEXT('P&amp;L Mensal'!$F$1,"mmm/yyyy")</f>
        <v>mar/yyyy</v>
      </c>
      <c r="F298" t="s">
        <v>37</v>
      </c>
      <c r="G298" t="s">
        <v>96</v>
      </c>
      <c r="H298" t="s">
        <v>5</v>
      </c>
      <c r="I298" s="429">
        <f>'P&amp;L Mensal'!I36</f>
        <v>-185297.85999999978</v>
      </c>
      <c r="J298" t="s">
        <v>545</v>
      </c>
      <c r="K298" t="s">
        <v>846</v>
      </c>
      <c r="L298">
        <v>36</v>
      </c>
    </row>
    <row r="299" spans="1:12" ht="18" customHeight="1" x14ac:dyDescent="0.25">
      <c r="A299" t="s">
        <v>544</v>
      </c>
      <c r="B299" s="23">
        <f>DATE(YEAR('P&amp;L Mensal'!$F$1),MONTH('P&amp;L Mensal'!$F$1),1)</f>
        <v>46082</v>
      </c>
      <c r="C299" s="23">
        <f>'P&amp;L Mensal'!$F$1</f>
        <v>46112</v>
      </c>
      <c r="D299" s="23">
        <f>'P&amp;L Mensal'!$F$1</f>
        <v>46112</v>
      </c>
      <c r="E299" t="str">
        <f>TEXT('P&amp;L Mensal'!$F$1,"mmm/yyyy")</f>
        <v>mar/yyyy</v>
      </c>
      <c r="F299" t="s">
        <v>37</v>
      </c>
      <c r="G299" t="s">
        <v>96</v>
      </c>
      <c r="H299" t="s">
        <v>6</v>
      </c>
      <c r="I299" s="429">
        <f>'P&amp;L Mensal'!J36</f>
        <v>-233766.23376623381</v>
      </c>
      <c r="J299" t="s">
        <v>545</v>
      </c>
      <c r="K299" t="s">
        <v>847</v>
      </c>
      <c r="L299">
        <v>36</v>
      </c>
    </row>
    <row r="300" spans="1:12" ht="18" customHeight="1" x14ac:dyDescent="0.25">
      <c r="A300" t="s">
        <v>544</v>
      </c>
      <c r="B300" s="23">
        <f>DATE(YEAR('P&amp;L Mensal'!$F$1),MONTH('P&amp;L Mensal'!$F$1),1)</f>
        <v>46082</v>
      </c>
      <c r="C300" s="23">
        <f>'P&amp;L Mensal'!$F$1</f>
        <v>46112</v>
      </c>
      <c r="D300" s="23">
        <f>'P&amp;L Mensal'!$F$1</f>
        <v>46112</v>
      </c>
      <c r="E300" t="str">
        <f>TEXT('P&amp;L Mensal'!$F$1,"mmm/yyyy")</f>
        <v>mar/yyyy</v>
      </c>
      <c r="F300" t="s">
        <v>37</v>
      </c>
      <c r="G300" t="s">
        <v>96</v>
      </c>
      <c r="H300" t="s">
        <v>549</v>
      </c>
      <c r="I300" s="104">
        <f>'P&amp;L Mensal'!K36</f>
        <v>-0.20733693222222327</v>
      </c>
      <c r="J300" t="s">
        <v>545</v>
      </c>
      <c r="K300" t="s">
        <v>848</v>
      </c>
      <c r="L300">
        <v>36</v>
      </c>
    </row>
    <row r="301" spans="1:12" ht="18" customHeight="1" x14ac:dyDescent="0.25">
      <c r="A301" t="s">
        <v>544</v>
      </c>
      <c r="B301" s="23">
        <f>DATE(YEAR('P&amp;L Mensal'!$F$1),MONTH('P&amp;L Mensal'!$F$1),1)</f>
        <v>46082</v>
      </c>
      <c r="C301" s="23">
        <f>'P&amp;L Mensal'!$F$1</f>
        <v>46112</v>
      </c>
      <c r="D301" s="23">
        <f>'P&amp;L Mensal'!$F$1</f>
        <v>46112</v>
      </c>
      <c r="E301" t="str">
        <f>TEXT('P&amp;L Mensal'!$F$1,"mmm/yyyy")</f>
        <v>mar/yyyy</v>
      </c>
      <c r="F301" t="s">
        <v>37</v>
      </c>
      <c r="G301" t="s">
        <v>96</v>
      </c>
      <c r="H301" t="s">
        <v>557</v>
      </c>
      <c r="I301" s="429">
        <f>'P&amp;L Mensal'!L36</f>
        <v>-48468.373766234028</v>
      </c>
      <c r="J301" t="s">
        <v>545</v>
      </c>
      <c r="K301" t="s">
        <v>849</v>
      </c>
      <c r="L301">
        <v>36</v>
      </c>
    </row>
    <row r="302" spans="1:12" ht="18" customHeight="1" x14ac:dyDescent="0.25">
      <c r="A302" t="s">
        <v>544</v>
      </c>
      <c r="B302" s="23">
        <f>DATE(YEAR('P&amp;L Mensal'!$F$1),MONTH('P&amp;L Mensal'!$F$1),1)</f>
        <v>46082</v>
      </c>
      <c r="C302" s="23">
        <f>'P&amp;L Mensal'!$F$1</f>
        <v>46112</v>
      </c>
      <c r="D302" s="23">
        <f>'P&amp;L Mensal'!$F$1</f>
        <v>46112</v>
      </c>
      <c r="E302" t="str">
        <f>TEXT('P&amp;L Mensal'!$F$1,"mmm/yyyy")</f>
        <v>mar/yyyy</v>
      </c>
      <c r="F302" t="s">
        <v>38</v>
      </c>
      <c r="G302" t="s">
        <v>205</v>
      </c>
      <c r="H302" t="s">
        <v>5</v>
      </c>
      <c r="I302" s="429">
        <f>'P&amp;L Mensal'!C37</f>
        <v>1735637.7976097399</v>
      </c>
      <c r="J302" t="s">
        <v>545</v>
      </c>
      <c r="K302" t="s">
        <v>850</v>
      </c>
      <c r="L302">
        <v>37</v>
      </c>
    </row>
    <row r="303" spans="1:12" ht="18" customHeight="1" x14ac:dyDescent="0.25">
      <c r="A303" t="s">
        <v>544</v>
      </c>
      <c r="B303" s="23">
        <f>DATE(YEAR('P&amp;L Mensal'!$F$1),MONTH('P&amp;L Mensal'!$F$1),1)</f>
        <v>46082</v>
      </c>
      <c r="C303" s="23">
        <f>'P&amp;L Mensal'!$F$1</f>
        <v>46112</v>
      </c>
      <c r="D303" s="23">
        <f>'P&amp;L Mensal'!$F$1</f>
        <v>46112</v>
      </c>
      <c r="E303" t="str">
        <f>TEXT('P&amp;L Mensal'!$F$1,"mmm/yyyy")</f>
        <v>mar/yyyy</v>
      </c>
      <c r="F303" t="s">
        <v>38</v>
      </c>
      <c r="G303" t="s">
        <v>205</v>
      </c>
      <c r="H303" t="s">
        <v>6</v>
      </c>
      <c r="I303" s="429">
        <f>'P&amp;L Mensal'!D37</f>
        <v>1905160.7031230889</v>
      </c>
      <c r="J303" t="s">
        <v>545</v>
      </c>
      <c r="K303" t="s">
        <v>851</v>
      </c>
      <c r="L303">
        <v>37</v>
      </c>
    </row>
    <row r="304" spans="1:12" ht="18" customHeight="1" x14ac:dyDescent="0.25">
      <c r="A304" t="s">
        <v>544</v>
      </c>
      <c r="B304" s="23">
        <f>DATE(YEAR('P&amp;L Mensal'!$F$1),MONTH('P&amp;L Mensal'!$F$1),1)</f>
        <v>46082</v>
      </c>
      <c r="C304" s="23">
        <f>'P&amp;L Mensal'!$F$1</f>
        <v>46112</v>
      </c>
      <c r="D304" s="23">
        <f>'P&amp;L Mensal'!$F$1</f>
        <v>46112</v>
      </c>
      <c r="E304" t="str">
        <f>TEXT('P&amp;L Mensal'!$F$1,"mmm/yyyy")</f>
        <v>mar/yyyy</v>
      </c>
      <c r="F304" t="s">
        <v>38</v>
      </c>
      <c r="G304" t="s">
        <v>205</v>
      </c>
      <c r="H304" t="s">
        <v>549</v>
      </c>
      <c r="I304" s="104">
        <f>'P&amp;L Mensal'!E37</f>
        <v>-8.8980895540965999E-2</v>
      </c>
      <c r="J304" t="s">
        <v>545</v>
      </c>
      <c r="K304" t="s">
        <v>852</v>
      </c>
      <c r="L304">
        <v>37</v>
      </c>
    </row>
    <row r="305" spans="1:12" ht="18" customHeight="1" x14ac:dyDescent="0.25">
      <c r="A305" t="s">
        <v>544</v>
      </c>
      <c r="B305" s="23">
        <f>DATE(YEAR('P&amp;L Mensal'!$F$1),MONTH('P&amp;L Mensal'!$F$1),1)</f>
        <v>46082</v>
      </c>
      <c r="C305" s="23">
        <f>'P&amp;L Mensal'!$F$1</f>
        <v>46112</v>
      </c>
      <c r="D305" s="23">
        <f>'P&amp;L Mensal'!$F$1</f>
        <v>46112</v>
      </c>
      <c r="E305" t="str">
        <f>TEXT('P&amp;L Mensal'!$F$1,"mmm/yyyy")</f>
        <v>mar/yyyy</v>
      </c>
      <c r="F305" t="s">
        <v>38</v>
      </c>
      <c r="G305" t="s">
        <v>220</v>
      </c>
      <c r="H305" t="s">
        <v>5</v>
      </c>
      <c r="I305" s="429">
        <f>'P&amp;L Mensal'!F37</f>
        <v>12626853.032390278</v>
      </c>
      <c r="J305" t="s">
        <v>545</v>
      </c>
      <c r="K305" t="s">
        <v>853</v>
      </c>
      <c r="L305">
        <v>37</v>
      </c>
    </row>
    <row r="306" spans="1:12" ht="18" customHeight="1" x14ac:dyDescent="0.25">
      <c r="A306" t="s">
        <v>544</v>
      </c>
      <c r="B306" s="23">
        <f>DATE(YEAR('P&amp;L Mensal'!$F$1),MONTH('P&amp;L Mensal'!$F$1),1)</f>
        <v>46082</v>
      </c>
      <c r="C306" s="23">
        <f>'P&amp;L Mensal'!$F$1</f>
        <v>46112</v>
      </c>
      <c r="D306" s="23">
        <f>'P&amp;L Mensal'!$F$1</f>
        <v>46112</v>
      </c>
      <c r="E306" t="str">
        <f>TEXT('P&amp;L Mensal'!$F$1,"mmm/yyyy")</f>
        <v>mar/yyyy</v>
      </c>
      <c r="F306" t="s">
        <v>38</v>
      </c>
      <c r="G306" t="s">
        <v>220</v>
      </c>
      <c r="H306" t="s">
        <v>6</v>
      </c>
      <c r="I306" s="429">
        <f>'P&amp;L Mensal'!G37</f>
        <v>9643423.6195542645</v>
      </c>
      <c r="J306" t="s">
        <v>545</v>
      </c>
      <c r="K306" t="s">
        <v>854</v>
      </c>
      <c r="L306">
        <v>37</v>
      </c>
    </row>
    <row r="307" spans="1:12" ht="18" customHeight="1" x14ac:dyDescent="0.25">
      <c r="A307" t="s">
        <v>544</v>
      </c>
      <c r="B307" s="23">
        <f>DATE(YEAR('P&amp;L Mensal'!$F$1),MONTH('P&amp;L Mensal'!$F$1),1)</f>
        <v>46082</v>
      </c>
      <c r="C307" s="23">
        <f>'P&amp;L Mensal'!$F$1</f>
        <v>46112</v>
      </c>
      <c r="D307" s="23">
        <f>'P&amp;L Mensal'!$F$1</f>
        <v>46112</v>
      </c>
      <c r="E307" t="str">
        <f>TEXT('P&amp;L Mensal'!$F$1,"mmm/yyyy")</f>
        <v>mar/yyyy</v>
      </c>
      <c r="F307" t="s">
        <v>38</v>
      </c>
      <c r="G307" t="s">
        <v>220</v>
      </c>
      <c r="H307" t="s">
        <v>549</v>
      </c>
      <c r="I307" s="104">
        <f>'P&amp;L Mensal'!H37</f>
        <v>0.30937450541801592</v>
      </c>
      <c r="J307" t="s">
        <v>545</v>
      </c>
      <c r="K307" t="s">
        <v>855</v>
      </c>
      <c r="L307">
        <v>37</v>
      </c>
    </row>
    <row r="308" spans="1:12" ht="18" customHeight="1" x14ac:dyDescent="0.25">
      <c r="A308" t="s">
        <v>544</v>
      </c>
      <c r="B308" s="23">
        <f>DATE(YEAR('P&amp;L Mensal'!$F$1),MONTH('P&amp;L Mensal'!$F$1),1)</f>
        <v>46082</v>
      </c>
      <c r="C308" s="23">
        <f>'P&amp;L Mensal'!$F$1</f>
        <v>46112</v>
      </c>
      <c r="D308" s="23">
        <f>'P&amp;L Mensal'!$F$1</f>
        <v>46112</v>
      </c>
      <c r="E308" t="str">
        <f>TEXT('P&amp;L Mensal'!$F$1,"mmm/yyyy")</f>
        <v>mar/yyyy</v>
      </c>
      <c r="F308" t="s">
        <v>38</v>
      </c>
      <c r="G308" t="s">
        <v>96</v>
      </c>
      <c r="H308" t="s">
        <v>5</v>
      </c>
      <c r="I308" s="429">
        <f>'P&amp;L Mensal'!I37</f>
        <v>14362490.830000019</v>
      </c>
      <c r="J308" t="s">
        <v>545</v>
      </c>
      <c r="K308" t="s">
        <v>856</v>
      </c>
      <c r="L308">
        <v>37</v>
      </c>
    </row>
    <row r="309" spans="1:12" ht="18" customHeight="1" x14ac:dyDescent="0.25">
      <c r="A309" t="s">
        <v>544</v>
      </c>
      <c r="B309" s="23">
        <f>DATE(YEAR('P&amp;L Mensal'!$F$1),MONTH('P&amp;L Mensal'!$F$1),1)</f>
        <v>46082</v>
      </c>
      <c r="C309" s="23">
        <f>'P&amp;L Mensal'!$F$1</f>
        <v>46112</v>
      </c>
      <c r="D309" s="23">
        <f>'P&amp;L Mensal'!$F$1</f>
        <v>46112</v>
      </c>
      <c r="E309" t="str">
        <f>TEXT('P&amp;L Mensal'!$F$1,"mmm/yyyy")</f>
        <v>mar/yyyy</v>
      </c>
      <c r="F309" t="s">
        <v>38</v>
      </c>
      <c r="G309" t="s">
        <v>96</v>
      </c>
      <c r="H309" t="s">
        <v>6</v>
      </c>
      <c r="I309" s="429">
        <f>'P&amp;L Mensal'!J37</f>
        <v>11548584.322677348</v>
      </c>
      <c r="J309" t="s">
        <v>545</v>
      </c>
      <c r="K309" t="s">
        <v>857</v>
      </c>
      <c r="L309">
        <v>37</v>
      </c>
    </row>
    <row r="310" spans="1:12" ht="18" customHeight="1" x14ac:dyDescent="0.25">
      <c r="A310" t="s">
        <v>544</v>
      </c>
      <c r="B310" s="23">
        <f>DATE(YEAR('P&amp;L Mensal'!$F$1),MONTH('P&amp;L Mensal'!$F$1),1)</f>
        <v>46082</v>
      </c>
      <c r="C310" s="23">
        <f>'P&amp;L Mensal'!$F$1</f>
        <v>46112</v>
      </c>
      <c r="D310" s="23">
        <f>'P&amp;L Mensal'!$F$1</f>
        <v>46112</v>
      </c>
      <c r="E310" t="str">
        <f>TEXT('P&amp;L Mensal'!$F$1,"mmm/yyyy")</f>
        <v>mar/yyyy</v>
      </c>
      <c r="F310" t="s">
        <v>38</v>
      </c>
      <c r="G310" t="s">
        <v>96</v>
      </c>
      <c r="H310" t="s">
        <v>549</v>
      </c>
      <c r="I310" s="104">
        <f>'P&amp;L Mensal'!K37</f>
        <v>0.24365813407944303</v>
      </c>
      <c r="J310" t="s">
        <v>545</v>
      </c>
      <c r="K310" t="s">
        <v>858</v>
      </c>
      <c r="L310">
        <v>37</v>
      </c>
    </row>
    <row r="311" spans="1:12" ht="18" customHeight="1" x14ac:dyDescent="0.25">
      <c r="A311" t="s">
        <v>544</v>
      </c>
      <c r="B311" s="23">
        <f>DATE(YEAR('P&amp;L Mensal'!$F$1),MONTH('P&amp;L Mensal'!$F$1),1)</f>
        <v>46082</v>
      </c>
      <c r="C311" s="23">
        <f>'P&amp;L Mensal'!$F$1</f>
        <v>46112</v>
      </c>
      <c r="D311" s="23">
        <f>'P&amp;L Mensal'!$F$1</f>
        <v>46112</v>
      </c>
      <c r="E311" t="str">
        <f>TEXT('P&amp;L Mensal'!$F$1,"mmm/yyyy")</f>
        <v>mar/yyyy</v>
      </c>
      <c r="F311" t="s">
        <v>38</v>
      </c>
      <c r="G311" t="s">
        <v>96</v>
      </c>
      <c r="H311" t="s">
        <v>557</v>
      </c>
      <c r="I311" s="429">
        <f>'P&amp;L Mensal'!L37</f>
        <v>2813906.5073226709</v>
      </c>
      <c r="J311" t="s">
        <v>545</v>
      </c>
      <c r="K311" t="s">
        <v>859</v>
      </c>
      <c r="L311">
        <v>37</v>
      </c>
    </row>
    <row r="312" spans="1:12" ht="18" customHeight="1" x14ac:dyDescent="0.25">
      <c r="A312" t="s">
        <v>544</v>
      </c>
      <c r="B312" s="23">
        <f>DATE(YEAR('P&amp;L Mensal'!$F$1),MONTH('P&amp;L Mensal'!$F$1),1)</f>
        <v>46082</v>
      </c>
      <c r="C312" s="23">
        <f>'P&amp;L Mensal'!$F$1</f>
        <v>46112</v>
      </c>
      <c r="D312" s="23">
        <f>'P&amp;L Mensal'!$F$1</f>
        <v>46112</v>
      </c>
      <c r="E312" t="str">
        <f>TEXT('P&amp;L Mensal'!$F$1,"mmm/yyyy")</f>
        <v>mar/yyyy</v>
      </c>
      <c r="F312" t="s">
        <v>39</v>
      </c>
      <c r="G312" t="s">
        <v>205</v>
      </c>
      <c r="H312" t="s">
        <v>5</v>
      </c>
      <c r="I312" s="429">
        <f>'P&amp;L Mensal'!C38</f>
        <v>-533709.79200000525</v>
      </c>
      <c r="J312" t="s">
        <v>545</v>
      </c>
      <c r="K312" t="s">
        <v>860</v>
      </c>
      <c r="L312">
        <v>38</v>
      </c>
    </row>
    <row r="313" spans="1:12" ht="18" customHeight="1" x14ac:dyDescent="0.25">
      <c r="A313" t="s">
        <v>544</v>
      </c>
      <c r="B313" s="23">
        <f>DATE(YEAR('P&amp;L Mensal'!$F$1),MONTH('P&amp;L Mensal'!$F$1),1)</f>
        <v>46082</v>
      </c>
      <c r="C313" s="23">
        <f>'P&amp;L Mensal'!$F$1</f>
        <v>46112</v>
      </c>
      <c r="D313" s="23">
        <f>'P&amp;L Mensal'!$F$1</f>
        <v>46112</v>
      </c>
      <c r="E313" t="str">
        <f>TEXT('P&amp;L Mensal'!$F$1,"mmm/yyyy")</f>
        <v>mar/yyyy</v>
      </c>
      <c r="F313" t="s">
        <v>39</v>
      </c>
      <c r="G313" t="s">
        <v>205</v>
      </c>
      <c r="H313" t="s">
        <v>6</v>
      </c>
      <c r="I313" s="429">
        <f>'P&amp;L Mensal'!D38</f>
        <v>-575798.95511480491</v>
      </c>
      <c r="J313" t="s">
        <v>545</v>
      </c>
      <c r="K313" t="s">
        <v>861</v>
      </c>
      <c r="L313">
        <v>38</v>
      </c>
    </row>
    <row r="314" spans="1:12" ht="18" customHeight="1" x14ac:dyDescent="0.25">
      <c r="A314" t="s">
        <v>544</v>
      </c>
      <c r="B314" s="23">
        <f>DATE(YEAR('P&amp;L Mensal'!$F$1),MONTH('P&amp;L Mensal'!$F$1),1)</f>
        <v>46082</v>
      </c>
      <c r="C314" s="23">
        <f>'P&amp;L Mensal'!$F$1</f>
        <v>46112</v>
      </c>
      <c r="D314" s="23">
        <f>'P&amp;L Mensal'!$F$1</f>
        <v>46112</v>
      </c>
      <c r="E314" t="str">
        <f>TEXT('P&amp;L Mensal'!$F$1,"mmm/yyyy")</f>
        <v>mar/yyyy</v>
      </c>
      <c r="F314" t="s">
        <v>39</v>
      </c>
      <c r="G314" t="s">
        <v>205</v>
      </c>
      <c r="H314" t="s">
        <v>549</v>
      </c>
      <c r="I314" s="104">
        <f>'P&amp;L Mensal'!E38</f>
        <v>-7.309697723645181E-2</v>
      </c>
      <c r="J314" t="s">
        <v>545</v>
      </c>
      <c r="K314" t="s">
        <v>862</v>
      </c>
      <c r="L314">
        <v>38</v>
      </c>
    </row>
    <row r="315" spans="1:12" ht="18" customHeight="1" x14ac:dyDescent="0.25">
      <c r="A315" t="s">
        <v>544</v>
      </c>
      <c r="B315" s="23">
        <f>DATE(YEAR('P&amp;L Mensal'!$F$1),MONTH('P&amp;L Mensal'!$F$1),1)</f>
        <v>46082</v>
      </c>
      <c r="C315" s="23">
        <f>'P&amp;L Mensal'!$F$1</f>
        <v>46112</v>
      </c>
      <c r="D315" s="23">
        <f>'P&amp;L Mensal'!$F$1</f>
        <v>46112</v>
      </c>
      <c r="E315" t="str">
        <f>TEXT('P&amp;L Mensal'!$F$1,"mmm/yyyy")</f>
        <v>mar/yyyy</v>
      </c>
      <c r="F315" t="s">
        <v>39</v>
      </c>
      <c r="G315" t="s">
        <v>220</v>
      </c>
      <c r="H315" t="s">
        <v>5</v>
      </c>
      <c r="I315" s="429">
        <f>'P&amp;L Mensal'!F38</f>
        <v>-1806616.038000019</v>
      </c>
      <c r="J315" t="s">
        <v>545</v>
      </c>
      <c r="K315" t="s">
        <v>863</v>
      </c>
      <c r="L315">
        <v>38</v>
      </c>
    </row>
    <row r="316" spans="1:12" ht="18" customHeight="1" x14ac:dyDescent="0.25">
      <c r="A316" t="s">
        <v>544</v>
      </c>
      <c r="B316" s="23">
        <f>DATE(YEAR('P&amp;L Mensal'!$F$1),MONTH('P&amp;L Mensal'!$F$1),1)</f>
        <v>46082</v>
      </c>
      <c r="C316" s="23">
        <f>'P&amp;L Mensal'!$F$1</f>
        <v>46112</v>
      </c>
      <c r="D316" s="23">
        <f>'P&amp;L Mensal'!$F$1</f>
        <v>46112</v>
      </c>
      <c r="E316" t="str">
        <f>TEXT('P&amp;L Mensal'!$F$1,"mmm/yyyy")</f>
        <v>mar/yyyy</v>
      </c>
      <c r="F316" t="s">
        <v>39</v>
      </c>
      <c r="G316" t="s">
        <v>220</v>
      </c>
      <c r="H316" t="s">
        <v>6</v>
      </c>
      <c r="I316" s="429">
        <f>'P&amp;L Mensal'!G38</f>
        <v>-2041469.022679762</v>
      </c>
      <c r="J316" t="s">
        <v>545</v>
      </c>
      <c r="K316" t="s">
        <v>864</v>
      </c>
      <c r="L316">
        <v>38</v>
      </c>
    </row>
    <row r="317" spans="1:12" ht="18" customHeight="1" x14ac:dyDescent="0.25">
      <c r="A317" t="s">
        <v>544</v>
      </c>
      <c r="B317" s="23">
        <f>DATE(YEAR('P&amp;L Mensal'!$F$1),MONTH('P&amp;L Mensal'!$F$1),1)</f>
        <v>46082</v>
      </c>
      <c r="C317" s="23">
        <f>'P&amp;L Mensal'!$F$1</f>
        <v>46112</v>
      </c>
      <c r="D317" s="23">
        <f>'P&amp;L Mensal'!$F$1</f>
        <v>46112</v>
      </c>
      <c r="E317" t="str">
        <f>TEXT('P&amp;L Mensal'!$F$1,"mmm/yyyy")</f>
        <v>mar/yyyy</v>
      </c>
      <c r="F317" t="s">
        <v>39</v>
      </c>
      <c r="G317" t="s">
        <v>220</v>
      </c>
      <c r="H317" t="s">
        <v>549</v>
      </c>
      <c r="I317" s="104">
        <f>'P&amp;L Mensal'!H38</f>
        <v>-0.11504116989806679</v>
      </c>
      <c r="J317" t="s">
        <v>545</v>
      </c>
      <c r="K317" t="s">
        <v>865</v>
      </c>
      <c r="L317">
        <v>38</v>
      </c>
    </row>
    <row r="318" spans="1:12" ht="18" customHeight="1" x14ac:dyDescent="0.25">
      <c r="A318" t="s">
        <v>544</v>
      </c>
      <c r="B318" s="23">
        <f>DATE(YEAR('P&amp;L Mensal'!$F$1),MONTH('P&amp;L Mensal'!$F$1),1)</f>
        <v>46082</v>
      </c>
      <c r="C318" s="23">
        <f>'P&amp;L Mensal'!$F$1</f>
        <v>46112</v>
      </c>
      <c r="D318" s="23">
        <f>'P&amp;L Mensal'!$F$1</f>
        <v>46112</v>
      </c>
      <c r="E318" t="str">
        <f>TEXT('P&amp;L Mensal'!$F$1,"mmm/yyyy")</f>
        <v>mar/yyyy</v>
      </c>
      <c r="F318" t="s">
        <v>39</v>
      </c>
      <c r="G318" t="s">
        <v>96</v>
      </c>
      <c r="H318" t="s">
        <v>5</v>
      </c>
      <c r="I318" s="429">
        <f>'P&amp;L Mensal'!I38</f>
        <v>-2340325.8300000243</v>
      </c>
      <c r="J318" t="s">
        <v>545</v>
      </c>
      <c r="K318" t="s">
        <v>866</v>
      </c>
      <c r="L318">
        <v>38</v>
      </c>
    </row>
    <row r="319" spans="1:12" ht="18" customHeight="1" x14ac:dyDescent="0.25">
      <c r="A319" t="s">
        <v>544</v>
      </c>
      <c r="B319" s="23">
        <f>DATE(YEAR('P&amp;L Mensal'!$F$1),MONTH('P&amp;L Mensal'!$F$1),1)</f>
        <v>46082</v>
      </c>
      <c r="C319" s="23">
        <f>'P&amp;L Mensal'!$F$1</f>
        <v>46112</v>
      </c>
      <c r="D319" s="23">
        <f>'P&amp;L Mensal'!$F$1</f>
        <v>46112</v>
      </c>
      <c r="E319" t="str">
        <f>TEXT('P&amp;L Mensal'!$F$1,"mmm/yyyy")</f>
        <v>mar/yyyy</v>
      </c>
      <c r="F319" t="s">
        <v>39</v>
      </c>
      <c r="G319" t="s">
        <v>96</v>
      </c>
      <c r="H319" t="s">
        <v>6</v>
      </c>
      <c r="I319" s="429">
        <f>'P&amp;L Mensal'!J38</f>
        <v>-2617267.9777945671</v>
      </c>
      <c r="J319" t="s">
        <v>545</v>
      </c>
      <c r="K319" t="s">
        <v>867</v>
      </c>
      <c r="L319">
        <v>38</v>
      </c>
    </row>
    <row r="320" spans="1:12" ht="18" customHeight="1" x14ac:dyDescent="0.25">
      <c r="A320" t="s">
        <v>544</v>
      </c>
      <c r="B320" s="23">
        <f>DATE(YEAR('P&amp;L Mensal'!$F$1),MONTH('P&amp;L Mensal'!$F$1),1)</f>
        <v>46082</v>
      </c>
      <c r="C320" s="23">
        <f>'P&amp;L Mensal'!$F$1</f>
        <v>46112</v>
      </c>
      <c r="D320" s="23">
        <f>'P&amp;L Mensal'!$F$1</f>
        <v>46112</v>
      </c>
      <c r="E320" t="str">
        <f>TEXT('P&amp;L Mensal'!$F$1,"mmm/yyyy")</f>
        <v>mar/yyyy</v>
      </c>
      <c r="F320" t="s">
        <v>39</v>
      </c>
      <c r="G320" t="s">
        <v>96</v>
      </c>
      <c r="H320" t="s">
        <v>549</v>
      </c>
      <c r="I320" s="104">
        <f>'P&amp;L Mensal'!K38</f>
        <v>-0.10581344751251165</v>
      </c>
      <c r="J320" t="s">
        <v>545</v>
      </c>
      <c r="K320" t="s">
        <v>868</v>
      </c>
      <c r="L320">
        <v>38</v>
      </c>
    </row>
    <row r="321" spans="1:12" ht="18" customHeight="1" x14ac:dyDescent="0.25">
      <c r="A321" t="s">
        <v>544</v>
      </c>
      <c r="B321" s="23">
        <f>DATE(YEAR('P&amp;L Mensal'!$F$1),MONTH('P&amp;L Mensal'!$F$1),1)</f>
        <v>46082</v>
      </c>
      <c r="C321" s="23">
        <f>'P&amp;L Mensal'!$F$1</f>
        <v>46112</v>
      </c>
      <c r="D321" s="23">
        <f>'P&amp;L Mensal'!$F$1</f>
        <v>46112</v>
      </c>
      <c r="E321" t="str">
        <f>TEXT('P&amp;L Mensal'!$F$1,"mmm/yyyy")</f>
        <v>mar/yyyy</v>
      </c>
      <c r="F321" t="s">
        <v>39</v>
      </c>
      <c r="G321" t="s">
        <v>96</v>
      </c>
      <c r="H321" t="s">
        <v>557</v>
      </c>
      <c r="I321" s="429">
        <f>'P&amp;L Mensal'!L38</f>
        <v>-276942.14779454283</v>
      </c>
      <c r="J321" t="s">
        <v>545</v>
      </c>
      <c r="K321" t="s">
        <v>869</v>
      </c>
      <c r="L321">
        <v>38</v>
      </c>
    </row>
    <row r="322" spans="1:12" ht="18" customHeight="1" x14ac:dyDescent="0.25">
      <c r="A322" t="s">
        <v>544</v>
      </c>
      <c r="B322" s="23">
        <f>DATE(YEAR('P&amp;L Mensal'!$F$1),MONTH('P&amp;L Mensal'!$F$1),1)</f>
        <v>46082</v>
      </c>
      <c r="C322" s="23">
        <f>'P&amp;L Mensal'!$F$1</f>
        <v>46112</v>
      </c>
      <c r="D322" s="23">
        <f>'P&amp;L Mensal'!$F$1</f>
        <v>46112</v>
      </c>
      <c r="E322" t="str">
        <f>TEXT('P&amp;L Mensal'!$F$1,"mmm/yyyy")</f>
        <v>mar/yyyy</v>
      </c>
      <c r="F322" t="s">
        <v>137</v>
      </c>
      <c r="G322" t="s">
        <v>205</v>
      </c>
      <c r="H322" t="s">
        <v>5</v>
      </c>
      <c r="I322" s="429">
        <f>'P&amp;L Mensal'!C39</f>
        <v>-93401.923999999999</v>
      </c>
      <c r="J322" t="s">
        <v>545</v>
      </c>
      <c r="K322" t="s">
        <v>870</v>
      </c>
      <c r="L322">
        <v>39</v>
      </c>
    </row>
    <row r="323" spans="1:12" ht="18" customHeight="1" x14ac:dyDescent="0.25">
      <c r="A323" t="s">
        <v>544</v>
      </c>
      <c r="B323" s="23">
        <f>DATE(YEAR('P&amp;L Mensal'!$F$1),MONTH('P&amp;L Mensal'!$F$1),1)</f>
        <v>46082</v>
      </c>
      <c r="C323" s="23">
        <f>'P&amp;L Mensal'!$F$1</f>
        <v>46112</v>
      </c>
      <c r="D323" s="23">
        <f>'P&amp;L Mensal'!$F$1</f>
        <v>46112</v>
      </c>
      <c r="E323" t="str">
        <f>TEXT('P&amp;L Mensal'!$F$1,"mmm/yyyy")</f>
        <v>mar/yyyy</v>
      </c>
      <c r="F323" t="s">
        <v>137</v>
      </c>
      <c r="G323" t="s">
        <v>205</v>
      </c>
      <c r="H323" t="s">
        <v>6</v>
      </c>
      <c r="I323" s="429">
        <f>'P&amp;L Mensal'!D39</f>
        <v>-88082.1663806945</v>
      </c>
      <c r="J323" t="s">
        <v>545</v>
      </c>
      <c r="K323" t="s">
        <v>871</v>
      </c>
      <c r="L323">
        <v>39</v>
      </c>
    </row>
    <row r="324" spans="1:12" ht="18" customHeight="1" x14ac:dyDescent="0.25">
      <c r="A324" t="s">
        <v>544</v>
      </c>
      <c r="B324" s="23">
        <f>DATE(YEAR('P&amp;L Mensal'!$F$1),MONTH('P&amp;L Mensal'!$F$1),1)</f>
        <v>46082</v>
      </c>
      <c r="C324" s="23">
        <f>'P&amp;L Mensal'!$F$1</f>
        <v>46112</v>
      </c>
      <c r="D324" s="23">
        <f>'P&amp;L Mensal'!$F$1</f>
        <v>46112</v>
      </c>
      <c r="E324" t="str">
        <f>TEXT('P&amp;L Mensal'!$F$1,"mmm/yyyy")</f>
        <v>mar/yyyy</v>
      </c>
      <c r="F324" t="s">
        <v>137</v>
      </c>
      <c r="G324" t="s">
        <v>205</v>
      </c>
      <c r="H324" t="s">
        <v>549</v>
      </c>
      <c r="I324" s="104">
        <f>'P&amp;L Mensal'!E39</f>
        <v>6.0395399408244677E-2</v>
      </c>
      <c r="J324" t="s">
        <v>545</v>
      </c>
      <c r="K324" t="s">
        <v>872</v>
      </c>
      <c r="L324">
        <v>39</v>
      </c>
    </row>
    <row r="325" spans="1:12" ht="18" customHeight="1" x14ac:dyDescent="0.25">
      <c r="A325" t="s">
        <v>544</v>
      </c>
      <c r="B325" s="23">
        <f>DATE(YEAR('P&amp;L Mensal'!$F$1),MONTH('P&amp;L Mensal'!$F$1),1)</f>
        <v>46082</v>
      </c>
      <c r="C325" s="23">
        <f>'P&amp;L Mensal'!$F$1</f>
        <v>46112</v>
      </c>
      <c r="D325" s="23">
        <f>'P&amp;L Mensal'!$F$1</f>
        <v>46112</v>
      </c>
      <c r="E325" t="str">
        <f>TEXT('P&amp;L Mensal'!$F$1,"mmm/yyyy")</f>
        <v>mar/yyyy</v>
      </c>
      <c r="F325" t="s">
        <v>137</v>
      </c>
      <c r="G325" t="s">
        <v>220</v>
      </c>
      <c r="H325" t="s">
        <v>5</v>
      </c>
      <c r="I325" s="429">
        <f>'P&amp;L Mensal'!F39</f>
        <v>-331152.27600000001</v>
      </c>
      <c r="J325" t="s">
        <v>545</v>
      </c>
      <c r="K325" t="s">
        <v>873</v>
      </c>
      <c r="L325">
        <v>39</v>
      </c>
    </row>
    <row r="326" spans="1:12" ht="18" customHeight="1" x14ac:dyDescent="0.25">
      <c r="A326" t="s">
        <v>544</v>
      </c>
      <c r="B326" s="23">
        <f>DATE(YEAR('P&amp;L Mensal'!$F$1),MONTH('P&amp;L Mensal'!$F$1),1)</f>
        <v>46082</v>
      </c>
      <c r="C326" s="23">
        <f>'P&amp;L Mensal'!$F$1</f>
        <v>46112</v>
      </c>
      <c r="D326" s="23">
        <f>'P&amp;L Mensal'!$F$1</f>
        <v>46112</v>
      </c>
      <c r="E326" t="str">
        <f>TEXT('P&amp;L Mensal'!$F$1,"mmm/yyyy")</f>
        <v>mar/yyyy</v>
      </c>
      <c r="F326" t="s">
        <v>137</v>
      </c>
      <c r="G326" t="s">
        <v>220</v>
      </c>
      <c r="H326" t="s">
        <v>6</v>
      </c>
      <c r="I326" s="429">
        <f>'P&amp;L Mensal'!G39</f>
        <v>-312291.31716791692</v>
      </c>
      <c r="J326" t="s">
        <v>545</v>
      </c>
      <c r="K326" t="s">
        <v>874</v>
      </c>
      <c r="L326">
        <v>39</v>
      </c>
    </row>
    <row r="327" spans="1:12" ht="18" customHeight="1" x14ac:dyDescent="0.25">
      <c r="A327" t="s">
        <v>544</v>
      </c>
      <c r="B327" s="23">
        <f>DATE(YEAR('P&amp;L Mensal'!$F$1),MONTH('P&amp;L Mensal'!$F$1),1)</f>
        <v>46082</v>
      </c>
      <c r="C327" s="23">
        <f>'P&amp;L Mensal'!$F$1</f>
        <v>46112</v>
      </c>
      <c r="D327" s="23">
        <f>'P&amp;L Mensal'!$F$1</f>
        <v>46112</v>
      </c>
      <c r="E327" t="str">
        <f>TEXT('P&amp;L Mensal'!$F$1,"mmm/yyyy")</f>
        <v>mar/yyyy</v>
      </c>
      <c r="F327" t="s">
        <v>137</v>
      </c>
      <c r="G327" t="s">
        <v>220</v>
      </c>
      <c r="H327" t="s">
        <v>549</v>
      </c>
      <c r="I327" s="104">
        <f>'P&amp;L Mensal'!H39</f>
        <v>6.0395399408244455E-2</v>
      </c>
      <c r="J327" t="s">
        <v>545</v>
      </c>
      <c r="K327" t="s">
        <v>875</v>
      </c>
      <c r="L327">
        <v>39</v>
      </c>
    </row>
    <row r="328" spans="1:12" ht="18" customHeight="1" x14ac:dyDescent="0.25">
      <c r="A328" t="s">
        <v>544</v>
      </c>
      <c r="B328" s="23">
        <f>DATE(YEAR('P&amp;L Mensal'!$F$1),MONTH('P&amp;L Mensal'!$F$1),1)</f>
        <v>46082</v>
      </c>
      <c r="C328" s="23">
        <f>'P&amp;L Mensal'!$F$1</f>
        <v>46112</v>
      </c>
      <c r="D328" s="23">
        <f>'P&amp;L Mensal'!$F$1</f>
        <v>46112</v>
      </c>
      <c r="E328" t="str">
        <f>TEXT('P&amp;L Mensal'!$F$1,"mmm/yyyy")</f>
        <v>mar/yyyy</v>
      </c>
      <c r="F328" t="s">
        <v>137</v>
      </c>
      <c r="G328" t="s">
        <v>96</v>
      </c>
      <c r="H328" t="s">
        <v>5</v>
      </c>
      <c r="I328" s="429">
        <f>'P&amp;L Mensal'!I39</f>
        <v>-424554.2</v>
      </c>
      <c r="J328" t="s">
        <v>545</v>
      </c>
      <c r="K328" t="s">
        <v>876</v>
      </c>
      <c r="L328">
        <v>39</v>
      </c>
    </row>
    <row r="329" spans="1:12" ht="18" customHeight="1" x14ac:dyDescent="0.25">
      <c r="A329" t="s">
        <v>544</v>
      </c>
      <c r="B329" s="23">
        <f>DATE(YEAR('P&amp;L Mensal'!$F$1),MONTH('P&amp;L Mensal'!$F$1),1)</f>
        <v>46082</v>
      </c>
      <c r="C329" s="23">
        <f>'P&amp;L Mensal'!$F$1</f>
        <v>46112</v>
      </c>
      <c r="D329" s="23">
        <f>'P&amp;L Mensal'!$F$1</f>
        <v>46112</v>
      </c>
      <c r="E329" t="str">
        <f>TEXT('P&amp;L Mensal'!$F$1,"mmm/yyyy")</f>
        <v>mar/yyyy</v>
      </c>
      <c r="F329" t="s">
        <v>137</v>
      </c>
      <c r="G329" t="s">
        <v>96</v>
      </c>
      <c r="H329" t="s">
        <v>6</v>
      </c>
      <c r="I329" s="429">
        <f>'P&amp;L Mensal'!J39</f>
        <v>-400373.4835486114</v>
      </c>
      <c r="J329" t="s">
        <v>545</v>
      </c>
      <c r="K329" t="s">
        <v>877</v>
      </c>
      <c r="L329">
        <v>39</v>
      </c>
    </row>
    <row r="330" spans="1:12" ht="18" customHeight="1" x14ac:dyDescent="0.25">
      <c r="A330" t="s">
        <v>544</v>
      </c>
      <c r="B330" s="23">
        <f>DATE(YEAR('P&amp;L Mensal'!$F$1),MONTH('P&amp;L Mensal'!$F$1),1)</f>
        <v>46082</v>
      </c>
      <c r="C330" s="23">
        <f>'P&amp;L Mensal'!$F$1</f>
        <v>46112</v>
      </c>
      <c r="D330" s="23">
        <f>'P&amp;L Mensal'!$F$1</f>
        <v>46112</v>
      </c>
      <c r="E330" t="str">
        <f>TEXT('P&amp;L Mensal'!$F$1,"mmm/yyyy")</f>
        <v>mar/yyyy</v>
      </c>
      <c r="F330" t="s">
        <v>137</v>
      </c>
      <c r="G330" t="s">
        <v>96</v>
      </c>
      <c r="H330" t="s">
        <v>549</v>
      </c>
      <c r="I330" s="104">
        <f>'P&amp;L Mensal'!K39</f>
        <v>6.0395399408244455E-2</v>
      </c>
      <c r="J330" t="s">
        <v>545</v>
      </c>
      <c r="K330" t="s">
        <v>878</v>
      </c>
      <c r="L330">
        <v>39</v>
      </c>
    </row>
    <row r="331" spans="1:12" ht="18" customHeight="1" x14ac:dyDescent="0.25">
      <c r="A331" t="s">
        <v>544</v>
      </c>
      <c r="B331" s="23">
        <f>DATE(YEAR('P&amp;L Mensal'!$F$1),MONTH('P&amp;L Mensal'!$F$1),1)</f>
        <v>46082</v>
      </c>
      <c r="C331" s="23">
        <f>'P&amp;L Mensal'!$F$1</f>
        <v>46112</v>
      </c>
      <c r="D331" s="23">
        <f>'P&amp;L Mensal'!$F$1</f>
        <v>46112</v>
      </c>
      <c r="E331" t="str">
        <f>TEXT('P&amp;L Mensal'!$F$1,"mmm/yyyy")</f>
        <v>mar/yyyy</v>
      </c>
      <c r="F331" t="s">
        <v>137</v>
      </c>
      <c r="G331" t="s">
        <v>96</v>
      </c>
      <c r="H331" t="s">
        <v>557</v>
      </c>
      <c r="I331" s="429">
        <f>'P&amp;L Mensal'!L39</f>
        <v>24180.716451388609</v>
      </c>
      <c r="J331" t="s">
        <v>545</v>
      </c>
      <c r="K331" t="s">
        <v>879</v>
      </c>
      <c r="L331">
        <v>39</v>
      </c>
    </row>
    <row r="332" spans="1:12" ht="18" customHeight="1" x14ac:dyDescent="0.25">
      <c r="A332" t="s">
        <v>544</v>
      </c>
      <c r="B332" s="23">
        <f>DATE(YEAR('P&amp;L Mensal'!$F$1),MONTH('P&amp;L Mensal'!$F$1),1)</f>
        <v>46082</v>
      </c>
      <c r="C332" s="23">
        <f>'P&amp;L Mensal'!$F$1</f>
        <v>46112</v>
      </c>
      <c r="D332" s="23">
        <f>'P&amp;L Mensal'!$F$1</f>
        <v>46112</v>
      </c>
      <c r="E332" t="str">
        <f>TEXT('P&amp;L Mensal'!$F$1,"mmm/yyyy")</f>
        <v>mar/yyyy</v>
      </c>
      <c r="F332" t="s">
        <v>41</v>
      </c>
      <c r="G332" t="s">
        <v>205</v>
      </c>
      <c r="H332" t="s">
        <v>5</v>
      </c>
      <c r="I332" s="429">
        <f>'P&amp;L Mensal'!C40</f>
        <v>1108526.0816097348</v>
      </c>
      <c r="J332" t="s">
        <v>545</v>
      </c>
      <c r="K332" t="s">
        <v>880</v>
      </c>
      <c r="L332">
        <v>40</v>
      </c>
    </row>
    <row r="333" spans="1:12" ht="18" customHeight="1" x14ac:dyDescent="0.25">
      <c r="A333" t="s">
        <v>544</v>
      </c>
      <c r="B333" s="23">
        <f>DATE(YEAR('P&amp;L Mensal'!$F$1),MONTH('P&amp;L Mensal'!$F$1),1)</f>
        <v>46082</v>
      </c>
      <c r="C333" s="23">
        <f>'P&amp;L Mensal'!$F$1</f>
        <v>46112</v>
      </c>
      <c r="D333" s="23">
        <f>'P&amp;L Mensal'!$F$1</f>
        <v>46112</v>
      </c>
      <c r="E333" t="str">
        <f>TEXT('P&amp;L Mensal'!$F$1,"mmm/yyyy")</f>
        <v>mar/yyyy</v>
      </c>
      <c r="F333" t="s">
        <v>41</v>
      </c>
      <c r="G333" t="s">
        <v>205</v>
      </c>
      <c r="H333" t="s">
        <v>6</v>
      </c>
      <c r="I333" s="429">
        <f>'P&amp;L Mensal'!D40</f>
        <v>1241279.5816275894</v>
      </c>
      <c r="J333" t="s">
        <v>545</v>
      </c>
      <c r="K333" t="s">
        <v>881</v>
      </c>
      <c r="L333">
        <v>40</v>
      </c>
    </row>
    <row r="334" spans="1:12" ht="18" customHeight="1" x14ac:dyDescent="0.25">
      <c r="A334" t="s">
        <v>544</v>
      </c>
      <c r="B334" s="23">
        <f>DATE(YEAR('P&amp;L Mensal'!$F$1),MONTH('P&amp;L Mensal'!$F$1),1)</f>
        <v>46082</v>
      </c>
      <c r="C334" s="23">
        <f>'P&amp;L Mensal'!$F$1</f>
        <v>46112</v>
      </c>
      <c r="D334" s="23">
        <f>'P&amp;L Mensal'!$F$1</f>
        <v>46112</v>
      </c>
      <c r="E334" t="str">
        <f>TEXT('P&amp;L Mensal'!$F$1,"mmm/yyyy")</f>
        <v>mar/yyyy</v>
      </c>
      <c r="F334" t="s">
        <v>41</v>
      </c>
      <c r="G334" t="s">
        <v>205</v>
      </c>
      <c r="H334" t="s">
        <v>549</v>
      </c>
      <c r="I334" s="104">
        <f>'P&amp;L Mensal'!E40</f>
        <v>-0.10694891141590013</v>
      </c>
      <c r="J334" t="s">
        <v>545</v>
      </c>
      <c r="K334" t="s">
        <v>882</v>
      </c>
      <c r="L334">
        <v>40</v>
      </c>
    </row>
    <row r="335" spans="1:12" ht="18" customHeight="1" x14ac:dyDescent="0.25">
      <c r="A335" t="s">
        <v>544</v>
      </c>
      <c r="B335" s="23">
        <f>DATE(YEAR('P&amp;L Mensal'!$F$1),MONTH('P&amp;L Mensal'!$F$1),1)</f>
        <v>46082</v>
      </c>
      <c r="C335" s="23">
        <f>'P&amp;L Mensal'!$F$1</f>
        <v>46112</v>
      </c>
      <c r="D335" s="23">
        <f>'P&amp;L Mensal'!$F$1</f>
        <v>46112</v>
      </c>
      <c r="E335" t="str">
        <f>TEXT('P&amp;L Mensal'!$F$1,"mmm/yyyy")</f>
        <v>mar/yyyy</v>
      </c>
      <c r="F335" t="s">
        <v>41</v>
      </c>
      <c r="G335" t="s">
        <v>220</v>
      </c>
      <c r="H335" t="s">
        <v>5</v>
      </c>
      <c r="I335" s="429">
        <f>'P&amp;L Mensal'!F40</f>
        <v>10489084.718390258</v>
      </c>
      <c r="J335" t="s">
        <v>545</v>
      </c>
      <c r="K335" t="s">
        <v>883</v>
      </c>
      <c r="L335">
        <v>40</v>
      </c>
    </row>
    <row r="336" spans="1:12" ht="18" customHeight="1" x14ac:dyDescent="0.25">
      <c r="A336" t="s">
        <v>544</v>
      </c>
      <c r="B336" s="23">
        <f>DATE(YEAR('P&amp;L Mensal'!$F$1),MONTH('P&amp;L Mensal'!$F$1),1)</f>
        <v>46082</v>
      </c>
      <c r="C336" s="23">
        <f>'P&amp;L Mensal'!$F$1</f>
        <v>46112</v>
      </c>
      <c r="D336" s="23">
        <f>'P&amp;L Mensal'!$F$1</f>
        <v>46112</v>
      </c>
      <c r="E336" t="str">
        <f>TEXT('P&amp;L Mensal'!$F$1,"mmm/yyyy")</f>
        <v>mar/yyyy</v>
      </c>
      <c r="F336" t="s">
        <v>41</v>
      </c>
      <c r="G336" t="s">
        <v>220</v>
      </c>
      <c r="H336" t="s">
        <v>6</v>
      </c>
      <c r="I336" s="429">
        <f>'P&amp;L Mensal'!G40</f>
        <v>7289663.2797065852</v>
      </c>
      <c r="J336" t="s">
        <v>545</v>
      </c>
      <c r="K336" t="s">
        <v>884</v>
      </c>
      <c r="L336">
        <v>40</v>
      </c>
    </row>
    <row r="337" spans="1:12" ht="18" customHeight="1" x14ac:dyDescent="0.25">
      <c r="A337" t="s">
        <v>544</v>
      </c>
      <c r="B337" s="23">
        <f>DATE(YEAR('P&amp;L Mensal'!$F$1),MONTH('P&amp;L Mensal'!$F$1),1)</f>
        <v>46082</v>
      </c>
      <c r="C337" s="23">
        <f>'P&amp;L Mensal'!$F$1</f>
        <v>46112</v>
      </c>
      <c r="D337" s="23">
        <f>'P&amp;L Mensal'!$F$1</f>
        <v>46112</v>
      </c>
      <c r="E337" t="str">
        <f>TEXT('P&amp;L Mensal'!$F$1,"mmm/yyyy")</f>
        <v>mar/yyyy</v>
      </c>
      <c r="F337" t="s">
        <v>41</v>
      </c>
      <c r="G337" t="s">
        <v>220</v>
      </c>
      <c r="H337" t="s">
        <v>549</v>
      </c>
      <c r="I337" s="104">
        <f>'P&amp;L Mensal'!H40</f>
        <v>0.43889838472929465</v>
      </c>
      <c r="J337" t="s">
        <v>545</v>
      </c>
      <c r="K337" t="s">
        <v>885</v>
      </c>
      <c r="L337">
        <v>40</v>
      </c>
    </row>
    <row r="338" spans="1:12" ht="18" customHeight="1" x14ac:dyDescent="0.25">
      <c r="A338" t="s">
        <v>544</v>
      </c>
      <c r="B338" s="23">
        <f>DATE(YEAR('P&amp;L Mensal'!$F$1),MONTH('P&amp;L Mensal'!$F$1),1)</f>
        <v>46082</v>
      </c>
      <c r="C338" s="23">
        <f>'P&amp;L Mensal'!$F$1</f>
        <v>46112</v>
      </c>
      <c r="D338" s="23">
        <f>'P&amp;L Mensal'!$F$1</f>
        <v>46112</v>
      </c>
      <c r="E338" t="str">
        <f>TEXT('P&amp;L Mensal'!$F$1,"mmm/yyyy")</f>
        <v>mar/yyyy</v>
      </c>
      <c r="F338" t="s">
        <v>41</v>
      </c>
      <c r="G338" t="s">
        <v>96</v>
      </c>
      <c r="H338" t="s">
        <v>5</v>
      </c>
      <c r="I338" s="429">
        <f>'P&amp;L Mensal'!I40</f>
        <v>11597610.799999995</v>
      </c>
      <c r="J338" t="s">
        <v>545</v>
      </c>
      <c r="K338" t="s">
        <v>886</v>
      </c>
      <c r="L338">
        <v>40</v>
      </c>
    </row>
    <row r="339" spans="1:12" ht="18" customHeight="1" x14ac:dyDescent="0.25">
      <c r="A339" t="s">
        <v>544</v>
      </c>
      <c r="B339" s="23">
        <f>DATE(YEAR('P&amp;L Mensal'!$F$1),MONTH('P&amp;L Mensal'!$F$1),1)</f>
        <v>46082</v>
      </c>
      <c r="C339" s="23">
        <f>'P&amp;L Mensal'!$F$1</f>
        <v>46112</v>
      </c>
      <c r="D339" s="23">
        <f>'P&amp;L Mensal'!$F$1</f>
        <v>46112</v>
      </c>
      <c r="E339" t="str">
        <f>TEXT('P&amp;L Mensal'!$F$1,"mmm/yyyy")</f>
        <v>mar/yyyy</v>
      </c>
      <c r="F339" t="s">
        <v>41</v>
      </c>
      <c r="G339" t="s">
        <v>96</v>
      </c>
      <c r="H339" t="s">
        <v>6</v>
      </c>
      <c r="I339" s="429">
        <f>'P&amp;L Mensal'!J40</f>
        <v>8530942.8613341693</v>
      </c>
      <c r="J339" t="s">
        <v>545</v>
      </c>
      <c r="K339" t="s">
        <v>887</v>
      </c>
      <c r="L339">
        <v>40</v>
      </c>
    </row>
    <row r="340" spans="1:12" ht="18" customHeight="1" x14ac:dyDescent="0.25">
      <c r="A340" t="s">
        <v>544</v>
      </c>
      <c r="B340" s="23">
        <f>DATE(YEAR('P&amp;L Mensal'!$F$1),MONTH('P&amp;L Mensal'!$F$1),1)</f>
        <v>46082</v>
      </c>
      <c r="C340" s="23">
        <f>'P&amp;L Mensal'!$F$1</f>
        <v>46112</v>
      </c>
      <c r="D340" s="23">
        <f>'P&amp;L Mensal'!$F$1</f>
        <v>46112</v>
      </c>
      <c r="E340" t="str">
        <f>TEXT('P&amp;L Mensal'!$F$1,"mmm/yyyy")</f>
        <v>mar/yyyy</v>
      </c>
      <c r="F340" t="s">
        <v>41</v>
      </c>
      <c r="G340" t="s">
        <v>96</v>
      </c>
      <c r="H340" t="s">
        <v>549</v>
      </c>
      <c r="I340" s="104">
        <f>'P&amp;L Mensal'!K40</f>
        <v>0.359475850268</v>
      </c>
      <c r="J340" t="s">
        <v>545</v>
      </c>
      <c r="K340" t="s">
        <v>888</v>
      </c>
      <c r="L340">
        <v>40</v>
      </c>
    </row>
    <row r="341" spans="1:12" ht="18" customHeight="1" x14ac:dyDescent="0.25">
      <c r="A341" t="s">
        <v>544</v>
      </c>
      <c r="B341" s="23">
        <f>DATE(YEAR('P&amp;L Mensal'!$F$1),MONTH('P&amp;L Mensal'!$F$1),1)</f>
        <v>46082</v>
      </c>
      <c r="C341" s="23">
        <f>'P&amp;L Mensal'!$F$1</f>
        <v>46112</v>
      </c>
      <c r="D341" s="23">
        <f>'P&amp;L Mensal'!$F$1</f>
        <v>46112</v>
      </c>
      <c r="E341" t="str">
        <f>TEXT('P&amp;L Mensal'!$F$1,"mmm/yyyy")</f>
        <v>mar/yyyy</v>
      </c>
      <c r="F341" t="s">
        <v>41</v>
      </c>
      <c r="G341" t="s">
        <v>96</v>
      </c>
      <c r="H341" t="s">
        <v>557</v>
      </c>
      <c r="I341" s="429">
        <f>'P&amp;L Mensal'!L40</f>
        <v>3066667.9386658259</v>
      </c>
      <c r="J341" t="s">
        <v>545</v>
      </c>
      <c r="K341" t="s">
        <v>889</v>
      </c>
      <c r="L341">
        <v>40</v>
      </c>
    </row>
    <row r="342" spans="1:12" ht="18" customHeight="1" x14ac:dyDescent="0.25">
      <c r="A342" t="s">
        <v>544</v>
      </c>
      <c r="B342" s="23">
        <f>DATE(YEAR('P&amp;L Mensal'!$F$1),MONTH('P&amp;L Mensal'!$F$1),1)</f>
        <v>46082</v>
      </c>
      <c r="C342" s="23">
        <f>'P&amp;L Mensal'!$F$1</f>
        <v>46112</v>
      </c>
      <c r="D342" s="23">
        <f>'P&amp;L Mensal'!$F$1</f>
        <v>46112</v>
      </c>
      <c r="E342" t="str">
        <f>TEXT('P&amp;L Mensal'!$F$1,"mmm/yyyy")</f>
        <v>mar/yyyy</v>
      </c>
      <c r="F342" t="s">
        <v>42</v>
      </c>
      <c r="G342" t="s">
        <v>205</v>
      </c>
      <c r="H342" t="s">
        <v>5</v>
      </c>
      <c r="I342" s="429">
        <f>'P&amp;L Mensal'!C41</f>
        <v>-375153.55806499202</v>
      </c>
      <c r="J342" t="s">
        <v>545</v>
      </c>
      <c r="K342" t="s">
        <v>890</v>
      </c>
      <c r="L342">
        <v>41</v>
      </c>
    </row>
    <row r="343" spans="1:12" ht="18" customHeight="1" x14ac:dyDescent="0.25">
      <c r="A343" t="s">
        <v>544</v>
      </c>
      <c r="B343" s="23">
        <f>DATE(YEAR('P&amp;L Mensal'!$F$1),MONTH('P&amp;L Mensal'!$F$1),1)</f>
        <v>46082</v>
      </c>
      <c r="C343" s="23">
        <f>'P&amp;L Mensal'!$F$1</f>
        <v>46112</v>
      </c>
      <c r="D343" s="23">
        <f>'P&amp;L Mensal'!$F$1</f>
        <v>46112</v>
      </c>
      <c r="E343" t="str">
        <f>TEXT('P&amp;L Mensal'!$F$1,"mmm/yyyy")</f>
        <v>mar/yyyy</v>
      </c>
      <c r="F343" t="s">
        <v>42</v>
      </c>
      <c r="G343" t="s">
        <v>205</v>
      </c>
      <c r="H343" t="s">
        <v>6</v>
      </c>
      <c r="I343" s="429">
        <f>'P&amp;L Mensal'!D41</f>
        <v>-487969.93166831072</v>
      </c>
      <c r="J343" t="s">
        <v>545</v>
      </c>
      <c r="K343" t="s">
        <v>891</v>
      </c>
      <c r="L343">
        <v>41</v>
      </c>
    </row>
    <row r="344" spans="1:12" ht="18" customHeight="1" x14ac:dyDescent="0.25">
      <c r="A344" t="s">
        <v>544</v>
      </c>
      <c r="B344" s="23">
        <f>DATE(YEAR('P&amp;L Mensal'!$F$1),MONTH('P&amp;L Mensal'!$F$1),1)</f>
        <v>46082</v>
      </c>
      <c r="C344" s="23">
        <f>'P&amp;L Mensal'!$F$1</f>
        <v>46112</v>
      </c>
      <c r="D344" s="23">
        <f>'P&amp;L Mensal'!$F$1</f>
        <v>46112</v>
      </c>
      <c r="E344" t="str">
        <f>TEXT('P&amp;L Mensal'!$F$1,"mmm/yyyy")</f>
        <v>mar/yyyy</v>
      </c>
      <c r="F344" t="s">
        <v>42</v>
      </c>
      <c r="G344" t="s">
        <v>205</v>
      </c>
      <c r="H344" t="s">
        <v>549</v>
      </c>
      <c r="I344" s="104">
        <f>'P&amp;L Mensal'!E41</f>
        <v>-0.23119533865050468</v>
      </c>
      <c r="J344" t="s">
        <v>545</v>
      </c>
      <c r="K344" t="s">
        <v>892</v>
      </c>
      <c r="L344">
        <v>41</v>
      </c>
    </row>
    <row r="345" spans="1:12" ht="18" customHeight="1" x14ac:dyDescent="0.25">
      <c r="A345" t="s">
        <v>544</v>
      </c>
      <c r="B345" s="23">
        <f>DATE(YEAR('P&amp;L Mensal'!$F$1),MONTH('P&amp;L Mensal'!$F$1),1)</f>
        <v>46082</v>
      </c>
      <c r="C345" s="23">
        <f>'P&amp;L Mensal'!$F$1</f>
        <v>46112</v>
      </c>
      <c r="D345" s="23">
        <f>'P&amp;L Mensal'!$F$1</f>
        <v>46112</v>
      </c>
      <c r="E345" t="str">
        <f>TEXT('P&amp;L Mensal'!$F$1,"mmm/yyyy")</f>
        <v>mar/yyyy</v>
      </c>
      <c r="F345" t="s">
        <v>42</v>
      </c>
      <c r="G345" t="s">
        <v>220</v>
      </c>
      <c r="H345" t="s">
        <v>5</v>
      </c>
      <c r="I345" s="429">
        <f>'P&amp;L Mensal'!F41</f>
        <v>-3549774.3519350002</v>
      </c>
      <c r="J345" t="s">
        <v>545</v>
      </c>
      <c r="K345" t="s">
        <v>893</v>
      </c>
      <c r="L345">
        <v>41</v>
      </c>
    </row>
    <row r="346" spans="1:12" ht="18" customHeight="1" x14ac:dyDescent="0.25">
      <c r="A346" t="s">
        <v>544</v>
      </c>
      <c r="B346" s="23">
        <f>DATE(YEAR('P&amp;L Mensal'!$F$1),MONTH('P&amp;L Mensal'!$F$1),1)</f>
        <v>46082</v>
      </c>
      <c r="C346" s="23">
        <f>'P&amp;L Mensal'!$F$1</f>
        <v>46112</v>
      </c>
      <c r="D346" s="23">
        <f>'P&amp;L Mensal'!$F$1</f>
        <v>46112</v>
      </c>
      <c r="E346" t="str">
        <f>TEXT('P&amp;L Mensal'!$F$1,"mmm/yyyy")</f>
        <v>mar/yyyy</v>
      </c>
      <c r="F346" t="s">
        <v>42</v>
      </c>
      <c r="G346" t="s">
        <v>220</v>
      </c>
      <c r="H346" t="s">
        <v>6</v>
      </c>
      <c r="I346" s="429">
        <f>'P&amp;L Mensal'!G41</f>
        <v>-1730075.2122785561</v>
      </c>
      <c r="J346" t="s">
        <v>545</v>
      </c>
      <c r="K346" t="s">
        <v>894</v>
      </c>
      <c r="L346">
        <v>41</v>
      </c>
    </row>
    <row r="347" spans="1:12" ht="18" customHeight="1" x14ac:dyDescent="0.25">
      <c r="A347" t="s">
        <v>544</v>
      </c>
      <c r="B347" s="23">
        <f>DATE(YEAR('P&amp;L Mensal'!$F$1),MONTH('P&amp;L Mensal'!$F$1),1)</f>
        <v>46082</v>
      </c>
      <c r="C347" s="23">
        <f>'P&amp;L Mensal'!$F$1</f>
        <v>46112</v>
      </c>
      <c r="D347" s="23">
        <f>'P&amp;L Mensal'!$F$1</f>
        <v>46112</v>
      </c>
      <c r="E347" t="str">
        <f>TEXT('P&amp;L Mensal'!$F$1,"mmm/yyyy")</f>
        <v>mar/yyyy</v>
      </c>
      <c r="F347" t="s">
        <v>42</v>
      </c>
      <c r="G347" t="s">
        <v>220</v>
      </c>
      <c r="H347" t="s">
        <v>549</v>
      </c>
      <c r="I347" s="104">
        <f>'P&amp;L Mensal'!H41</f>
        <v>1.0518034861963317</v>
      </c>
      <c r="J347" t="s">
        <v>545</v>
      </c>
      <c r="K347" t="s">
        <v>895</v>
      </c>
      <c r="L347">
        <v>41</v>
      </c>
    </row>
    <row r="348" spans="1:12" ht="18" customHeight="1" x14ac:dyDescent="0.25">
      <c r="A348" t="s">
        <v>544</v>
      </c>
      <c r="B348" s="23">
        <f>DATE(YEAR('P&amp;L Mensal'!$F$1),MONTH('P&amp;L Mensal'!$F$1),1)</f>
        <v>46082</v>
      </c>
      <c r="C348" s="23">
        <f>'P&amp;L Mensal'!$F$1</f>
        <v>46112</v>
      </c>
      <c r="D348" s="23">
        <f>'P&amp;L Mensal'!$F$1</f>
        <v>46112</v>
      </c>
      <c r="E348" t="str">
        <f>TEXT('P&amp;L Mensal'!$F$1,"mmm/yyyy")</f>
        <v>mar/yyyy</v>
      </c>
      <c r="F348" t="s">
        <v>42</v>
      </c>
      <c r="G348" t="s">
        <v>96</v>
      </c>
      <c r="H348" t="s">
        <v>5</v>
      </c>
      <c r="I348" s="429">
        <f>'P&amp;L Mensal'!I41</f>
        <v>-3924927.9099999922</v>
      </c>
      <c r="J348" t="s">
        <v>545</v>
      </c>
      <c r="K348" t="s">
        <v>896</v>
      </c>
      <c r="L348">
        <v>41</v>
      </c>
    </row>
    <row r="349" spans="1:12" ht="18" customHeight="1" x14ac:dyDescent="0.25">
      <c r="A349" t="s">
        <v>544</v>
      </c>
      <c r="B349" s="23">
        <f>DATE(YEAR('P&amp;L Mensal'!$F$1),MONTH('P&amp;L Mensal'!$F$1),1)</f>
        <v>46082</v>
      </c>
      <c r="C349" s="23">
        <f>'P&amp;L Mensal'!$F$1</f>
        <v>46112</v>
      </c>
      <c r="D349" s="23">
        <f>'P&amp;L Mensal'!$F$1</f>
        <v>46112</v>
      </c>
      <c r="E349" t="str">
        <f>TEXT('P&amp;L Mensal'!$F$1,"mmm/yyyy")</f>
        <v>mar/yyyy</v>
      </c>
      <c r="F349" t="s">
        <v>42</v>
      </c>
      <c r="G349" t="s">
        <v>96</v>
      </c>
      <c r="H349" t="s">
        <v>6</v>
      </c>
      <c r="I349" s="429">
        <f>'P&amp;L Mensal'!J41</f>
        <v>-2218045.143946867</v>
      </c>
      <c r="J349" t="s">
        <v>545</v>
      </c>
      <c r="K349" t="s">
        <v>897</v>
      </c>
      <c r="L349">
        <v>41</v>
      </c>
    </row>
    <row r="350" spans="1:12" ht="18" customHeight="1" x14ac:dyDescent="0.25">
      <c r="A350" t="s">
        <v>544</v>
      </c>
      <c r="B350" s="23">
        <f>DATE(YEAR('P&amp;L Mensal'!$F$1),MONTH('P&amp;L Mensal'!$F$1),1)</f>
        <v>46082</v>
      </c>
      <c r="C350" s="23">
        <f>'P&amp;L Mensal'!$F$1</f>
        <v>46112</v>
      </c>
      <c r="D350" s="23">
        <f>'P&amp;L Mensal'!$F$1</f>
        <v>46112</v>
      </c>
      <c r="E350" t="str">
        <f>TEXT('P&amp;L Mensal'!$F$1,"mmm/yyyy")</f>
        <v>mar/yyyy</v>
      </c>
      <c r="F350" t="s">
        <v>42</v>
      </c>
      <c r="G350" t="s">
        <v>96</v>
      </c>
      <c r="H350" t="s">
        <v>549</v>
      </c>
      <c r="I350" s="104">
        <f>'P&amp;L Mensal'!K41</f>
        <v>0.76954374473002773</v>
      </c>
      <c r="J350" t="s">
        <v>545</v>
      </c>
      <c r="K350" t="s">
        <v>898</v>
      </c>
      <c r="L350">
        <v>41</v>
      </c>
    </row>
    <row r="351" spans="1:12" ht="18" customHeight="1" x14ac:dyDescent="0.25">
      <c r="A351" t="s">
        <v>544</v>
      </c>
      <c r="B351" s="23">
        <f>DATE(YEAR('P&amp;L Mensal'!$F$1),MONTH('P&amp;L Mensal'!$F$1),1)</f>
        <v>46082</v>
      </c>
      <c r="C351" s="23">
        <f>'P&amp;L Mensal'!$F$1</f>
        <v>46112</v>
      </c>
      <c r="D351" s="23">
        <f>'P&amp;L Mensal'!$F$1</f>
        <v>46112</v>
      </c>
      <c r="E351" t="str">
        <f>TEXT('P&amp;L Mensal'!$F$1,"mmm/yyyy")</f>
        <v>mar/yyyy</v>
      </c>
      <c r="F351" t="s">
        <v>42</v>
      </c>
      <c r="G351" t="s">
        <v>96</v>
      </c>
      <c r="H351" t="s">
        <v>557</v>
      </c>
      <c r="I351" s="429">
        <f>'P&amp;L Mensal'!L41</f>
        <v>-1706882.7660531253</v>
      </c>
      <c r="J351" t="s">
        <v>545</v>
      </c>
      <c r="K351" t="s">
        <v>899</v>
      </c>
      <c r="L351">
        <v>41</v>
      </c>
    </row>
    <row r="352" spans="1:12" ht="18" customHeight="1" x14ac:dyDescent="0.25">
      <c r="A352" t="s">
        <v>544</v>
      </c>
      <c r="B352" s="23">
        <f>DATE(YEAR('P&amp;L Mensal'!$F$1),MONTH('P&amp;L Mensal'!$F$1),1)</f>
        <v>46082</v>
      </c>
      <c r="C352" s="23">
        <f>'P&amp;L Mensal'!$F$1</f>
        <v>46112</v>
      </c>
      <c r="D352" s="23">
        <f>'P&amp;L Mensal'!$F$1</f>
        <v>46112</v>
      </c>
      <c r="E352" t="str">
        <f>TEXT('P&amp;L Mensal'!$F$1,"mmm/yyyy")</f>
        <v>mar/yyyy</v>
      </c>
      <c r="F352" t="s">
        <v>43</v>
      </c>
      <c r="G352" t="s">
        <v>205</v>
      </c>
      <c r="H352" t="s">
        <v>5</v>
      </c>
      <c r="I352" s="429">
        <f>'P&amp;L Mensal'!C42</f>
        <v>733372.52354474273</v>
      </c>
      <c r="J352" t="s">
        <v>545</v>
      </c>
      <c r="K352" t="s">
        <v>900</v>
      </c>
      <c r="L352">
        <v>42</v>
      </c>
    </row>
    <row r="353" spans="1:12" ht="18" customHeight="1" x14ac:dyDescent="0.25">
      <c r="A353" t="s">
        <v>544</v>
      </c>
      <c r="B353" s="23">
        <f>DATE(YEAR('P&amp;L Mensal'!$F$1),MONTH('P&amp;L Mensal'!$F$1),1)</f>
        <v>46082</v>
      </c>
      <c r="C353" s="23">
        <f>'P&amp;L Mensal'!$F$1</f>
        <v>46112</v>
      </c>
      <c r="D353" s="23">
        <f>'P&amp;L Mensal'!$F$1</f>
        <v>46112</v>
      </c>
      <c r="E353" t="str">
        <f>TEXT('P&amp;L Mensal'!$F$1,"mmm/yyyy")</f>
        <v>mar/yyyy</v>
      </c>
      <c r="F353" t="s">
        <v>43</v>
      </c>
      <c r="G353" t="s">
        <v>205</v>
      </c>
      <c r="H353" t="s">
        <v>6</v>
      </c>
      <c r="I353" s="429">
        <f>'P&amp;L Mensal'!D42</f>
        <v>753309.64995927876</v>
      </c>
      <c r="J353" t="s">
        <v>545</v>
      </c>
      <c r="K353" t="s">
        <v>901</v>
      </c>
      <c r="L353">
        <v>42</v>
      </c>
    </row>
    <row r="354" spans="1:12" ht="18" customHeight="1" x14ac:dyDescent="0.25">
      <c r="A354" t="s">
        <v>544</v>
      </c>
      <c r="B354" s="23">
        <f>DATE(YEAR('P&amp;L Mensal'!$F$1),MONTH('P&amp;L Mensal'!$F$1),1)</f>
        <v>46082</v>
      </c>
      <c r="C354" s="23">
        <f>'P&amp;L Mensal'!$F$1</f>
        <v>46112</v>
      </c>
      <c r="D354" s="23">
        <f>'P&amp;L Mensal'!$F$1</f>
        <v>46112</v>
      </c>
      <c r="E354" t="str">
        <f>TEXT('P&amp;L Mensal'!$F$1,"mmm/yyyy")</f>
        <v>mar/yyyy</v>
      </c>
      <c r="F354" t="s">
        <v>43</v>
      </c>
      <c r="G354" t="s">
        <v>205</v>
      </c>
      <c r="H354" t="s">
        <v>549</v>
      </c>
      <c r="I354" s="104">
        <f>'P&amp;L Mensal'!E42</f>
        <v>-2.6466044097024022E-2</v>
      </c>
      <c r="J354" t="s">
        <v>545</v>
      </c>
      <c r="K354" t="s">
        <v>902</v>
      </c>
      <c r="L354">
        <v>42</v>
      </c>
    </row>
    <row r="355" spans="1:12" ht="18" customHeight="1" x14ac:dyDescent="0.25">
      <c r="A355" t="s">
        <v>544</v>
      </c>
      <c r="B355" s="23">
        <f>DATE(YEAR('P&amp;L Mensal'!$F$1),MONTH('P&amp;L Mensal'!$F$1),1)</f>
        <v>46082</v>
      </c>
      <c r="C355" s="23">
        <f>'P&amp;L Mensal'!$F$1</f>
        <v>46112</v>
      </c>
      <c r="D355" s="23">
        <f>'P&amp;L Mensal'!$F$1</f>
        <v>46112</v>
      </c>
      <c r="E355" t="str">
        <f>TEXT('P&amp;L Mensal'!$F$1,"mmm/yyyy")</f>
        <v>mar/yyyy</v>
      </c>
      <c r="F355" t="s">
        <v>43</v>
      </c>
      <c r="G355" t="s">
        <v>220</v>
      </c>
      <c r="H355" t="s">
        <v>5</v>
      </c>
      <c r="I355" s="429">
        <f>'P&amp;L Mensal'!F42</f>
        <v>6939310.3664552579</v>
      </c>
      <c r="J355" t="s">
        <v>545</v>
      </c>
      <c r="K355" t="s">
        <v>903</v>
      </c>
      <c r="L355">
        <v>42</v>
      </c>
    </row>
    <row r="356" spans="1:12" ht="18" customHeight="1" x14ac:dyDescent="0.25">
      <c r="A356" t="s">
        <v>544</v>
      </c>
      <c r="B356" s="23">
        <f>DATE(YEAR('P&amp;L Mensal'!$F$1),MONTH('P&amp;L Mensal'!$F$1),1)</f>
        <v>46082</v>
      </c>
      <c r="C356" s="23">
        <f>'P&amp;L Mensal'!$F$1</f>
        <v>46112</v>
      </c>
      <c r="D356" s="23">
        <f>'P&amp;L Mensal'!$F$1</f>
        <v>46112</v>
      </c>
      <c r="E356" t="str">
        <f>TEXT('P&amp;L Mensal'!$F$1,"mmm/yyyy")</f>
        <v>mar/yyyy</v>
      </c>
      <c r="F356" t="s">
        <v>43</v>
      </c>
      <c r="G356" t="s">
        <v>220</v>
      </c>
      <c r="H356" t="s">
        <v>6</v>
      </c>
      <c r="I356" s="429">
        <f>'P&amp;L Mensal'!G42</f>
        <v>5559588.0674280291</v>
      </c>
      <c r="J356" t="s">
        <v>545</v>
      </c>
      <c r="K356" t="s">
        <v>904</v>
      </c>
      <c r="L356">
        <v>42</v>
      </c>
    </row>
    <row r="357" spans="1:12" ht="18" customHeight="1" x14ac:dyDescent="0.25">
      <c r="A357" t="s">
        <v>544</v>
      </c>
      <c r="B357" s="23">
        <f>DATE(YEAR('P&amp;L Mensal'!$F$1),MONTH('P&amp;L Mensal'!$F$1),1)</f>
        <v>46082</v>
      </c>
      <c r="C357" s="23">
        <f>'P&amp;L Mensal'!$F$1</f>
        <v>46112</v>
      </c>
      <c r="D357" s="23">
        <f>'P&amp;L Mensal'!$F$1</f>
        <v>46112</v>
      </c>
      <c r="E357" t="str">
        <f>TEXT('P&amp;L Mensal'!$F$1,"mmm/yyyy")</f>
        <v>mar/yyyy</v>
      </c>
      <c r="F357" t="s">
        <v>43</v>
      </c>
      <c r="G357" t="s">
        <v>220</v>
      </c>
      <c r="H357" t="s">
        <v>549</v>
      </c>
      <c r="I357" s="104">
        <f>'P&amp;L Mensal'!H42</f>
        <v>0.24816987918774247</v>
      </c>
      <c r="J357" t="s">
        <v>545</v>
      </c>
      <c r="K357" t="s">
        <v>905</v>
      </c>
      <c r="L357">
        <v>42</v>
      </c>
    </row>
    <row r="358" spans="1:12" ht="18" customHeight="1" x14ac:dyDescent="0.25">
      <c r="A358" t="s">
        <v>544</v>
      </c>
      <c r="B358" s="23">
        <f>DATE(YEAR('P&amp;L Mensal'!$F$1),MONTH('P&amp;L Mensal'!$F$1),1)</f>
        <v>46082</v>
      </c>
      <c r="C358" s="23">
        <f>'P&amp;L Mensal'!$F$1</f>
        <v>46112</v>
      </c>
      <c r="D358" s="23">
        <f>'P&amp;L Mensal'!$F$1</f>
        <v>46112</v>
      </c>
      <c r="E358" t="str">
        <f>TEXT('P&amp;L Mensal'!$F$1,"mmm/yyyy")</f>
        <v>mar/yyyy</v>
      </c>
      <c r="F358" t="s">
        <v>43</v>
      </c>
      <c r="G358" t="s">
        <v>96</v>
      </c>
      <c r="H358" t="s">
        <v>5</v>
      </c>
      <c r="I358" s="429">
        <f>'P&amp;L Mensal'!I42</f>
        <v>7672682.8900000025</v>
      </c>
      <c r="J358" t="s">
        <v>545</v>
      </c>
      <c r="K358" t="s">
        <v>906</v>
      </c>
      <c r="L358">
        <v>42</v>
      </c>
    </row>
    <row r="359" spans="1:12" ht="18" customHeight="1" x14ac:dyDescent="0.25">
      <c r="A359" t="s">
        <v>544</v>
      </c>
      <c r="B359" s="23">
        <f>DATE(YEAR('P&amp;L Mensal'!$F$1),MONTH('P&amp;L Mensal'!$F$1),1)</f>
        <v>46082</v>
      </c>
      <c r="C359" s="23">
        <f>'P&amp;L Mensal'!$F$1</f>
        <v>46112</v>
      </c>
      <c r="D359" s="23">
        <f>'P&amp;L Mensal'!$F$1</f>
        <v>46112</v>
      </c>
      <c r="E359" t="str">
        <f>TEXT('P&amp;L Mensal'!$F$1,"mmm/yyyy")</f>
        <v>mar/yyyy</v>
      </c>
      <c r="F359" t="s">
        <v>43</v>
      </c>
      <c r="G359" t="s">
        <v>96</v>
      </c>
      <c r="H359" t="s">
        <v>6</v>
      </c>
      <c r="I359" s="429">
        <f>'P&amp;L Mensal'!J42</f>
        <v>6312897.7173873018</v>
      </c>
      <c r="J359" t="s">
        <v>545</v>
      </c>
      <c r="K359" t="s">
        <v>907</v>
      </c>
      <c r="L359">
        <v>42</v>
      </c>
    </row>
    <row r="360" spans="1:12" ht="18" customHeight="1" x14ac:dyDescent="0.25">
      <c r="A360" t="s">
        <v>544</v>
      </c>
      <c r="B360" s="23">
        <f>DATE(YEAR('P&amp;L Mensal'!$F$1),MONTH('P&amp;L Mensal'!$F$1),1)</f>
        <v>46082</v>
      </c>
      <c r="C360" s="23">
        <f>'P&amp;L Mensal'!$F$1</f>
        <v>46112</v>
      </c>
      <c r="D360" s="23">
        <f>'P&amp;L Mensal'!$F$1</f>
        <v>46112</v>
      </c>
      <c r="E360" t="str">
        <f>TEXT('P&amp;L Mensal'!$F$1,"mmm/yyyy")</f>
        <v>mar/yyyy</v>
      </c>
      <c r="F360" t="s">
        <v>43</v>
      </c>
      <c r="G360" t="s">
        <v>96</v>
      </c>
      <c r="H360" t="s">
        <v>549</v>
      </c>
      <c r="I360" s="104">
        <f>'P&amp;L Mensal'!K42</f>
        <v>0.21539794140296475</v>
      </c>
      <c r="J360" t="s">
        <v>545</v>
      </c>
      <c r="K360" t="s">
        <v>908</v>
      </c>
      <c r="L360">
        <v>42</v>
      </c>
    </row>
    <row r="361" spans="1:12" ht="18" customHeight="1" x14ac:dyDescent="0.25">
      <c r="A361" t="s">
        <v>544</v>
      </c>
      <c r="B361" s="23">
        <f>DATE(YEAR('P&amp;L Mensal'!$F$1),MONTH('P&amp;L Mensal'!$F$1),1)</f>
        <v>46082</v>
      </c>
      <c r="C361" s="23">
        <f>'P&amp;L Mensal'!$F$1</f>
        <v>46112</v>
      </c>
      <c r="D361" s="23">
        <f>'P&amp;L Mensal'!$F$1</f>
        <v>46112</v>
      </c>
      <c r="E361" t="str">
        <f>TEXT('P&amp;L Mensal'!$F$1,"mmm/yyyy")</f>
        <v>mar/yyyy</v>
      </c>
      <c r="F361" t="s">
        <v>43</v>
      </c>
      <c r="G361" t="s">
        <v>96</v>
      </c>
      <c r="H361" t="s">
        <v>557</v>
      </c>
      <c r="I361" s="429">
        <f>'P&amp;L Mensal'!L42</f>
        <v>1359785.1726127006</v>
      </c>
      <c r="J361" t="s">
        <v>545</v>
      </c>
      <c r="K361" t="s">
        <v>909</v>
      </c>
      <c r="L361">
        <v>42</v>
      </c>
    </row>
    <row r="362" spans="1:12" ht="18" customHeight="1" x14ac:dyDescent="0.25">
      <c r="A362" t="s">
        <v>544</v>
      </c>
      <c r="B362" s="23">
        <f>DATE(YEAR('P&amp;L Mensal'!$F$1),MONTH('P&amp;L Mensal'!$F$1),1)</f>
        <v>46082</v>
      </c>
      <c r="C362" s="23">
        <f>'P&amp;L Mensal'!$F$1</f>
        <v>46112</v>
      </c>
      <c r="D362" s="23">
        <f>'P&amp;L Mensal'!$F$1</f>
        <v>46112</v>
      </c>
      <c r="E362" t="str">
        <f>TEXT('P&amp;L Mensal'!$F$1,"mmm/yyyy")</f>
        <v>mar/yyyy</v>
      </c>
      <c r="F362" t="s">
        <v>45</v>
      </c>
      <c r="G362" t="s">
        <v>205</v>
      </c>
      <c r="H362" t="s">
        <v>5</v>
      </c>
      <c r="I362" s="429" t="e">
        <f>'P&amp;L Mensal'!C43</f>
        <v>#REF!</v>
      </c>
      <c r="J362" t="s">
        <v>545</v>
      </c>
      <c r="K362" t="s">
        <v>910</v>
      </c>
      <c r="L362">
        <v>43</v>
      </c>
    </row>
    <row r="363" spans="1:12" ht="18" customHeight="1" x14ac:dyDescent="0.25">
      <c r="A363" t="s">
        <v>544</v>
      </c>
      <c r="B363" s="23">
        <f>DATE(YEAR('P&amp;L Mensal'!$F$1),MONTH('P&amp;L Mensal'!$F$1),1)</f>
        <v>46082</v>
      </c>
      <c r="C363" s="23">
        <f>'P&amp;L Mensal'!$F$1</f>
        <v>46112</v>
      </c>
      <c r="D363" s="23">
        <f>'P&amp;L Mensal'!$F$1</f>
        <v>46112</v>
      </c>
      <c r="E363" t="str">
        <f>TEXT('P&amp;L Mensal'!$F$1,"mmm/yyyy")</f>
        <v>mar/yyyy</v>
      </c>
      <c r="F363" t="s">
        <v>45</v>
      </c>
      <c r="G363" t="s">
        <v>205</v>
      </c>
      <c r="H363" t="s">
        <v>6</v>
      </c>
      <c r="I363" s="429" t="e">
        <f>'P&amp;L Mensal'!D43</f>
        <v>#REF!</v>
      </c>
      <c r="J363" t="s">
        <v>545</v>
      </c>
      <c r="K363" t="s">
        <v>911</v>
      </c>
      <c r="L363">
        <v>43</v>
      </c>
    </row>
    <row r="364" spans="1:12" ht="18" customHeight="1" x14ac:dyDescent="0.25">
      <c r="A364" t="s">
        <v>544</v>
      </c>
      <c r="B364" s="23">
        <f>DATE(YEAR('P&amp;L Mensal'!$F$1),MONTH('P&amp;L Mensal'!$F$1),1)</f>
        <v>46082</v>
      </c>
      <c r="C364" s="23">
        <f>'P&amp;L Mensal'!$F$1</f>
        <v>46112</v>
      </c>
      <c r="D364" s="23">
        <f>'P&amp;L Mensal'!$F$1</f>
        <v>46112</v>
      </c>
      <c r="E364" t="str">
        <f>TEXT('P&amp;L Mensal'!$F$1,"mmm/yyyy")</f>
        <v>mar/yyyy</v>
      </c>
      <c r="F364" t="s">
        <v>45</v>
      </c>
      <c r="G364" t="s">
        <v>205</v>
      </c>
      <c r="H364" t="s">
        <v>549</v>
      </c>
      <c r="I364" s="104" t="str">
        <f>'P&amp;L Mensal'!E43</f>
        <v>-</v>
      </c>
      <c r="J364" t="s">
        <v>545</v>
      </c>
      <c r="K364" t="s">
        <v>912</v>
      </c>
      <c r="L364">
        <v>43</v>
      </c>
    </row>
    <row r="365" spans="1:12" ht="18" customHeight="1" x14ac:dyDescent="0.25">
      <c r="A365" t="s">
        <v>544</v>
      </c>
      <c r="B365" s="23">
        <f>DATE(YEAR('P&amp;L Mensal'!$F$1),MONTH('P&amp;L Mensal'!$F$1),1)</f>
        <v>46082</v>
      </c>
      <c r="C365" s="23">
        <f>'P&amp;L Mensal'!$F$1</f>
        <v>46112</v>
      </c>
      <c r="D365" s="23">
        <f>'P&amp;L Mensal'!$F$1</f>
        <v>46112</v>
      </c>
      <c r="E365" t="str">
        <f>TEXT('P&amp;L Mensal'!$F$1,"mmm/yyyy")</f>
        <v>mar/yyyy</v>
      </c>
      <c r="F365" t="s">
        <v>45</v>
      </c>
      <c r="G365" t="s">
        <v>220</v>
      </c>
      <c r="H365" t="s">
        <v>5</v>
      </c>
      <c r="I365" s="429" t="e">
        <f>'P&amp;L Mensal'!F43</f>
        <v>#REF!</v>
      </c>
      <c r="J365" t="s">
        <v>545</v>
      </c>
      <c r="K365" t="s">
        <v>913</v>
      </c>
      <c r="L365">
        <v>43</v>
      </c>
    </row>
    <row r="366" spans="1:12" ht="18" customHeight="1" x14ac:dyDescent="0.25">
      <c r="A366" t="s">
        <v>544</v>
      </c>
      <c r="B366" s="23">
        <f>DATE(YEAR('P&amp;L Mensal'!$F$1),MONTH('P&amp;L Mensal'!$F$1),1)</f>
        <v>46082</v>
      </c>
      <c r="C366" s="23">
        <f>'P&amp;L Mensal'!$F$1</f>
        <v>46112</v>
      </c>
      <c r="D366" s="23">
        <f>'P&amp;L Mensal'!$F$1</f>
        <v>46112</v>
      </c>
      <c r="E366" t="str">
        <f>TEXT('P&amp;L Mensal'!$F$1,"mmm/yyyy")</f>
        <v>mar/yyyy</v>
      </c>
      <c r="F366" t="s">
        <v>45</v>
      </c>
      <c r="G366" t="s">
        <v>220</v>
      </c>
      <c r="H366" t="s">
        <v>6</v>
      </c>
      <c r="I366" s="429" t="e">
        <f>'P&amp;L Mensal'!G43</f>
        <v>#REF!</v>
      </c>
      <c r="J366" t="s">
        <v>545</v>
      </c>
      <c r="K366" t="s">
        <v>914</v>
      </c>
      <c r="L366">
        <v>43</v>
      </c>
    </row>
    <row r="367" spans="1:12" ht="18" customHeight="1" x14ac:dyDescent="0.25">
      <c r="A367" t="s">
        <v>544</v>
      </c>
      <c r="B367" s="23">
        <f>DATE(YEAR('P&amp;L Mensal'!$F$1),MONTH('P&amp;L Mensal'!$F$1),1)</f>
        <v>46082</v>
      </c>
      <c r="C367" s="23">
        <f>'P&amp;L Mensal'!$F$1</f>
        <v>46112</v>
      </c>
      <c r="D367" s="23">
        <f>'P&amp;L Mensal'!$F$1</f>
        <v>46112</v>
      </c>
      <c r="E367" t="str">
        <f>TEXT('P&amp;L Mensal'!$F$1,"mmm/yyyy")</f>
        <v>mar/yyyy</v>
      </c>
      <c r="F367" t="s">
        <v>45</v>
      </c>
      <c r="G367" t="s">
        <v>220</v>
      </c>
      <c r="H367" t="s">
        <v>549</v>
      </c>
      <c r="I367" s="104" t="str">
        <f>'P&amp;L Mensal'!H43</f>
        <v>-</v>
      </c>
      <c r="J367" t="s">
        <v>545</v>
      </c>
      <c r="K367" t="s">
        <v>915</v>
      </c>
      <c r="L367">
        <v>43</v>
      </c>
    </row>
    <row r="368" spans="1:12" ht="18" customHeight="1" x14ac:dyDescent="0.25">
      <c r="A368" t="s">
        <v>544</v>
      </c>
      <c r="B368" s="23">
        <f>DATE(YEAR('P&amp;L Mensal'!$F$1),MONTH('P&amp;L Mensal'!$F$1),1)</f>
        <v>46082</v>
      </c>
      <c r="C368" s="23">
        <f>'P&amp;L Mensal'!$F$1</f>
        <v>46112</v>
      </c>
      <c r="D368" s="23">
        <f>'P&amp;L Mensal'!$F$1</f>
        <v>46112</v>
      </c>
      <c r="E368" t="str">
        <f>TEXT('P&amp;L Mensal'!$F$1,"mmm/yyyy")</f>
        <v>mar/yyyy</v>
      </c>
      <c r="F368" t="s">
        <v>45</v>
      </c>
      <c r="G368" t="s">
        <v>96</v>
      </c>
      <c r="H368" t="s">
        <v>5</v>
      </c>
      <c r="I368" s="429" t="e">
        <f>'P&amp;L Mensal'!I43</f>
        <v>#REF!</v>
      </c>
      <c r="J368" t="s">
        <v>545</v>
      </c>
      <c r="K368" t="s">
        <v>916</v>
      </c>
      <c r="L368">
        <v>43</v>
      </c>
    </row>
    <row r="369" spans="1:12" ht="18" customHeight="1" x14ac:dyDescent="0.25">
      <c r="A369" t="s">
        <v>544</v>
      </c>
      <c r="B369" s="23">
        <f>DATE(YEAR('P&amp;L Mensal'!$F$1),MONTH('P&amp;L Mensal'!$F$1),1)</f>
        <v>46082</v>
      </c>
      <c r="C369" s="23">
        <f>'P&amp;L Mensal'!$F$1</f>
        <v>46112</v>
      </c>
      <c r="D369" s="23">
        <f>'P&amp;L Mensal'!$F$1</f>
        <v>46112</v>
      </c>
      <c r="E369" t="str">
        <f>TEXT('P&amp;L Mensal'!$F$1,"mmm/yyyy")</f>
        <v>mar/yyyy</v>
      </c>
      <c r="F369" t="s">
        <v>45</v>
      </c>
      <c r="G369" t="s">
        <v>96</v>
      </c>
      <c r="H369" t="s">
        <v>6</v>
      </c>
      <c r="I369" s="429" t="e">
        <f>'P&amp;L Mensal'!J43</f>
        <v>#REF!</v>
      </c>
      <c r="J369" t="s">
        <v>545</v>
      </c>
      <c r="K369" t="s">
        <v>917</v>
      </c>
      <c r="L369">
        <v>43</v>
      </c>
    </row>
    <row r="370" spans="1:12" ht="18" customHeight="1" x14ac:dyDescent="0.25">
      <c r="A370" t="s">
        <v>544</v>
      </c>
      <c r="B370" s="23">
        <f>DATE(YEAR('P&amp;L Mensal'!$F$1),MONTH('P&amp;L Mensal'!$F$1),1)</f>
        <v>46082</v>
      </c>
      <c r="C370" s="23">
        <f>'P&amp;L Mensal'!$F$1</f>
        <v>46112</v>
      </c>
      <c r="D370" s="23">
        <f>'P&amp;L Mensal'!$F$1</f>
        <v>46112</v>
      </c>
      <c r="E370" t="str">
        <f>TEXT('P&amp;L Mensal'!$F$1,"mmm/yyyy")</f>
        <v>mar/yyyy</v>
      </c>
      <c r="F370" t="s">
        <v>45</v>
      </c>
      <c r="G370" t="s">
        <v>96</v>
      </c>
      <c r="H370" t="s">
        <v>549</v>
      </c>
      <c r="I370" s="104" t="str">
        <f>'P&amp;L Mensal'!K43</f>
        <v>-</v>
      </c>
      <c r="J370" t="s">
        <v>545</v>
      </c>
      <c r="K370" t="s">
        <v>918</v>
      </c>
      <c r="L370">
        <v>43</v>
      </c>
    </row>
    <row r="371" spans="1:12" ht="18" customHeight="1" x14ac:dyDescent="0.25">
      <c r="A371" t="s">
        <v>544</v>
      </c>
      <c r="B371" s="23">
        <f>DATE(YEAR('P&amp;L Mensal'!$F$1),MONTH('P&amp;L Mensal'!$F$1),1)</f>
        <v>46082</v>
      </c>
      <c r="C371" s="23">
        <f>'P&amp;L Mensal'!$F$1</f>
        <v>46112</v>
      </c>
      <c r="D371" s="23">
        <f>'P&amp;L Mensal'!$F$1</f>
        <v>46112</v>
      </c>
      <c r="E371" t="str">
        <f>TEXT('P&amp;L Mensal'!$F$1,"mmm/yyyy")</f>
        <v>mar/yyyy</v>
      </c>
      <c r="F371" t="s">
        <v>45</v>
      </c>
      <c r="G371" t="s">
        <v>96</v>
      </c>
      <c r="H371" t="s">
        <v>557</v>
      </c>
      <c r="I371" s="429" t="e">
        <f>'P&amp;L Mensal'!L43</f>
        <v>#REF!</v>
      </c>
      <c r="J371" t="s">
        <v>545</v>
      </c>
      <c r="K371" t="s">
        <v>919</v>
      </c>
      <c r="L371">
        <v>43</v>
      </c>
    </row>
    <row r="372" spans="1:12" ht="18" customHeight="1" x14ac:dyDescent="0.25">
      <c r="A372" t="s">
        <v>544</v>
      </c>
      <c r="B372" s="23">
        <f>DATE(YEAR('P&amp;L Mensal'!$F$1),MONTH('P&amp;L Mensal'!$F$1),1)</f>
        <v>46082</v>
      </c>
      <c r="C372" s="23">
        <f>'P&amp;L Mensal'!$F$1</f>
        <v>46112</v>
      </c>
      <c r="D372" s="23">
        <f>'P&amp;L Mensal'!$F$1</f>
        <v>46112</v>
      </c>
      <c r="E372" t="str">
        <f>TEXT('P&amp;L Mensal'!$F$1,"mmm/yyyy")</f>
        <v>mar/yyyy</v>
      </c>
      <c r="F372" t="s">
        <v>46</v>
      </c>
      <c r="G372" t="s">
        <v>205</v>
      </c>
      <c r="H372" t="s">
        <v>5</v>
      </c>
      <c r="I372" s="429">
        <f>'P&amp;L Mensal'!C44</f>
        <v>8.3519809358461927E-2</v>
      </c>
      <c r="J372" t="s">
        <v>545</v>
      </c>
      <c r="K372" t="s">
        <v>920</v>
      </c>
      <c r="L372">
        <v>44</v>
      </c>
    </row>
    <row r="373" spans="1:12" ht="18" customHeight="1" x14ac:dyDescent="0.25">
      <c r="A373" t="s">
        <v>544</v>
      </c>
      <c r="B373" s="23">
        <f>DATE(YEAR('P&amp;L Mensal'!$F$1),MONTH('P&amp;L Mensal'!$F$1),1)</f>
        <v>46082</v>
      </c>
      <c r="C373" s="23">
        <f>'P&amp;L Mensal'!$F$1</f>
        <v>46112</v>
      </c>
      <c r="D373" s="23">
        <f>'P&amp;L Mensal'!$F$1</f>
        <v>46112</v>
      </c>
      <c r="E373" t="str">
        <f>TEXT('P&amp;L Mensal'!$F$1,"mmm/yyyy")</f>
        <v>mar/yyyy</v>
      </c>
      <c r="F373" t="s">
        <v>46</v>
      </c>
      <c r="G373" t="s">
        <v>205</v>
      </c>
      <c r="H373" t="s">
        <v>6</v>
      </c>
      <c r="I373" s="429">
        <f>'P&amp;L Mensal'!D44</f>
        <v>8.642629706778146E-2</v>
      </c>
      <c r="J373" t="s">
        <v>545</v>
      </c>
      <c r="K373" t="s">
        <v>921</v>
      </c>
      <c r="L373">
        <v>44</v>
      </c>
    </row>
    <row r="374" spans="1:12" ht="18" customHeight="1" x14ac:dyDescent="0.25">
      <c r="A374" t="s">
        <v>544</v>
      </c>
      <c r="B374" s="23">
        <f>DATE(YEAR('P&amp;L Mensal'!$F$1),MONTH('P&amp;L Mensal'!$F$1),1)</f>
        <v>46082</v>
      </c>
      <c r="C374" s="23">
        <f>'P&amp;L Mensal'!$F$1</f>
        <v>46112</v>
      </c>
      <c r="D374" s="23">
        <f>'P&amp;L Mensal'!$F$1</f>
        <v>46112</v>
      </c>
      <c r="E374" t="str">
        <f>TEXT('P&amp;L Mensal'!$F$1,"mmm/yyyy")</f>
        <v>mar/yyyy</v>
      </c>
      <c r="F374" t="s">
        <v>46</v>
      </c>
      <c r="G374" t="s">
        <v>205</v>
      </c>
      <c r="H374" t="s">
        <v>549</v>
      </c>
      <c r="I374" s="104">
        <f>'P&amp;L Mensal'!E44</f>
        <v>-0.29064877093195329</v>
      </c>
      <c r="J374" t="s">
        <v>545</v>
      </c>
      <c r="K374" t="s">
        <v>922</v>
      </c>
      <c r="L374">
        <v>44</v>
      </c>
    </row>
    <row r="375" spans="1:12" ht="18" customHeight="1" x14ac:dyDescent="0.25">
      <c r="A375" t="s">
        <v>544</v>
      </c>
      <c r="B375" s="23">
        <f>DATE(YEAR('P&amp;L Mensal'!$F$1),MONTH('P&amp;L Mensal'!$F$1),1)</f>
        <v>46082</v>
      </c>
      <c r="C375" s="23">
        <f>'P&amp;L Mensal'!$F$1</f>
        <v>46112</v>
      </c>
      <c r="D375" s="23">
        <f>'P&amp;L Mensal'!$F$1</f>
        <v>46112</v>
      </c>
      <c r="E375" t="str">
        <f>TEXT('P&amp;L Mensal'!$F$1,"mmm/yyyy")</f>
        <v>mar/yyyy</v>
      </c>
      <c r="F375" t="s">
        <v>46</v>
      </c>
      <c r="G375" t="s">
        <v>220</v>
      </c>
      <c r="H375" t="s">
        <v>5</v>
      </c>
      <c r="I375" s="429">
        <f>'P&amp;L Mensal'!F44</f>
        <v>0.11378117275063988</v>
      </c>
      <c r="J375" t="s">
        <v>545</v>
      </c>
      <c r="K375" t="s">
        <v>923</v>
      </c>
      <c r="L375">
        <v>44</v>
      </c>
    </row>
    <row r="376" spans="1:12" ht="18" customHeight="1" x14ac:dyDescent="0.25">
      <c r="A376" t="s">
        <v>544</v>
      </c>
      <c r="B376" s="23">
        <f>DATE(YEAR('P&amp;L Mensal'!$F$1),MONTH('P&amp;L Mensal'!$F$1),1)</f>
        <v>46082</v>
      </c>
      <c r="C376" s="23">
        <f>'P&amp;L Mensal'!$F$1</f>
        <v>46112</v>
      </c>
      <c r="D376" s="23">
        <f>'P&amp;L Mensal'!$F$1</f>
        <v>46112</v>
      </c>
      <c r="E376" t="str">
        <f>TEXT('P&amp;L Mensal'!$F$1,"mmm/yyyy")</f>
        <v>mar/yyyy</v>
      </c>
      <c r="F376" t="s">
        <v>46</v>
      </c>
      <c r="G376" t="s">
        <v>220</v>
      </c>
      <c r="H376" t="s">
        <v>6</v>
      </c>
      <c r="I376" s="429">
        <f>'P&amp;L Mensal'!G44</f>
        <v>0.10533597981220691</v>
      </c>
      <c r="J376" t="s">
        <v>545</v>
      </c>
      <c r="K376" t="s">
        <v>924</v>
      </c>
      <c r="L376">
        <v>44</v>
      </c>
    </row>
    <row r="377" spans="1:12" ht="18" customHeight="1" x14ac:dyDescent="0.25">
      <c r="A377" t="s">
        <v>544</v>
      </c>
      <c r="B377" s="23">
        <f>DATE(YEAR('P&amp;L Mensal'!$F$1),MONTH('P&amp;L Mensal'!$F$1),1)</f>
        <v>46082</v>
      </c>
      <c r="C377" s="23">
        <f>'P&amp;L Mensal'!$F$1</f>
        <v>46112</v>
      </c>
      <c r="D377" s="23">
        <f>'P&amp;L Mensal'!$F$1</f>
        <v>46112</v>
      </c>
      <c r="E377" t="str">
        <f>TEXT('P&amp;L Mensal'!$F$1,"mmm/yyyy")</f>
        <v>mar/yyyy</v>
      </c>
      <c r="F377" t="s">
        <v>46</v>
      </c>
      <c r="G377" t="s">
        <v>220</v>
      </c>
      <c r="H377" t="s">
        <v>549</v>
      </c>
      <c r="I377" s="104">
        <f>'P&amp;L Mensal'!H44</f>
        <v>0.84451929384329749</v>
      </c>
      <c r="J377" t="s">
        <v>545</v>
      </c>
      <c r="K377" t="s">
        <v>925</v>
      </c>
      <c r="L377">
        <v>44</v>
      </c>
    </row>
    <row r="378" spans="1:12" ht="18" customHeight="1" x14ac:dyDescent="0.25">
      <c r="A378" t="s">
        <v>544</v>
      </c>
      <c r="B378" s="23">
        <f>DATE(YEAR('P&amp;L Mensal'!$F$1),MONTH('P&amp;L Mensal'!$F$1),1)</f>
        <v>46082</v>
      </c>
      <c r="C378" s="23">
        <f>'P&amp;L Mensal'!$F$1</f>
        <v>46112</v>
      </c>
      <c r="D378" s="23">
        <f>'P&amp;L Mensal'!$F$1</f>
        <v>46112</v>
      </c>
      <c r="E378" t="str">
        <f>TEXT('P&amp;L Mensal'!$F$1,"mmm/yyyy")</f>
        <v>mar/yyyy</v>
      </c>
      <c r="F378" t="s">
        <v>46</v>
      </c>
      <c r="G378" t="s">
        <v>96</v>
      </c>
      <c r="H378" t="s">
        <v>5</v>
      </c>
      <c r="I378" s="429">
        <f>'P&amp;L Mensal'!I44</f>
        <v>0.10756660748900262</v>
      </c>
      <c r="J378" t="s">
        <v>545</v>
      </c>
      <c r="K378" t="s">
        <v>926</v>
      </c>
      <c r="L378">
        <v>44</v>
      </c>
    </row>
    <row r="379" spans="1:12" ht="18" customHeight="1" x14ac:dyDescent="0.25">
      <c r="A379" t="s">
        <v>544</v>
      </c>
      <c r="B379" s="23">
        <f>DATE(YEAR('P&amp;L Mensal'!$F$1),MONTH('P&amp;L Mensal'!$F$1),1)</f>
        <v>46082</v>
      </c>
      <c r="C379" s="23">
        <f>'P&amp;L Mensal'!$F$1</f>
        <v>46112</v>
      </c>
      <c r="D379" s="23">
        <f>'P&amp;L Mensal'!$F$1</f>
        <v>46112</v>
      </c>
      <c r="E379" t="str">
        <f>TEXT('P&amp;L Mensal'!$F$1,"mmm/yyyy")</f>
        <v>mar/yyyy</v>
      </c>
      <c r="F379" t="s">
        <v>46</v>
      </c>
      <c r="G379" t="s">
        <v>96</v>
      </c>
      <c r="H379" t="s">
        <v>6</v>
      </c>
      <c r="I379" s="429">
        <f>'P&amp;L Mensal'!J44</f>
        <v>0.10135270537890267</v>
      </c>
      <c r="J379" t="s">
        <v>545</v>
      </c>
      <c r="K379" t="s">
        <v>927</v>
      </c>
      <c r="L379">
        <v>44</v>
      </c>
    </row>
    <row r="380" spans="1:12" ht="18" customHeight="1" x14ac:dyDescent="0.25">
      <c r="A380" t="s">
        <v>544</v>
      </c>
      <c r="B380" s="23">
        <f>DATE(YEAR('P&amp;L Mensal'!$F$1),MONTH('P&amp;L Mensal'!$F$1),1)</f>
        <v>46082</v>
      </c>
      <c r="C380" s="23">
        <f>'P&amp;L Mensal'!$F$1</f>
        <v>46112</v>
      </c>
      <c r="D380" s="23">
        <f>'P&amp;L Mensal'!$F$1</f>
        <v>46112</v>
      </c>
      <c r="E380" t="str">
        <f>TEXT('P&amp;L Mensal'!$F$1,"mmm/yyyy")</f>
        <v>mar/yyyy</v>
      </c>
      <c r="F380" t="s">
        <v>46</v>
      </c>
      <c r="G380" t="s">
        <v>96</v>
      </c>
      <c r="H380" t="s">
        <v>549</v>
      </c>
      <c r="I380" s="104">
        <f>'P&amp;L Mensal'!K44</f>
        <v>0.62139021100999503</v>
      </c>
      <c r="J380" t="s">
        <v>545</v>
      </c>
      <c r="K380" t="s">
        <v>928</v>
      </c>
      <c r="L380">
        <v>44</v>
      </c>
    </row>
    <row r="381" spans="1:12" ht="18" customHeight="1" x14ac:dyDescent="0.25">
      <c r="A381" t="s">
        <v>544</v>
      </c>
      <c r="B381" s="23">
        <f>DATE(YEAR('P&amp;L Mensal'!$F$1),MONTH('P&amp;L Mensal'!$F$1),1)</f>
        <v>46082</v>
      </c>
      <c r="C381" s="23">
        <f>'P&amp;L Mensal'!$F$1</f>
        <v>46112</v>
      </c>
      <c r="D381" s="23">
        <f>'P&amp;L Mensal'!$F$1</f>
        <v>46112</v>
      </c>
      <c r="E381" t="str">
        <f>TEXT('P&amp;L Mensal'!$F$1,"mmm/yyyy")</f>
        <v>mar/yyyy</v>
      </c>
      <c r="F381" t="s">
        <v>46</v>
      </c>
      <c r="G381" t="s">
        <v>96</v>
      </c>
      <c r="H381" t="s">
        <v>557</v>
      </c>
      <c r="I381" s="429">
        <f>'P&amp;L Mensal'!L44</f>
        <v>0</v>
      </c>
      <c r="J381" t="s">
        <v>545</v>
      </c>
      <c r="K381" t="s">
        <v>929</v>
      </c>
      <c r="L381">
        <v>44</v>
      </c>
    </row>
    <row r="382" spans="1:12" ht="18" customHeight="1" x14ac:dyDescent="0.25">
      <c r="A382" t="s">
        <v>544</v>
      </c>
      <c r="B382" s="23">
        <f>DATE(YEAR('P&amp;L Mensal'!$F$1),MONTH('P&amp;L Mensal'!$F$1),1)</f>
        <v>46082</v>
      </c>
      <c r="C382" s="23">
        <f>'P&amp;L Mensal'!$F$1</f>
        <v>46112</v>
      </c>
      <c r="D382" s="23">
        <f>'P&amp;L Mensal'!$F$1</f>
        <v>46112</v>
      </c>
      <c r="E382" t="str">
        <f>TEXT('P&amp;L Mensal'!$F$1,"mmm/yyyy")</f>
        <v>mar/yyyy</v>
      </c>
      <c r="F382" t="s">
        <v>47</v>
      </c>
      <c r="G382" t="s">
        <v>205</v>
      </c>
      <c r="H382" t="s">
        <v>5</v>
      </c>
      <c r="I382" s="429">
        <f>'P&amp;L Mensal'!C45</f>
        <v>6.5655930619869851E-2</v>
      </c>
      <c r="J382" t="s">
        <v>545</v>
      </c>
      <c r="K382" t="s">
        <v>930</v>
      </c>
      <c r="L382">
        <v>45</v>
      </c>
    </row>
    <row r="383" spans="1:12" ht="18" customHeight="1" x14ac:dyDescent="0.25">
      <c r="A383" t="s">
        <v>544</v>
      </c>
      <c r="B383" s="23">
        <f>DATE(YEAR('P&amp;L Mensal'!$F$1),MONTH('P&amp;L Mensal'!$F$1),1)</f>
        <v>46082</v>
      </c>
      <c r="C383" s="23">
        <f>'P&amp;L Mensal'!$F$1</f>
        <v>46112</v>
      </c>
      <c r="D383" s="23">
        <f>'P&amp;L Mensal'!$F$1</f>
        <v>46112</v>
      </c>
      <c r="E383" t="str">
        <f>TEXT('P&amp;L Mensal'!$F$1,"mmm/yyyy")</f>
        <v>mar/yyyy</v>
      </c>
      <c r="F383" t="s">
        <v>47</v>
      </c>
      <c r="G383" t="s">
        <v>205</v>
      </c>
      <c r="H383" t="s">
        <v>6</v>
      </c>
      <c r="I383" s="429">
        <f>'P&amp;L Mensal'!D45</f>
        <v>6.9611161204162428E-2</v>
      </c>
      <c r="J383" t="s">
        <v>545</v>
      </c>
      <c r="K383" t="s">
        <v>931</v>
      </c>
      <c r="L383">
        <v>45</v>
      </c>
    </row>
    <row r="384" spans="1:12" ht="18" customHeight="1" x14ac:dyDescent="0.25">
      <c r="A384" t="s">
        <v>544</v>
      </c>
      <c r="B384" s="23">
        <f>DATE(YEAR('P&amp;L Mensal'!$F$1),MONTH('P&amp;L Mensal'!$F$1),1)</f>
        <v>46082</v>
      </c>
      <c r="C384" s="23">
        <f>'P&amp;L Mensal'!$F$1</f>
        <v>46112</v>
      </c>
      <c r="D384" s="23">
        <f>'P&amp;L Mensal'!$F$1</f>
        <v>46112</v>
      </c>
      <c r="E384" t="str">
        <f>TEXT('P&amp;L Mensal'!$F$1,"mmm/yyyy")</f>
        <v>mar/yyyy</v>
      </c>
      <c r="F384" t="s">
        <v>47</v>
      </c>
      <c r="G384" t="s">
        <v>205</v>
      </c>
      <c r="H384" t="s">
        <v>549</v>
      </c>
      <c r="I384" s="104">
        <f>'P&amp;L Mensal'!E45</f>
        <v>-0.39552305842925767</v>
      </c>
      <c r="J384" t="s">
        <v>545</v>
      </c>
      <c r="K384" t="s">
        <v>932</v>
      </c>
      <c r="L384">
        <v>45</v>
      </c>
    </row>
    <row r="385" spans="1:12" ht="18" customHeight="1" x14ac:dyDescent="0.25">
      <c r="A385" t="s">
        <v>544</v>
      </c>
      <c r="B385" s="23">
        <f>DATE(YEAR('P&amp;L Mensal'!$F$1),MONTH('P&amp;L Mensal'!$F$1),1)</f>
        <v>46082</v>
      </c>
      <c r="C385" s="23">
        <f>'P&amp;L Mensal'!$F$1</f>
        <v>46112</v>
      </c>
      <c r="D385" s="23">
        <f>'P&amp;L Mensal'!$F$1</f>
        <v>46112</v>
      </c>
      <c r="E385" t="str">
        <f>TEXT('P&amp;L Mensal'!$F$1,"mmm/yyyy")</f>
        <v>mar/yyyy</v>
      </c>
      <c r="F385" t="s">
        <v>47</v>
      </c>
      <c r="G385" t="s">
        <v>220</v>
      </c>
      <c r="H385" t="s">
        <v>5</v>
      </c>
      <c r="I385" s="429">
        <f>'P&amp;L Mensal'!F45</f>
        <v>0.11045482134614576</v>
      </c>
      <c r="J385" t="s">
        <v>545</v>
      </c>
      <c r="K385" t="s">
        <v>933</v>
      </c>
      <c r="L385">
        <v>45</v>
      </c>
    </row>
    <row r="386" spans="1:12" ht="18" customHeight="1" x14ac:dyDescent="0.25">
      <c r="A386" t="s">
        <v>544</v>
      </c>
      <c r="B386" s="23">
        <f>DATE(YEAR('P&amp;L Mensal'!$F$1),MONTH('P&amp;L Mensal'!$F$1),1)</f>
        <v>46082</v>
      </c>
      <c r="C386" s="23">
        <f>'P&amp;L Mensal'!$F$1</f>
        <v>46112</v>
      </c>
      <c r="D386" s="23">
        <f>'P&amp;L Mensal'!$F$1</f>
        <v>46112</v>
      </c>
      <c r="E386" t="str">
        <f>TEXT('P&amp;L Mensal'!$F$1,"mmm/yyyy")</f>
        <v>mar/yyyy</v>
      </c>
      <c r="F386" t="s">
        <v>47</v>
      </c>
      <c r="G386" t="s">
        <v>220</v>
      </c>
      <c r="H386" t="s">
        <v>6</v>
      </c>
      <c r="I386" s="429">
        <f>'P&amp;L Mensal'!G45</f>
        <v>9.5302041163857848E-2</v>
      </c>
      <c r="J386" t="s">
        <v>545</v>
      </c>
      <c r="K386" t="s">
        <v>934</v>
      </c>
      <c r="L386">
        <v>45</v>
      </c>
    </row>
    <row r="387" spans="1:12" ht="18" customHeight="1" x14ac:dyDescent="0.25">
      <c r="A387" t="s">
        <v>544</v>
      </c>
      <c r="B387" s="23">
        <f>DATE(YEAR('P&amp;L Mensal'!$F$1),MONTH('P&amp;L Mensal'!$F$1),1)</f>
        <v>46082</v>
      </c>
      <c r="C387" s="23">
        <f>'P&amp;L Mensal'!$F$1</f>
        <v>46112</v>
      </c>
      <c r="D387" s="23">
        <f>'P&amp;L Mensal'!$F$1</f>
        <v>46112</v>
      </c>
      <c r="E387" t="str">
        <f>TEXT('P&amp;L Mensal'!$F$1,"mmm/yyyy")</f>
        <v>mar/yyyy</v>
      </c>
      <c r="F387" t="s">
        <v>47</v>
      </c>
      <c r="G387" t="s">
        <v>220</v>
      </c>
      <c r="H387" t="s">
        <v>549</v>
      </c>
      <c r="I387" s="104">
        <f>'P&amp;L Mensal'!H45</f>
        <v>1.5152780182287913</v>
      </c>
      <c r="J387" t="s">
        <v>545</v>
      </c>
      <c r="K387" t="s">
        <v>935</v>
      </c>
      <c r="L387">
        <v>45</v>
      </c>
    </row>
    <row r="388" spans="1:12" ht="18" customHeight="1" x14ac:dyDescent="0.25">
      <c r="A388" t="s">
        <v>544</v>
      </c>
      <c r="B388" s="23">
        <f>DATE(YEAR('P&amp;L Mensal'!$F$1),MONTH('P&amp;L Mensal'!$F$1),1)</f>
        <v>46082</v>
      </c>
      <c r="C388" s="23">
        <f>'P&amp;L Mensal'!$F$1</f>
        <v>46112</v>
      </c>
      <c r="D388" s="23">
        <f>'P&amp;L Mensal'!$F$1</f>
        <v>46112</v>
      </c>
      <c r="E388" t="str">
        <f>TEXT('P&amp;L Mensal'!$F$1,"mmm/yyyy")</f>
        <v>mar/yyyy</v>
      </c>
      <c r="F388" t="s">
        <v>47</v>
      </c>
      <c r="G388" t="s">
        <v>96</v>
      </c>
      <c r="H388" t="s">
        <v>5</v>
      </c>
      <c r="I388" s="429">
        <f>'P&amp;L Mensal'!I45</f>
        <v>0.10125478543040248</v>
      </c>
      <c r="J388" t="s">
        <v>545</v>
      </c>
      <c r="K388" t="s">
        <v>936</v>
      </c>
      <c r="L388">
        <v>45</v>
      </c>
    </row>
    <row r="389" spans="1:12" ht="18" customHeight="1" x14ac:dyDescent="0.25">
      <c r="A389" t="s">
        <v>544</v>
      </c>
      <c r="B389" s="23">
        <f>DATE(YEAR('P&amp;L Mensal'!$F$1),MONTH('P&amp;L Mensal'!$F$1),1)</f>
        <v>46082</v>
      </c>
      <c r="C389" s="23">
        <f>'P&amp;L Mensal'!$F$1</f>
        <v>46112</v>
      </c>
      <c r="D389" s="23">
        <f>'P&amp;L Mensal'!$F$1</f>
        <v>46112</v>
      </c>
      <c r="E389" t="str">
        <f>TEXT('P&amp;L Mensal'!$F$1,"mmm/yyyy")</f>
        <v>mar/yyyy</v>
      </c>
      <c r="F389" t="s">
        <v>47</v>
      </c>
      <c r="G389" t="s">
        <v>96</v>
      </c>
      <c r="H389" t="s">
        <v>6</v>
      </c>
      <c r="I389" s="429">
        <f>'P&amp;L Mensal'!J45</f>
        <v>8.9890325552568123E-2</v>
      </c>
      <c r="J389" t="s">
        <v>545</v>
      </c>
      <c r="K389" t="s">
        <v>937</v>
      </c>
      <c r="L389">
        <v>45</v>
      </c>
    </row>
    <row r="390" spans="1:12" ht="18" customHeight="1" x14ac:dyDescent="0.25">
      <c r="A390" t="s">
        <v>544</v>
      </c>
      <c r="B390" s="23">
        <f>DATE(YEAR('P&amp;L Mensal'!$F$1),MONTH('P&amp;L Mensal'!$F$1),1)</f>
        <v>46082</v>
      </c>
      <c r="C390" s="23">
        <f>'P&amp;L Mensal'!$F$1</f>
        <v>46112</v>
      </c>
      <c r="D390" s="23">
        <f>'P&amp;L Mensal'!$F$1</f>
        <v>46112</v>
      </c>
      <c r="E390" t="str">
        <f>TEXT('P&amp;L Mensal'!$F$1,"mmm/yyyy")</f>
        <v>mar/yyyy</v>
      </c>
      <c r="F390" t="s">
        <v>47</v>
      </c>
      <c r="G390" t="s">
        <v>96</v>
      </c>
      <c r="H390" t="s">
        <v>549</v>
      </c>
      <c r="I390" s="104">
        <f>'P&amp;L Mensal'!K45</f>
        <v>1.1364459877834354</v>
      </c>
      <c r="J390" t="s">
        <v>545</v>
      </c>
      <c r="K390" t="s">
        <v>938</v>
      </c>
      <c r="L390">
        <v>45</v>
      </c>
    </row>
    <row r="391" spans="1:12" ht="18" customHeight="1" x14ac:dyDescent="0.25">
      <c r="A391" t="s">
        <v>544</v>
      </c>
      <c r="B391" s="23">
        <f>DATE(YEAR('P&amp;L Mensal'!$F$1),MONTH('P&amp;L Mensal'!$F$1),1)</f>
        <v>46082</v>
      </c>
      <c r="C391" s="23">
        <f>'P&amp;L Mensal'!$F$1</f>
        <v>46112</v>
      </c>
      <c r="D391" s="23">
        <f>'P&amp;L Mensal'!$F$1</f>
        <v>46112</v>
      </c>
      <c r="E391" t="str">
        <f>TEXT('P&amp;L Mensal'!$F$1,"mmm/yyyy")</f>
        <v>mar/yyyy</v>
      </c>
      <c r="F391" t="s">
        <v>47</v>
      </c>
      <c r="G391" t="s">
        <v>96</v>
      </c>
      <c r="H391" t="s">
        <v>557</v>
      </c>
      <c r="I391" s="429">
        <f>'P&amp;L Mensal'!L45</f>
        <v>0</v>
      </c>
      <c r="J391" t="s">
        <v>545</v>
      </c>
      <c r="K391" t="s">
        <v>939</v>
      </c>
      <c r="L391">
        <v>45</v>
      </c>
    </row>
    <row r="392" spans="1:12" ht="18" customHeight="1" x14ac:dyDescent="0.25">
      <c r="A392" t="s">
        <v>544</v>
      </c>
      <c r="B392" s="23">
        <f>DATE(YEAR('P&amp;L Mensal'!$F$1),MONTH('P&amp;L Mensal'!$F$1),1)</f>
        <v>46082</v>
      </c>
      <c r="C392" s="23">
        <f>'P&amp;L Mensal'!$F$1</f>
        <v>46112</v>
      </c>
      <c r="D392" s="23">
        <f>'P&amp;L Mensal'!$F$1</f>
        <v>46112</v>
      </c>
      <c r="E392" t="str">
        <f>TEXT('P&amp;L Mensal'!$F$1,"mmm/yyyy")</f>
        <v>mar/yyyy</v>
      </c>
      <c r="F392" t="s">
        <v>48</v>
      </c>
      <c r="G392" t="s">
        <v>205</v>
      </c>
      <c r="H392" t="s">
        <v>5</v>
      </c>
      <c r="I392" s="429">
        <f>'P&amp;L Mensal'!C46</f>
        <v>-0.35056504663787236</v>
      </c>
      <c r="J392" t="s">
        <v>545</v>
      </c>
      <c r="K392" t="s">
        <v>940</v>
      </c>
      <c r="L392">
        <v>46</v>
      </c>
    </row>
    <row r="393" spans="1:12" ht="18" customHeight="1" x14ac:dyDescent="0.25">
      <c r="A393" t="s">
        <v>544</v>
      </c>
      <c r="B393" s="23">
        <f>DATE(YEAR('P&amp;L Mensal'!$F$1),MONTH('P&amp;L Mensal'!$F$1),1)</f>
        <v>46082</v>
      </c>
      <c r="C393" s="23">
        <f>'P&amp;L Mensal'!$F$1</f>
        <v>46112</v>
      </c>
      <c r="D393" s="23">
        <f>'P&amp;L Mensal'!$F$1</f>
        <v>46112</v>
      </c>
      <c r="E393" t="str">
        <f>TEXT('P&amp;L Mensal'!$F$1,"mmm/yyyy")</f>
        <v>mar/yyyy</v>
      </c>
      <c r="F393" t="s">
        <v>48</v>
      </c>
      <c r="G393" t="s">
        <v>205</v>
      </c>
      <c r="H393" t="s">
        <v>6</v>
      </c>
      <c r="I393" s="429">
        <f>'P&amp;L Mensal'!D46</f>
        <v>-0.35782344277296718</v>
      </c>
      <c r="J393" t="s">
        <v>545</v>
      </c>
      <c r="K393" t="s">
        <v>941</v>
      </c>
      <c r="L393">
        <v>46</v>
      </c>
    </row>
    <row r="394" spans="1:12" ht="18" customHeight="1" x14ac:dyDescent="0.25">
      <c r="A394" t="s">
        <v>544</v>
      </c>
      <c r="B394" s="23">
        <f>DATE(YEAR('P&amp;L Mensal'!$F$1),MONTH('P&amp;L Mensal'!$F$1),1)</f>
        <v>46082</v>
      </c>
      <c r="C394" s="23">
        <f>'P&amp;L Mensal'!$F$1</f>
        <v>46112</v>
      </c>
      <c r="D394" s="23">
        <f>'P&amp;L Mensal'!$F$1</f>
        <v>46112</v>
      </c>
      <c r="E394" t="str">
        <f>TEXT('P&amp;L Mensal'!$F$1,"mmm/yyyy")</f>
        <v>mar/yyyy</v>
      </c>
      <c r="F394" t="s">
        <v>48</v>
      </c>
      <c r="G394" t="s">
        <v>205</v>
      </c>
      <c r="H394" t="s">
        <v>549</v>
      </c>
      <c r="I394" s="104">
        <f>'P&amp;L Mensal'!E46</f>
        <v>0.72583961350948245</v>
      </c>
      <c r="J394" t="s">
        <v>545</v>
      </c>
      <c r="K394" t="s">
        <v>942</v>
      </c>
      <c r="L394">
        <v>46</v>
      </c>
    </row>
    <row r="395" spans="1:12" ht="18" customHeight="1" x14ac:dyDescent="0.25">
      <c r="A395" t="s">
        <v>544</v>
      </c>
      <c r="B395" s="23">
        <f>DATE(YEAR('P&amp;L Mensal'!$F$1),MONTH('P&amp;L Mensal'!$F$1),1)</f>
        <v>46082</v>
      </c>
      <c r="C395" s="23">
        <f>'P&amp;L Mensal'!$F$1</f>
        <v>46112</v>
      </c>
      <c r="D395" s="23">
        <f>'P&amp;L Mensal'!$F$1</f>
        <v>46112</v>
      </c>
      <c r="E395" t="str">
        <f>TEXT('P&amp;L Mensal'!$F$1,"mmm/yyyy")</f>
        <v>mar/yyyy</v>
      </c>
      <c r="F395" t="s">
        <v>48</v>
      </c>
      <c r="G395" t="s">
        <v>220</v>
      </c>
      <c r="H395" t="s">
        <v>5</v>
      </c>
      <c r="I395" s="429">
        <f>'P&amp;L Mensal'!F46</f>
        <v>-0.2417392667936335</v>
      </c>
      <c r="J395" t="s">
        <v>545</v>
      </c>
      <c r="K395" t="s">
        <v>943</v>
      </c>
      <c r="L395">
        <v>46</v>
      </c>
    </row>
    <row r="396" spans="1:12" ht="18" customHeight="1" x14ac:dyDescent="0.25">
      <c r="A396" t="s">
        <v>544</v>
      </c>
      <c r="B396" s="23">
        <f>DATE(YEAR('P&amp;L Mensal'!$F$1),MONTH('P&amp;L Mensal'!$F$1),1)</f>
        <v>46082</v>
      </c>
      <c r="C396" s="23">
        <f>'P&amp;L Mensal'!$F$1</f>
        <v>46112</v>
      </c>
      <c r="D396" s="23">
        <f>'P&amp;L Mensal'!$F$1</f>
        <v>46112</v>
      </c>
      <c r="E396" t="str">
        <f>TEXT('P&amp;L Mensal'!$F$1,"mmm/yyyy")</f>
        <v>mar/yyyy</v>
      </c>
      <c r="F396" t="s">
        <v>48</v>
      </c>
      <c r="G396" t="s">
        <v>220</v>
      </c>
      <c r="H396" t="s">
        <v>6</v>
      </c>
      <c r="I396" s="429">
        <f>'P&amp;L Mensal'!G46</f>
        <v>-0.32705248596231429</v>
      </c>
      <c r="J396" t="s">
        <v>545</v>
      </c>
      <c r="K396" t="s">
        <v>944</v>
      </c>
      <c r="L396">
        <v>46</v>
      </c>
    </row>
    <row r="397" spans="1:12" ht="18" customHeight="1" x14ac:dyDescent="0.25">
      <c r="A397" t="s">
        <v>544</v>
      </c>
      <c r="B397" s="23">
        <f>DATE(YEAR('P&amp;L Mensal'!$F$1),MONTH('P&amp;L Mensal'!$F$1),1)</f>
        <v>46082</v>
      </c>
      <c r="C397" s="23">
        <f>'P&amp;L Mensal'!$F$1</f>
        <v>46112</v>
      </c>
      <c r="D397" s="23">
        <f>'P&amp;L Mensal'!$F$1</f>
        <v>46112</v>
      </c>
      <c r="E397" t="str">
        <f>TEXT('P&amp;L Mensal'!$F$1,"mmm/yyyy")</f>
        <v>mar/yyyy</v>
      </c>
      <c r="F397" t="s">
        <v>48</v>
      </c>
      <c r="G397" t="s">
        <v>220</v>
      </c>
      <c r="H397" t="s">
        <v>549</v>
      </c>
      <c r="I397" s="104">
        <f>'P&amp;L Mensal'!H46</f>
        <v>8.5313219168680785</v>
      </c>
      <c r="J397" t="s">
        <v>545</v>
      </c>
      <c r="K397" t="s">
        <v>945</v>
      </c>
      <c r="L397">
        <v>46</v>
      </c>
    </row>
    <row r="398" spans="1:12" ht="18" customHeight="1" x14ac:dyDescent="0.25">
      <c r="A398" t="s">
        <v>544</v>
      </c>
      <c r="B398" s="23">
        <f>DATE(YEAR('P&amp;L Mensal'!$F$1),MONTH('P&amp;L Mensal'!$F$1),1)</f>
        <v>46082</v>
      </c>
      <c r="C398" s="23">
        <f>'P&amp;L Mensal'!$F$1</f>
        <v>46112</v>
      </c>
      <c r="D398" s="23">
        <f>'P&amp;L Mensal'!$F$1</f>
        <v>46112</v>
      </c>
      <c r="E398" t="str">
        <f>TEXT('P&amp;L Mensal'!$F$1,"mmm/yyyy")</f>
        <v>mar/yyyy</v>
      </c>
      <c r="F398" t="s">
        <v>48</v>
      </c>
      <c r="G398" t="s">
        <v>96</v>
      </c>
      <c r="H398" t="s">
        <v>5</v>
      </c>
      <c r="I398" s="429">
        <f>'P&amp;L Mensal'!I46</f>
        <v>-0.25909192740769632</v>
      </c>
      <c r="J398" t="s">
        <v>545</v>
      </c>
      <c r="K398" t="s">
        <v>946</v>
      </c>
      <c r="L398">
        <v>46</v>
      </c>
    </row>
    <row r="399" spans="1:12" ht="18" customHeight="1" x14ac:dyDescent="0.25">
      <c r="A399" t="s">
        <v>544</v>
      </c>
      <c r="B399" s="23">
        <f>DATE(YEAR('P&amp;L Mensal'!$F$1),MONTH('P&amp;L Mensal'!$F$1),1)</f>
        <v>46082</v>
      </c>
      <c r="C399" s="23">
        <f>'P&amp;L Mensal'!$F$1</f>
        <v>46112</v>
      </c>
      <c r="D399" s="23">
        <f>'P&amp;L Mensal'!$F$1</f>
        <v>46112</v>
      </c>
      <c r="E399" t="str">
        <f>TEXT('P&amp;L Mensal'!$F$1,"mmm/yyyy")</f>
        <v>mar/yyyy</v>
      </c>
      <c r="F399" t="s">
        <v>48</v>
      </c>
      <c r="G399" t="s">
        <v>96</v>
      </c>
      <c r="H399" t="s">
        <v>6</v>
      </c>
      <c r="I399" s="429">
        <f>'P&amp;L Mensal'!J46</f>
        <v>-0.33257971609422105</v>
      </c>
      <c r="J399" t="s">
        <v>545</v>
      </c>
      <c r="K399" t="s">
        <v>947</v>
      </c>
      <c r="L399">
        <v>46</v>
      </c>
    </row>
    <row r="400" spans="1:12" ht="18" customHeight="1" x14ac:dyDescent="0.25">
      <c r="A400" t="s">
        <v>544</v>
      </c>
      <c r="B400" s="23">
        <f>DATE(YEAR('P&amp;L Mensal'!$F$1),MONTH('P&amp;L Mensal'!$F$1),1)</f>
        <v>46082</v>
      </c>
      <c r="C400" s="23">
        <f>'P&amp;L Mensal'!$F$1</f>
        <v>46112</v>
      </c>
      <c r="D400" s="23">
        <f>'P&amp;L Mensal'!$F$1</f>
        <v>46112</v>
      </c>
      <c r="E400" t="str">
        <f>TEXT('P&amp;L Mensal'!$F$1,"mmm/yyyy")</f>
        <v>mar/yyyy</v>
      </c>
      <c r="F400" t="s">
        <v>48</v>
      </c>
      <c r="G400" t="s">
        <v>96</v>
      </c>
      <c r="H400" t="s">
        <v>549</v>
      </c>
      <c r="I400" s="104">
        <f>'P&amp;L Mensal'!K46</f>
        <v>7.348778868652472</v>
      </c>
      <c r="J400" t="s">
        <v>545</v>
      </c>
      <c r="K400" t="s">
        <v>948</v>
      </c>
      <c r="L400">
        <v>46</v>
      </c>
    </row>
    <row r="401" spans="1:12" ht="18" customHeight="1" x14ac:dyDescent="0.25">
      <c r="A401" t="s">
        <v>544</v>
      </c>
      <c r="B401" s="23">
        <f>DATE(YEAR('P&amp;L Mensal'!$F$1),MONTH('P&amp;L Mensal'!$F$1),1)</f>
        <v>46082</v>
      </c>
      <c r="C401" s="23">
        <f>'P&amp;L Mensal'!$F$1</f>
        <v>46112</v>
      </c>
      <c r="D401" s="23">
        <f>'P&amp;L Mensal'!$F$1</f>
        <v>46112</v>
      </c>
      <c r="E401" t="str">
        <f>TEXT('P&amp;L Mensal'!$F$1,"mmm/yyyy")</f>
        <v>mar/yyyy</v>
      </c>
      <c r="F401" t="s">
        <v>48</v>
      </c>
      <c r="G401" t="s">
        <v>96</v>
      </c>
      <c r="H401" t="s">
        <v>557</v>
      </c>
      <c r="I401" s="429">
        <f>'P&amp;L Mensal'!L46</f>
        <v>0</v>
      </c>
      <c r="J401" t="s">
        <v>545</v>
      </c>
      <c r="K401" t="s">
        <v>949</v>
      </c>
      <c r="L401">
        <v>46</v>
      </c>
    </row>
    <row r="402" spans="1:12" ht="18" customHeight="1" x14ac:dyDescent="0.25">
      <c r="A402" t="s">
        <v>544</v>
      </c>
      <c r="B402" s="23">
        <f>DATE(YEAR('P&amp;L Mensal'!$F$1),MONTH('P&amp;L Mensal'!$F$1),1)</f>
        <v>46082</v>
      </c>
      <c r="C402" s="23">
        <f>'P&amp;L Mensal'!$F$1</f>
        <v>46112</v>
      </c>
      <c r="D402" s="23">
        <f>'P&amp;L Mensal'!$F$1</f>
        <v>46112</v>
      </c>
      <c r="E402" t="str">
        <f>TEXT('P&amp;L Mensal'!$F$1,"mmm/yyyy")</f>
        <v>mar/yyyy</v>
      </c>
      <c r="F402" t="s">
        <v>49</v>
      </c>
      <c r="G402" t="s">
        <v>205</v>
      </c>
      <c r="H402" t="s">
        <v>5</v>
      </c>
      <c r="I402" s="429">
        <f>'P&amp;L Mensal'!C47</f>
        <v>-0.38330113734233651</v>
      </c>
      <c r="J402" t="s">
        <v>545</v>
      </c>
      <c r="K402" t="s">
        <v>950</v>
      </c>
      <c r="L402">
        <v>47</v>
      </c>
    </row>
    <row r="403" spans="1:12" ht="18" customHeight="1" x14ac:dyDescent="0.25">
      <c r="A403" t="s">
        <v>544</v>
      </c>
      <c r="B403" s="23">
        <f>DATE(YEAR('P&amp;L Mensal'!$F$1),MONTH('P&amp;L Mensal'!$F$1),1)</f>
        <v>46082</v>
      </c>
      <c r="C403" s="23">
        <f>'P&amp;L Mensal'!$F$1</f>
        <v>46112</v>
      </c>
      <c r="D403" s="23">
        <f>'P&amp;L Mensal'!$F$1</f>
        <v>46112</v>
      </c>
      <c r="E403" t="str">
        <f>TEXT('P&amp;L Mensal'!$F$1,"mmm/yyyy")</f>
        <v>mar/yyyy</v>
      </c>
      <c r="F403" t="s">
        <v>49</v>
      </c>
      <c r="G403" t="s">
        <v>205</v>
      </c>
      <c r="H403" t="s">
        <v>6</v>
      </c>
      <c r="I403" s="429">
        <f>'P&amp;L Mensal'!D47</f>
        <v>-0.38748203641093837</v>
      </c>
      <c r="J403" t="s">
        <v>545</v>
      </c>
      <c r="K403" t="s">
        <v>951</v>
      </c>
      <c r="L403">
        <v>47</v>
      </c>
    </row>
    <row r="404" spans="1:12" ht="18" customHeight="1" x14ac:dyDescent="0.25">
      <c r="A404" t="s">
        <v>544</v>
      </c>
      <c r="B404" s="23">
        <f>DATE(YEAR('P&amp;L Mensal'!$F$1),MONTH('P&amp;L Mensal'!$F$1),1)</f>
        <v>46082</v>
      </c>
      <c r="C404" s="23">
        <f>'P&amp;L Mensal'!$F$1</f>
        <v>46112</v>
      </c>
      <c r="D404" s="23">
        <f>'P&amp;L Mensal'!$F$1</f>
        <v>46112</v>
      </c>
      <c r="E404" t="str">
        <f>TEXT('P&amp;L Mensal'!$F$1,"mmm/yyyy")</f>
        <v>mar/yyyy</v>
      </c>
      <c r="F404" t="s">
        <v>49</v>
      </c>
      <c r="G404" t="s">
        <v>205</v>
      </c>
      <c r="H404" t="s">
        <v>549</v>
      </c>
      <c r="I404" s="104">
        <f>'P&amp;L Mensal'!E47</f>
        <v>0.41808990686018621</v>
      </c>
      <c r="J404" t="s">
        <v>545</v>
      </c>
      <c r="K404" t="s">
        <v>952</v>
      </c>
      <c r="L404">
        <v>47</v>
      </c>
    </row>
    <row r="405" spans="1:12" ht="18" customHeight="1" x14ac:dyDescent="0.25">
      <c r="A405" t="s">
        <v>544</v>
      </c>
      <c r="B405" s="23">
        <f>DATE(YEAR('P&amp;L Mensal'!$F$1),MONTH('P&amp;L Mensal'!$F$1),1)</f>
        <v>46082</v>
      </c>
      <c r="C405" s="23">
        <f>'P&amp;L Mensal'!$F$1</f>
        <v>46112</v>
      </c>
      <c r="D405" s="23">
        <f>'P&amp;L Mensal'!$F$1</f>
        <v>46112</v>
      </c>
      <c r="E405" t="str">
        <f>TEXT('P&amp;L Mensal'!$F$1,"mmm/yyyy")</f>
        <v>mar/yyyy</v>
      </c>
      <c r="F405" t="s">
        <v>49</v>
      </c>
      <c r="G405" t="s">
        <v>220</v>
      </c>
      <c r="H405" t="s">
        <v>5</v>
      </c>
      <c r="I405" s="429">
        <f>'P&amp;L Mensal'!F47</f>
        <v>-0.26375693492255886</v>
      </c>
      <c r="J405" t="s">
        <v>545</v>
      </c>
      <c r="K405" t="s">
        <v>953</v>
      </c>
      <c r="L405">
        <v>47</v>
      </c>
    </row>
    <row r="406" spans="1:12" ht="18" customHeight="1" x14ac:dyDescent="0.25">
      <c r="A406" t="s">
        <v>544</v>
      </c>
      <c r="B406" s="23">
        <f>DATE(YEAR('P&amp;L Mensal'!$F$1),MONTH('P&amp;L Mensal'!$F$1),1)</f>
        <v>46082</v>
      </c>
      <c r="C406" s="23">
        <f>'P&amp;L Mensal'!$F$1</f>
        <v>46112</v>
      </c>
      <c r="D406" s="23">
        <f>'P&amp;L Mensal'!$F$1</f>
        <v>46112</v>
      </c>
      <c r="E406" t="str">
        <f>TEXT('P&amp;L Mensal'!$F$1,"mmm/yyyy")</f>
        <v>mar/yyyy</v>
      </c>
      <c r="F406" t="s">
        <v>49</v>
      </c>
      <c r="G406" t="s">
        <v>220</v>
      </c>
      <c r="H406" t="s">
        <v>6</v>
      </c>
      <c r="I406" s="429">
        <f>'P&amp;L Mensal'!G47</f>
        <v>-0.35007626207604764</v>
      </c>
      <c r="J406" t="s">
        <v>545</v>
      </c>
      <c r="K406" t="s">
        <v>954</v>
      </c>
      <c r="L406">
        <v>47</v>
      </c>
    </row>
    <row r="407" spans="1:12" ht="18" customHeight="1" x14ac:dyDescent="0.25">
      <c r="A407" t="s">
        <v>544</v>
      </c>
      <c r="B407" s="23">
        <f>DATE(YEAR('P&amp;L Mensal'!$F$1),MONTH('P&amp;L Mensal'!$F$1),1)</f>
        <v>46082</v>
      </c>
      <c r="C407" s="23">
        <f>'P&amp;L Mensal'!$F$1</f>
        <v>46112</v>
      </c>
      <c r="D407" s="23">
        <f>'P&amp;L Mensal'!$F$1</f>
        <v>46112</v>
      </c>
      <c r="E407" t="str">
        <f>TEXT('P&amp;L Mensal'!$F$1,"mmm/yyyy")</f>
        <v>mar/yyyy</v>
      </c>
      <c r="F407" t="s">
        <v>49</v>
      </c>
      <c r="G407" t="s">
        <v>220</v>
      </c>
      <c r="H407" t="s">
        <v>549</v>
      </c>
      <c r="I407" s="104">
        <f>'P&amp;L Mensal'!H47</f>
        <v>8.6319327153488778</v>
      </c>
      <c r="J407" t="s">
        <v>545</v>
      </c>
      <c r="K407" t="s">
        <v>955</v>
      </c>
      <c r="L407">
        <v>47</v>
      </c>
    </row>
    <row r="408" spans="1:12" ht="18" customHeight="1" x14ac:dyDescent="0.25">
      <c r="A408" t="s">
        <v>544</v>
      </c>
      <c r="B408" s="23">
        <f>DATE(YEAR('P&amp;L Mensal'!$F$1),MONTH('P&amp;L Mensal'!$F$1),1)</f>
        <v>46082</v>
      </c>
      <c r="C408" s="23">
        <f>'P&amp;L Mensal'!$F$1</f>
        <v>46112</v>
      </c>
      <c r="D408" s="23">
        <f>'P&amp;L Mensal'!$F$1</f>
        <v>46112</v>
      </c>
      <c r="E408" t="str">
        <f>TEXT('P&amp;L Mensal'!$F$1,"mmm/yyyy")</f>
        <v>mar/yyyy</v>
      </c>
      <c r="F408" t="s">
        <v>49</v>
      </c>
      <c r="G408" t="s">
        <v>96</v>
      </c>
      <c r="H408" t="s">
        <v>5</v>
      </c>
      <c r="I408" s="429">
        <f>'P&amp;L Mensal'!I47</f>
        <v>-0.28281868642976898</v>
      </c>
      <c r="J408" t="s">
        <v>545</v>
      </c>
      <c r="K408" t="s">
        <v>956</v>
      </c>
      <c r="L408">
        <v>47</v>
      </c>
    </row>
    <row r="409" spans="1:12" ht="18" customHeight="1" x14ac:dyDescent="0.25">
      <c r="A409" t="s">
        <v>544</v>
      </c>
      <c r="B409" s="23">
        <f>DATE(YEAR('P&amp;L Mensal'!$F$1),MONTH('P&amp;L Mensal'!$F$1),1)</f>
        <v>46082</v>
      </c>
      <c r="C409" s="23">
        <f>'P&amp;L Mensal'!$F$1</f>
        <v>46112</v>
      </c>
      <c r="D409" s="23">
        <f>'P&amp;L Mensal'!$F$1</f>
        <v>46112</v>
      </c>
      <c r="E409" t="str">
        <f>TEXT('P&amp;L Mensal'!$F$1,"mmm/yyyy")</f>
        <v>mar/yyyy</v>
      </c>
      <c r="F409" t="s">
        <v>49</v>
      </c>
      <c r="G409" t="s">
        <v>96</v>
      </c>
      <c r="H409" t="s">
        <v>6</v>
      </c>
      <c r="I409" s="429">
        <f>'P&amp;L Mensal'!J47</f>
        <v>-0.35679527066207689</v>
      </c>
      <c r="J409" t="s">
        <v>545</v>
      </c>
      <c r="K409" t="s">
        <v>957</v>
      </c>
      <c r="L409">
        <v>47</v>
      </c>
    </row>
    <row r="410" spans="1:12" ht="18" customHeight="1" x14ac:dyDescent="0.25">
      <c r="A410" t="s">
        <v>544</v>
      </c>
      <c r="B410" s="23">
        <f>DATE(YEAR('P&amp;L Mensal'!$F$1),MONTH('P&amp;L Mensal'!$F$1),1)</f>
        <v>46082</v>
      </c>
      <c r="C410" s="23">
        <f>'P&amp;L Mensal'!$F$1</f>
        <v>46112</v>
      </c>
      <c r="D410" s="23">
        <f>'P&amp;L Mensal'!$F$1</f>
        <v>46112</v>
      </c>
      <c r="E410" t="str">
        <f>TEXT('P&amp;L Mensal'!$F$1,"mmm/yyyy")</f>
        <v>mar/yyyy</v>
      </c>
      <c r="F410" t="s">
        <v>49</v>
      </c>
      <c r="G410" t="s">
        <v>96</v>
      </c>
      <c r="H410" t="s">
        <v>549</v>
      </c>
      <c r="I410" s="104">
        <f>'P&amp;L Mensal'!K47</f>
        <v>7.3976584232307907</v>
      </c>
      <c r="J410" t="s">
        <v>545</v>
      </c>
      <c r="K410" t="s">
        <v>958</v>
      </c>
      <c r="L410">
        <v>47</v>
      </c>
    </row>
    <row r="411" spans="1:12" ht="18" customHeight="1" x14ac:dyDescent="0.25">
      <c r="A411" t="s">
        <v>544</v>
      </c>
      <c r="B411" s="23">
        <f>DATE(YEAR('P&amp;L Mensal'!$F$1),MONTH('P&amp;L Mensal'!$F$1),1)</f>
        <v>46082</v>
      </c>
      <c r="C411" s="23">
        <f>'P&amp;L Mensal'!$F$1</f>
        <v>46112</v>
      </c>
      <c r="D411" s="23">
        <f>'P&amp;L Mensal'!$F$1</f>
        <v>46112</v>
      </c>
      <c r="E411" t="str">
        <f>TEXT('P&amp;L Mensal'!$F$1,"mmm/yyyy")</f>
        <v>mar/yyyy</v>
      </c>
      <c r="F411" t="s">
        <v>49</v>
      </c>
      <c r="G411" t="s">
        <v>96</v>
      </c>
      <c r="H411" t="s">
        <v>557</v>
      </c>
      <c r="I411" s="429">
        <f>'P&amp;L Mensal'!L47</f>
        <v>0</v>
      </c>
      <c r="J411" t="s">
        <v>545</v>
      </c>
      <c r="K411" t="s">
        <v>959</v>
      </c>
      <c r="L411">
        <v>47</v>
      </c>
    </row>
    <row r="412" spans="1:12" ht="18" customHeight="1" x14ac:dyDescent="0.25">
      <c r="A412" t="s">
        <v>544</v>
      </c>
      <c r="B412" s="23">
        <f>DATE(YEAR('P&amp;L Mensal'!$F$1),MONTH('P&amp;L Mensal'!$F$1),1)</f>
        <v>46082</v>
      </c>
      <c r="C412" s="23">
        <f>'P&amp;L Mensal'!$F$1</f>
        <v>46112</v>
      </c>
      <c r="D412" s="23">
        <f>'P&amp;L Mensal'!$F$1</f>
        <v>46112</v>
      </c>
      <c r="E412" t="str">
        <f>TEXT('P&amp;L Mensal'!$F$1,"mmm/yyyy")</f>
        <v>mar/yyyy</v>
      </c>
      <c r="F412" t="s">
        <v>50</v>
      </c>
      <c r="G412" t="s">
        <v>205</v>
      </c>
      <c r="H412" t="s">
        <v>5</v>
      </c>
      <c r="I412" s="429">
        <f>'P&amp;L Mensal'!C48</f>
        <v>0.2077182893953449</v>
      </c>
      <c r="J412" t="s">
        <v>545</v>
      </c>
      <c r="K412" t="s">
        <v>960</v>
      </c>
      <c r="L412">
        <v>48</v>
      </c>
    </row>
    <row r="413" spans="1:12" ht="18" customHeight="1" x14ac:dyDescent="0.25">
      <c r="A413" t="s">
        <v>544</v>
      </c>
      <c r="B413" s="23">
        <f>DATE(YEAR('P&amp;L Mensal'!$F$1),MONTH('P&amp;L Mensal'!$F$1),1)</f>
        <v>46082</v>
      </c>
      <c r="C413" s="23">
        <f>'P&amp;L Mensal'!$F$1</f>
        <v>46112</v>
      </c>
      <c r="D413" s="23">
        <f>'P&amp;L Mensal'!$F$1</f>
        <v>46112</v>
      </c>
      <c r="E413" t="str">
        <f>TEXT('P&amp;L Mensal'!$F$1,"mmm/yyyy")</f>
        <v>mar/yyyy</v>
      </c>
      <c r="F413" t="s">
        <v>50</v>
      </c>
      <c r="G413" t="s">
        <v>205</v>
      </c>
      <c r="H413" t="s">
        <v>6</v>
      </c>
      <c r="I413" s="429">
        <f>'P&amp;L Mensal'!D48</f>
        <v>0.19499662646935909</v>
      </c>
      <c r="J413" t="s">
        <v>545</v>
      </c>
      <c r="K413" t="s">
        <v>961</v>
      </c>
      <c r="L413">
        <v>48</v>
      </c>
    </row>
    <row r="414" spans="1:12" ht="18" customHeight="1" x14ac:dyDescent="0.25">
      <c r="A414" t="s">
        <v>544</v>
      </c>
      <c r="B414" s="23">
        <f>DATE(YEAR('P&amp;L Mensal'!$F$1),MONTH('P&amp;L Mensal'!$F$1),1)</f>
        <v>46082</v>
      </c>
      <c r="C414" s="23">
        <f>'P&amp;L Mensal'!$F$1</f>
        <v>46112</v>
      </c>
      <c r="D414" s="23">
        <f>'P&amp;L Mensal'!$F$1</f>
        <v>46112</v>
      </c>
      <c r="E414" t="str">
        <f>TEXT('P&amp;L Mensal'!$F$1,"mmm/yyyy")</f>
        <v>mar/yyyy</v>
      </c>
      <c r="F414" t="s">
        <v>50</v>
      </c>
      <c r="G414" t="s">
        <v>205</v>
      </c>
      <c r="H414" t="s">
        <v>549</v>
      </c>
      <c r="I414" s="104">
        <f>'P&amp;L Mensal'!E48</f>
        <v>1.272166292598581</v>
      </c>
      <c r="J414" t="s">
        <v>545</v>
      </c>
      <c r="K414" t="s">
        <v>962</v>
      </c>
      <c r="L414">
        <v>48</v>
      </c>
    </row>
    <row r="415" spans="1:12" ht="18" customHeight="1" x14ac:dyDescent="0.25">
      <c r="A415" t="s">
        <v>544</v>
      </c>
      <c r="B415" s="23">
        <f>DATE(YEAR('P&amp;L Mensal'!$F$1),MONTH('P&amp;L Mensal'!$F$1),1)</f>
        <v>46082</v>
      </c>
      <c r="C415" s="23">
        <f>'P&amp;L Mensal'!$F$1</f>
        <v>46112</v>
      </c>
      <c r="D415" s="23">
        <f>'P&amp;L Mensal'!$F$1</f>
        <v>46112</v>
      </c>
      <c r="E415" t="str">
        <f>TEXT('P&amp;L Mensal'!$F$1,"mmm/yyyy")</f>
        <v>mar/yyyy</v>
      </c>
      <c r="F415" t="s">
        <v>50</v>
      </c>
      <c r="G415" t="s">
        <v>220</v>
      </c>
      <c r="H415" t="s">
        <v>5</v>
      </c>
      <c r="I415" s="429">
        <f>'P&amp;L Mensal'!F48</f>
        <v>0.50794876689251178</v>
      </c>
      <c r="J415" t="s">
        <v>545</v>
      </c>
      <c r="K415" t="s">
        <v>963</v>
      </c>
      <c r="L415">
        <v>48</v>
      </c>
    </row>
    <row r="416" spans="1:12" ht="18" customHeight="1" x14ac:dyDescent="0.25">
      <c r="A416" t="s">
        <v>544</v>
      </c>
      <c r="B416" s="23">
        <f>DATE(YEAR('P&amp;L Mensal'!$F$1),MONTH('P&amp;L Mensal'!$F$1),1)</f>
        <v>46082</v>
      </c>
      <c r="C416" s="23">
        <f>'P&amp;L Mensal'!$F$1</f>
        <v>46112</v>
      </c>
      <c r="D416" s="23">
        <f>'P&amp;L Mensal'!$F$1</f>
        <v>46112</v>
      </c>
      <c r="E416" t="str">
        <f>TEXT('P&amp;L Mensal'!$F$1,"mmm/yyyy")</f>
        <v>mar/yyyy</v>
      </c>
      <c r="F416" t="s">
        <v>50</v>
      </c>
      <c r="G416" t="s">
        <v>220</v>
      </c>
      <c r="H416" t="s">
        <v>6</v>
      </c>
      <c r="I416" s="429">
        <f>'P&amp;L Mensal'!G48</f>
        <v>0.38404409553545849</v>
      </c>
      <c r="J416" t="s">
        <v>545</v>
      </c>
      <c r="K416" t="s">
        <v>964</v>
      </c>
      <c r="L416">
        <v>48</v>
      </c>
    </row>
    <row r="417" spans="1:12" ht="18" customHeight="1" x14ac:dyDescent="0.25">
      <c r="A417" t="s">
        <v>544</v>
      </c>
      <c r="B417" s="23">
        <f>DATE(YEAR('P&amp;L Mensal'!$F$1),MONTH('P&amp;L Mensal'!$F$1),1)</f>
        <v>46082</v>
      </c>
      <c r="C417" s="23">
        <f>'P&amp;L Mensal'!$F$1</f>
        <v>46112</v>
      </c>
      <c r="D417" s="23">
        <f>'P&amp;L Mensal'!$F$1</f>
        <v>46112</v>
      </c>
      <c r="E417" t="str">
        <f>TEXT('P&amp;L Mensal'!$F$1,"mmm/yyyy")</f>
        <v>mar/yyyy</v>
      </c>
      <c r="F417" t="s">
        <v>50</v>
      </c>
      <c r="G417" t="s">
        <v>220</v>
      </c>
      <c r="H417" t="s">
        <v>549</v>
      </c>
      <c r="I417" s="104">
        <f>'P&amp;L Mensal'!H48</f>
        <v>12.390467135705329</v>
      </c>
      <c r="J417" t="s">
        <v>545</v>
      </c>
      <c r="K417" t="s">
        <v>965</v>
      </c>
      <c r="L417">
        <v>48</v>
      </c>
    </row>
    <row r="418" spans="1:12" ht="18" customHeight="1" x14ac:dyDescent="0.25">
      <c r="A418" t="s">
        <v>544</v>
      </c>
      <c r="B418" s="23">
        <f>DATE(YEAR('P&amp;L Mensal'!$F$1),MONTH('P&amp;L Mensal'!$F$1),1)</f>
        <v>46082</v>
      </c>
      <c r="C418" s="23">
        <f>'P&amp;L Mensal'!$F$1</f>
        <v>46112</v>
      </c>
      <c r="D418" s="23">
        <f>'P&amp;L Mensal'!$F$1</f>
        <v>46112</v>
      </c>
      <c r="E418" t="str">
        <f>TEXT('P&amp;L Mensal'!$F$1,"mmm/yyyy")</f>
        <v>mar/yyyy</v>
      </c>
      <c r="F418" t="s">
        <v>50</v>
      </c>
      <c r="G418" t="s">
        <v>96</v>
      </c>
      <c r="H418" t="s">
        <v>5</v>
      </c>
      <c r="I418" s="429">
        <f>'P&amp;L Mensal'!I48</f>
        <v>0.44629252649916179</v>
      </c>
      <c r="J418" t="s">
        <v>545</v>
      </c>
      <c r="K418" t="s">
        <v>966</v>
      </c>
      <c r="L418">
        <v>48</v>
      </c>
    </row>
    <row r="419" spans="1:12" ht="18" customHeight="1" x14ac:dyDescent="0.25">
      <c r="A419" t="s">
        <v>544</v>
      </c>
      <c r="B419" s="23">
        <f>DATE(YEAR('P&amp;L Mensal'!$F$1),MONTH('P&amp;L Mensal'!$F$1),1)</f>
        <v>46082</v>
      </c>
      <c r="C419" s="23">
        <f>'P&amp;L Mensal'!$F$1</f>
        <v>46112</v>
      </c>
      <c r="D419" s="23">
        <f>'P&amp;L Mensal'!$F$1</f>
        <v>46112</v>
      </c>
      <c r="E419" t="str">
        <f>TEXT('P&amp;L Mensal'!$F$1,"mmm/yyyy")</f>
        <v>mar/yyyy</v>
      </c>
      <c r="F419" t="s">
        <v>50</v>
      </c>
      <c r="G419" t="s">
        <v>96</v>
      </c>
      <c r="H419" t="s">
        <v>6</v>
      </c>
      <c r="I419" s="429">
        <f>'P&amp;L Mensal'!J48</f>
        <v>0.34422174841364545</v>
      </c>
      <c r="J419" t="s">
        <v>545</v>
      </c>
      <c r="K419" t="s">
        <v>967</v>
      </c>
      <c r="L419">
        <v>48</v>
      </c>
    </row>
    <row r="420" spans="1:12" ht="18" customHeight="1" x14ac:dyDescent="0.25">
      <c r="A420" t="s">
        <v>544</v>
      </c>
      <c r="B420" s="23">
        <f>DATE(YEAR('P&amp;L Mensal'!$F$1),MONTH('P&amp;L Mensal'!$F$1),1)</f>
        <v>46082</v>
      </c>
      <c r="C420" s="23">
        <f>'P&amp;L Mensal'!$F$1</f>
        <v>46112</v>
      </c>
      <c r="D420" s="23">
        <f>'P&amp;L Mensal'!$F$1</f>
        <v>46112</v>
      </c>
      <c r="E420" t="str">
        <f>TEXT('P&amp;L Mensal'!$F$1,"mmm/yyyy")</f>
        <v>mar/yyyy</v>
      </c>
      <c r="F420" t="s">
        <v>50</v>
      </c>
      <c r="G420" t="s">
        <v>96</v>
      </c>
      <c r="H420" t="s">
        <v>549</v>
      </c>
      <c r="I420" s="104">
        <f>'P&amp;L Mensal'!K48</f>
        <v>10.207077808551634</v>
      </c>
      <c r="J420" t="s">
        <v>545</v>
      </c>
      <c r="K420" t="s">
        <v>968</v>
      </c>
      <c r="L420">
        <v>48</v>
      </c>
    </row>
    <row r="421" spans="1:12" ht="18" customHeight="1" x14ac:dyDescent="0.25">
      <c r="A421" t="s">
        <v>544</v>
      </c>
      <c r="B421" s="23">
        <f>DATE(YEAR('P&amp;L Mensal'!$F$1),MONTH('P&amp;L Mensal'!$F$1),1)</f>
        <v>46082</v>
      </c>
      <c r="C421" s="23">
        <f>'P&amp;L Mensal'!$F$1</f>
        <v>46112</v>
      </c>
      <c r="D421" s="23">
        <f>'P&amp;L Mensal'!$F$1</f>
        <v>46112</v>
      </c>
      <c r="E421" t="str">
        <f>TEXT('P&amp;L Mensal'!$F$1,"mmm/yyyy")</f>
        <v>mar/yyyy</v>
      </c>
      <c r="F421" t="s">
        <v>50</v>
      </c>
      <c r="G421" t="s">
        <v>96</v>
      </c>
      <c r="H421" t="s">
        <v>557</v>
      </c>
      <c r="I421" s="429">
        <f>'P&amp;L Mensal'!L48</f>
        <v>0</v>
      </c>
      <c r="J421" t="s">
        <v>545</v>
      </c>
      <c r="K421" t="s">
        <v>969</v>
      </c>
      <c r="L421">
        <v>48</v>
      </c>
    </row>
    <row r="422" spans="1:12" ht="18" customHeight="1" x14ac:dyDescent="0.25">
      <c r="A422" t="s">
        <v>544</v>
      </c>
      <c r="B422" s="23">
        <f>DATE(YEAR('P&amp;L Mensal'!$F$1),MONTH('P&amp;L Mensal'!$F$1),1)</f>
        <v>46082</v>
      </c>
      <c r="C422" s="23">
        <f>'P&amp;L Mensal'!$F$1</f>
        <v>46112</v>
      </c>
      <c r="D422" s="23">
        <f>'P&amp;L Mensal'!$F$1</f>
        <v>46112</v>
      </c>
      <c r="E422" t="str">
        <f>TEXT('P&amp;L Mensal'!$F$1,"mmm/yyyy")</f>
        <v>mar/yyyy</v>
      </c>
      <c r="F422" t="s">
        <v>51</v>
      </c>
      <c r="G422" t="s">
        <v>205</v>
      </c>
      <c r="H422" t="s">
        <v>5</v>
      </c>
      <c r="I422" s="429">
        <f>'P&amp;L Mensal'!C49</f>
        <v>409940436.06999803</v>
      </c>
      <c r="J422" t="s">
        <v>545</v>
      </c>
      <c r="K422" t="s">
        <v>970</v>
      </c>
      <c r="L422">
        <v>49</v>
      </c>
    </row>
    <row r="423" spans="1:12" ht="18" customHeight="1" x14ac:dyDescent="0.25">
      <c r="A423" t="s">
        <v>544</v>
      </c>
      <c r="B423" s="23">
        <f>DATE(YEAR('P&amp;L Mensal'!$F$1),MONTH('P&amp;L Mensal'!$F$1),1)</f>
        <v>46082</v>
      </c>
      <c r="C423" s="23">
        <f>'P&amp;L Mensal'!$F$1</f>
        <v>46112</v>
      </c>
      <c r="D423" s="23">
        <f>'P&amp;L Mensal'!$F$1</f>
        <v>46112</v>
      </c>
      <c r="E423" t="str">
        <f>TEXT('P&amp;L Mensal'!$F$1,"mmm/yyyy")</f>
        <v>mar/yyyy</v>
      </c>
      <c r="F423" t="s">
        <v>51</v>
      </c>
      <c r="G423" t="s">
        <v>205</v>
      </c>
      <c r="H423" t="s">
        <v>6</v>
      </c>
      <c r="I423" s="429">
        <f>'P&amp;L Mensal'!D49</f>
        <v>412356432.72082371</v>
      </c>
      <c r="J423" t="s">
        <v>545</v>
      </c>
      <c r="K423" t="s">
        <v>971</v>
      </c>
      <c r="L423">
        <v>49</v>
      </c>
    </row>
    <row r="424" spans="1:12" ht="18" customHeight="1" x14ac:dyDescent="0.25">
      <c r="A424" t="s">
        <v>544</v>
      </c>
      <c r="B424" s="23">
        <f>DATE(YEAR('P&amp;L Mensal'!$F$1),MONTH('P&amp;L Mensal'!$F$1),1)</f>
        <v>46082</v>
      </c>
      <c r="C424" s="23">
        <f>'P&amp;L Mensal'!$F$1</f>
        <v>46112</v>
      </c>
      <c r="D424" s="23">
        <f>'P&amp;L Mensal'!$F$1</f>
        <v>46112</v>
      </c>
      <c r="E424" t="str">
        <f>TEXT('P&amp;L Mensal'!$F$1,"mmm/yyyy")</f>
        <v>mar/yyyy</v>
      </c>
      <c r="F424" t="s">
        <v>51</v>
      </c>
      <c r="G424" t="s">
        <v>205</v>
      </c>
      <c r="H424" t="s">
        <v>549</v>
      </c>
      <c r="I424" s="104">
        <f>'P&amp;L Mensal'!E49</f>
        <v>-5.8590007554493173E-3</v>
      </c>
      <c r="J424" t="s">
        <v>545</v>
      </c>
      <c r="K424" t="s">
        <v>972</v>
      </c>
      <c r="L424">
        <v>49</v>
      </c>
    </row>
    <row r="425" spans="1:12" ht="18" customHeight="1" x14ac:dyDescent="0.25">
      <c r="A425" t="s">
        <v>544</v>
      </c>
      <c r="B425" s="23">
        <f>DATE(YEAR('P&amp;L Mensal'!$F$1),MONTH('P&amp;L Mensal'!$F$1),1)</f>
        <v>46082</v>
      </c>
      <c r="C425" s="23">
        <f>'P&amp;L Mensal'!$F$1</f>
        <v>46112</v>
      </c>
      <c r="D425" s="23">
        <f>'P&amp;L Mensal'!$F$1</f>
        <v>46112</v>
      </c>
      <c r="E425" t="str">
        <f>TEXT('P&amp;L Mensal'!$F$1,"mmm/yyyy")</f>
        <v>mar/yyyy</v>
      </c>
      <c r="F425" t="s">
        <v>51</v>
      </c>
      <c r="G425" t="s">
        <v>220</v>
      </c>
      <c r="H425" t="s">
        <v>5</v>
      </c>
      <c r="I425" s="429">
        <f>'P&amp;L Mensal'!F49</f>
        <v>1586234031.9400001</v>
      </c>
      <c r="J425" t="s">
        <v>545</v>
      </c>
      <c r="K425" t="s">
        <v>973</v>
      </c>
      <c r="L425">
        <v>49</v>
      </c>
    </row>
    <row r="426" spans="1:12" ht="18" customHeight="1" x14ac:dyDescent="0.25">
      <c r="A426" t="s">
        <v>544</v>
      </c>
      <c r="B426" s="23">
        <f>DATE(YEAR('P&amp;L Mensal'!$F$1),MONTH('P&amp;L Mensal'!$F$1),1)</f>
        <v>46082</v>
      </c>
      <c r="C426" s="23">
        <f>'P&amp;L Mensal'!$F$1</f>
        <v>46112</v>
      </c>
      <c r="D426" s="23">
        <f>'P&amp;L Mensal'!$F$1</f>
        <v>46112</v>
      </c>
      <c r="E426" t="str">
        <f>TEXT('P&amp;L Mensal'!$F$1,"mmm/yyyy")</f>
        <v>mar/yyyy</v>
      </c>
      <c r="F426" t="s">
        <v>51</v>
      </c>
      <c r="G426" t="s">
        <v>220</v>
      </c>
      <c r="H426" t="s">
        <v>6</v>
      </c>
      <c r="I426" s="429">
        <f>'P&amp;L Mensal'!G49</f>
        <v>1545211254.6015811</v>
      </c>
      <c r="J426" t="s">
        <v>545</v>
      </c>
      <c r="K426" t="s">
        <v>974</v>
      </c>
      <c r="L426">
        <v>49</v>
      </c>
    </row>
    <row r="427" spans="1:12" ht="18" customHeight="1" x14ac:dyDescent="0.25">
      <c r="A427" t="s">
        <v>544</v>
      </c>
      <c r="B427" s="23">
        <f>DATE(YEAR('P&amp;L Mensal'!$F$1),MONTH('P&amp;L Mensal'!$F$1),1)</f>
        <v>46082</v>
      </c>
      <c r="C427" s="23">
        <f>'P&amp;L Mensal'!$F$1</f>
        <v>46112</v>
      </c>
      <c r="D427" s="23">
        <f>'P&amp;L Mensal'!$F$1</f>
        <v>46112</v>
      </c>
      <c r="E427" t="str">
        <f>TEXT('P&amp;L Mensal'!$F$1,"mmm/yyyy")</f>
        <v>mar/yyyy</v>
      </c>
      <c r="F427" t="s">
        <v>51</v>
      </c>
      <c r="G427" t="s">
        <v>220</v>
      </c>
      <c r="H427" t="s">
        <v>549</v>
      </c>
      <c r="I427" s="104">
        <f>'P&amp;L Mensal'!H49</f>
        <v>2.6548329373252244E-2</v>
      </c>
      <c r="J427" t="s">
        <v>545</v>
      </c>
      <c r="K427" t="s">
        <v>975</v>
      </c>
      <c r="L427">
        <v>49</v>
      </c>
    </row>
    <row r="428" spans="1:12" ht="18" customHeight="1" x14ac:dyDescent="0.25">
      <c r="A428" t="s">
        <v>544</v>
      </c>
      <c r="B428" s="23">
        <f>DATE(YEAR('P&amp;L Mensal'!$F$1),MONTH('P&amp;L Mensal'!$F$1),1)</f>
        <v>46082</v>
      </c>
      <c r="C428" s="23">
        <f>'P&amp;L Mensal'!$F$1</f>
        <v>46112</v>
      </c>
      <c r="D428" s="23">
        <f>'P&amp;L Mensal'!$F$1</f>
        <v>46112</v>
      </c>
      <c r="E428" t="str">
        <f>TEXT('P&amp;L Mensal'!$F$1,"mmm/yyyy")</f>
        <v>mar/yyyy</v>
      </c>
      <c r="F428" t="s">
        <v>51</v>
      </c>
      <c r="G428" t="s">
        <v>96</v>
      </c>
      <c r="H428" t="s">
        <v>5</v>
      </c>
      <c r="I428" s="429">
        <f>'P&amp;L Mensal'!I49</f>
        <v>1996174468.0099981</v>
      </c>
      <c r="J428" t="s">
        <v>545</v>
      </c>
      <c r="K428" t="s">
        <v>976</v>
      </c>
      <c r="L428">
        <v>49</v>
      </c>
    </row>
    <row r="429" spans="1:12" ht="18" customHeight="1" x14ac:dyDescent="0.25">
      <c r="A429" t="s">
        <v>544</v>
      </c>
      <c r="B429" s="23">
        <f>DATE(YEAR('P&amp;L Mensal'!$F$1),MONTH('P&amp;L Mensal'!$F$1),1)</f>
        <v>46082</v>
      </c>
      <c r="C429" s="23">
        <f>'P&amp;L Mensal'!$F$1</f>
        <v>46112</v>
      </c>
      <c r="D429" s="23">
        <f>'P&amp;L Mensal'!$F$1</f>
        <v>46112</v>
      </c>
      <c r="E429" t="str">
        <f>TEXT('P&amp;L Mensal'!$F$1,"mmm/yyyy")</f>
        <v>mar/yyyy</v>
      </c>
      <c r="F429" t="s">
        <v>51</v>
      </c>
      <c r="G429" t="s">
        <v>96</v>
      </c>
      <c r="H429" t="s">
        <v>6</v>
      </c>
      <c r="I429" s="429">
        <f>'P&amp;L Mensal'!J49</f>
        <v>1957567687.3224049</v>
      </c>
      <c r="J429" t="s">
        <v>545</v>
      </c>
      <c r="K429" t="s">
        <v>977</v>
      </c>
      <c r="L429">
        <v>49</v>
      </c>
    </row>
    <row r="430" spans="1:12" ht="18" customHeight="1" x14ac:dyDescent="0.25">
      <c r="A430" t="s">
        <v>544</v>
      </c>
      <c r="B430" s="23">
        <f>DATE(YEAR('P&amp;L Mensal'!$F$1),MONTH('P&amp;L Mensal'!$F$1),1)</f>
        <v>46082</v>
      </c>
      <c r="C430" s="23">
        <f>'P&amp;L Mensal'!$F$1</f>
        <v>46112</v>
      </c>
      <c r="D430" s="23">
        <f>'P&amp;L Mensal'!$F$1</f>
        <v>46112</v>
      </c>
      <c r="E430" t="str">
        <f>TEXT('P&amp;L Mensal'!$F$1,"mmm/yyyy")</f>
        <v>mar/yyyy</v>
      </c>
      <c r="F430" t="s">
        <v>51</v>
      </c>
      <c r="G430" t="s">
        <v>96</v>
      </c>
      <c r="H430" t="s">
        <v>549</v>
      </c>
      <c r="I430" s="104">
        <f>'P&amp;L Mensal'!K49</f>
        <v>1.9721811377260812E-2</v>
      </c>
      <c r="J430" t="s">
        <v>545</v>
      </c>
      <c r="K430" t="s">
        <v>978</v>
      </c>
      <c r="L430">
        <v>49</v>
      </c>
    </row>
    <row r="431" spans="1:12" ht="18" customHeight="1" x14ac:dyDescent="0.25">
      <c r="A431" t="s">
        <v>544</v>
      </c>
      <c r="B431" s="23">
        <f>DATE(YEAR('P&amp;L Mensal'!$F$1),MONTH('P&amp;L Mensal'!$F$1),1)</f>
        <v>46082</v>
      </c>
      <c r="C431" s="23">
        <f>'P&amp;L Mensal'!$F$1</f>
        <v>46112</v>
      </c>
      <c r="D431" s="23">
        <f>'P&amp;L Mensal'!$F$1</f>
        <v>46112</v>
      </c>
      <c r="E431" t="str">
        <f>TEXT('P&amp;L Mensal'!$F$1,"mmm/yyyy")</f>
        <v>mar/yyyy</v>
      </c>
      <c r="F431" t="s">
        <v>51</v>
      </c>
      <c r="G431" t="s">
        <v>96</v>
      </c>
      <c r="H431" t="s">
        <v>557</v>
      </c>
      <c r="I431" s="429">
        <f>'P&amp;L Mensal'!L49</f>
        <v>-38606780.687593222</v>
      </c>
      <c r="J431" t="s">
        <v>545</v>
      </c>
      <c r="K431" t="s">
        <v>979</v>
      </c>
      <c r="L431">
        <v>49</v>
      </c>
    </row>
    <row r="432" spans="1:12" ht="18" customHeight="1" x14ac:dyDescent="0.25">
      <c r="A432" t="s">
        <v>544</v>
      </c>
      <c r="B432" s="23">
        <f>DATE(YEAR('P&amp;L Mensal'!$F$1),MONTH('P&amp;L Mensal'!$F$1),1)</f>
        <v>46082</v>
      </c>
      <c r="C432" s="23">
        <f>'P&amp;L Mensal'!$F$1</f>
        <v>46112</v>
      </c>
      <c r="D432" s="23">
        <f>'P&amp;L Mensal'!$F$1</f>
        <v>46112</v>
      </c>
      <c r="E432" t="str">
        <f>TEXT('P&amp;L Mensal'!$F$1,"mmm/yyyy")</f>
        <v>mar/yyyy</v>
      </c>
      <c r="F432" t="s">
        <v>52</v>
      </c>
      <c r="G432" t="s">
        <v>205</v>
      </c>
      <c r="H432" t="s">
        <v>5</v>
      </c>
      <c r="I432" s="429">
        <f>'P&amp;L Mensal'!C50</f>
        <v>407327822.36499965</v>
      </c>
      <c r="J432" t="s">
        <v>545</v>
      </c>
      <c r="K432" t="s">
        <v>980</v>
      </c>
      <c r="L432">
        <v>50</v>
      </c>
    </row>
    <row r="433" spans="1:12" ht="18" customHeight="1" x14ac:dyDescent="0.25">
      <c r="A433" t="s">
        <v>544</v>
      </c>
      <c r="B433" s="23">
        <f>DATE(YEAR('P&amp;L Mensal'!$F$1),MONTH('P&amp;L Mensal'!$F$1),1)</f>
        <v>46082</v>
      </c>
      <c r="C433" s="23">
        <f>'P&amp;L Mensal'!$F$1</f>
        <v>46112</v>
      </c>
      <c r="D433" s="23">
        <f>'P&amp;L Mensal'!$F$1</f>
        <v>46112</v>
      </c>
      <c r="E433" t="str">
        <f>TEXT('P&amp;L Mensal'!$F$1,"mmm/yyyy")</f>
        <v>mar/yyyy</v>
      </c>
      <c r="F433" t="s">
        <v>52</v>
      </c>
      <c r="G433" t="s">
        <v>205</v>
      </c>
      <c r="H433" t="s">
        <v>6</v>
      </c>
      <c r="I433" s="429">
        <f>'P&amp;L Mensal'!D50</f>
        <v>410674939.09533346</v>
      </c>
      <c r="J433" t="s">
        <v>545</v>
      </c>
      <c r="K433" t="s">
        <v>981</v>
      </c>
      <c r="L433">
        <v>50</v>
      </c>
    </row>
    <row r="434" spans="1:12" ht="18" customHeight="1" x14ac:dyDescent="0.25">
      <c r="A434" t="s">
        <v>544</v>
      </c>
      <c r="B434" s="23">
        <f>DATE(YEAR('P&amp;L Mensal'!$F$1),MONTH('P&amp;L Mensal'!$F$1),1)</f>
        <v>46082</v>
      </c>
      <c r="C434" s="23">
        <f>'P&amp;L Mensal'!$F$1</f>
        <v>46112</v>
      </c>
      <c r="D434" s="23">
        <f>'P&amp;L Mensal'!$F$1</f>
        <v>46112</v>
      </c>
      <c r="E434" t="str">
        <f>TEXT('P&amp;L Mensal'!$F$1,"mmm/yyyy")</f>
        <v>mar/yyyy</v>
      </c>
      <c r="F434" t="s">
        <v>52</v>
      </c>
      <c r="G434" t="s">
        <v>205</v>
      </c>
      <c r="H434" t="s">
        <v>549</v>
      </c>
      <c r="I434" s="104">
        <f>'P&amp;L Mensal'!E50</f>
        <v>-8.150282405123388E-3</v>
      </c>
      <c r="J434" t="s">
        <v>545</v>
      </c>
      <c r="K434" t="s">
        <v>982</v>
      </c>
      <c r="L434">
        <v>50</v>
      </c>
    </row>
    <row r="435" spans="1:12" ht="18" customHeight="1" x14ac:dyDescent="0.25">
      <c r="A435" t="s">
        <v>544</v>
      </c>
      <c r="B435" s="23">
        <f>DATE(YEAR('P&amp;L Mensal'!$F$1),MONTH('P&amp;L Mensal'!$F$1),1)</f>
        <v>46082</v>
      </c>
      <c r="C435" s="23">
        <f>'P&amp;L Mensal'!$F$1</f>
        <v>46112</v>
      </c>
      <c r="D435" s="23">
        <f>'P&amp;L Mensal'!$F$1</f>
        <v>46112</v>
      </c>
      <c r="E435" t="str">
        <f>TEXT('P&amp;L Mensal'!$F$1,"mmm/yyyy")</f>
        <v>mar/yyyy</v>
      </c>
      <c r="F435" t="s">
        <v>52</v>
      </c>
      <c r="G435" t="s">
        <v>220</v>
      </c>
      <c r="H435" t="s">
        <v>5</v>
      </c>
      <c r="I435" s="429">
        <f>'P&amp;L Mensal'!F50</f>
        <v>1560025554.2650003</v>
      </c>
      <c r="J435" t="s">
        <v>545</v>
      </c>
      <c r="K435" t="s">
        <v>983</v>
      </c>
      <c r="L435">
        <v>50</v>
      </c>
    </row>
    <row r="436" spans="1:12" ht="18" customHeight="1" x14ac:dyDescent="0.25">
      <c r="A436" t="s">
        <v>544</v>
      </c>
      <c r="B436" s="23">
        <f>DATE(YEAR('P&amp;L Mensal'!$F$1),MONTH('P&amp;L Mensal'!$F$1),1)</f>
        <v>46082</v>
      </c>
      <c r="C436" s="23">
        <f>'P&amp;L Mensal'!$F$1</f>
        <v>46112</v>
      </c>
      <c r="D436" s="23">
        <f>'P&amp;L Mensal'!$F$1</f>
        <v>46112</v>
      </c>
      <c r="E436" t="str">
        <f>TEXT('P&amp;L Mensal'!$F$1,"mmm/yyyy")</f>
        <v>mar/yyyy</v>
      </c>
      <c r="F436" t="s">
        <v>52</v>
      </c>
      <c r="G436" t="s">
        <v>220</v>
      </c>
      <c r="H436" t="s">
        <v>6</v>
      </c>
      <c r="I436" s="429">
        <f>'P&amp;L Mensal'!G50</f>
        <v>1516487216.71225</v>
      </c>
      <c r="J436" t="s">
        <v>545</v>
      </c>
      <c r="K436" t="s">
        <v>984</v>
      </c>
      <c r="L436">
        <v>50</v>
      </c>
    </row>
    <row r="437" spans="1:12" ht="18" customHeight="1" x14ac:dyDescent="0.25">
      <c r="A437" t="s">
        <v>544</v>
      </c>
      <c r="B437" s="23">
        <f>DATE(YEAR('P&amp;L Mensal'!$F$1),MONTH('P&amp;L Mensal'!$F$1),1)</f>
        <v>46082</v>
      </c>
      <c r="C437" s="23">
        <f>'P&amp;L Mensal'!$F$1</f>
        <v>46112</v>
      </c>
      <c r="D437" s="23">
        <f>'P&amp;L Mensal'!$F$1</f>
        <v>46112</v>
      </c>
      <c r="E437" t="str">
        <f>TEXT('P&amp;L Mensal'!$F$1,"mmm/yyyy")</f>
        <v>mar/yyyy</v>
      </c>
      <c r="F437" t="s">
        <v>52</v>
      </c>
      <c r="G437" t="s">
        <v>220</v>
      </c>
      <c r="H437" t="s">
        <v>549</v>
      </c>
      <c r="I437" s="104">
        <f>'P&amp;L Mensal'!H50</f>
        <v>2.8709993116289967E-2</v>
      </c>
      <c r="J437" t="s">
        <v>545</v>
      </c>
      <c r="K437" t="s">
        <v>985</v>
      </c>
      <c r="L437">
        <v>50</v>
      </c>
    </row>
    <row r="438" spans="1:12" ht="18" customHeight="1" x14ac:dyDescent="0.25">
      <c r="A438" t="s">
        <v>544</v>
      </c>
      <c r="B438" s="23">
        <f>DATE(YEAR('P&amp;L Mensal'!$F$1),MONTH('P&amp;L Mensal'!$F$1),1)</f>
        <v>46082</v>
      </c>
      <c r="C438" s="23">
        <f>'P&amp;L Mensal'!$F$1</f>
        <v>46112</v>
      </c>
      <c r="D438" s="23">
        <f>'P&amp;L Mensal'!$F$1</f>
        <v>46112</v>
      </c>
      <c r="E438" t="str">
        <f>TEXT('P&amp;L Mensal'!$F$1,"mmm/yyyy")</f>
        <v>mar/yyyy</v>
      </c>
      <c r="F438" t="s">
        <v>52</v>
      </c>
      <c r="G438" t="s">
        <v>96</v>
      </c>
      <c r="H438" t="s">
        <v>5</v>
      </c>
      <c r="I438" s="429">
        <f>'P&amp;L Mensal'!I50</f>
        <v>1967353376.6300001</v>
      </c>
      <c r="J438" t="s">
        <v>545</v>
      </c>
      <c r="K438" t="s">
        <v>986</v>
      </c>
      <c r="L438">
        <v>50</v>
      </c>
    </row>
    <row r="439" spans="1:12" ht="18" customHeight="1" x14ac:dyDescent="0.25">
      <c r="A439" t="s">
        <v>544</v>
      </c>
      <c r="B439" s="23">
        <f>DATE(YEAR('P&amp;L Mensal'!$F$1),MONTH('P&amp;L Mensal'!$F$1),1)</f>
        <v>46082</v>
      </c>
      <c r="C439" s="23">
        <f>'P&amp;L Mensal'!$F$1</f>
        <v>46112</v>
      </c>
      <c r="D439" s="23">
        <f>'P&amp;L Mensal'!$F$1</f>
        <v>46112</v>
      </c>
      <c r="E439" t="str">
        <f>TEXT('P&amp;L Mensal'!$F$1,"mmm/yyyy")</f>
        <v>mar/yyyy</v>
      </c>
      <c r="F439" t="s">
        <v>52</v>
      </c>
      <c r="G439" t="s">
        <v>96</v>
      </c>
      <c r="H439" t="s">
        <v>6</v>
      </c>
      <c r="I439" s="429">
        <f>'P&amp;L Mensal'!J50</f>
        <v>1927162155.8075833</v>
      </c>
      <c r="J439" t="s">
        <v>545</v>
      </c>
      <c r="K439" t="s">
        <v>987</v>
      </c>
      <c r="L439">
        <v>50</v>
      </c>
    </row>
    <row r="440" spans="1:12" ht="18" customHeight="1" x14ac:dyDescent="0.25">
      <c r="A440" t="s">
        <v>544</v>
      </c>
      <c r="B440" s="23">
        <f>DATE(YEAR('P&amp;L Mensal'!$F$1),MONTH('P&amp;L Mensal'!$F$1),1)</f>
        <v>46082</v>
      </c>
      <c r="C440" s="23">
        <f>'P&amp;L Mensal'!$F$1</f>
        <v>46112</v>
      </c>
      <c r="D440" s="23">
        <f>'P&amp;L Mensal'!$F$1</f>
        <v>46112</v>
      </c>
      <c r="E440" t="str">
        <f>TEXT('P&amp;L Mensal'!$F$1,"mmm/yyyy")</f>
        <v>mar/yyyy</v>
      </c>
      <c r="F440" t="s">
        <v>52</v>
      </c>
      <c r="G440" t="s">
        <v>96</v>
      </c>
      <c r="H440" t="s">
        <v>549</v>
      </c>
      <c r="I440" s="104">
        <f>'P&amp;L Mensal'!K50</f>
        <v>2.08551318327308E-2</v>
      </c>
      <c r="J440" t="s">
        <v>545</v>
      </c>
      <c r="K440" t="s">
        <v>988</v>
      </c>
      <c r="L440">
        <v>50</v>
      </c>
    </row>
    <row r="441" spans="1:12" ht="18" customHeight="1" x14ac:dyDescent="0.25">
      <c r="A441" t="s">
        <v>544</v>
      </c>
      <c r="B441" s="23">
        <f>DATE(YEAR('P&amp;L Mensal'!$F$1),MONTH('P&amp;L Mensal'!$F$1),1)</f>
        <v>46082</v>
      </c>
      <c r="C441" s="23">
        <f>'P&amp;L Mensal'!$F$1</f>
        <v>46112</v>
      </c>
      <c r="D441" s="23">
        <f>'P&amp;L Mensal'!$F$1</f>
        <v>46112</v>
      </c>
      <c r="E441" t="str">
        <f>TEXT('P&amp;L Mensal'!$F$1,"mmm/yyyy")</f>
        <v>mar/yyyy</v>
      </c>
      <c r="F441" t="s">
        <v>52</v>
      </c>
      <c r="G441" t="s">
        <v>96</v>
      </c>
      <c r="H441" t="s">
        <v>557</v>
      </c>
      <c r="I441" s="429">
        <f>'P&amp;L Mensal'!L50</f>
        <v>-40191220.822416782</v>
      </c>
      <c r="J441" t="s">
        <v>545</v>
      </c>
      <c r="K441" t="s">
        <v>989</v>
      </c>
      <c r="L441">
        <v>50</v>
      </c>
    </row>
    <row r="442" spans="1:12" ht="18" customHeight="1" x14ac:dyDescent="0.25">
      <c r="A442" t="s">
        <v>544</v>
      </c>
      <c r="B442" s="23">
        <f>DATE(YEAR('P&amp;L Mensal'!$F$1),MONTH('P&amp;L Mensal'!$F$1),1)</f>
        <v>46082</v>
      </c>
      <c r="C442" s="23">
        <f>'P&amp;L Mensal'!$F$1</f>
        <v>46112</v>
      </c>
      <c r="D442" s="23">
        <f>'P&amp;L Mensal'!$F$1</f>
        <v>46112</v>
      </c>
      <c r="E442" t="str">
        <f>TEXT('P&amp;L Mensal'!$F$1,"mmm/yyyy")</f>
        <v>mar/yyyy</v>
      </c>
      <c r="F442" t="s">
        <v>53</v>
      </c>
      <c r="G442" t="s">
        <v>205</v>
      </c>
      <c r="H442" t="s">
        <v>5</v>
      </c>
      <c r="I442" s="429">
        <f>'P&amp;L Mensal'!C52</f>
        <v>1.9194187076135238E-2</v>
      </c>
      <c r="J442" t="s">
        <v>545</v>
      </c>
      <c r="K442" t="s">
        <v>990</v>
      </c>
      <c r="L442">
        <v>52</v>
      </c>
    </row>
    <row r="443" spans="1:12" ht="18" customHeight="1" x14ac:dyDescent="0.25">
      <c r="A443" t="s">
        <v>544</v>
      </c>
      <c r="B443" s="23">
        <f>DATE(YEAR('P&amp;L Mensal'!$F$1),MONTH('P&amp;L Mensal'!$F$1),1)</f>
        <v>46082</v>
      </c>
      <c r="C443" s="23">
        <f>'P&amp;L Mensal'!$F$1</f>
        <v>46112</v>
      </c>
      <c r="D443" s="23">
        <f>'P&amp;L Mensal'!$F$1</f>
        <v>46112</v>
      </c>
      <c r="E443" t="str">
        <f>TEXT('P&amp;L Mensal'!$F$1,"mmm/yyyy")</f>
        <v>mar/yyyy</v>
      </c>
      <c r="F443" t="s">
        <v>53</v>
      </c>
      <c r="G443" t="s">
        <v>205</v>
      </c>
      <c r="H443" t="s">
        <v>6</v>
      </c>
      <c r="I443" s="429">
        <f>'P&amp;L Mensal'!D52</f>
        <v>1.878696553739909E-2</v>
      </c>
      <c r="J443" t="s">
        <v>545</v>
      </c>
      <c r="K443" t="s">
        <v>991</v>
      </c>
      <c r="L443">
        <v>52</v>
      </c>
    </row>
    <row r="444" spans="1:12" ht="18" customHeight="1" x14ac:dyDescent="0.25">
      <c r="A444" t="s">
        <v>544</v>
      </c>
      <c r="B444" s="23">
        <f>DATE(YEAR('P&amp;L Mensal'!$F$1),MONTH('P&amp;L Mensal'!$F$1),1)</f>
        <v>46082</v>
      </c>
      <c r="C444" s="23">
        <f>'P&amp;L Mensal'!$F$1</f>
        <v>46112</v>
      </c>
      <c r="D444" s="23">
        <f>'P&amp;L Mensal'!$F$1</f>
        <v>46112</v>
      </c>
      <c r="E444" t="str">
        <f>TEXT('P&amp;L Mensal'!$F$1,"mmm/yyyy")</f>
        <v>mar/yyyy</v>
      </c>
      <c r="F444" t="s">
        <v>53</v>
      </c>
      <c r="G444" t="s">
        <v>205</v>
      </c>
      <c r="H444" t="s">
        <v>549</v>
      </c>
      <c r="I444" s="104">
        <f>'P&amp;L Mensal'!E52</f>
        <v>0</v>
      </c>
      <c r="J444" t="s">
        <v>545</v>
      </c>
      <c r="K444" t="s">
        <v>992</v>
      </c>
      <c r="L444">
        <v>52</v>
      </c>
    </row>
    <row r="445" spans="1:12" ht="18" customHeight="1" x14ac:dyDescent="0.25">
      <c r="A445" t="s">
        <v>544</v>
      </c>
      <c r="B445" s="23">
        <f>DATE(YEAR('P&amp;L Mensal'!$F$1),MONTH('P&amp;L Mensal'!$F$1),1)</f>
        <v>46082</v>
      </c>
      <c r="C445" s="23">
        <f>'P&amp;L Mensal'!$F$1</f>
        <v>46112</v>
      </c>
      <c r="D445" s="23">
        <f>'P&amp;L Mensal'!$F$1</f>
        <v>46112</v>
      </c>
      <c r="E445" t="str">
        <f>TEXT('P&amp;L Mensal'!$F$1,"mmm/yyyy")</f>
        <v>mar/yyyy</v>
      </c>
      <c r="F445" t="s">
        <v>53</v>
      </c>
      <c r="G445" t="s">
        <v>220</v>
      </c>
      <c r="H445" t="s">
        <v>5</v>
      </c>
      <c r="I445" s="429">
        <f>'P&amp;L Mensal'!F52</f>
        <v>1.8695955466123654E-2</v>
      </c>
      <c r="J445" t="s">
        <v>545</v>
      </c>
      <c r="K445" t="s">
        <v>993</v>
      </c>
      <c r="L445">
        <v>52</v>
      </c>
    </row>
    <row r="446" spans="1:12" ht="18" customHeight="1" x14ac:dyDescent="0.25">
      <c r="A446" t="s">
        <v>544</v>
      </c>
      <c r="B446" s="23">
        <f>DATE(YEAR('P&amp;L Mensal'!$F$1),MONTH('P&amp;L Mensal'!$F$1),1)</f>
        <v>46082</v>
      </c>
      <c r="C446" s="23">
        <f>'P&amp;L Mensal'!$F$1</f>
        <v>46112</v>
      </c>
      <c r="D446" s="23">
        <f>'P&amp;L Mensal'!$F$1</f>
        <v>46112</v>
      </c>
      <c r="E446" t="str">
        <f>TEXT('P&amp;L Mensal'!$F$1,"mmm/yyyy")</f>
        <v>mar/yyyy</v>
      </c>
      <c r="F446" t="s">
        <v>53</v>
      </c>
      <c r="G446" t="s">
        <v>220</v>
      </c>
      <c r="H446" t="s">
        <v>6</v>
      </c>
      <c r="I446" s="429">
        <f>'P&amp;L Mensal'!G52</f>
        <v>1.7007775650030896E-2</v>
      </c>
      <c r="J446" t="s">
        <v>545</v>
      </c>
      <c r="K446" t="s">
        <v>994</v>
      </c>
      <c r="L446">
        <v>52</v>
      </c>
    </row>
    <row r="447" spans="1:12" ht="18" customHeight="1" x14ac:dyDescent="0.25">
      <c r="A447" t="s">
        <v>544</v>
      </c>
      <c r="B447" s="23">
        <f>DATE(YEAR('P&amp;L Mensal'!$F$1),MONTH('P&amp;L Mensal'!$F$1),1)</f>
        <v>46082</v>
      </c>
      <c r="C447" s="23">
        <f>'P&amp;L Mensal'!$F$1</f>
        <v>46112</v>
      </c>
      <c r="D447" s="23">
        <f>'P&amp;L Mensal'!$F$1</f>
        <v>46112</v>
      </c>
      <c r="E447" t="str">
        <f>TEXT('P&amp;L Mensal'!$F$1,"mmm/yyyy")</f>
        <v>mar/yyyy</v>
      </c>
      <c r="F447" t="s">
        <v>53</v>
      </c>
      <c r="G447" t="s">
        <v>220</v>
      </c>
      <c r="H447" t="s">
        <v>549</v>
      </c>
      <c r="I447" s="104">
        <f>'P&amp;L Mensal'!H52</f>
        <v>0</v>
      </c>
      <c r="J447" t="s">
        <v>545</v>
      </c>
      <c r="K447" t="s">
        <v>995</v>
      </c>
      <c r="L447">
        <v>52</v>
      </c>
    </row>
    <row r="448" spans="1:12" ht="18" customHeight="1" x14ac:dyDescent="0.25">
      <c r="A448" t="s">
        <v>544</v>
      </c>
      <c r="B448" s="23">
        <f>DATE(YEAR('P&amp;L Mensal'!$F$1),MONTH('P&amp;L Mensal'!$F$1),1)</f>
        <v>46082</v>
      </c>
      <c r="C448" s="23">
        <f>'P&amp;L Mensal'!$F$1</f>
        <v>46112</v>
      </c>
      <c r="D448" s="23">
        <f>'P&amp;L Mensal'!$F$1</f>
        <v>46112</v>
      </c>
      <c r="E448" t="str">
        <f>TEXT('P&amp;L Mensal'!$F$1,"mmm/yyyy")</f>
        <v>mar/yyyy</v>
      </c>
      <c r="F448" t="s">
        <v>53</v>
      </c>
      <c r="G448" t="s">
        <v>96</v>
      </c>
      <c r="H448" t="s">
        <v>5</v>
      </c>
      <c r="I448" s="429">
        <f>'P&amp;L Mensal'!I52</f>
        <v>1.8798273818925564E-2</v>
      </c>
      <c r="J448" t="s">
        <v>545</v>
      </c>
      <c r="K448" t="s">
        <v>996</v>
      </c>
      <c r="L448">
        <v>52</v>
      </c>
    </row>
    <row r="449" spans="1:12" ht="18" customHeight="1" x14ac:dyDescent="0.25">
      <c r="A449" t="s">
        <v>544</v>
      </c>
      <c r="B449" s="23">
        <f>DATE(YEAR('P&amp;L Mensal'!$F$1),MONTH('P&amp;L Mensal'!$F$1),1)</f>
        <v>46082</v>
      </c>
      <c r="C449" s="23">
        <f>'P&amp;L Mensal'!$F$1</f>
        <v>46112</v>
      </c>
      <c r="D449" s="23">
        <f>'P&amp;L Mensal'!$F$1</f>
        <v>46112</v>
      </c>
      <c r="E449" t="str">
        <f>TEXT('P&amp;L Mensal'!$F$1,"mmm/yyyy")</f>
        <v>mar/yyyy</v>
      </c>
      <c r="F449" t="s">
        <v>53</v>
      </c>
      <c r="G449" t="s">
        <v>96</v>
      </c>
      <c r="H449" t="s">
        <v>6</v>
      </c>
      <c r="I449" s="429">
        <f>'P&amp;L Mensal'!J52</f>
        <v>1.7382557273082522E-2</v>
      </c>
      <c r="J449" t="s">
        <v>545</v>
      </c>
      <c r="K449" t="s">
        <v>997</v>
      </c>
      <c r="L449">
        <v>52</v>
      </c>
    </row>
    <row r="450" spans="1:12" ht="18" customHeight="1" x14ac:dyDescent="0.25">
      <c r="A450" t="s">
        <v>544</v>
      </c>
      <c r="B450" s="23">
        <f>DATE(YEAR('P&amp;L Mensal'!$F$1),MONTH('P&amp;L Mensal'!$F$1),1)</f>
        <v>46082</v>
      </c>
      <c r="C450" s="23">
        <f>'P&amp;L Mensal'!$F$1</f>
        <v>46112</v>
      </c>
      <c r="D450" s="23">
        <f>'P&amp;L Mensal'!$F$1</f>
        <v>46112</v>
      </c>
      <c r="E450" t="str">
        <f>TEXT('P&amp;L Mensal'!$F$1,"mmm/yyyy")</f>
        <v>mar/yyyy</v>
      </c>
      <c r="F450" t="s">
        <v>53</v>
      </c>
      <c r="G450" t="s">
        <v>96</v>
      </c>
      <c r="H450" t="s">
        <v>549</v>
      </c>
      <c r="I450" s="104">
        <f>'P&amp;L Mensal'!K52</f>
        <v>0</v>
      </c>
      <c r="J450" t="s">
        <v>545</v>
      </c>
      <c r="K450" t="s">
        <v>998</v>
      </c>
      <c r="L450">
        <v>52</v>
      </c>
    </row>
    <row r="451" spans="1:12" ht="18" customHeight="1" x14ac:dyDescent="0.25">
      <c r="A451" t="s">
        <v>544</v>
      </c>
      <c r="B451" s="23">
        <f>DATE(YEAR('P&amp;L Mensal'!$F$1),MONTH('P&amp;L Mensal'!$F$1),1)</f>
        <v>46082</v>
      </c>
      <c r="C451" s="23">
        <f>'P&amp;L Mensal'!$F$1</f>
        <v>46112</v>
      </c>
      <c r="D451" s="23">
        <f>'P&amp;L Mensal'!$F$1</f>
        <v>46112</v>
      </c>
      <c r="E451" t="str">
        <f>TEXT('P&amp;L Mensal'!$F$1,"mmm/yyyy")</f>
        <v>mar/yyyy</v>
      </c>
      <c r="F451" t="s">
        <v>53</v>
      </c>
      <c r="G451" t="s">
        <v>96</v>
      </c>
      <c r="H451" t="s">
        <v>557</v>
      </c>
      <c r="I451" s="429">
        <f>'P&amp;L Mensal'!L52</f>
        <v>0</v>
      </c>
      <c r="J451" t="s">
        <v>545</v>
      </c>
      <c r="K451" t="s">
        <v>999</v>
      </c>
      <c r="L451">
        <v>52</v>
      </c>
    </row>
    <row r="452" spans="1:12" ht="18" customHeight="1" x14ac:dyDescent="0.25">
      <c r="A452" t="s">
        <v>544</v>
      </c>
      <c r="B452" s="23">
        <f>DATE(YEAR('P&amp;L Mensal'!$F$1),MONTH('P&amp;L Mensal'!$F$1),1)</f>
        <v>46082</v>
      </c>
      <c r="C452" s="23">
        <f>'P&amp;L Mensal'!$F$1</f>
        <v>46112</v>
      </c>
      <c r="D452" s="23">
        <f>'P&amp;L Mensal'!$F$1</f>
        <v>46112</v>
      </c>
      <c r="E452" t="str">
        <f>TEXT('P&amp;L Mensal'!$F$1,"mmm/yyyy")</f>
        <v>mar/yyyy</v>
      </c>
      <c r="F452" t="s">
        <v>54</v>
      </c>
      <c r="G452" t="s">
        <v>205</v>
      </c>
      <c r="H452" t="s">
        <v>5</v>
      </c>
      <c r="I452" s="429">
        <f>'P&amp;L Mensal'!C53</f>
        <v>1.931729920709711E-2</v>
      </c>
      <c r="J452" t="s">
        <v>545</v>
      </c>
      <c r="K452" t="s">
        <v>1000</v>
      </c>
      <c r="L452">
        <v>53</v>
      </c>
    </row>
    <row r="453" spans="1:12" ht="18" customHeight="1" x14ac:dyDescent="0.25">
      <c r="A453" t="s">
        <v>544</v>
      </c>
      <c r="B453" s="23">
        <f>DATE(YEAR('P&amp;L Mensal'!$F$1),MONTH('P&amp;L Mensal'!$F$1),1)</f>
        <v>46082</v>
      </c>
      <c r="C453" s="23">
        <f>'P&amp;L Mensal'!$F$1</f>
        <v>46112</v>
      </c>
      <c r="D453" s="23">
        <f>'P&amp;L Mensal'!$F$1</f>
        <v>46112</v>
      </c>
      <c r="E453" t="str">
        <f>TEXT('P&amp;L Mensal'!$F$1,"mmm/yyyy")</f>
        <v>mar/yyyy</v>
      </c>
      <c r="F453" t="s">
        <v>54</v>
      </c>
      <c r="G453" t="s">
        <v>205</v>
      </c>
      <c r="H453" t="s">
        <v>6</v>
      </c>
      <c r="I453" s="429">
        <f>'P&amp;L Mensal'!D53</f>
        <v>1.8863888085590197E-2</v>
      </c>
      <c r="J453" t="s">
        <v>545</v>
      </c>
      <c r="K453" t="s">
        <v>1001</v>
      </c>
      <c r="L453">
        <v>53</v>
      </c>
    </row>
    <row r="454" spans="1:12" ht="18" customHeight="1" x14ac:dyDescent="0.25">
      <c r="A454" t="s">
        <v>544</v>
      </c>
      <c r="B454" s="23">
        <f>DATE(YEAR('P&amp;L Mensal'!$F$1),MONTH('P&amp;L Mensal'!$F$1),1)</f>
        <v>46082</v>
      </c>
      <c r="C454" s="23">
        <f>'P&amp;L Mensal'!$F$1</f>
        <v>46112</v>
      </c>
      <c r="D454" s="23">
        <f>'P&amp;L Mensal'!$F$1</f>
        <v>46112</v>
      </c>
      <c r="E454" t="str">
        <f>TEXT('P&amp;L Mensal'!$F$1,"mmm/yyyy")</f>
        <v>mar/yyyy</v>
      </c>
      <c r="F454" t="s">
        <v>54</v>
      </c>
      <c r="G454" t="s">
        <v>205</v>
      </c>
      <c r="H454" t="s">
        <v>549</v>
      </c>
      <c r="I454" s="104">
        <f>'P&amp;L Mensal'!E53</f>
        <v>0</v>
      </c>
      <c r="J454" t="s">
        <v>545</v>
      </c>
      <c r="K454" t="s">
        <v>1002</v>
      </c>
      <c r="L454">
        <v>53</v>
      </c>
    </row>
    <row r="455" spans="1:12" ht="18" customHeight="1" x14ac:dyDescent="0.25">
      <c r="A455" t="s">
        <v>544</v>
      </c>
      <c r="B455" s="23">
        <f>DATE(YEAR('P&amp;L Mensal'!$F$1),MONTH('P&amp;L Mensal'!$F$1),1)</f>
        <v>46082</v>
      </c>
      <c r="C455" s="23">
        <f>'P&amp;L Mensal'!$F$1</f>
        <v>46112</v>
      </c>
      <c r="D455" s="23">
        <f>'P&amp;L Mensal'!$F$1</f>
        <v>46112</v>
      </c>
      <c r="E455" t="str">
        <f>TEXT('P&amp;L Mensal'!$F$1,"mmm/yyyy")</f>
        <v>mar/yyyy</v>
      </c>
      <c r="F455" t="s">
        <v>54</v>
      </c>
      <c r="G455" t="s">
        <v>220</v>
      </c>
      <c r="H455" t="s">
        <v>5</v>
      </c>
      <c r="I455" s="429">
        <f>'P&amp;L Mensal'!F53</f>
        <v>1.9010048097559778E-2</v>
      </c>
      <c r="J455" t="s">
        <v>545</v>
      </c>
      <c r="K455" t="s">
        <v>1003</v>
      </c>
      <c r="L455">
        <v>53</v>
      </c>
    </row>
    <row r="456" spans="1:12" ht="18" customHeight="1" x14ac:dyDescent="0.25">
      <c r="A456" t="s">
        <v>544</v>
      </c>
      <c r="B456" s="23">
        <f>DATE(YEAR('P&amp;L Mensal'!$F$1),MONTH('P&amp;L Mensal'!$F$1),1)</f>
        <v>46082</v>
      </c>
      <c r="C456" s="23">
        <f>'P&amp;L Mensal'!$F$1</f>
        <v>46112</v>
      </c>
      <c r="D456" s="23">
        <f>'P&amp;L Mensal'!$F$1</f>
        <v>46112</v>
      </c>
      <c r="E456" t="str">
        <f>TEXT('P&amp;L Mensal'!$F$1,"mmm/yyyy")</f>
        <v>mar/yyyy</v>
      </c>
      <c r="F456" t="s">
        <v>54</v>
      </c>
      <c r="G456" t="s">
        <v>220</v>
      </c>
      <c r="H456" t="s">
        <v>6</v>
      </c>
      <c r="I456" s="429">
        <f>'P&amp;L Mensal'!G53</f>
        <v>1.7329922771879946E-2</v>
      </c>
      <c r="J456" t="s">
        <v>545</v>
      </c>
      <c r="K456" t="s">
        <v>1004</v>
      </c>
      <c r="L456">
        <v>53</v>
      </c>
    </row>
    <row r="457" spans="1:12" ht="18" customHeight="1" x14ac:dyDescent="0.25">
      <c r="A457" t="s">
        <v>544</v>
      </c>
      <c r="B457" s="23">
        <f>DATE(YEAR('P&amp;L Mensal'!$F$1),MONTH('P&amp;L Mensal'!$F$1),1)</f>
        <v>46082</v>
      </c>
      <c r="C457" s="23">
        <f>'P&amp;L Mensal'!$F$1</f>
        <v>46112</v>
      </c>
      <c r="D457" s="23">
        <f>'P&amp;L Mensal'!$F$1</f>
        <v>46112</v>
      </c>
      <c r="E457" t="str">
        <f>TEXT('P&amp;L Mensal'!$F$1,"mmm/yyyy")</f>
        <v>mar/yyyy</v>
      </c>
      <c r="F457" t="s">
        <v>54</v>
      </c>
      <c r="G457" t="s">
        <v>220</v>
      </c>
      <c r="H457" t="s">
        <v>549</v>
      </c>
      <c r="I457" s="104">
        <f>'P&amp;L Mensal'!H53</f>
        <v>0</v>
      </c>
      <c r="J457" t="s">
        <v>545</v>
      </c>
      <c r="K457" t="s">
        <v>1005</v>
      </c>
      <c r="L457">
        <v>53</v>
      </c>
    </row>
    <row r="458" spans="1:12" ht="18" customHeight="1" x14ac:dyDescent="0.25">
      <c r="A458" t="s">
        <v>544</v>
      </c>
      <c r="B458" s="23">
        <f>DATE(YEAR('P&amp;L Mensal'!$F$1),MONTH('P&amp;L Mensal'!$F$1),1)</f>
        <v>46082</v>
      </c>
      <c r="C458" s="23">
        <f>'P&amp;L Mensal'!$F$1</f>
        <v>46112</v>
      </c>
      <c r="D458" s="23">
        <f>'P&amp;L Mensal'!$F$1</f>
        <v>46112</v>
      </c>
      <c r="E458" t="str">
        <f>TEXT('P&amp;L Mensal'!$F$1,"mmm/yyyy")</f>
        <v>mar/yyyy</v>
      </c>
      <c r="F458" t="s">
        <v>54</v>
      </c>
      <c r="G458" t="s">
        <v>96</v>
      </c>
      <c r="H458" t="s">
        <v>5</v>
      </c>
      <c r="I458" s="429">
        <f>'P&amp;L Mensal'!I53</f>
        <v>1.9073662457264412E-2</v>
      </c>
      <c r="J458" t="s">
        <v>545</v>
      </c>
      <c r="K458" t="s">
        <v>1006</v>
      </c>
      <c r="L458">
        <v>53</v>
      </c>
    </row>
    <row r="459" spans="1:12" ht="18" customHeight="1" x14ac:dyDescent="0.25">
      <c r="A459" t="s">
        <v>544</v>
      </c>
      <c r="B459" s="23">
        <f>DATE(YEAR('P&amp;L Mensal'!$F$1),MONTH('P&amp;L Mensal'!$F$1),1)</f>
        <v>46082</v>
      </c>
      <c r="C459" s="23">
        <f>'P&amp;L Mensal'!$F$1</f>
        <v>46112</v>
      </c>
      <c r="D459" s="23">
        <f>'P&amp;L Mensal'!$F$1</f>
        <v>46112</v>
      </c>
      <c r="E459" t="str">
        <f>TEXT('P&amp;L Mensal'!$F$1,"mmm/yyyy")</f>
        <v>mar/yyyy</v>
      </c>
      <c r="F459" t="s">
        <v>54</v>
      </c>
      <c r="G459" t="s">
        <v>96</v>
      </c>
      <c r="H459" t="s">
        <v>6</v>
      </c>
      <c r="I459" s="429">
        <f>'P&amp;L Mensal'!J53</f>
        <v>1.7656808140546976E-2</v>
      </c>
      <c r="J459" t="s">
        <v>545</v>
      </c>
      <c r="K459" t="s">
        <v>1007</v>
      </c>
      <c r="L459">
        <v>53</v>
      </c>
    </row>
    <row r="460" spans="1:12" ht="18" customHeight="1" x14ac:dyDescent="0.25">
      <c r="A460" t="s">
        <v>544</v>
      </c>
      <c r="B460" s="23">
        <f>DATE(YEAR('P&amp;L Mensal'!$F$1),MONTH('P&amp;L Mensal'!$F$1),1)</f>
        <v>46082</v>
      </c>
      <c r="C460" s="23">
        <f>'P&amp;L Mensal'!$F$1</f>
        <v>46112</v>
      </c>
      <c r="D460" s="23">
        <f>'P&amp;L Mensal'!$F$1</f>
        <v>46112</v>
      </c>
      <c r="E460" t="str">
        <f>TEXT('P&amp;L Mensal'!$F$1,"mmm/yyyy")</f>
        <v>mar/yyyy</v>
      </c>
      <c r="F460" t="s">
        <v>54</v>
      </c>
      <c r="G460" t="s">
        <v>96</v>
      </c>
      <c r="H460" t="s">
        <v>549</v>
      </c>
      <c r="I460" s="104">
        <f>'P&amp;L Mensal'!K53</f>
        <v>0</v>
      </c>
      <c r="J460" t="s">
        <v>545</v>
      </c>
      <c r="K460" t="s">
        <v>1008</v>
      </c>
      <c r="L460">
        <v>53</v>
      </c>
    </row>
    <row r="461" spans="1:12" ht="18" customHeight="1" x14ac:dyDescent="0.25">
      <c r="A461" t="s">
        <v>544</v>
      </c>
      <c r="B461" s="23">
        <f>DATE(YEAR('P&amp;L Mensal'!$F$1),MONTH('P&amp;L Mensal'!$F$1),1)</f>
        <v>46082</v>
      </c>
      <c r="C461" s="23">
        <f>'P&amp;L Mensal'!$F$1</f>
        <v>46112</v>
      </c>
      <c r="D461" s="23">
        <f>'P&amp;L Mensal'!$F$1</f>
        <v>46112</v>
      </c>
      <c r="E461" t="str">
        <f>TEXT('P&amp;L Mensal'!$F$1,"mmm/yyyy")</f>
        <v>mar/yyyy</v>
      </c>
      <c r="F461" t="s">
        <v>54</v>
      </c>
      <c r="G461" t="s">
        <v>96</v>
      </c>
      <c r="H461" t="s">
        <v>557</v>
      </c>
      <c r="I461" s="429">
        <f>'P&amp;L Mensal'!L53</f>
        <v>0</v>
      </c>
      <c r="J461" t="s">
        <v>545</v>
      </c>
      <c r="K461" t="s">
        <v>1009</v>
      </c>
      <c r="L461">
        <v>53</v>
      </c>
    </row>
    <row r="462" spans="1:12" ht="18" customHeight="1" x14ac:dyDescent="0.25">
      <c r="A462" t="s">
        <v>544</v>
      </c>
      <c r="B462" s="23">
        <f>DATE(YEAR('P&amp;L Mensal'!$F$1),MONTH('P&amp;L Mensal'!$F$1),1)</f>
        <v>46082</v>
      </c>
      <c r="C462" s="23">
        <f>'P&amp;L Mensal'!$F$1</f>
        <v>46112</v>
      </c>
      <c r="D462" s="23">
        <f>'P&amp;L Mensal'!$F$1</f>
        <v>46112</v>
      </c>
      <c r="E462" t="str">
        <f>TEXT('P&amp;L Mensal'!$F$1,"mmm/yyyy")</f>
        <v>mar/yyyy</v>
      </c>
      <c r="F462" t="s">
        <v>55</v>
      </c>
      <c r="G462" t="s">
        <v>205</v>
      </c>
      <c r="H462" t="s">
        <v>5</v>
      </c>
      <c r="I462" s="429">
        <f>'P&amp;L Mensal'!C55</f>
        <v>0.20536302945436971</v>
      </c>
      <c r="J462" t="s">
        <v>545</v>
      </c>
      <c r="K462" t="s">
        <v>1010</v>
      </c>
      <c r="L462">
        <v>55</v>
      </c>
    </row>
    <row r="463" spans="1:12" ht="18" customHeight="1" x14ac:dyDescent="0.25">
      <c r="A463" t="s">
        <v>544</v>
      </c>
      <c r="B463" s="23">
        <f>DATE(YEAR('P&amp;L Mensal'!$F$1),MONTH('P&amp;L Mensal'!$F$1),1)</f>
        <v>46082</v>
      </c>
      <c r="C463" s="23">
        <f>'P&amp;L Mensal'!$F$1</f>
        <v>46112</v>
      </c>
      <c r="D463" s="23">
        <f>'P&amp;L Mensal'!$F$1</f>
        <v>46112</v>
      </c>
      <c r="E463" t="str">
        <f>TEXT('P&amp;L Mensal'!$F$1,"mmm/yyyy")</f>
        <v>mar/yyyy</v>
      </c>
      <c r="F463" t="s">
        <v>55</v>
      </c>
      <c r="G463" t="s">
        <v>205</v>
      </c>
      <c r="H463" t="s">
        <v>6</v>
      </c>
      <c r="I463" s="429">
        <f>'P&amp;L Mensal'!D55</f>
        <v>0.21064734332882865</v>
      </c>
      <c r="J463" t="s">
        <v>545</v>
      </c>
      <c r="K463" t="s">
        <v>1011</v>
      </c>
      <c r="L463">
        <v>55</v>
      </c>
    </row>
    <row r="464" spans="1:12" ht="18" customHeight="1" x14ac:dyDescent="0.25">
      <c r="A464" t="s">
        <v>544</v>
      </c>
      <c r="B464" s="23">
        <f>DATE(YEAR('P&amp;L Mensal'!$F$1),MONTH('P&amp;L Mensal'!$F$1),1)</f>
        <v>46082</v>
      </c>
      <c r="C464" s="23">
        <f>'P&amp;L Mensal'!$F$1</f>
        <v>46112</v>
      </c>
      <c r="D464" s="23">
        <f>'P&amp;L Mensal'!$F$1</f>
        <v>46112</v>
      </c>
      <c r="E464" t="str">
        <f>TEXT('P&amp;L Mensal'!$F$1,"mmm/yyyy")</f>
        <v>mar/yyyy</v>
      </c>
      <c r="F464" t="s">
        <v>55</v>
      </c>
      <c r="G464" t="s">
        <v>205</v>
      </c>
      <c r="H464" t="s">
        <v>549</v>
      </c>
      <c r="I464" s="104">
        <f>'P&amp;L Mensal'!E55</f>
        <v>-2.5086069403732814E-2</v>
      </c>
      <c r="J464" t="s">
        <v>545</v>
      </c>
      <c r="K464" t="s">
        <v>1012</v>
      </c>
      <c r="L464">
        <v>55</v>
      </c>
    </row>
    <row r="465" spans="1:12" ht="18" customHeight="1" x14ac:dyDescent="0.25">
      <c r="A465" t="s">
        <v>544</v>
      </c>
      <c r="B465" s="23">
        <f>DATE(YEAR('P&amp;L Mensal'!$F$1),MONTH('P&amp;L Mensal'!$F$1),1)</f>
        <v>46082</v>
      </c>
      <c r="C465" s="23">
        <f>'P&amp;L Mensal'!$F$1</f>
        <v>46112</v>
      </c>
      <c r="D465" s="23">
        <f>'P&amp;L Mensal'!$F$1</f>
        <v>46112</v>
      </c>
      <c r="E465" t="str">
        <f>TEXT('P&amp;L Mensal'!$F$1,"mmm/yyyy")</f>
        <v>mar/yyyy</v>
      </c>
      <c r="F465" t="s">
        <v>55</v>
      </c>
      <c r="G465" t="s">
        <v>220</v>
      </c>
      <c r="H465" t="s">
        <v>5</v>
      </c>
      <c r="I465" s="429">
        <f>'P&amp;L Mensal'!F55</f>
        <v>0.79463697054563032</v>
      </c>
      <c r="J465" t="s">
        <v>545</v>
      </c>
      <c r="K465" t="s">
        <v>1013</v>
      </c>
      <c r="L465">
        <v>55</v>
      </c>
    </row>
    <row r="466" spans="1:12" ht="18" customHeight="1" x14ac:dyDescent="0.25">
      <c r="A466" t="s">
        <v>544</v>
      </c>
      <c r="B466" s="23">
        <f>DATE(YEAR('P&amp;L Mensal'!$F$1),MONTH('P&amp;L Mensal'!$F$1),1)</f>
        <v>46082</v>
      </c>
      <c r="C466" s="23">
        <f>'P&amp;L Mensal'!$F$1</f>
        <v>46112</v>
      </c>
      <c r="D466" s="23">
        <f>'P&amp;L Mensal'!$F$1</f>
        <v>46112</v>
      </c>
      <c r="E466" t="str">
        <f>TEXT('P&amp;L Mensal'!$F$1,"mmm/yyyy")</f>
        <v>mar/yyyy</v>
      </c>
      <c r="F466" t="s">
        <v>55</v>
      </c>
      <c r="G466" t="s">
        <v>220</v>
      </c>
      <c r="H466" t="s">
        <v>6</v>
      </c>
      <c r="I466" s="429">
        <f>'P&amp;L Mensal'!G55</f>
        <v>0.78935265667117127</v>
      </c>
      <c r="J466" t="s">
        <v>545</v>
      </c>
      <c r="K466" t="s">
        <v>1014</v>
      </c>
      <c r="L466">
        <v>55</v>
      </c>
    </row>
    <row r="467" spans="1:12" ht="18" customHeight="1" x14ac:dyDescent="0.25">
      <c r="A467" t="s">
        <v>544</v>
      </c>
      <c r="B467" s="23">
        <f>DATE(YEAR('P&amp;L Mensal'!$F$1),MONTH('P&amp;L Mensal'!$F$1),1)</f>
        <v>46082</v>
      </c>
      <c r="C467" s="23">
        <f>'P&amp;L Mensal'!$F$1</f>
        <v>46112</v>
      </c>
      <c r="D467" s="23">
        <f>'P&amp;L Mensal'!$F$1</f>
        <v>46112</v>
      </c>
      <c r="E467" t="str">
        <f>TEXT('P&amp;L Mensal'!$F$1,"mmm/yyyy")</f>
        <v>mar/yyyy</v>
      </c>
      <c r="F467" t="s">
        <v>55</v>
      </c>
      <c r="G467" t="s">
        <v>220</v>
      </c>
      <c r="H467" t="s">
        <v>549</v>
      </c>
      <c r="I467" s="104">
        <f>'P&amp;L Mensal'!H55</f>
        <v>6.6944905167531932E-3</v>
      </c>
      <c r="J467" t="s">
        <v>545</v>
      </c>
      <c r="K467" t="s">
        <v>1015</v>
      </c>
      <c r="L467">
        <v>55</v>
      </c>
    </row>
    <row r="468" spans="1:12" ht="18" customHeight="1" x14ac:dyDescent="0.25">
      <c r="A468" t="s">
        <v>544</v>
      </c>
      <c r="B468" s="23">
        <f>DATE(YEAR('P&amp;L Mensal'!$F$1),MONTH('P&amp;L Mensal'!$F$1),1)</f>
        <v>46082</v>
      </c>
      <c r="C468" s="23">
        <f>'P&amp;L Mensal'!$F$1</f>
        <v>46112</v>
      </c>
      <c r="D468" s="23">
        <f>'P&amp;L Mensal'!$F$1</f>
        <v>46112</v>
      </c>
      <c r="E468" t="str">
        <f>TEXT('P&amp;L Mensal'!$F$1,"mmm/yyyy")</f>
        <v>mar/yyyy</v>
      </c>
      <c r="F468" t="s">
        <v>55</v>
      </c>
      <c r="G468" t="s">
        <v>96</v>
      </c>
      <c r="H468" t="s">
        <v>5</v>
      </c>
      <c r="I468" s="429">
        <f>'P&amp;L Mensal'!I55</f>
        <v>1</v>
      </c>
      <c r="J468" t="s">
        <v>545</v>
      </c>
      <c r="K468" t="s">
        <v>1016</v>
      </c>
      <c r="L468">
        <v>55</v>
      </c>
    </row>
    <row r="469" spans="1:12" ht="18" customHeight="1" x14ac:dyDescent="0.25">
      <c r="A469" t="s">
        <v>544</v>
      </c>
      <c r="B469" s="23">
        <f>DATE(YEAR('P&amp;L Mensal'!$F$1),MONTH('P&amp;L Mensal'!$F$1),1)</f>
        <v>46082</v>
      </c>
      <c r="C469" s="23">
        <f>'P&amp;L Mensal'!$F$1</f>
        <v>46112</v>
      </c>
      <c r="D469" s="23">
        <f>'P&amp;L Mensal'!$F$1</f>
        <v>46112</v>
      </c>
      <c r="E469" t="str">
        <f>TEXT('P&amp;L Mensal'!$F$1,"mmm/yyyy")</f>
        <v>mar/yyyy</v>
      </c>
      <c r="F469" t="s">
        <v>55</v>
      </c>
      <c r="G469" t="s">
        <v>96</v>
      </c>
      <c r="H469" t="s">
        <v>6</v>
      </c>
      <c r="I469" s="429">
        <f>'P&amp;L Mensal'!J55</f>
        <v>0.99999999999999989</v>
      </c>
      <c r="J469" t="s">
        <v>545</v>
      </c>
      <c r="K469" t="s">
        <v>1017</v>
      </c>
      <c r="L469">
        <v>55</v>
      </c>
    </row>
    <row r="470" spans="1:12" ht="18" customHeight="1" x14ac:dyDescent="0.25">
      <c r="A470" t="s">
        <v>544</v>
      </c>
      <c r="B470" s="23">
        <f>DATE(YEAR('P&amp;L Mensal'!$F$1),MONTH('P&amp;L Mensal'!$F$1),1)</f>
        <v>46082</v>
      </c>
      <c r="C470" s="23">
        <f>'P&amp;L Mensal'!$F$1</f>
        <v>46112</v>
      </c>
      <c r="D470" s="23">
        <f>'P&amp;L Mensal'!$F$1</f>
        <v>46112</v>
      </c>
      <c r="E470" t="str">
        <f>TEXT('P&amp;L Mensal'!$F$1,"mmm/yyyy")</f>
        <v>mar/yyyy</v>
      </c>
      <c r="F470" t="s">
        <v>55</v>
      </c>
      <c r="G470" t="s">
        <v>96</v>
      </c>
      <c r="H470" t="s">
        <v>549</v>
      </c>
      <c r="I470" s="104">
        <f>'P&amp;L Mensal'!K55</f>
        <v>0</v>
      </c>
      <c r="J470" t="s">
        <v>545</v>
      </c>
      <c r="K470" t="s">
        <v>1018</v>
      </c>
      <c r="L470">
        <v>55</v>
      </c>
    </row>
    <row r="471" spans="1:12" ht="18" customHeight="1" x14ac:dyDescent="0.25">
      <c r="A471" t="s">
        <v>544</v>
      </c>
      <c r="B471" s="23">
        <f>DATE(YEAR('P&amp;L Mensal'!$F$1),MONTH('P&amp;L Mensal'!$F$1),1)</f>
        <v>46082</v>
      </c>
      <c r="C471" s="23">
        <f>'P&amp;L Mensal'!$F$1</f>
        <v>46112</v>
      </c>
      <c r="D471" s="23">
        <f>'P&amp;L Mensal'!$F$1</f>
        <v>46112</v>
      </c>
      <c r="E471" t="str">
        <f>TEXT('P&amp;L Mensal'!$F$1,"mmm/yyyy")</f>
        <v>mar/yyyy</v>
      </c>
      <c r="F471" t="s">
        <v>55</v>
      </c>
      <c r="G471" t="s">
        <v>96</v>
      </c>
      <c r="H471" t="s">
        <v>557</v>
      </c>
      <c r="I471" s="429">
        <f>'P&amp;L Mensal'!L55</f>
        <v>0</v>
      </c>
      <c r="J471" t="s">
        <v>545</v>
      </c>
      <c r="K471" t="s">
        <v>1019</v>
      </c>
      <c r="L471">
        <v>55</v>
      </c>
    </row>
    <row r="472" spans="1:12" ht="18" customHeight="1" x14ac:dyDescent="0.25">
      <c r="A472" t="s">
        <v>544</v>
      </c>
      <c r="B472" s="23">
        <f>DATE(YEAR('P&amp;L Mensal'!$F$1),MONTH('P&amp;L Mensal'!$F$1),1)</f>
        <v>46082</v>
      </c>
      <c r="C472" s="23">
        <f>'P&amp;L Mensal'!$F$1</f>
        <v>46112</v>
      </c>
      <c r="D472" s="23">
        <f>'P&amp;L Mensal'!$F$1</f>
        <v>46112</v>
      </c>
      <c r="E472" t="str">
        <f>TEXT('P&amp;L Mensal'!$F$1,"mmm/yyyy")</f>
        <v>mar/yyyy</v>
      </c>
      <c r="F472" t="s">
        <v>56</v>
      </c>
      <c r="G472" t="s">
        <v>205</v>
      </c>
      <c r="H472" t="s">
        <v>5</v>
      </c>
      <c r="I472" s="429">
        <f>'P&amp;L Mensal'!C56</f>
        <v>42367334.663473964</v>
      </c>
      <c r="J472" t="s">
        <v>545</v>
      </c>
      <c r="K472" t="s">
        <v>1020</v>
      </c>
      <c r="L472">
        <v>56</v>
      </c>
    </row>
    <row r="473" spans="1:12" ht="18" customHeight="1" x14ac:dyDescent="0.25">
      <c r="A473" t="s">
        <v>544</v>
      </c>
      <c r="B473" s="23">
        <f>DATE(YEAR('P&amp;L Mensal'!$F$1),MONTH('P&amp;L Mensal'!$F$1),1)</f>
        <v>46082</v>
      </c>
      <c r="C473" s="23">
        <f>'P&amp;L Mensal'!$F$1</f>
        <v>46112</v>
      </c>
      <c r="D473" s="23">
        <f>'P&amp;L Mensal'!$F$1</f>
        <v>46112</v>
      </c>
      <c r="E473" t="str">
        <f>TEXT('P&amp;L Mensal'!$F$1,"mmm/yyyy")</f>
        <v>mar/yyyy</v>
      </c>
      <c r="F473" t="s">
        <v>56</v>
      </c>
      <c r="G473" t="s">
        <v>205</v>
      </c>
      <c r="H473" t="s">
        <v>6</v>
      </c>
      <c r="I473" s="429">
        <f>'P&amp;L Mensal'!D56</f>
        <v>46358318.926772855</v>
      </c>
      <c r="J473" t="s">
        <v>545</v>
      </c>
      <c r="K473" t="s">
        <v>1021</v>
      </c>
      <c r="L473">
        <v>56</v>
      </c>
    </row>
    <row r="474" spans="1:12" ht="18" customHeight="1" x14ac:dyDescent="0.25">
      <c r="A474" t="s">
        <v>544</v>
      </c>
      <c r="B474" s="23">
        <f>DATE(YEAR('P&amp;L Mensal'!$F$1),MONTH('P&amp;L Mensal'!$F$1),1)</f>
        <v>46082</v>
      </c>
      <c r="C474" s="23">
        <f>'P&amp;L Mensal'!$F$1</f>
        <v>46112</v>
      </c>
      <c r="D474" s="23">
        <f>'P&amp;L Mensal'!$F$1</f>
        <v>46112</v>
      </c>
      <c r="E474" t="str">
        <f>TEXT('P&amp;L Mensal'!$F$1,"mmm/yyyy")</f>
        <v>mar/yyyy</v>
      </c>
      <c r="F474" t="s">
        <v>56</v>
      </c>
      <c r="G474" t="s">
        <v>205</v>
      </c>
      <c r="H474" t="s">
        <v>549</v>
      </c>
      <c r="I474" s="104">
        <f>'P&amp;L Mensal'!E56</f>
        <v>-8.608992637552304E-2</v>
      </c>
      <c r="J474" t="s">
        <v>545</v>
      </c>
      <c r="K474" t="s">
        <v>1022</v>
      </c>
      <c r="L474">
        <v>56</v>
      </c>
    </row>
    <row r="475" spans="1:12" ht="18" customHeight="1" x14ac:dyDescent="0.25">
      <c r="A475" t="s">
        <v>544</v>
      </c>
      <c r="B475" s="23">
        <f>DATE(YEAR('P&amp;L Mensal'!$F$1),MONTH('P&amp;L Mensal'!$F$1),1)</f>
        <v>46082</v>
      </c>
      <c r="C475" s="23">
        <f>'P&amp;L Mensal'!$F$1</f>
        <v>46112</v>
      </c>
      <c r="D475" s="23">
        <f>'P&amp;L Mensal'!$F$1</f>
        <v>46112</v>
      </c>
      <c r="E475" t="str">
        <f>TEXT('P&amp;L Mensal'!$F$1,"mmm/yyyy")</f>
        <v>mar/yyyy</v>
      </c>
      <c r="F475" t="s">
        <v>56</v>
      </c>
      <c r="G475" t="s">
        <v>220</v>
      </c>
      <c r="H475" t="s">
        <v>5</v>
      </c>
      <c r="I475" s="429">
        <f>'P&amp;L Mensal'!F56</f>
        <v>163937250.81152606</v>
      </c>
      <c r="J475" t="s">
        <v>545</v>
      </c>
      <c r="K475" t="s">
        <v>1023</v>
      </c>
      <c r="L475">
        <v>56</v>
      </c>
    </row>
    <row r="476" spans="1:12" ht="18" customHeight="1" x14ac:dyDescent="0.25">
      <c r="A476" t="s">
        <v>544</v>
      </c>
      <c r="B476" s="23">
        <f>DATE(YEAR('P&amp;L Mensal'!$F$1),MONTH('P&amp;L Mensal'!$F$1),1)</f>
        <v>46082</v>
      </c>
      <c r="C476" s="23">
        <f>'P&amp;L Mensal'!$F$1</f>
        <v>46112</v>
      </c>
      <c r="D476" s="23">
        <f>'P&amp;L Mensal'!$F$1</f>
        <v>46112</v>
      </c>
      <c r="E476" t="str">
        <f>TEXT('P&amp;L Mensal'!$F$1,"mmm/yyyy")</f>
        <v>mar/yyyy</v>
      </c>
      <c r="F476" t="s">
        <v>56</v>
      </c>
      <c r="G476" t="s">
        <v>220</v>
      </c>
      <c r="H476" t="s">
        <v>6</v>
      </c>
      <c r="I476" s="429">
        <f>'P&amp;L Mensal'!G56</f>
        <v>173717178.79458091</v>
      </c>
      <c r="J476" t="s">
        <v>545</v>
      </c>
      <c r="K476" t="s">
        <v>1024</v>
      </c>
      <c r="L476">
        <v>56</v>
      </c>
    </row>
    <row r="477" spans="1:12" ht="18" customHeight="1" x14ac:dyDescent="0.25">
      <c r="A477" t="s">
        <v>544</v>
      </c>
      <c r="B477" s="23">
        <f>DATE(YEAR('P&amp;L Mensal'!$F$1),MONTH('P&amp;L Mensal'!$F$1),1)</f>
        <v>46082</v>
      </c>
      <c r="C477" s="23">
        <f>'P&amp;L Mensal'!$F$1</f>
        <v>46112</v>
      </c>
      <c r="D477" s="23">
        <f>'P&amp;L Mensal'!$F$1</f>
        <v>46112</v>
      </c>
      <c r="E477" t="str">
        <f>TEXT('P&amp;L Mensal'!$F$1,"mmm/yyyy")</f>
        <v>mar/yyyy</v>
      </c>
      <c r="F477" t="s">
        <v>56</v>
      </c>
      <c r="G477" t="s">
        <v>220</v>
      </c>
      <c r="H477" t="s">
        <v>549</v>
      </c>
      <c r="I477" s="104">
        <f>'P&amp;L Mensal'!H56</f>
        <v>-5.6297989933508652E-2</v>
      </c>
      <c r="J477" t="s">
        <v>545</v>
      </c>
      <c r="K477" t="s">
        <v>1025</v>
      </c>
      <c r="L477">
        <v>56</v>
      </c>
    </row>
    <row r="478" spans="1:12" ht="18" customHeight="1" x14ac:dyDescent="0.25">
      <c r="A478" t="s">
        <v>544</v>
      </c>
      <c r="B478" s="23">
        <f>DATE(YEAR('P&amp;L Mensal'!$F$1),MONTH('P&amp;L Mensal'!$F$1),1)</f>
        <v>46082</v>
      </c>
      <c r="C478" s="23">
        <f>'P&amp;L Mensal'!$F$1</f>
        <v>46112</v>
      </c>
      <c r="D478" s="23">
        <f>'P&amp;L Mensal'!$F$1</f>
        <v>46112</v>
      </c>
      <c r="E478" t="str">
        <f>TEXT('P&amp;L Mensal'!$F$1,"mmm/yyyy")</f>
        <v>mar/yyyy</v>
      </c>
      <c r="F478" t="s">
        <v>56</v>
      </c>
      <c r="G478" t="s">
        <v>96</v>
      </c>
      <c r="H478" t="s">
        <v>5</v>
      </c>
      <c r="I478" s="429">
        <f>'P&amp;L Mensal'!I56</f>
        <v>206304585.47500002</v>
      </c>
      <c r="J478" t="s">
        <v>545</v>
      </c>
      <c r="K478" t="s">
        <v>1026</v>
      </c>
      <c r="L478">
        <v>56</v>
      </c>
    </row>
    <row r="479" spans="1:12" ht="18" customHeight="1" x14ac:dyDescent="0.25">
      <c r="A479" t="s">
        <v>544</v>
      </c>
      <c r="B479" s="23">
        <f>DATE(YEAR('P&amp;L Mensal'!$F$1),MONTH('P&amp;L Mensal'!$F$1),1)</f>
        <v>46082</v>
      </c>
      <c r="C479" s="23">
        <f>'P&amp;L Mensal'!$F$1</f>
        <v>46112</v>
      </c>
      <c r="D479" s="23">
        <f>'P&amp;L Mensal'!$F$1</f>
        <v>46112</v>
      </c>
      <c r="E479" t="str">
        <f>TEXT('P&amp;L Mensal'!$F$1,"mmm/yyyy")</f>
        <v>mar/yyyy</v>
      </c>
      <c r="F479" t="s">
        <v>56</v>
      </c>
      <c r="G479" t="s">
        <v>96</v>
      </c>
      <c r="H479" t="s">
        <v>6</v>
      </c>
      <c r="I479" s="429">
        <f>'P&amp;L Mensal'!J56</f>
        <v>220075497.72135374</v>
      </c>
      <c r="J479" t="s">
        <v>545</v>
      </c>
      <c r="K479" t="s">
        <v>1027</v>
      </c>
      <c r="L479">
        <v>56</v>
      </c>
    </row>
    <row r="480" spans="1:12" ht="18" customHeight="1" x14ac:dyDescent="0.25">
      <c r="A480" t="s">
        <v>544</v>
      </c>
      <c r="B480" s="23">
        <f>DATE(YEAR('P&amp;L Mensal'!$F$1),MONTH('P&amp;L Mensal'!$F$1),1)</f>
        <v>46082</v>
      </c>
      <c r="C480" s="23">
        <f>'P&amp;L Mensal'!$F$1</f>
        <v>46112</v>
      </c>
      <c r="D480" s="23">
        <f>'P&amp;L Mensal'!$F$1</f>
        <v>46112</v>
      </c>
      <c r="E480" t="str">
        <f>TEXT('P&amp;L Mensal'!$F$1,"mmm/yyyy")</f>
        <v>mar/yyyy</v>
      </c>
      <c r="F480" t="s">
        <v>56</v>
      </c>
      <c r="G480" t="s">
        <v>96</v>
      </c>
      <c r="H480" t="s">
        <v>549</v>
      </c>
      <c r="I480" s="104">
        <f>'P&amp;L Mensal'!K56</f>
        <v>-6.2573582197640198E-2</v>
      </c>
      <c r="J480" t="s">
        <v>545</v>
      </c>
      <c r="K480" t="s">
        <v>1028</v>
      </c>
      <c r="L480">
        <v>56</v>
      </c>
    </row>
    <row r="481" spans="1:12" ht="18" customHeight="1" x14ac:dyDescent="0.25">
      <c r="A481" t="s">
        <v>544</v>
      </c>
      <c r="B481" s="23">
        <f>DATE(YEAR('P&amp;L Mensal'!$F$1),MONTH('P&amp;L Mensal'!$F$1),1)</f>
        <v>46082</v>
      </c>
      <c r="C481" s="23">
        <f>'P&amp;L Mensal'!$F$1</f>
        <v>46112</v>
      </c>
      <c r="D481" s="23">
        <f>'P&amp;L Mensal'!$F$1</f>
        <v>46112</v>
      </c>
      <c r="E481" t="str">
        <f>TEXT('P&amp;L Mensal'!$F$1,"mmm/yyyy")</f>
        <v>mar/yyyy</v>
      </c>
      <c r="F481" t="s">
        <v>56</v>
      </c>
      <c r="G481" t="s">
        <v>96</v>
      </c>
      <c r="H481" t="s">
        <v>557</v>
      </c>
      <c r="I481" s="429">
        <f>'P&amp;L Mensal'!L56</f>
        <v>0</v>
      </c>
      <c r="J481" t="s">
        <v>545</v>
      </c>
      <c r="K481" t="s">
        <v>1029</v>
      </c>
      <c r="L481">
        <v>56</v>
      </c>
    </row>
    <row r="482" spans="1:12" ht="18" customHeight="1" x14ac:dyDescent="0.25">
      <c r="A482" t="s">
        <v>544</v>
      </c>
      <c r="B482" s="23">
        <f>DATE(YEAR('P&amp;L Mensal'!$F$1),MONTH('P&amp;L Mensal'!$F$1),1)</f>
        <v>46082</v>
      </c>
      <c r="C482" s="23">
        <f>'P&amp;L Mensal'!$F$1</f>
        <v>46112</v>
      </c>
      <c r="D482" s="23">
        <f>'P&amp;L Mensal'!$F$1</f>
        <v>46112</v>
      </c>
      <c r="E482" t="str">
        <f>TEXT('P&amp;L Mensal'!$F$1,"mmm/yyyy")</f>
        <v>mar/yyyy</v>
      </c>
      <c r="F482" t="s">
        <v>57</v>
      </c>
      <c r="G482" t="s">
        <v>205</v>
      </c>
      <c r="H482" t="s">
        <v>5</v>
      </c>
      <c r="I482" s="429">
        <f>'P&amp;L Mensal'!C58</f>
        <v>0</v>
      </c>
      <c r="J482" t="s">
        <v>545</v>
      </c>
      <c r="K482" t="s">
        <v>1030</v>
      </c>
      <c r="L482">
        <v>58</v>
      </c>
    </row>
    <row r="483" spans="1:12" ht="18" customHeight="1" x14ac:dyDescent="0.25">
      <c r="A483" t="s">
        <v>544</v>
      </c>
      <c r="B483" s="23">
        <f>DATE(YEAR('P&amp;L Mensal'!$F$1),MONTH('P&amp;L Mensal'!$F$1),1)</f>
        <v>46082</v>
      </c>
      <c r="C483" s="23">
        <f>'P&amp;L Mensal'!$F$1</f>
        <v>46112</v>
      </c>
      <c r="D483" s="23">
        <f>'P&amp;L Mensal'!$F$1</f>
        <v>46112</v>
      </c>
      <c r="E483" t="str">
        <f>TEXT('P&amp;L Mensal'!$F$1,"mmm/yyyy")</f>
        <v>mar/yyyy</v>
      </c>
      <c r="F483" t="s">
        <v>57</v>
      </c>
      <c r="G483" t="s">
        <v>205</v>
      </c>
      <c r="H483" t="s">
        <v>6</v>
      </c>
      <c r="I483" s="429">
        <f>'P&amp;L Mensal'!D58</f>
        <v>0</v>
      </c>
      <c r="J483" t="s">
        <v>545</v>
      </c>
      <c r="K483" t="s">
        <v>1031</v>
      </c>
      <c r="L483">
        <v>58</v>
      </c>
    </row>
    <row r="484" spans="1:12" ht="18" customHeight="1" x14ac:dyDescent="0.25">
      <c r="A484" t="s">
        <v>544</v>
      </c>
      <c r="B484" s="23">
        <f>DATE(YEAR('P&amp;L Mensal'!$F$1),MONTH('P&amp;L Mensal'!$F$1),1)</f>
        <v>46082</v>
      </c>
      <c r="C484" s="23">
        <f>'P&amp;L Mensal'!$F$1</f>
        <v>46112</v>
      </c>
      <c r="D484" s="23">
        <f>'P&amp;L Mensal'!$F$1</f>
        <v>46112</v>
      </c>
      <c r="E484" t="str">
        <f>TEXT('P&amp;L Mensal'!$F$1,"mmm/yyyy")</f>
        <v>mar/yyyy</v>
      </c>
      <c r="F484" t="s">
        <v>57</v>
      </c>
      <c r="G484" t="s">
        <v>205</v>
      </c>
      <c r="H484" t="s">
        <v>549</v>
      </c>
      <c r="I484" s="104">
        <f>'P&amp;L Mensal'!E58</f>
        <v>0</v>
      </c>
      <c r="J484" t="s">
        <v>545</v>
      </c>
      <c r="K484" t="s">
        <v>1032</v>
      </c>
      <c r="L484">
        <v>58</v>
      </c>
    </row>
    <row r="485" spans="1:12" ht="18" customHeight="1" x14ac:dyDescent="0.25">
      <c r="A485" t="s">
        <v>544</v>
      </c>
      <c r="B485" s="23">
        <f>DATE(YEAR('P&amp;L Mensal'!$F$1),MONTH('P&amp;L Mensal'!$F$1),1)</f>
        <v>46082</v>
      </c>
      <c r="C485" s="23">
        <f>'P&amp;L Mensal'!$F$1</f>
        <v>46112</v>
      </c>
      <c r="D485" s="23">
        <f>'P&amp;L Mensal'!$F$1</f>
        <v>46112</v>
      </c>
      <c r="E485" t="str">
        <f>TEXT('P&amp;L Mensal'!$F$1,"mmm/yyyy")</f>
        <v>mar/yyyy</v>
      </c>
      <c r="F485" t="s">
        <v>57</v>
      </c>
      <c r="G485" t="s">
        <v>220</v>
      </c>
      <c r="H485" t="s">
        <v>5</v>
      </c>
      <c r="I485" s="429">
        <f>'P&amp;L Mensal'!F58</f>
        <v>0</v>
      </c>
      <c r="J485" t="s">
        <v>545</v>
      </c>
      <c r="K485" t="s">
        <v>1033</v>
      </c>
      <c r="L485">
        <v>58</v>
      </c>
    </row>
    <row r="486" spans="1:12" ht="18" customHeight="1" x14ac:dyDescent="0.25">
      <c r="A486" t="s">
        <v>544</v>
      </c>
      <c r="B486" s="23">
        <f>DATE(YEAR('P&amp;L Mensal'!$F$1),MONTH('P&amp;L Mensal'!$F$1),1)</f>
        <v>46082</v>
      </c>
      <c r="C486" s="23">
        <f>'P&amp;L Mensal'!$F$1</f>
        <v>46112</v>
      </c>
      <c r="D486" s="23">
        <f>'P&amp;L Mensal'!$F$1</f>
        <v>46112</v>
      </c>
      <c r="E486" t="str">
        <f>TEXT('P&amp;L Mensal'!$F$1,"mmm/yyyy")</f>
        <v>mar/yyyy</v>
      </c>
      <c r="F486" t="s">
        <v>57</v>
      </c>
      <c r="G486" t="s">
        <v>220</v>
      </c>
      <c r="H486" t="s">
        <v>6</v>
      </c>
      <c r="I486" s="429">
        <f>'P&amp;L Mensal'!G58</f>
        <v>0</v>
      </c>
      <c r="J486" t="s">
        <v>545</v>
      </c>
      <c r="K486" t="s">
        <v>1034</v>
      </c>
      <c r="L486">
        <v>58</v>
      </c>
    </row>
    <row r="487" spans="1:12" ht="18" customHeight="1" x14ac:dyDescent="0.25">
      <c r="A487" t="s">
        <v>544</v>
      </c>
      <c r="B487" s="23">
        <f>DATE(YEAR('P&amp;L Mensal'!$F$1),MONTH('P&amp;L Mensal'!$F$1),1)</f>
        <v>46082</v>
      </c>
      <c r="C487" s="23">
        <f>'P&amp;L Mensal'!$F$1</f>
        <v>46112</v>
      </c>
      <c r="D487" s="23">
        <f>'P&amp;L Mensal'!$F$1</f>
        <v>46112</v>
      </c>
      <c r="E487" t="str">
        <f>TEXT('P&amp;L Mensal'!$F$1,"mmm/yyyy")</f>
        <v>mar/yyyy</v>
      </c>
      <c r="F487" t="s">
        <v>57</v>
      </c>
      <c r="G487" t="s">
        <v>220</v>
      </c>
      <c r="H487" t="s">
        <v>549</v>
      </c>
      <c r="I487" s="104">
        <f>'P&amp;L Mensal'!H58</f>
        <v>0</v>
      </c>
      <c r="J487" t="s">
        <v>545</v>
      </c>
      <c r="K487" t="s">
        <v>1035</v>
      </c>
      <c r="L487">
        <v>58</v>
      </c>
    </row>
    <row r="488" spans="1:12" ht="18" customHeight="1" x14ac:dyDescent="0.25">
      <c r="A488" t="s">
        <v>544</v>
      </c>
      <c r="B488" s="23">
        <f>DATE(YEAR('P&amp;L Mensal'!$F$1),MONTH('P&amp;L Mensal'!$F$1),1)</f>
        <v>46082</v>
      </c>
      <c r="C488" s="23">
        <f>'P&amp;L Mensal'!$F$1</f>
        <v>46112</v>
      </c>
      <c r="D488" s="23">
        <f>'P&amp;L Mensal'!$F$1</f>
        <v>46112</v>
      </c>
      <c r="E488" t="str">
        <f>TEXT('P&amp;L Mensal'!$F$1,"mmm/yyyy")</f>
        <v>mar/yyyy</v>
      </c>
      <c r="F488" t="s">
        <v>57</v>
      </c>
      <c r="G488" t="s">
        <v>96</v>
      </c>
      <c r="H488" t="s">
        <v>5</v>
      </c>
      <c r="I488" s="429">
        <f>'P&amp;L Mensal'!I58</f>
        <v>206304585.47500002</v>
      </c>
      <c r="J488" t="s">
        <v>545</v>
      </c>
      <c r="K488" t="s">
        <v>1036</v>
      </c>
      <c r="L488">
        <v>58</v>
      </c>
    </row>
    <row r="489" spans="1:12" ht="18" customHeight="1" x14ac:dyDescent="0.25">
      <c r="A489" t="s">
        <v>544</v>
      </c>
      <c r="B489" s="23">
        <f>DATE(YEAR('P&amp;L Mensal'!$F$1),MONTH('P&amp;L Mensal'!$F$1),1)</f>
        <v>46082</v>
      </c>
      <c r="C489" s="23">
        <f>'P&amp;L Mensal'!$F$1</f>
        <v>46112</v>
      </c>
      <c r="D489" s="23">
        <f>'P&amp;L Mensal'!$F$1</f>
        <v>46112</v>
      </c>
      <c r="E489" t="str">
        <f>TEXT('P&amp;L Mensal'!$F$1,"mmm/yyyy")</f>
        <v>mar/yyyy</v>
      </c>
      <c r="F489" t="s">
        <v>57</v>
      </c>
      <c r="G489" t="s">
        <v>96</v>
      </c>
      <c r="H489" t="s">
        <v>6</v>
      </c>
      <c r="I489" s="429">
        <f>'P&amp;L Mensal'!J58</f>
        <v>220075497.72135377</v>
      </c>
      <c r="J489" t="s">
        <v>545</v>
      </c>
      <c r="K489" t="s">
        <v>1037</v>
      </c>
      <c r="L489">
        <v>58</v>
      </c>
    </row>
    <row r="490" spans="1:12" ht="18" customHeight="1" x14ac:dyDescent="0.25">
      <c r="A490" t="s">
        <v>544</v>
      </c>
      <c r="B490" s="23">
        <f>DATE(YEAR('P&amp;L Mensal'!$F$1),MONTH('P&amp;L Mensal'!$F$1),1)</f>
        <v>46082</v>
      </c>
      <c r="C490" s="23">
        <f>'P&amp;L Mensal'!$F$1</f>
        <v>46112</v>
      </c>
      <c r="D490" s="23">
        <f>'P&amp;L Mensal'!$F$1</f>
        <v>46112</v>
      </c>
      <c r="E490" t="str">
        <f>TEXT('P&amp;L Mensal'!$F$1,"mmm/yyyy")</f>
        <v>mar/yyyy</v>
      </c>
      <c r="F490" t="s">
        <v>57</v>
      </c>
      <c r="G490" t="s">
        <v>96</v>
      </c>
      <c r="H490" t="s">
        <v>549</v>
      </c>
      <c r="I490" s="104">
        <f>'P&amp;L Mensal'!K58</f>
        <v>-6.2573582197640421E-2</v>
      </c>
      <c r="J490" t="s">
        <v>545</v>
      </c>
      <c r="K490" t="s">
        <v>1038</v>
      </c>
      <c r="L490">
        <v>58</v>
      </c>
    </row>
    <row r="491" spans="1:12" ht="18" customHeight="1" x14ac:dyDescent="0.25">
      <c r="A491" t="s">
        <v>544</v>
      </c>
      <c r="B491" s="23">
        <f>DATE(YEAR('P&amp;L Mensal'!$F$1),MONTH('P&amp;L Mensal'!$F$1),1)</f>
        <v>46082</v>
      </c>
      <c r="C491" s="23">
        <f>'P&amp;L Mensal'!$F$1</f>
        <v>46112</v>
      </c>
      <c r="D491" s="23">
        <f>'P&amp;L Mensal'!$F$1</f>
        <v>46112</v>
      </c>
      <c r="E491" t="str">
        <f>TEXT('P&amp;L Mensal'!$F$1,"mmm/yyyy")</f>
        <v>mar/yyyy</v>
      </c>
      <c r="F491" t="s">
        <v>57</v>
      </c>
      <c r="G491" t="s">
        <v>96</v>
      </c>
      <c r="H491" t="s">
        <v>557</v>
      </c>
      <c r="I491" s="429">
        <f>'P&amp;L Mensal'!L58</f>
        <v>0</v>
      </c>
      <c r="J491" t="s">
        <v>545</v>
      </c>
      <c r="K491" t="s">
        <v>1039</v>
      </c>
      <c r="L491">
        <v>58</v>
      </c>
    </row>
    <row r="492" spans="1:12" ht="18" customHeight="1" x14ac:dyDescent="0.25">
      <c r="A492" t="s">
        <v>544</v>
      </c>
      <c r="B492" s="23">
        <f>DATE(YEAR('P&amp;L Mensal'!$F$1),MONTH('P&amp;L Mensal'!$F$1),1)</f>
        <v>46082</v>
      </c>
      <c r="C492" s="23">
        <f>'P&amp;L Mensal'!$F$1</f>
        <v>46112</v>
      </c>
      <c r="D492" s="23">
        <f>'P&amp;L Mensal'!$F$1</f>
        <v>46112</v>
      </c>
      <c r="E492" t="str">
        <f>TEXT('P&amp;L Mensal'!$F$1,"mmm/yyyy")</f>
        <v>mar/yyyy</v>
      </c>
      <c r="F492" t="s">
        <v>58</v>
      </c>
      <c r="G492" t="s">
        <v>205</v>
      </c>
      <c r="H492" t="s">
        <v>5</v>
      </c>
      <c r="I492" s="429">
        <f>'P&amp;L Mensal'!C59</f>
        <v>0</v>
      </c>
      <c r="J492" t="s">
        <v>545</v>
      </c>
      <c r="K492" t="s">
        <v>1040</v>
      </c>
      <c r="L492">
        <v>59</v>
      </c>
    </row>
    <row r="493" spans="1:12" ht="18" customHeight="1" x14ac:dyDescent="0.25">
      <c r="A493" t="s">
        <v>544</v>
      </c>
      <c r="B493" s="23">
        <f>DATE(YEAR('P&amp;L Mensal'!$F$1),MONTH('P&amp;L Mensal'!$F$1),1)</f>
        <v>46082</v>
      </c>
      <c r="C493" s="23">
        <f>'P&amp;L Mensal'!$F$1</f>
        <v>46112</v>
      </c>
      <c r="D493" s="23">
        <f>'P&amp;L Mensal'!$F$1</f>
        <v>46112</v>
      </c>
      <c r="E493" t="str">
        <f>TEXT('P&amp;L Mensal'!$F$1,"mmm/yyyy")</f>
        <v>mar/yyyy</v>
      </c>
      <c r="F493" t="s">
        <v>58</v>
      </c>
      <c r="G493" t="s">
        <v>205</v>
      </c>
      <c r="H493" t="s">
        <v>6</v>
      </c>
      <c r="I493" s="429">
        <f>'P&amp;L Mensal'!D59</f>
        <v>0</v>
      </c>
      <c r="J493" t="s">
        <v>545</v>
      </c>
      <c r="K493" t="s">
        <v>1041</v>
      </c>
      <c r="L493">
        <v>59</v>
      </c>
    </row>
    <row r="494" spans="1:12" ht="18" customHeight="1" x14ac:dyDescent="0.25">
      <c r="A494" t="s">
        <v>544</v>
      </c>
      <c r="B494" s="23">
        <f>DATE(YEAR('P&amp;L Mensal'!$F$1),MONTH('P&amp;L Mensal'!$F$1),1)</f>
        <v>46082</v>
      </c>
      <c r="C494" s="23">
        <f>'P&amp;L Mensal'!$F$1</f>
        <v>46112</v>
      </c>
      <c r="D494" s="23">
        <f>'P&amp;L Mensal'!$F$1</f>
        <v>46112</v>
      </c>
      <c r="E494" t="str">
        <f>TEXT('P&amp;L Mensal'!$F$1,"mmm/yyyy")</f>
        <v>mar/yyyy</v>
      </c>
      <c r="F494" t="s">
        <v>58</v>
      </c>
      <c r="G494" t="s">
        <v>205</v>
      </c>
      <c r="H494" t="s">
        <v>549</v>
      </c>
      <c r="I494" s="104">
        <f>'P&amp;L Mensal'!E59</f>
        <v>0</v>
      </c>
      <c r="J494" t="s">
        <v>545</v>
      </c>
      <c r="K494" t="s">
        <v>1042</v>
      </c>
      <c r="L494">
        <v>59</v>
      </c>
    </row>
    <row r="495" spans="1:12" ht="18" customHeight="1" x14ac:dyDescent="0.25">
      <c r="A495" t="s">
        <v>544</v>
      </c>
      <c r="B495" s="23">
        <f>DATE(YEAR('P&amp;L Mensal'!$F$1),MONTH('P&amp;L Mensal'!$F$1),1)</f>
        <v>46082</v>
      </c>
      <c r="C495" s="23">
        <f>'P&amp;L Mensal'!$F$1</f>
        <v>46112</v>
      </c>
      <c r="D495" s="23">
        <f>'P&amp;L Mensal'!$F$1</f>
        <v>46112</v>
      </c>
      <c r="E495" t="str">
        <f>TEXT('P&amp;L Mensal'!$F$1,"mmm/yyyy")</f>
        <v>mar/yyyy</v>
      </c>
      <c r="F495" t="s">
        <v>58</v>
      </c>
      <c r="G495" t="s">
        <v>220</v>
      </c>
      <c r="H495" t="s">
        <v>5</v>
      </c>
      <c r="I495" s="429">
        <f>'P&amp;L Mensal'!F59</f>
        <v>0</v>
      </c>
      <c r="J495" t="s">
        <v>545</v>
      </c>
      <c r="K495" t="s">
        <v>1043</v>
      </c>
      <c r="L495">
        <v>59</v>
      </c>
    </row>
    <row r="496" spans="1:12" ht="18" customHeight="1" x14ac:dyDescent="0.25">
      <c r="A496" t="s">
        <v>544</v>
      </c>
      <c r="B496" s="23">
        <f>DATE(YEAR('P&amp;L Mensal'!$F$1),MONTH('P&amp;L Mensal'!$F$1),1)</f>
        <v>46082</v>
      </c>
      <c r="C496" s="23">
        <f>'P&amp;L Mensal'!$F$1</f>
        <v>46112</v>
      </c>
      <c r="D496" s="23">
        <f>'P&amp;L Mensal'!$F$1</f>
        <v>46112</v>
      </c>
      <c r="E496" t="str">
        <f>TEXT('P&amp;L Mensal'!$F$1,"mmm/yyyy")</f>
        <v>mar/yyyy</v>
      </c>
      <c r="F496" t="s">
        <v>58</v>
      </c>
      <c r="G496" t="s">
        <v>220</v>
      </c>
      <c r="H496" t="s">
        <v>6</v>
      </c>
      <c r="I496" s="429">
        <f>'P&amp;L Mensal'!G59</f>
        <v>0</v>
      </c>
      <c r="J496" t="s">
        <v>545</v>
      </c>
      <c r="K496" t="s">
        <v>1044</v>
      </c>
      <c r="L496">
        <v>59</v>
      </c>
    </row>
    <row r="497" spans="1:12" ht="18" customHeight="1" x14ac:dyDescent="0.25">
      <c r="A497" t="s">
        <v>544</v>
      </c>
      <c r="B497" s="23">
        <f>DATE(YEAR('P&amp;L Mensal'!$F$1),MONTH('P&amp;L Mensal'!$F$1),1)</f>
        <v>46082</v>
      </c>
      <c r="C497" s="23">
        <f>'P&amp;L Mensal'!$F$1</f>
        <v>46112</v>
      </c>
      <c r="D497" s="23">
        <f>'P&amp;L Mensal'!$F$1</f>
        <v>46112</v>
      </c>
      <c r="E497" t="str">
        <f>TEXT('P&amp;L Mensal'!$F$1,"mmm/yyyy")</f>
        <v>mar/yyyy</v>
      </c>
      <c r="F497" t="s">
        <v>58</v>
      </c>
      <c r="G497" t="s">
        <v>220</v>
      </c>
      <c r="H497" t="s">
        <v>549</v>
      </c>
      <c r="I497" s="104">
        <f>'P&amp;L Mensal'!H59</f>
        <v>0</v>
      </c>
      <c r="J497" t="s">
        <v>545</v>
      </c>
      <c r="K497" t="s">
        <v>1045</v>
      </c>
      <c r="L497">
        <v>59</v>
      </c>
    </row>
    <row r="498" spans="1:12" ht="18" customHeight="1" x14ac:dyDescent="0.25">
      <c r="A498" t="s">
        <v>544</v>
      </c>
      <c r="B498" s="23">
        <f>DATE(YEAR('P&amp;L Mensal'!$F$1),MONTH('P&amp;L Mensal'!$F$1),1)</f>
        <v>46082</v>
      </c>
      <c r="C498" s="23">
        <f>'P&amp;L Mensal'!$F$1</f>
        <v>46112</v>
      </c>
      <c r="D498" s="23">
        <f>'P&amp;L Mensal'!$F$1</f>
        <v>46112</v>
      </c>
      <c r="E498" t="str">
        <f>TEXT('P&amp;L Mensal'!$F$1,"mmm/yyyy")</f>
        <v>mar/yyyy</v>
      </c>
      <c r="F498" t="s">
        <v>58</v>
      </c>
      <c r="G498" t="s">
        <v>96</v>
      </c>
      <c r="H498" t="s">
        <v>5</v>
      </c>
      <c r="I498" s="429">
        <f>'P&amp;L Mensal'!I59</f>
        <v>214460098.13</v>
      </c>
      <c r="J498" t="s">
        <v>545</v>
      </c>
      <c r="K498" t="s">
        <v>1046</v>
      </c>
      <c r="L498">
        <v>59</v>
      </c>
    </row>
    <row r="499" spans="1:12" ht="18" customHeight="1" x14ac:dyDescent="0.25">
      <c r="A499" t="s">
        <v>544</v>
      </c>
      <c r="B499" s="23">
        <f>DATE(YEAR('P&amp;L Mensal'!$F$1),MONTH('P&amp;L Mensal'!$F$1),1)</f>
        <v>46082</v>
      </c>
      <c r="C499" s="23">
        <f>'P&amp;L Mensal'!$F$1</f>
        <v>46112</v>
      </c>
      <c r="D499" s="23">
        <f>'P&amp;L Mensal'!$F$1</f>
        <v>46112</v>
      </c>
      <c r="E499" t="str">
        <f>TEXT('P&amp;L Mensal'!$F$1,"mmm/yyyy")</f>
        <v>mar/yyyy</v>
      </c>
      <c r="F499" t="s">
        <v>58</v>
      </c>
      <c r="G499" t="s">
        <v>96</v>
      </c>
      <c r="H499" t="s">
        <v>6</v>
      </c>
      <c r="I499" s="429">
        <f>'P&amp;L Mensal'!J59</f>
        <v>0</v>
      </c>
      <c r="J499" t="s">
        <v>545</v>
      </c>
      <c r="K499" t="s">
        <v>1047</v>
      </c>
      <c r="L499">
        <v>59</v>
      </c>
    </row>
    <row r="500" spans="1:12" ht="18" customHeight="1" x14ac:dyDescent="0.25">
      <c r="A500" t="s">
        <v>544</v>
      </c>
      <c r="B500" s="23">
        <f>DATE(YEAR('P&amp;L Mensal'!$F$1),MONTH('P&amp;L Mensal'!$F$1),1)</f>
        <v>46082</v>
      </c>
      <c r="C500" s="23">
        <f>'P&amp;L Mensal'!$F$1</f>
        <v>46112</v>
      </c>
      <c r="D500" s="23">
        <f>'P&amp;L Mensal'!$F$1</f>
        <v>46112</v>
      </c>
      <c r="E500" t="str">
        <f>TEXT('P&amp;L Mensal'!$F$1,"mmm/yyyy")</f>
        <v>mar/yyyy</v>
      </c>
      <c r="F500" t="s">
        <v>58</v>
      </c>
      <c r="G500" t="s">
        <v>96</v>
      </c>
      <c r="H500" t="s">
        <v>549</v>
      </c>
      <c r="I500" s="104">
        <f>'P&amp;L Mensal'!K59</f>
        <v>0</v>
      </c>
      <c r="J500" t="s">
        <v>545</v>
      </c>
      <c r="K500" t="s">
        <v>1048</v>
      </c>
      <c r="L500">
        <v>59</v>
      </c>
    </row>
    <row r="501" spans="1:12" ht="18" customHeight="1" x14ac:dyDescent="0.25">
      <c r="A501" t="s">
        <v>544</v>
      </c>
      <c r="B501" s="23">
        <f>DATE(YEAR('P&amp;L Mensal'!$F$1),MONTH('P&amp;L Mensal'!$F$1),1)</f>
        <v>46082</v>
      </c>
      <c r="C501" s="23">
        <f>'P&amp;L Mensal'!$F$1</f>
        <v>46112</v>
      </c>
      <c r="D501" s="23">
        <f>'P&amp;L Mensal'!$F$1</f>
        <v>46112</v>
      </c>
      <c r="E501" t="str">
        <f>TEXT('P&amp;L Mensal'!$F$1,"mmm/yyyy")</f>
        <v>mar/yyyy</v>
      </c>
      <c r="F501" t="s">
        <v>58</v>
      </c>
      <c r="G501" t="s">
        <v>96</v>
      </c>
      <c r="H501" t="s">
        <v>557</v>
      </c>
      <c r="I501" s="429">
        <f>'P&amp;L Mensal'!L59</f>
        <v>0</v>
      </c>
      <c r="J501" t="s">
        <v>545</v>
      </c>
      <c r="K501" t="s">
        <v>1049</v>
      </c>
      <c r="L501">
        <v>59</v>
      </c>
    </row>
    <row r="502" spans="1:12" ht="18" customHeight="1" x14ac:dyDescent="0.25">
      <c r="A502" t="s">
        <v>544</v>
      </c>
      <c r="B502" s="23">
        <f>DATE(YEAR('P&amp;L Mensal'!$F$1),MONTH('P&amp;L Mensal'!$F$1),1)</f>
        <v>46082</v>
      </c>
      <c r="C502" s="23">
        <f>'P&amp;L Mensal'!$F$1</f>
        <v>46112</v>
      </c>
      <c r="D502" s="23">
        <f>'P&amp;L Mensal'!$F$1</f>
        <v>46112</v>
      </c>
      <c r="E502" t="str">
        <f>TEXT('P&amp;L Mensal'!$F$1,"mmm/yyyy")</f>
        <v>mar/yyyy</v>
      </c>
      <c r="F502" t="s">
        <v>59</v>
      </c>
      <c r="G502" t="s">
        <v>205</v>
      </c>
      <c r="H502" t="s">
        <v>5</v>
      </c>
      <c r="I502" s="429">
        <f>'P&amp;L Mensal'!C61</f>
        <v>-1000224.8020000083</v>
      </c>
      <c r="J502" t="s">
        <v>545</v>
      </c>
      <c r="K502" t="s">
        <v>1050</v>
      </c>
      <c r="L502">
        <v>61</v>
      </c>
    </row>
    <row r="503" spans="1:12" ht="18" customHeight="1" x14ac:dyDescent="0.25">
      <c r="A503" t="s">
        <v>544</v>
      </c>
      <c r="B503" s="23">
        <f>DATE(YEAR('P&amp;L Mensal'!$F$1),MONTH('P&amp;L Mensal'!$F$1),1)</f>
        <v>46082</v>
      </c>
      <c r="C503" s="23">
        <f>'P&amp;L Mensal'!$F$1</f>
        <v>46112</v>
      </c>
      <c r="D503" s="23">
        <f>'P&amp;L Mensal'!$F$1</f>
        <v>46112</v>
      </c>
      <c r="E503" t="str">
        <f>TEXT('P&amp;L Mensal'!$F$1,"mmm/yyyy")</f>
        <v>mar/yyyy</v>
      </c>
      <c r="F503" t="s">
        <v>59</v>
      </c>
      <c r="G503" t="s">
        <v>205</v>
      </c>
      <c r="H503" t="s">
        <v>6</v>
      </c>
      <c r="I503" s="429">
        <f>'P&amp;L Mensal'!D61</f>
        <v>-1062689.0946336011</v>
      </c>
      <c r="J503" t="s">
        <v>545</v>
      </c>
      <c r="K503" t="s">
        <v>1051</v>
      </c>
      <c r="L503">
        <v>61</v>
      </c>
    </row>
    <row r="504" spans="1:12" ht="18" customHeight="1" x14ac:dyDescent="0.25">
      <c r="A504" t="s">
        <v>544</v>
      </c>
      <c r="B504" s="23">
        <f>DATE(YEAR('P&amp;L Mensal'!$F$1),MONTH('P&amp;L Mensal'!$F$1),1)</f>
        <v>46082</v>
      </c>
      <c r="C504" s="23">
        <f>'P&amp;L Mensal'!$F$1</f>
        <v>46112</v>
      </c>
      <c r="D504" s="23">
        <f>'P&amp;L Mensal'!$F$1</f>
        <v>46112</v>
      </c>
      <c r="E504" t="str">
        <f>TEXT('P&amp;L Mensal'!$F$1,"mmm/yyyy")</f>
        <v>mar/yyyy</v>
      </c>
      <c r="F504" t="s">
        <v>59</v>
      </c>
      <c r="G504" t="s">
        <v>205</v>
      </c>
      <c r="H504" t="s">
        <v>549</v>
      </c>
      <c r="I504" s="104">
        <f>'P&amp;L Mensal'!E61</f>
        <v>-5.8779461414469103E-2</v>
      </c>
      <c r="J504" t="s">
        <v>545</v>
      </c>
      <c r="K504" t="s">
        <v>1052</v>
      </c>
      <c r="L504">
        <v>61</v>
      </c>
    </row>
    <row r="505" spans="1:12" ht="18" customHeight="1" x14ac:dyDescent="0.25">
      <c r="A505" t="s">
        <v>544</v>
      </c>
      <c r="B505" s="23">
        <f>DATE(YEAR('P&amp;L Mensal'!$F$1),MONTH('P&amp;L Mensal'!$F$1),1)</f>
        <v>46082</v>
      </c>
      <c r="C505" s="23">
        <f>'P&amp;L Mensal'!$F$1</f>
        <v>46112</v>
      </c>
      <c r="D505" s="23">
        <f>'P&amp;L Mensal'!$F$1</f>
        <v>46112</v>
      </c>
      <c r="E505" t="str">
        <f>TEXT('P&amp;L Mensal'!$F$1,"mmm/yyyy")</f>
        <v>mar/yyyy</v>
      </c>
      <c r="F505" t="s">
        <v>59</v>
      </c>
      <c r="G505" t="s">
        <v>220</v>
      </c>
      <c r="H505" t="s">
        <v>5</v>
      </c>
      <c r="I505" s="429">
        <f>'P&amp;L Mensal'!F61</f>
        <v>-3635830.4580000099</v>
      </c>
      <c r="J505" t="s">
        <v>545</v>
      </c>
      <c r="K505" t="s">
        <v>1053</v>
      </c>
      <c r="L505">
        <v>61</v>
      </c>
    </row>
    <row r="506" spans="1:12" ht="18" customHeight="1" x14ac:dyDescent="0.25">
      <c r="A506" t="s">
        <v>544</v>
      </c>
      <c r="B506" s="23">
        <f>DATE(YEAR('P&amp;L Mensal'!$F$1),MONTH('P&amp;L Mensal'!$F$1),1)</f>
        <v>46082</v>
      </c>
      <c r="C506" s="23">
        <f>'P&amp;L Mensal'!$F$1</f>
        <v>46112</v>
      </c>
      <c r="D506" s="23">
        <f>'P&amp;L Mensal'!$F$1</f>
        <v>46112</v>
      </c>
      <c r="E506" t="str">
        <f>TEXT('P&amp;L Mensal'!$F$1,"mmm/yyyy")</f>
        <v>mar/yyyy</v>
      </c>
      <c r="F506" t="s">
        <v>59</v>
      </c>
      <c r="G506" t="s">
        <v>220</v>
      </c>
      <c r="H506" t="s">
        <v>6</v>
      </c>
      <c r="I506" s="429">
        <f>'P&amp;L Mensal'!G61</f>
        <v>-4436094.71876729</v>
      </c>
      <c r="J506" t="s">
        <v>545</v>
      </c>
      <c r="K506" t="s">
        <v>1054</v>
      </c>
      <c r="L506">
        <v>61</v>
      </c>
    </row>
    <row r="507" spans="1:12" ht="18" customHeight="1" x14ac:dyDescent="0.25">
      <c r="A507" t="s">
        <v>544</v>
      </c>
      <c r="B507" s="23">
        <f>DATE(YEAR('P&amp;L Mensal'!$F$1),MONTH('P&amp;L Mensal'!$F$1),1)</f>
        <v>46082</v>
      </c>
      <c r="C507" s="23">
        <f>'P&amp;L Mensal'!$F$1</f>
        <v>46112</v>
      </c>
      <c r="D507" s="23">
        <f>'P&amp;L Mensal'!$F$1</f>
        <v>46112</v>
      </c>
      <c r="E507" t="str">
        <f>TEXT('P&amp;L Mensal'!$F$1,"mmm/yyyy")</f>
        <v>mar/yyyy</v>
      </c>
      <c r="F507" t="s">
        <v>59</v>
      </c>
      <c r="G507" t="s">
        <v>220</v>
      </c>
      <c r="H507" t="s">
        <v>549</v>
      </c>
      <c r="I507" s="104">
        <f>'P&amp;L Mensal'!H61</f>
        <v>-0.18039837097744815</v>
      </c>
      <c r="J507" t="s">
        <v>545</v>
      </c>
      <c r="K507" t="s">
        <v>1055</v>
      </c>
      <c r="L507">
        <v>61</v>
      </c>
    </row>
    <row r="508" spans="1:12" ht="18" customHeight="1" x14ac:dyDescent="0.25">
      <c r="A508" t="s">
        <v>544</v>
      </c>
      <c r="B508" s="23">
        <f>DATE(YEAR('P&amp;L Mensal'!$F$1),MONTH('P&amp;L Mensal'!$F$1),1)</f>
        <v>46082</v>
      </c>
      <c r="C508" s="23">
        <f>'P&amp;L Mensal'!$F$1</f>
        <v>46112</v>
      </c>
      <c r="D508" s="23">
        <f>'P&amp;L Mensal'!$F$1</f>
        <v>46112</v>
      </c>
      <c r="E508" t="str">
        <f>TEXT('P&amp;L Mensal'!$F$1,"mmm/yyyy")</f>
        <v>mar/yyyy</v>
      </c>
      <c r="F508" t="s">
        <v>59</v>
      </c>
      <c r="G508" t="s">
        <v>96</v>
      </c>
      <c r="H508" t="s">
        <v>5</v>
      </c>
      <c r="I508" s="429">
        <f>'P&amp;L Mensal'!I61</f>
        <v>-4636055.2600000184</v>
      </c>
      <c r="J508" t="s">
        <v>545</v>
      </c>
      <c r="K508" t="s">
        <v>1056</v>
      </c>
      <c r="L508">
        <v>61</v>
      </c>
    </row>
    <row r="509" spans="1:12" ht="18" customHeight="1" x14ac:dyDescent="0.25">
      <c r="A509" t="s">
        <v>544</v>
      </c>
      <c r="B509" s="23">
        <f>DATE(YEAR('P&amp;L Mensal'!$F$1),MONTH('P&amp;L Mensal'!$F$1),1)</f>
        <v>46082</v>
      </c>
      <c r="C509" s="23">
        <f>'P&amp;L Mensal'!$F$1</f>
        <v>46112</v>
      </c>
      <c r="D509" s="23">
        <f>'P&amp;L Mensal'!$F$1</f>
        <v>46112</v>
      </c>
      <c r="E509" t="str">
        <f>TEXT('P&amp;L Mensal'!$F$1,"mmm/yyyy")</f>
        <v>mar/yyyy</v>
      </c>
      <c r="F509" t="s">
        <v>59</v>
      </c>
      <c r="G509" t="s">
        <v>96</v>
      </c>
      <c r="H509" t="s">
        <v>6</v>
      </c>
      <c r="I509" s="429">
        <f>'P&amp;L Mensal'!J61</f>
        <v>-5498783.8134008907</v>
      </c>
      <c r="J509" t="s">
        <v>545</v>
      </c>
      <c r="K509" t="s">
        <v>1057</v>
      </c>
      <c r="L509">
        <v>61</v>
      </c>
    </row>
    <row r="510" spans="1:12" ht="18" customHeight="1" x14ac:dyDescent="0.25">
      <c r="A510" t="s">
        <v>544</v>
      </c>
      <c r="B510" s="23">
        <f>DATE(YEAR('P&amp;L Mensal'!$F$1),MONTH('P&amp;L Mensal'!$F$1),1)</f>
        <v>46082</v>
      </c>
      <c r="C510" s="23">
        <f>'P&amp;L Mensal'!$F$1</f>
        <v>46112</v>
      </c>
      <c r="D510" s="23">
        <f>'P&amp;L Mensal'!$F$1</f>
        <v>46112</v>
      </c>
      <c r="E510" t="str">
        <f>TEXT('P&amp;L Mensal'!$F$1,"mmm/yyyy")</f>
        <v>mar/yyyy</v>
      </c>
      <c r="F510" t="s">
        <v>59</v>
      </c>
      <c r="G510" t="s">
        <v>96</v>
      </c>
      <c r="H510" t="s">
        <v>549</v>
      </c>
      <c r="I510" s="104">
        <f>'P&amp;L Mensal'!K61</f>
        <v>-0.15689443023716387</v>
      </c>
      <c r="J510" t="s">
        <v>545</v>
      </c>
      <c r="K510" t="s">
        <v>1058</v>
      </c>
      <c r="L510">
        <v>61</v>
      </c>
    </row>
    <row r="511" spans="1:12" ht="18" customHeight="1" x14ac:dyDescent="0.25">
      <c r="A511" t="s">
        <v>544</v>
      </c>
      <c r="B511" s="23">
        <f>DATE(YEAR('P&amp;L Mensal'!$F$1),MONTH('P&amp;L Mensal'!$F$1),1)</f>
        <v>46082</v>
      </c>
      <c r="C511" s="23">
        <f>'P&amp;L Mensal'!$F$1</f>
        <v>46112</v>
      </c>
      <c r="D511" s="23">
        <f>'P&amp;L Mensal'!$F$1</f>
        <v>46112</v>
      </c>
      <c r="E511" t="str">
        <f>TEXT('P&amp;L Mensal'!$F$1,"mmm/yyyy")</f>
        <v>mar/yyyy</v>
      </c>
      <c r="F511" t="s">
        <v>59</v>
      </c>
      <c r="G511" t="s">
        <v>96</v>
      </c>
      <c r="H511" t="s">
        <v>557</v>
      </c>
      <c r="I511" s="429">
        <f>'P&amp;L Mensal'!L61</f>
        <v>0</v>
      </c>
      <c r="J511" t="s">
        <v>545</v>
      </c>
      <c r="K511" t="s">
        <v>1059</v>
      </c>
      <c r="L511">
        <v>61</v>
      </c>
    </row>
    <row r="512" spans="1:12" ht="18" customHeight="1" x14ac:dyDescent="0.25">
      <c r="A512" t="s">
        <v>544</v>
      </c>
      <c r="B512" s="23">
        <f>DATE(YEAR('P&amp;L Mensal'!$F$1),MONTH('P&amp;L Mensal'!$F$1),1)</f>
        <v>46082</v>
      </c>
      <c r="C512" s="23">
        <f>'P&amp;L Mensal'!$F$1</f>
        <v>46112</v>
      </c>
      <c r="D512" s="23">
        <f>'P&amp;L Mensal'!$F$1</f>
        <v>46112</v>
      </c>
      <c r="E512" t="str">
        <f>TEXT('P&amp;L Mensal'!$F$1,"mmm/yyyy")</f>
        <v>mar/yyyy</v>
      </c>
      <c r="F512" t="s">
        <v>60</v>
      </c>
      <c r="G512" t="s">
        <v>205</v>
      </c>
      <c r="H512" t="s">
        <v>5</v>
      </c>
      <c r="I512" s="429">
        <f>'P&amp;L Mensal'!C63</f>
        <v>-0.33842555830550836</v>
      </c>
      <c r="J512" t="s">
        <v>545</v>
      </c>
      <c r="K512" t="s">
        <v>1060</v>
      </c>
      <c r="L512">
        <v>63</v>
      </c>
    </row>
    <row r="513" spans="1:12" ht="18" customHeight="1" x14ac:dyDescent="0.25">
      <c r="A513" t="s">
        <v>544</v>
      </c>
      <c r="B513" s="23">
        <f>DATE(YEAR('P&amp;L Mensal'!$F$1),MONTH('P&amp;L Mensal'!$F$1),1)</f>
        <v>46082</v>
      </c>
      <c r="C513" s="23">
        <f>'P&amp;L Mensal'!$F$1</f>
        <v>46112</v>
      </c>
      <c r="D513" s="23">
        <f>'P&amp;L Mensal'!$F$1</f>
        <v>46112</v>
      </c>
      <c r="E513" t="str">
        <f>TEXT('P&amp;L Mensal'!$F$1,"mmm/yyyy")</f>
        <v>mar/yyyy</v>
      </c>
      <c r="F513" t="s">
        <v>60</v>
      </c>
      <c r="G513" t="s">
        <v>205</v>
      </c>
      <c r="H513" t="s">
        <v>6</v>
      </c>
      <c r="I513" s="429">
        <f>'P&amp;L Mensal'!D63</f>
        <v>-0.39311847136684169</v>
      </c>
      <c r="J513" t="s">
        <v>545</v>
      </c>
      <c r="K513" t="s">
        <v>1061</v>
      </c>
      <c r="L513">
        <v>63</v>
      </c>
    </row>
    <row r="514" spans="1:12" ht="18" customHeight="1" x14ac:dyDescent="0.25">
      <c r="A514" t="s">
        <v>544</v>
      </c>
      <c r="B514" s="23">
        <f>DATE(YEAR('P&amp;L Mensal'!$F$1),MONTH('P&amp;L Mensal'!$F$1),1)</f>
        <v>46082</v>
      </c>
      <c r="C514" s="23">
        <f>'P&amp;L Mensal'!$F$1</f>
        <v>46112</v>
      </c>
      <c r="D514" s="23">
        <f>'P&amp;L Mensal'!$F$1</f>
        <v>46112</v>
      </c>
      <c r="E514" t="str">
        <f>TEXT('P&amp;L Mensal'!$F$1,"mmm/yyyy")</f>
        <v>mar/yyyy</v>
      </c>
      <c r="F514" t="s">
        <v>60</v>
      </c>
      <c r="G514" t="s">
        <v>205</v>
      </c>
      <c r="H514" t="s">
        <v>549</v>
      </c>
      <c r="I514" s="104">
        <f>'P&amp;L Mensal'!E63</f>
        <v>0</v>
      </c>
      <c r="J514" t="s">
        <v>545</v>
      </c>
      <c r="K514" t="s">
        <v>1062</v>
      </c>
      <c r="L514">
        <v>63</v>
      </c>
    </row>
    <row r="515" spans="1:12" ht="18" customHeight="1" x14ac:dyDescent="0.25">
      <c r="A515" t="s">
        <v>544</v>
      </c>
      <c r="B515" s="23">
        <f>DATE(YEAR('P&amp;L Mensal'!$F$1),MONTH('P&amp;L Mensal'!$F$1),1)</f>
        <v>46082</v>
      </c>
      <c r="C515" s="23">
        <f>'P&amp;L Mensal'!$F$1</f>
        <v>46112</v>
      </c>
      <c r="D515" s="23">
        <f>'P&amp;L Mensal'!$F$1</f>
        <v>46112</v>
      </c>
      <c r="E515" t="str">
        <f>TEXT('P&amp;L Mensal'!$F$1,"mmm/yyyy")</f>
        <v>mar/yyyy</v>
      </c>
      <c r="F515" t="s">
        <v>60</v>
      </c>
      <c r="G515" t="s">
        <v>220</v>
      </c>
      <c r="H515" t="s">
        <v>5</v>
      </c>
      <c r="I515" s="429">
        <f>'P&amp;L Mensal'!F63</f>
        <v>-0.33842555830550847</v>
      </c>
      <c r="J515" t="s">
        <v>545</v>
      </c>
      <c r="K515" t="s">
        <v>1063</v>
      </c>
      <c r="L515">
        <v>63</v>
      </c>
    </row>
    <row r="516" spans="1:12" ht="18" customHeight="1" x14ac:dyDescent="0.25">
      <c r="A516" t="s">
        <v>544</v>
      </c>
      <c r="B516" s="23">
        <f>DATE(YEAR('P&amp;L Mensal'!$F$1),MONTH('P&amp;L Mensal'!$F$1),1)</f>
        <v>46082</v>
      </c>
      <c r="C516" s="23">
        <f>'P&amp;L Mensal'!$F$1</f>
        <v>46112</v>
      </c>
      <c r="D516" s="23">
        <f>'P&amp;L Mensal'!$F$1</f>
        <v>46112</v>
      </c>
      <c r="E516" t="str">
        <f>TEXT('P&amp;L Mensal'!$F$1,"mmm/yyyy")</f>
        <v>mar/yyyy</v>
      </c>
      <c r="F516" t="s">
        <v>60</v>
      </c>
      <c r="G516" t="s">
        <v>220</v>
      </c>
      <c r="H516" t="s">
        <v>6</v>
      </c>
      <c r="I516" s="429">
        <f>'P&amp;L Mensal'!G63</f>
        <v>-0.2373326648838289</v>
      </c>
      <c r="J516" t="s">
        <v>545</v>
      </c>
      <c r="K516" t="s">
        <v>1064</v>
      </c>
      <c r="L516">
        <v>63</v>
      </c>
    </row>
    <row r="517" spans="1:12" ht="18" customHeight="1" x14ac:dyDescent="0.25">
      <c r="A517" t="s">
        <v>544</v>
      </c>
      <c r="B517" s="23">
        <f>DATE(YEAR('P&amp;L Mensal'!$F$1),MONTH('P&amp;L Mensal'!$F$1),1)</f>
        <v>46082</v>
      </c>
      <c r="C517" s="23">
        <f>'P&amp;L Mensal'!$F$1</f>
        <v>46112</v>
      </c>
      <c r="D517" s="23">
        <f>'P&amp;L Mensal'!$F$1</f>
        <v>46112</v>
      </c>
      <c r="E517" t="str">
        <f>TEXT('P&amp;L Mensal'!$F$1,"mmm/yyyy")</f>
        <v>mar/yyyy</v>
      </c>
      <c r="F517" t="s">
        <v>60</v>
      </c>
      <c r="G517" t="s">
        <v>220</v>
      </c>
      <c r="H517" t="s">
        <v>549</v>
      </c>
      <c r="I517" s="104">
        <f>'P&amp;L Mensal'!H63</f>
        <v>0</v>
      </c>
      <c r="J517" t="s">
        <v>545</v>
      </c>
      <c r="K517" t="s">
        <v>1065</v>
      </c>
      <c r="L517">
        <v>63</v>
      </c>
    </row>
    <row r="518" spans="1:12" ht="18" customHeight="1" x14ac:dyDescent="0.25">
      <c r="A518" t="s">
        <v>544</v>
      </c>
      <c r="B518" s="23">
        <f>DATE(YEAR('P&amp;L Mensal'!$F$1),MONTH('P&amp;L Mensal'!$F$1),1)</f>
        <v>46082</v>
      </c>
      <c r="C518" s="23">
        <f>'P&amp;L Mensal'!$F$1</f>
        <v>46112</v>
      </c>
      <c r="D518" s="23">
        <f>'P&amp;L Mensal'!$F$1</f>
        <v>46112</v>
      </c>
      <c r="E518" t="str">
        <f>TEXT('P&amp;L Mensal'!$F$1,"mmm/yyyy")</f>
        <v>mar/yyyy</v>
      </c>
      <c r="F518" t="s">
        <v>60</v>
      </c>
      <c r="G518" t="s">
        <v>96</v>
      </c>
      <c r="H518" t="s">
        <v>5</v>
      </c>
      <c r="I518" s="429">
        <f>'P&amp;L Mensal'!I63</f>
        <v>-0.33842555830550841</v>
      </c>
      <c r="J518" t="s">
        <v>545</v>
      </c>
      <c r="K518" t="s">
        <v>1066</v>
      </c>
      <c r="L518">
        <v>63</v>
      </c>
    </row>
    <row r="519" spans="1:12" ht="18" customHeight="1" x14ac:dyDescent="0.25">
      <c r="A519" t="s">
        <v>544</v>
      </c>
      <c r="B519" s="23">
        <f>DATE(YEAR('P&amp;L Mensal'!$F$1),MONTH('P&amp;L Mensal'!$F$1),1)</f>
        <v>46082</v>
      </c>
      <c r="C519" s="23">
        <f>'P&amp;L Mensal'!$F$1</f>
        <v>46112</v>
      </c>
      <c r="D519" s="23">
        <f>'P&amp;L Mensal'!$F$1</f>
        <v>46112</v>
      </c>
      <c r="E519" t="str">
        <f>TEXT('P&amp;L Mensal'!$F$1,"mmm/yyyy")</f>
        <v>mar/yyyy</v>
      </c>
      <c r="F519" t="s">
        <v>60</v>
      </c>
      <c r="G519" t="s">
        <v>96</v>
      </c>
      <c r="H519" t="s">
        <v>6</v>
      </c>
      <c r="I519" s="429">
        <f>'P&amp;L Mensal'!J63</f>
        <v>-0.25999999999999801</v>
      </c>
      <c r="J519" t="s">
        <v>545</v>
      </c>
      <c r="K519" t="s">
        <v>1067</v>
      </c>
      <c r="L519">
        <v>63</v>
      </c>
    </row>
    <row r="520" spans="1:12" ht="18" customHeight="1" x14ac:dyDescent="0.25">
      <c r="A520" t="s">
        <v>544</v>
      </c>
      <c r="B520" s="23">
        <f>DATE(YEAR('P&amp;L Mensal'!$F$1),MONTH('P&amp;L Mensal'!$F$1),1)</f>
        <v>46082</v>
      </c>
      <c r="C520" s="23">
        <f>'P&amp;L Mensal'!$F$1</f>
        <v>46112</v>
      </c>
      <c r="D520" s="23">
        <f>'P&amp;L Mensal'!$F$1</f>
        <v>46112</v>
      </c>
      <c r="E520" t="str">
        <f>TEXT('P&amp;L Mensal'!$F$1,"mmm/yyyy")</f>
        <v>mar/yyyy</v>
      </c>
      <c r="F520" t="s">
        <v>60</v>
      </c>
      <c r="G520" t="s">
        <v>96</v>
      </c>
      <c r="H520" t="s">
        <v>549</v>
      </c>
      <c r="I520" s="104">
        <f>'P&amp;L Mensal'!K63</f>
        <v>0</v>
      </c>
      <c r="J520" t="s">
        <v>545</v>
      </c>
      <c r="K520" t="s">
        <v>1068</v>
      </c>
      <c r="L520">
        <v>63</v>
      </c>
    </row>
    <row r="521" spans="1:12" ht="18" customHeight="1" x14ac:dyDescent="0.25">
      <c r="A521" t="s">
        <v>544</v>
      </c>
      <c r="B521" s="23">
        <f>DATE(YEAR('P&amp;L Mensal'!$F$1),MONTH('P&amp;L Mensal'!$F$1),1)</f>
        <v>46082</v>
      </c>
      <c r="C521" s="23">
        <f>'P&amp;L Mensal'!$F$1</f>
        <v>46112</v>
      </c>
      <c r="D521" s="23">
        <f>'P&amp;L Mensal'!$F$1</f>
        <v>46112</v>
      </c>
      <c r="E521" t="str">
        <f>TEXT('P&amp;L Mensal'!$F$1,"mmm/yyyy")</f>
        <v>mar/yyyy</v>
      </c>
      <c r="F521" t="s">
        <v>60</v>
      </c>
      <c r="G521" t="s">
        <v>96</v>
      </c>
      <c r="H521" t="s">
        <v>557</v>
      </c>
      <c r="I521" s="429">
        <f>'P&amp;L Mensal'!L63</f>
        <v>0</v>
      </c>
      <c r="J521" t="s">
        <v>545</v>
      </c>
      <c r="K521" t="s">
        <v>1069</v>
      </c>
      <c r="L521">
        <v>63</v>
      </c>
    </row>
    <row r="522" spans="1:12" ht="18" customHeight="1" x14ac:dyDescent="0.25">
      <c r="A522" t="s">
        <v>1070</v>
      </c>
      <c r="B522" s="23">
        <f>'P&amp;L Acumulado'!$G$1</f>
        <v>46053</v>
      </c>
      <c r="C522" s="23">
        <f>'P&amp;L Acumulado'!$I$1</f>
        <v>46112</v>
      </c>
      <c r="D522" s="23">
        <f>'P&amp;L Acumulado'!$I$1</f>
        <v>46112</v>
      </c>
      <c r="E522" t="str">
        <f>TEXT('P&amp;L Acumulado'!$G$1,"mmm/yyyy")&amp;" a "&amp;TEXT('P&amp;L Acumulado'!$I$1,"mmm/yyyy")</f>
        <v>jan/yyyy a mar/yyyy</v>
      </c>
      <c r="F522" t="s">
        <v>9</v>
      </c>
      <c r="G522" t="s">
        <v>252</v>
      </c>
      <c r="H522" t="s">
        <v>5</v>
      </c>
      <c r="I522" s="429">
        <f>'P&amp;L Acumulado'!C5</f>
        <v>0</v>
      </c>
      <c r="J522" t="s">
        <v>1071</v>
      </c>
      <c r="K522" t="s">
        <v>546</v>
      </c>
      <c r="L522">
        <v>5</v>
      </c>
    </row>
    <row r="523" spans="1:12" ht="18" customHeight="1" x14ac:dyDescent="0.25">
      <c r="A523" t="s">
        <v>1070</v>
      </c>
      <c r="B523" s="23">
        <f>'P&amp;L Acumulado'!$G$1</f>
        <v>46053</v>
      </c>
      <c r="C523" s="23">
        <f>'P&amp;L Acumulado'!$I$1</f>
        <v>46112</v>
      </c>
      <c r="D523" s="23">
        <f>'P&amp;L Acumulado'!$I$1</f>
        <v>46112</v>
      </c>
      <c r="E523" t="str">
        <f>TEXT('P&amp;L Acumulado'!$G$1,"mmm/yyyy")&amp;" a "&amp;TEXT('P&amp;L Acumulado'!$I$1,"mmm/yyyy")</f>
        <v>jan/yyyy a mar/yyyy</v>
      </c>
      <c r="F523" t="s">
        <v>9</v>
      </c>
      <c r="G523" t="s">
        <v>252</v>
      </c>
      <c r="H523" t="s">
        <v>6</v>
      </c>
      <c r="I523" s="429">
        <f>'P&amp;L Acumulado'!D5</f>
        <v>0</v>
      </c>
      <c r="J523" t="s">
        <v>1071</v>
      </c>
      <c r="K523" t="s">
        <v>548</v>
      </c>
      <c r="L523">
        <v>5</v>
      </c>
    </row>
    <row r="524" spans="1:12" ht="18" customHeight="1" x14ac:dyDescent="0.25">
      <c r="A524" t="s">
        <v>1070</v>
      </c>
      <c r="B524" s="23">
        <f>'P&amp;L Acumulado'!$G$1</f>
        <v>46053</v>
      </c>
      <c r="C524" s="23">
        <f>'P&amp;L Acumulado'!$I$1</f>
        <v>46112</v>
      </c>
      <c r="D524" s="23">
        <f>'P&amp;L Acumulado'!$I$1</f>
        <v>46112</v>
      </c>
      <c r="E524" t="str">
        <f>TEXT('P&amp;L Acumulado'!$G$1,"mmm/yyyy")&amp;" a "&amp;TEXT('P&amp;L Acumulado'!$I$1,"mmm/yyyy")</f>
        <v>jan/yyyy a mar/yyyy</v>
      </c>
      <c r="F524" t="s">
        <v>9</v>
      </c>
      <c r="G524" t="s">
        <v>252</v>
      </c>
      <c r="H524" t="s">
        <v>549</v>
      </c>
      <c r="I524" s="104" t="str">
        <f>'P&amp;L Acumulado'!E5</f>
        <v>-</v>
      </c>
      <c r="J524" t="s">
        <v>1071</v>
      </c>
      <c r="K524" t="s">
        <v>550</v>
      </c>
      <c r="L524">
        <v>5</v>
      </c>
    </row>
    <row r="525" spans="1:12" ht="18" customHeight="1" x14ac:dyDescent="0.25">
      <c r="A525" t="s">
        <v>1070</v>
      </c>
      <c r="B525" s="23">
        <f>'P&amp;L Acumulado'!$G$1</f>
        <v>46053</v>
      </c>
      <c r="C525" s="23">
        <f>'P&amp;L Acumulado'!$I$1</f>
        <v>46112</v>
      </c>
      <c r="D525" s="23">
        <f>'P&amp;L Acumulado'!$I$1</f>
        <v>46112</v>
      </c>
      <c r="E525" t="str">
        <f>TEXT('P&amp;L Acumulado'!$G$1,"mmm/yyyy")&amp;" a "&amp;TEXT('P&amp;L Acumulado'!$I$1,"mmm/yyyy")</f>
        <v>jan/yyyy a mar/yyyy</v>
      </c>
      <c r="F525" t="s">
        <v>9</v>
      </c>
      <c r="G525" t="s">
        <v>205</v>
      </c>
      <c r="H525" t="s">
        <v>5</v>
      </c>
      <c r="I525" s="429">
        <f>'P&amp;L Acumulado'!F5</f>
        <v>22778104.849259999</v>
      </c>
      <c r="J525" t="s">
        <v>1071</v>
      </c>
      <c r="K525" t="s">
        <v>551</v>
      </c>
      <c r="L525">
        <v>5</v>
      </c>
    </row>
    <row r="526" spans="1:12" ht="18" customHeight="1" x14ac:dyDescent="0.25">
      <c r="A526" t="s">
        <v>1070</v>
      </c>
      <c r="B526" s="23">
        <f>'P&amp;L Acumulado'!$G$1</f>
        <v>46053</v>
      </c>
      <c r="C526" s="23">
        <f>'P&amp;L Acumulado'!$I$1</f>
        <v>46112</v>
      </c>
      <c r="D526" s="23">
        <f>'P&amp;L Acumulado'!$I$1</f>
        <v>46112</v>
      </c>
      <c r="E526" t="str">
        <f>TEXT('P&amp;L Acumulado'!$G$1,"mmm/yyyy")&amp;" a "&amp;TEXT('P&amp;L Acumulado'!$I$1,"mmm/yyyy")</f>
        <v>jan/yyyy a mar/yyyy</v>
      </c>
      <c r="F526" t="s">
        <v>9</v>
      </c>
      <c r="G526" t="s">
        <v>205</v>
      </c>
      <c r="H526" t="s">
        <v>6</v>
      </c>
      <c r="I526" s="429">
        <f>'P&amp;L Acumulado'!G5</f>
        <v>22452623.196208909</v>
      </c>
      <c r="J526" t="s">
        <v>1071</v>
      </c>
      <c r="K526" t="s">
        <v>552</v>
      </c>
      <c r="L526">
        <v>5</v>
      </c>
    </row>
    <row r="527" spans="1:12" ht="18" customHeight="1" x14ac:dyDescent="0.25">
      <c r="A527" t="s">
        <v>1070</v>
      </c>
      <c r="B527" s="23">
        <f>'P&amp;L Acumulado'!$G$1</f>
        <v>46053</v>
      </c>
      <c r="C527" s="23">
        <f>'P&amp;L Acumulado'!$I$1</f>
        <v>46112</v>
      </c>
      <c r="D527" s="23">
        <f>'P&amp;L Acumulado'!$I$1</f>
        <v>46112</v>
      </c>
      <c r="E527" t="str">
        <f>TEXT('P&amp;L Acumulado'!$G$1,"mmm/yyyy")&amp;" a "&amp;TEXT('P&amp;L Acumulado'!$I$1,"mmm/yyyy")</f>
        <v>jan/yyyy a mar/yyyy</v>
      </c>
      <c r="F527" t="s">
        <v>9</v>
      </c>
      <c r="G527" t="s">
        <v>205</v>
      </c>
      <c r="H527" t="s">
        <v>549</v>
      </c>
      <c r="I527" s="104">
        <f>'P&amp;L Acumulado'!H5</f>
        <v>1.449637533248449E-2</v>
      </c>
      <c r="J527" t="s">
        <v>1071</v>
      </c>
      <c r="K527" t="s">
        <v>553</v>
      </c>
      <c r="L527">
        <v>5</v>
      </c>
    </row>
    <row r="528" spans="1:12" ht="18" customHeight="1" x14ac:dyDescent="0.25">
      <c r="A528" t="s">
        <v>1070</v>
      </c>
      <c r="B528" s="23">
        <f>'P&amp;L Acumulado'!$G$1</f>
        <v>46053</v>
      </c>
      <c r="C528" s="23">
        <f>'P&amp;L Acumulado'!$I$1</f>
        <v>46112</v>
      </c>
      <c r="D528" s="23">
        <f>'P&amp;L Acumulado'!$I$1</f>
        <v>46112</v>
      </c>
      <c r="E528" t="str">
        <f>TEXT('P&amp;L Acumulado'!$G$1,"mmm/yyyy")&amp;" a "&amp;TEXT('P&amp;L Acumulado'!$I$1,"mmm/yyyy")</f>
        <v>jan/yyyy a mar/yyyy</v>
      </c>
      <c r="F528" t="s">
        <v>9</v>
      </c>
      <c r="G528" t="s">
        <v>220</v>
      </c>
      <c r="H528" t="s">
        <v>5</v>
      </c>
      <c r="I528" s="429">
        <f>'P&amp;L Acumulado'!I5</f>
        <v>81408364.170740008</v>
      </c>
      <c r="J528" t="s">
        <v>1071</v>
      </c>
      <c r="K528" t="s">
        <v>554</v>
      </c>
      <c r="L528">
        <v>5</v>
      </c>
    </row>
    <row r="529" spans="1:12" ht="18" customHeight="1" x14ac:dyDescent="0.25">
      <c r="A529" t="s">
        <v>1070</v>
      </c>
      <c r="B529" s="23">
        <f>'P&amp;L Acumulado'!$G$1</f>
        <v>46053</v>
      </c>
      <c r="C529" s="23">
        <f>'P&amp;L Acumulado'!$I$1</f>
        <v>46112</v>
      </c>
      <c r="D529" s="23">
        <f>'P&amp;L Acumulado'!$I$1</f>
        <v>46112</v>
      </c>
      <c r="E529" t="str">
        <f>TEXT('P&amp;L Acumulado'!$G$1,"mmm/yyyy")&amp;" a "&amp;TEXT('P&amp;L Acumulado'!$I$1,"mmm/yyyy")</f>
        <v>jan/yyyy a mar/yyyy</v>
      </c>
      <c r="F529" t="s">
        <v>9</v>
      </c>
      <c r="G529" t="s">
        <v>220</v>
      </c>
      <c r="H529" t="s">
        <v>6</v>
      </c>
      <c r="I529" s="429">
        <f>'P&amp;L Acumulado'!J5</f>
        <v>77414895.848646656</v>
      </c>
      <c r="J529" t="s">
        <v>1071</v>
      </c>
      <c r="K529" t="s">
        <v>555</v>
      </c>
      <c r="L529">
        <v>5</v>
      </c>
    </row>
    <row r="530" spans="1:12" ht="18" customHeight="1" x14ac:dyDescent="0.25">
      <c r="A530" t="s">
        <v>1070</v>
      </c>
      <c r="B530" s="23">
        <f>'P&amp;L Acumulado'!$G$1</f>
        <v>46053</v>
      </c>
      <c r="C530" s="23">
        <f>'P&amp;L Acumulado'!$I$1</f>
        <v>46112</v>
      </c>
      <c r="D530" s="23">
        <f>'P&amp;L Acumulado'!$I$1</f>
        <v>46112</v>
      </c>
      <c r="E530" t="str">
        <f>TEXT('P&amp;L Acumulado'!$G$1,"mmm/yyyy")&amp;" a "&amp;TEXT('P&amp;L Acumulado'!$I$1,"mmm/yyyy")</f>
        <v>jan/yyyy a mar/yyyy</v>
      </c>
      <c r="F530" t="s">
        <v>9</v>
      </c>
      <c r="G530" t="s">
        <v>220</v>
      </c>
      <c r="H530" t="s">
        <v>549</v>
      </c>
      <c r="I530" s="104">
        <f>'P&amp;L Acumulado'!K5</f>
        <v>5.158527022888415E-2</v>
      </c>
      <c r="J530" t="s">
        <v>1071</v>
      </c>
      <c r="K530" t="s">
        <v>556</v>
      </c>
      <c r="L530">
        <v>5</v>
      </c>
    </row>
    <row r="531" spans="1:12" ht="18" customHeight="1" x14ac:dyDescent="0.25">
      <c r="A531" t="s">
        <v>1070</v>
      </c>
      <c r="B531" s="23">
        <f>'P&amp;L Acumulado'!$G$1</f>
        <v>46053</v>
      </c>
      <c r="C531" s="23">
        <f>'P&amp;L Acumulado'!$I$1</f>
        <v>46112</v>
      </c>
      <c r="D531" s="23">
        <f>'P&amp;L Acumulado'!$I$1</f>
        <v>46112</v>
      </c>
      <c r="E531" t="str">
        <f>TEXT('P&amp;L Acumulado'!$G$1,"mmm/yyyy")&amp;" a "&amp;TEXT('P&amp;L Acumulado'!$I$1,"mmm/yyyy")</f>
        <v>jan/yyyy a mar/yyyy</v>
      </c>
      <c r="F531" t="s">
        <v>9</v>
      </c>
      <c r="G531" t="s">
        <v>96</v>
      </c>
      <c r="H531" t="s">
        <v>5</v>
      </c>
      <c r="I531" s="429">
        <f>'P&amp;L Acumulado'!L5</f>
        <v>104186469.02</v>
      </c>
      <c r="J531" t="s">
        <v>1071</v>
      </c>
      <c r="K531" t="s">
        <v>558</v>
      </c>
      <c r="L531">
        <v>5</v>
      </c>
    </row>
    <row r="532" spans="1:12" ht="18" customHeight="1" x14ac:dyDescent="0.25">
      <c r="A532" t="s">
        <v>1070</v>
      </c>
      <c r="B532" s="23">
        <f>'P&amp;L Acumulado'!$G$1</f>
        <v>46053</v>
      </c>
      <c r="C532" s="23">
        <f>'P&amp;L Acumulado'!$I$1</f>
        <v>46112</v>
      </c>
      <c r="D532" s="23">
        <f>'P&amp;L Acumulado'!$I$1</f>
        <v>46112</v>
      </c>
      <c r="E532" t="str">
        <f>TEXT('P&amp;L Acumulado'!$G$1,"mmm/yyyy")&amp;" a "&amp;TEXT('P&amp;L Acumulado'!$I$1,"mmm/yyyy")</f>
        <v>jan/yyyy a mar/yyyy</v>
      </c>
      <c r="F532" t="s">
        <v>9</v>
      </c>
      <c r="G532" t="s">
        <v>96</v>
      </c>
      <c r="H532" t="s">
        <v>6</v>
      </c>
      <c r="I532" s="429">
        <f>'P&amp;L Acumulado'!M5</f>
        <v>99867519.044855565</v>
      </c>
      <c r="J532" t="s">
        <v>1071</v>
      </c>
      <c r="K532" t="s">
        <v>1072</v>
      </c>
      <c r="L532">
        <v>5</v>
      </c>
    </row>
    <row r="533" spans="1:12" ht="18" customHeight="1" x14ac:dyDescent="0.25">
      <c r="A533" t="s">
        <v>1070</v>
      </c>
      <c r="B533" s="23">
        <f>'P&amp;L Acumulado'!$G$1</f>
        <v>46053</v>
      </c>
      <c r="C533" s="23">
        <f>'P&amp;L Acumulado'!$I$1</f>
        <v>46112</v>
      </c>
      <c r="D533" s="23">
        <f>'P&amp;L Acumulado'!$I$1</f>
        <v>46112</v>
      </c>
      <c r="E533" t="str">
        <f>TEXT('P&amp;L Acumulado'!$G$1,"mmm/yyyy")&amp;" a "&amp;TEXT('P&amp;L Acumulado'!$I$1,"mmm/yyyy")</f>
        <v>jan/yyyy a mar/yyyy</v>
      </c>
      <c r="F533" t="s">
        <v>9</v>
      </c>
      <c r="G533" t="s">
        <v>96</v>
      </c>
      <c r="H533" t="s">
        <v>549</v>
      </c>
      <c r="I533" s="104">
        <f>'P&amp;L Acumulado'!N5</f>
        <v>4.3246793516564352E-2</v>
      </c>
      <c r="J533" t="s">
        <v>1071</v>
      </c>
      <c r="K533" t="s">
        <v>1073</v>
      </c>
      <c r="L533">
        <v>5</v>
      </c>
    </row>
    <row r="534" spans="1:12" ht="18" customHeight="1" x14ac:dyDescent="0.25">
      <c r="A534" t="s">
        <v>1070</v>
      </c>
      <c r="B534" s="23">
        <f>'P&amp;L Acumulado'!$G$1</f>
        <v>46053</v>
      </c>
      <c r="C534" s="23">
        <f>'P&amp;L Acumulado'!$I$1</f>
        <v>46112</v>
      </c>
      <c r="D534" s="23">
        <f>'P&amp;L Acumulado'!$I$1</f>
        <v>46112</v>
      </c>
      <c r="E534" t="str">
        <f>TEXT('P&amp;L Acumulado'!$G$1,"mmm/yyyy")&amp;" a "&amp;TEXT('P&amp;L Acumulado'!$I$1,"mmm/yyyy")</f>
        <v>jan/yyyy a mar/yyyy</v>
      </c>
      <c r="F534" t="s">
        <v>9</v>
      </c>
      <c r="G534" t="s">
        <v>96</v>
      </c>
      <c r="H534" t="s">
        <v>557</v>
      </c>
      <c r="I534" s="429">
        <f>'P&amp;L Acumulado'!O5</f>
        <v>4318949.975144431</v>
      </c>
      <c r="J534" t="s">
        <v>1071</v>
      </c>
      <c r="K534" t="s">
        <v>1074</v>
      </c>
      <c r="L534">
        <v>5</v>
      </c>
    </row>
    <row r="535" spans="1:12" ht="18" customHeight="1" x14ac:dyDescent="0.25">
      <c r="A535" t="s">
        <v>1070</v>
      </c>
      <c r="B535" s="23">
        <f>'P&amp;L Acumulado'!$G$1</f>
        <v>46053</v>
      </c>
      <c r="C535" s="23">
        <f>'P&amp;L Acumulado'!$I$1</f>
        <v>46112</v>
      </c>
      <c r="D535" s="23">
        <f>'P&amp;L Acumulado'!$I$1</f>
        <v>46112</v>
      </c>
      <c r="E535" t="str">
        <f>TEXT('P&amp;L Acumulado'!$G$1,"mmm/yyyy")&amp;" a "&amp;TEXT('P&amp;L Acumulado'!$I$1,"mmm/yyyy")</f>
        <v>jan/yyyy a mar/yyyy</v>
      </c>
      <c r="F535" t="s">
        <v>10</v>
      </c>
      <c r="G535" t="s">
        <v>252</v>
      </c>
      <c r="H535" t="s">
        <v>5</v>
      </c>
      <c r="I535" s="429">
        <f>'P&amp;L Acumulado'!C6</f>
        <v>0</v>
      </c>
      <c r="J535" t="s">
        <v>1071</v>
      </c>
      <c r="K535" t="s">
        <v>559</v>
      </c>
      <c r="L535">
        <v>6</v>
      </c>
    </row>
    <row r="536" spans="1:12" ht="18" customHeight="1" x14ac:dyDescent="0.25">
      <c r="A536" t="s">
        <v>1070</v>
      </c>
      <c r="B536" s="23">
        <f>'P&amp;L Acumulado'!$G$1</f>
        <v>46053</v>
      </c>
      <c r="C536" s="23">
        <f>'P&amp;L Acumulado'!$I$1</f>
        <v>46112</v>
      </c>
      <c r="D536" s="23">
        <f>'P&amp;L Acumulado'!$I$1</f>
        <v>46112</v>
      </c>
      <c r="E536" t="str">
        <f>TEXT('P&amp;L Acumulado'!$G$1,"mmm/yyyy")&amp;" a "&amp;TEXT('P&amp;L Acumulado'!$I$1,"mmm/yyyy")</f>
        <v>jan/yyyy a mar/yyyy</v>
      </c>
      <c r="F536" t="s">
        <v>10</v>
      </c>
      <c r="G536" t="s">
        <v>252</v>
      </c>
      <c r="H536" t="s">
        <v>6</v>
      </c>
      <c r="I536" s="429">
        <f>'P&amp;L Acumulado'!D6</f>
        <v>0</v>
      </c>
      <c r="J536" t="s">
        <v>1071</v>
      </c>
      <c r="K536" t="s">
        <v>560</v>
      </c>
      <c r="L536">
        <v>6</v>
      </c>
    </row>
    <row r="537" spans="1:12" ht="18" customHeight="1" x14ac:dyDescent="0.25">
      <c r="A537" t="s">
        <v>1070</v>
      </c>
      <c r="B537" s="23">
        <f>'P&amp;L Acumulado'!$G$1</f>
        <v>46053</v>
      </c>
      <c r="C537" s="23">
        <f>'P&amp;L Acumulado'!$I$1</f>
        <v>46112</v>
      </c>
      <c r="D537" s="23">
        <f>'P&amp;L Acumulado'!$I$1</f>
        <v>46112</v>
      </c>
      <c r="E537" t="str">
        <f>TEXT('P&amp;L Acumulado'!$G$1,"mmm/yyyy")&amp;" a "&amp;TEXT('P&amp;L Acumulado'!$I$1,"mmm/yyyy")</f>
        <v>jan/yyyy a mar/yyyy</v>
      </c>
      <c r="F537" t="s">
        <v>10</v>
      </c>
      <c r="G537" t="s">
        <v>252</v>
      </c>
      <c r="H537" t="s">
        <v>549</v>
      </c>
      <c r="I537" s="104" t="str">
        <f>'P&amp;L Acumulado'!E6</f>
        <v>-</v>
      </c>
      <c r="J537" t="s">
        <v>1071</v>
      </c>
      <c r="K537" t="s">
        <v>561</v>
      </c>
      <c r="L537">
        <v>6</v>
      </c>
    </row>
    <row r="538" spans="1:12" ht="18" customHeight="1" x14ac:dyDescent="0.25">
      <c r="A538" t="s">
        <v>1070</v>
      </c>
      <c r="B538" s="23">
        <f>'P&amp;L Acumulado'!$G$1</f>
        <v>46053</v>
      </c>
      <c r="C538" s="23">
        <f>'P&amp;L Acumulado'!$I$1</f>
        <v>46112</v>
      </c>
      <c r="D538" s="23">
        <f>'P&amp;L Acumulado'!$I$1</f>
        <v>46112</v>
      </c>
      <c r="E538" t="str">
        <f>TEXT('P&amp;L Acumulado'!$G$1,"mmm/yyyy")&amp;" a "&amp;TEXT('P&amp;L Acumulado'!$I$1,"mmm/yyyy")</f>
        <v>jan/yyyy a mar/yyyy</v>
      </c>
      <c r="F538" t="s">
        <v>10</v>
      </c>
      <c r="G538" t="s">
        <v>205</v>
      </c>
      <c r="H538" t="s">
        <v>5</v>
      </c>
      <c r="I538" s="429">
        <f>'P&amp;L Acumulado'!F6</f>
        <v>22752060.325379997</v>
      </c>
      <c r="J538" t="s">
        <v>1071</v>
      </c>
      <c r="K538" t="s">
        <v>562</v>
      </c>
      <c r="L538">
        <v>6</v>
      </c>
    </row>
    <row r="539" spans="1:12" ht="18" customHeight="1" x14ac:dyDescent="0.25">
      <c r="A539" t="s">
        <v>1070</v>
      </c>
      <c r="B539" s="23">
        <f>'P&amp;L Acumulado'!$G$1</f>
        <v>46053</v>
      </c>
      <c r="C539" s="23">
        <f>'P&amp;L Acumulado'!$I$1</f>
        <v>46112</v>
      </c>
      <c r="D539" s="23">
        <f>'P&amp;L Acumulado'!$I$1</f>
        <v>46112</v>
      </c>
      <c r="E539" t="str">
        <f>TEXT('P&amp;L Acumulado'!$G$1,"mmm/yyyy")&amp;" a "&amp;TEXT('P&amp;L Acumulado'!$I$1,"mmm/yyyy")</f>
        <v>jan/yyyy a mar/yyyy</v>
      </c>
      <c r="F539" t="s">
        <v>10</v>
      </c>
      <c r="G539" t="s">
        <v>205</v>
      </c>
      <c r="H539" t="s">
        <v>6</v>
      </c>
      <c r="I539" s="429">
        <f>'P&amp;L Acumulado'!G6</f>
        <v>22415223.511102527</v>
      </c>
      <c r="J539" t="s">
        <v>1071</v>
      </c>
      <c r="K539" t="s">
        <v>563</v>
      </c>
      <c r="L539">
        <v>6</v>
      </c>
    </row>
    <row r="540" spans="1:12" ht="18" customHeight="1" x14ac:dyDescent="0.25">
      <c r="A540" t="s">
        <v>1070</v>
      </c>
      <c r="B540" s="23">
        <f>'P&amp;L Acumulado'!$G$1</f>
        <v>46053</v>
      </c>
      <c r="C540" s="23">
        <f>'P&amp;L Acumulado'!$I$1</f>
        <v>46112</v>
      </c>
      <c r="D540" s="23">
        <f>'P&amp;L Acumulado'!$I$1</f>
        <v>46112</v>
      </c>
      <c r="E540" t="str">
        <f>TEXT('P&amp;L Acumulado'!$G$1,"mmm/yyyy")&amp;" a "&amp;TEXT('P&amp;L Acumulado'!$I$1,"mmm/yyyy")</f>
        <v>jan/yyyy a mar/yyyy</v>
      </c>
      <c r="F540" t="s">
        <v>10</v>
      </c>
      <c r="G540" t="s">
        <v>205</v>
      </c>
      <c r="H540" t="s">
        <v>549</v>
      </c>
      <c r="I540" s="104">
        <f>'P&amp;L Acumulado'!H6</f>
        <v>1.5027145016449639E-2</v>
      </c>
      <c r="J540" t="s">
        <v>1071</v>
      </c>
      <c r="K540" t="s">
        <v>564</v>
      </c>
      <c r="L540">
        <v>6</v>
      </c>
    </row>
    <row r="541" spans="1:12" ht="18" customHeight="1" x14ac:dyDescent="0.25">
      <c r="A541" t="s">
        <v>1070</v>
      </c>
      <c r="B541" s="23">
        <f>'P&amp;L Acumulado'!$G$1</f>
        <v>46053</v>
      </c>
      <c r="C541" s="23">
        <f>'P&amp;L Acumulado'!$I$1</f>
        <v>46112</v>
      </c>
      <c r="D541" s="23">
        <f>'P&amp;L Acumulado'!$I$1</f>
        <v>46112</v>
      </c>
      <c r="E541" t="str">
        <f>TEXT('P&amp;L Acumulado'!$G$1,"mmm/yyyy")&amp;" a "&amp;TEXT('P&amp;L Acumulado'!$I$1,"mmm/yyyy")</f>
        <v>jan/yyyy a mar/yyyy</v>
      </c>
      <c r="F541" t="s">
        <v>10</v>
      </c>
      <c r="G541" t="s">
        <v>220</v>
      </c>
      <c r="H541" t="s">
        <v>5</v>
      </c>
      <c r="I541" s="429">
        <f>'P&amp;L Acumulado'!I6</f>
        <v>71830314.914620012</v>
      </c>
      <c r="J541" t="s">
        <v>1071</v>
      </c>
      <c r="K541" t="s">
        <v>565</v>
      </c>
      <c r="L541">
        <v>6</v>
      </c>
    </row>
    <row r="542" spans="1:12" ht="18" customHeight="1" x14ac:dyDescent="0.25">
      <c r="A542" t="s">
        <v>1070</v>
      </c>
      <c r="B542" s="23">
        <f>'P&amp;L Acumulado'!$G$1</f>
        <v>46053</v>
      </c>
      <c r="C542" s="23">
        <f>'P&amp;L Acumulado'!$I$1</f>
        <v>46112</v>
      </c>
      <c r="D542" s="23">
        <f>'P&amp;L Acumulado'!$I$1</f>
        <v>46112</v>
      </c>
      <c r="E542" t="str">
        <f>TEXT('P&amp;L Acumulado'!$G$1,"mmm/yyyy")&amp;" a "&amp;TEXT('P&amp;L Acumulado'!$I$1,"mmm/yyyy")</f>
        <v>jan/yyyy a mar/yyyy</v>
      </c>
      <c r="F542" t="s">
        <v>10</v>
      </c>
      <c r="G542" t="s">
        <v>220</v>
      </c>
      <c r="H542" t="s">
        <v>6</v>
      </c>
      <c r="I542" s="429">
        <f>'P&amp;L Acumulado'!J6</f>
        <v>67855801.673753038</v>
      </c>
      <c r="J542" t="s">
        <v>1071</v>
      </c>
      <c r="K542" t="s">
        <v>566</v>
      </c>
      <c r="L542">
        <v>6</v>
      </c>
    </row>
    <row r="543" spans="1:12" ht="18" customHeight="1" x14ac:dyDescent="0.25">
      <c r="A543" t="s">
        <v>1070</v>
      </c>
      <c r="B543" s="23">
        <f>'P&amp;L Acumulado'!$G$1</f>
        <v>46053</v>
      </c>
      <c r="C543" s="23">
        <f>'P&amp;L Acumulado'!$I$1</f>
        <v>46112</v>
      </c>
      <c r="D543" s="23">
        <f>'P&amp;L Acumulado'!$I$1</f>
        <v>46112</v>
      </c>
      <c r="E543" t="str">
        <f>TEXT('P&amp;L Acumulado'!$G$1,"mmm/yyyy")&amp;" a "&amp;TEXT('P&amp;L Acumulado'!$I$1,"mmm/yyyy")</f>
        <v>jan/yyyy a mar/yyyy</v>
      </c>
      <c r="F543" t="s">
        <v>10</v>
      </c>
      <c r="G543" t="s">
        <v>220</v>
      </c>
      <c r="H543" t="s">
        <v>549</v>
      </c>
      <c r="I543" s="104">
        <f>'P&amp;L Acumulado'!K6</f>
        <v>5.8572931758675839E-2</v>
      </c>
      <c r="J543" t="s">
        <v>1071</v>
      </c>
      <c r="K543" t="s">
        <v>567</v>
      </c>
      <c r="L543">
        <v>6</v>
      </c>
    </row>
    <row r="544" spans="1:12" ht="18" customHeight="1" x14ac:dyDescent="0.25">
      <c r="A544" t="s">
        <v>1070</v>
      </c>
      <c r="B544" s="23">
        <f>'P&amp;L Acumulado'!$G$1</f>
        <v>46053</v>
      </c>
      <c r="C544" s="23">
        <f>'P&amp;L Acumulado'!$I$1</f>
        <v>46112</v>
      </c>
      <c r="D544" s="23">
        <f>'P&amp;L Acumulado'!$I$1</f>
        <v>46112</v>
      </c>
      <c r="E544" t="str">
        <f>TEXT('P&amp;L Acumulado'!$G$1,"mmm/yyyy")&amp;" a "&amp;TEXT('P&amp;L Acumulado'!$I$1,"mmm/yyyy")</f>
        <v>jan/yyyy a mar/yyyy</v>
      </c>
      <c r="F544" t="s">
        <v>10</v>
      </c>
      <c r="G544" t="s">
        <v>96</v>
      </c>
      <c r="H544" t="s">
        <v>5</v>
      </c>
      <c r="I544" s="429">
        <f>'P&amp;L Acumulado'!L6</f>
        <v>94582375.24000001</v>
      </c>
      <c r="J544" t="s">
        <v>1071</v>
      </c>
      <c r="K544" t="s">
        <v>568</v>
      </c>
      <c r="L544">
        <v>6</v>
      </c>
    </row>
    <row r="545" spans="1:12" ht="18" customHeight="1" x14ac:dyDescent="0.25">
      <c r="A545" t="s">
        <v>1070</v>
      </c>
      <c r="B545" s="23">
        <f>'P&amp;L Acumulado'!$G$1</f>
        <v>46053</v>
      </c>
      <c r="C545" s="23">
        <f>'P&amp;L Acumulado'!$I$1</f>
        <v>46112</v>
      </c>
      <c r="D545" s="23">
        <f>'P&amp;L Acumulado'!$I$1</f>
        <v>46112</v>
      </c>
      <c r="E545" t="str">
        <f>TEXT('P&amp;L Acumulado'!$G$1,"mmm/yyyy")&amp;" a "&amp;TEXT('P&amp;L Acumulado'!$I$1,"mmm/yyyy")</f>
        <v>jan/yyyy a mar/yyyy</v>
      </c>
      <c r="F545" t="s">
        <v>10</v>
      </c>
      <c r="G545" t="s">
        <v>96</v>
      </c>
      <c r="H545" t="s">
        <v>6</v>
      </c>
      <c r="I545" s="429">
        <f>'P&amp;L Acumulado'!M6</f>
        <v>90271025.184855565</v>
      </c>
      <c r="J545" t="s">
        <v>1071</v>
      </c>
      <c r="K545" t="s">
        <v>1075</v>
      </c>
      <c r="L545">
        <v>6</v>
      </c>
    </row>
    <row r="546" spans="1:12" ht="18" customHeight="1" x14ac:dyDescent="0.25">
      <c r="A546" t="s">
        <v>1070</v>
      </c>
      <c r="B546" s="23">
        <f>'P&amp;L Acumulado'!$G$1</f>
        <v>46053</v>
      </c>
      <c r="C546" s="23">
        <f>'P&amp;L Acumulado'!$I$1</f>
        <v>46112</v>
      </c>
      <c r="D546" s="23">
        <f>'P&amp;L Acumulado'!$I$1</f>
        <v>46112</v>
      </c>
      <c r="E546" t="str">
        <f>TEXT('P&amp;L Acumulado'!$G$1,"mmm/yyyy")&amp;" a "&amp;TEXT('P&amp;L Acumulado'!$I$1,"mmm/yyyy")</f>
        <v>jan/yyyy a mar/yyyy</v>
      </c>
      <c r="F546" t="s">
        <v>10</v>
      </c>
      <c r="G546" t="s">
        <v>96</v>
      </c>
      <c r="H546" t="s">
        <v>549</v>
      </c>
      <c r="I546" s="104">
        <f>'P&amp;L Acumulado'!N6</f>
        <v>4.7760065273610541E-2</v>
      </c>
      <c r="J546" t="s">
        <v>1071</v>
      </c>
      <c r="K546" t="s">
        <v>1076</v>
      </c>
      <c r="L546">
        <v>6</v>
      </c>
    </row>
    <row r="547" spans="1:12" ht="18" customHeight="1" x14ac:dyDescent="0.25">
      <c r="A547" t="s">
        <v>1070</v>
      </c>
      <c r="B547" s="23">
        <f>'P&amp;L Acumulado'!$G$1</f>
        <v>46053</v>
      </c>
      <c r="C547" s="23">
        <f>'P&amp;L Acumulado'!$I$1</f>
        <v>46112</v>
      </c>
      <c r="D547" s="23">
        <f>'P&amp;L Acumulado'!$I$1</f>
        <v>46112</v>
      </c>
      <c r="E547" t="str">
        <f>TEXT('P&amp;L Acumulado'!$G$1,"mmm/yyyy")&amp;" a "&amp;TEXT('P&amp;L Acumulado'!$I$1,"mmm/yyyy")</f>
        <v>jan/yyyy a mar/yyyy</v>
      </c>
      <c r="F547" t="s">
        <v>10</v>
      </c>
      <c r="G547" t="s">
        <v>96</v>
      </c>
      <c r="H547" t="s">
        <v>557</v>
      </c>
      <c r="I547" s="429">
        <f>'P&amp;L Acumulado'!O6</f>
        <v>4311350.0551444441</v>
      </c>
      <c r="J547" t="s">
        <v>1071</v>
      </c>
      <c r="K547" t="s">
        <v>1077</v>
      </c>
      <c r="L547">
        <v>6</v>
      </c>
    </row>
    <row r="548" spans="1:12" ht="18" customHeight="1" x14ac:dyDescent="0.25">
      <c r="A548" t="s">
        <v>1070</v>
      </c>
      <c r="B548" s="23">
        <f>'P&amp;L Acumulado'!$G$1</f>
        <v>46053</v>
      </c>
      <c r="C548" s="23">
        <f>'P&amp;L Acumulado'!$I$1</f>
        <v>46112</v>
      </c>
      <c r="D548" s="23">
        <f>'P&amp;L Acumulado'!$I$1</f>
        <v>46112</v>
      </c>
      <c r="E548" t="str">
        <f>TEXT('P&amp;L Acumulado'!$G$1,"mmm/yyyy")&amp;" a "&amp;TEXT('P&amp;L Acumulado'!$I$1,"mmm/yyyy")</f>
        <v>jan/yyyy a mar/yyyy</v>
      </c>
      <c r="F548" t="s">
        <v>11</v>
      </c>
      <c r="G548" t="s">
        <v>252</v>
      </c>
      <c r="H548" t="s">
        <v>5</v>
      </c>
      <c r="I548" s="429">
        <f>'P&amp;L Acumulado'!C7</f>
        <v>0</v>
      </c>
      <c r="J548" t="s">
        <v>1071</v>
      </c>
      <c r="K548" t="s">
        <v>569</v>
      </c>
      <c r="L548">
        <v>7</v>
      </c>
    </row>
    <row r="549" spans="1:12" ht="18" customHeight="1" x14ac:dyDescent="0.25">
      <c r="A549" t="s">
        <v>1070</v>
      </c>
      <c r="B549" s="23">
        <f>'P&amp;L Acumulado'!$G$1</f>
        <v>46053</v>
      </c>
      <c r="C549" s="23">
        <f>'P&amp;L Acumulado'!$I$1</f>
        <v>46112</v>
      </c>
      <c r="D549" s="23">
        <f>'P&amp;L Acumulado'!$I$1</f>
        <v>46112</v>
      </c>
      <c r="E549" t="str">
        <f>TEXT('P&amp;L Acumulado'!$G$1,"mmm/yyyy")&amp;" a "&amp;TEXT('P&amp;L Acumulado'!$I$1,"mmm/yyyy")</f>
        <v>jan/yyyy a mar/yyyy</v>
      </c>
      <c r="F549" t="s">
        <v>11</v>
      </c>
      <c r="G549" t="s">
        <v>252</v>
      </c>
      <c r="H549" t="s">
        <v>6</v>
      </c>
      <c r="I549" s="429">
        <f>'P&amp;L Acumulado'!D7</f>
        <v>0</v>
      </c>
      <c r="J549" t="s">
        <v>1071</v>
      </c>
      <c r="K549" t="s">
        <v>570</v>
      </c>
      <c r="L549">
        <v>7</v>
      </c>
    </row>
    <row r="550" spans="1:12" ht="18" customHeight="1" x14ac:dyDescent="0.25">
      <c r="A550" t="s">
        <v>1070</v>
      </c>
      <c r="B550" s="23">
        <f>'P&amp;L Acumulado'!$G$1</f>
        <v>46053</v>
      </c>
      <c r="C550" s="23">
        <f>'P&amp;L Acumulado'!$I$1</f>
        <v>46112</v>
      </c>
      <c r="D550" s="23">
        <f>'P&amp;L Acumulado'!$I$1</f>
        <v>46112</v>
      </c>
      <c r="E550" t="str">
        <f>TEXT('P&amp;L Acumulado'!$G$1,"mmm/yyyy")&amp;" a "&amp;TEXT('P&amp;L Acumulado'!$I$1,"mmm/yyyy")</f>
        <v>jan/yyyy a mar/yyyy</v>
      </c>
      <c r="F550" t="s">
        <v>11</v>
      </c>
      <c r="G550" t="s">
        <v>252</v>
      </c>
      <c r="H550" t="s">
        <v>549</v>
      </c>
      <c r="I550" s="104" t="str">
        <f>'P&amp;L Acumulado'!E7</f>
        <v>-</v>
      </c>
      <c r="J550" t="s">
        <v>1071</v>
      </c>
      <c r="K550" t="s">
        <v>571</v>
      </c>
      <c r="L550">
        <v>7</v>
      </c>
    </row>
    <row r="551" spans="1:12" ht="18" customHeight="1" x14ac:dyDescent="0.25">
      <c r="A551" t="s">
        <v>1070</v>
      </c>
      <c r="B551" s="23">
        <f>'P&amp;L Acumulado'!$G$1</f>
        <v>46053</v>
      </c>
      <c r="C551" s="23">
        <f>'P&amp;L Acumulado'!$I$1</f>
        <v>46112</v>
      </c>
      <c r="D551" s="23">
        <f>'P&amp;L Acumulado'!$I$1</f>
        <v>46112</v>
      </c>
      <c r="E551" t="str">
        <f>TEXT('P&amp;L Acumulado'!$G$1,"mmm/yyyy")&amp;" a "&amp;TEXT('P&amp;L Acumulado'!$I$1,"mmm/yyyy")</f>
        <v>jan/yyyy a mar/yyyy</v>
      </c>
      <c r="F551" t="s">
        <v>11</v>
      </c>
      <c r="G551" t="s">
        <v>205</v>
      </c>
      <c r="H551" t="s">
        <v>5</v>
      </c>
      <c r="I551" s="429">
        <f>'P&amp;L Acumulado'!F7</f>
        <v>17450611.449999999</v>
      </c>
      <c r="J551" t="s">
        <v>1071</v>
      </c>
      <c r="K551" t="s">
        <v>572</v>
      </c>
      <c r="L551">
        <v>7</v>
      </c>
    </row>
    <row r="552" spans="1:12" ht="18" customHeight="1" x14ac:dyDescent="0.25">
      <c r="A552" t="s">
        <v>1070</v>
      </c>
      <c r="B552" s="23">
        <f>'P&amp;L Acumulado'!$G$1</f>
        <v>46053</v>
      </c>
      <c r="C552" s="23">
        <f>'P&amp;L Acumulado'!$I$1</f>
        <v>46112</v>
      </c>
      <c r="D552" s="23">
        <f>'P&amp;L Acumulado'!$I$1</f>
        <v>46112</v>
      </c>
      <c r="E552" t="str">
        <f>TEXT('P&amp;L Acumulado'!$G$1,"mmm/yyyy")&amp;" a "&amp;TEXT('P&amp;L Acumulado'!$I$1,"mmm/yyyy")</f>
        <v>jan/yyyy a mar/yyyy</v>
      </c>
      <c r="F552" t="s">
        <v>11</v>
      </c>
      <c r="G552" t="s">
        <v>205</v>
      </c>
      <c r="H552" t="s">
        <v>6</v>
      </c>
      <c r="I552" s="429">
        <f>'P&amp;L Acumulado'!G7</f>
        <v>17438112.643306367</v>
      </c>
      <c r="J552" t="s">
        <v>1071</v>
      </c>
      <c r="K552" t="s">
        <v>573</v>
      </c>
      <c r="L552">
        <v>7</v>
      </c>
    </row>
    <row r="553" spans="1:12" ht="18" customHeight="1" x14ac:dyDescent="0.25">
      <c r="A553" t="s">
        <v>1070</v>
      </c>
      <c r="B553" s="23">
        <f>'P&amp;L Acumulado'!$G$1</f>
        <v>46053</v>
      </c>
      <c r="C553" s="23">
        <f>'P&amp;L Acumulado'!$I$1</f>
        <v>46112</v>
      </c>
      <c r="D553" s="23">
        <f>'P&amp;L Acumulado'!$I$1</f>
        <v>46112</v>
      </c>
      <c r="E553" t="str">
        <f>TEXT('P&amp;L Acumulado'!$G$1,"mmm/yyyy")&amp;" a "&amp;TEXT('P&amp;L Acumulado'!$I$1,"mmm/yyyy")</f>
        <v>jan/yyyy a mar/yyyy</v>
      </c>
      <c r="F553" t="s">
        <v>11</v>
      </c>
      <c r="G553" t="s">
        <v>205</v>
      </c>
      <c r="H553" t="s">
        <v>549</v>
      </c>
      <c r="I553" s="104">
        <f>'P&amp;L Acumulado'!H7</f>
        <v>7.1675226266121328E-4</v>
      </c>
      <c r="J553" t="s">
        <v>1071</v>
      </c>
      <c r="K553" t="s">
        <v>574</v>
      </c>
      <c r="L553">
        <v>7</v>
      </c>
    </row>
    <row r="554" spans="1:12" ht="18" customHeight="1" x14ac:dyDescent="0.25">
      <c r="A554" t="s">
        <v>1070</v>
      </c>
      <c r="B554" s="23">
        <f>'P&amp;L Acumulado'!$G$1</f>
        <v>46053</v>
      </c>
      <c r="C554" s="23">
        <f>'P&amp;L Acumulado'!$I$1</f>
        <v>46112</v>
      </c>
      <c r="D554" s="23">
        <f>'P&amp;L Acumulado'!$I$1</f>
        <v>46112</v>
      </c>
      <c r="E554" t="str">
        <f>TEXT('P&amp;L Acumulado'!$G$1,"mmm/yyyy")&amp;" a "&amp;TEXT('P&amp;L Acumulado'!$I$1,"mmm/yyyy")</f>
        <v>jan/yyyy a mar/yyyy</v>
      </c>
      <c r="F554" t="s">
        <v>11</v>
      </c>
      <c r="G554" t="s">
        <v>220</v>
      </c>
      <c r="H554" t="s">
        <v>5</v>
      </c>
      <c r="I554" s="429">
        <f>'P&amp;L Acumulado'!I7</f>
        <v>56795930.680000015</v>
      </c>
      <c r="J554" t="s">
        <v>1071</v>
      </c>
      <c r="K554" t="s">
        <v>575</v>
      </c>
      <c r="L554">
        <v>7</v>
      </c>
    </row>
    <row r="555" spans="1:12" ht="18" customHeight="1" x14ac:dyDescent="0.25">
      <c r="A555" t="s">
        <v>1070</v>
      </c>
      <c r="B555" s="23">
        <f>'P&amp;L Acumulado'!$G$1</f>
        <v>46053</v>
      </c>
      <c r="C555" s="23">
        <f>'P&amp;L Acumulado'!$I$1</f>
        <v>46112</v>
      </c>
      <c r="D555" s="23">
        <f>'P&amp;L Acumulado'!$I$1</f>
        <v>46112</v>
      </c>
      <c r="E555" t="str">
        <f>TEXT('P&amp;L Acumulado'!$G$1,"mmm/yyyy")&amp;" a "&amp;TEXT('P&amp;L Acumulado'!$I$1,"mmm/yyyy")</f>
        <v>jan/yyyy a mar/yyyy</v>
      </c>
      <c r="F555" t="s">
        <v>11</v>
      </c>
      <c r="G555" t="s">
        <v>220</v>
      </c>
      <c r="H555" t="s">
        <v>6</v>
      </c>
      <c r="I555" s="429">
        <f>'P&amp;L Acumulado'!J7</f>
        <v>54892046.306059584</v>
      </c>
      <c r="J555" t="s">
        <v>1071</v>
      </c>
      <c r="K555" t="s">
        <v>576</v>
      </c>
      <c r="L555">
        <v>7</v>
      </c>
    </row>
    <row r="556" spans="1:12" ht="18" customHeight="1" x14ac:dyDescent="0.25">
      <c r="A556" t="s">
        <v>1070</v>
      </c>
      <c r="B556" s="23">
        <f>'P&amp;L Acumulado'!$G$1</f>
        <v>46053</v>
      </c>
      <c r="C556" s="23">
        <f>'P&amp;L Acumulado'!$I$1</f>
        <v>46112</v>
      </c>
      <c r="D556" s="23">
        <f>'P&amp;L Acumulado'!$I$1</f>
        <v>46112</v>
      </c>
      <c r="E556" t="str">
        <f>TEXT('P&amp;L Acumulado'!$G$1,"mmm/yyyy")&amp;" a "&amp;TEXT('P&amp;L Acumulado'!$I$1,"mmm/yyyy")</f>
        <v>jan/yyyy a mar/yyyy</v>
      </c>
      <c r="F556" t="s">
        <v>11</v>
      </c>
      <c r="G556" t="s">
        <v>220</v>
      </c>
      <c r="H556" t="s">
        <v>549</v>
      </c>
      <c r="I556" s="104">
        <f>'P&amp;L Acumulado'!K7</f>
        <v>3.4684157397321558E-2</v>
      </c>
      <c r="J556" t="s">
        <v>1071</v>
      </c>
      <c r="K556" t="s">
        <v>577</v>
      </c>
      <c r="L556">
        <v>7</v>
      </c>
    </row>
    <row r="557" spans="1:12" ht="18" customHeight="1" x14ac:dyDescent="0.25">
      <c r="A557" t="s">
        <v>1070</v>
      </c>
      <c r="B557" s="23">
        <f>'P&amp;L Acumulado'!$G$1</f>
        <v>46053</v>
      </c>
      <c r="C557" s="23">
        <f>'P&amp;L Acumulado'!$I$1</f>
        <v>46112</v>
      </c>
      <c r="D557" s="23">
        <f>'P&amp;L Acumulado'!$I$1</f>
        <v>46112</v>
      </c>
      <c r="E557" t="str">
        <f>TEXT('P&amp;L Acumulado'!$G$1,"mmm/yyyy")&amp;" a "&amp;TEXT('P&amp;L Acumulado'!$I$1,"mmm/yyyy")</f>
        <v>jan/yyyy a mar/yyyy</v>
      </c>
      <c r="F557" t="s">
        <v>11</v>
      </c>
      <c r="G557" t="s">
        <v>96</v>
      </c>
      <c r="H557" t="s">
        <v>5</v>
      </c>
      <c r="I557" s="429">
        <f>'P&amp;L Acumulado'!L7</f>
        <v>74246542.13000001</v>
      </c>
      <c r="J557" t="s">
        <v>1071</v>
      </c>
      <c r="K557" t="s">
        <v>578</v>
      </c>
      <c r="L557">
        <v>7</v>
      </c>
    </row>
    <row r="558" spans="1:12" ht="18" customHeight="1" x14ac:dyDescent="0.25">
      <c r="A558" t="s">
        <v>1070</v>
      </c>
      <c r="B558" s="23">
        <f>'P&amp;L Acumulado'!$G$1</f>
        <v>46053</v>
      </c>
      <c r="C558" s="23">
        <f>'P&amp;L Acumulado'!$I$1</f>
        <v>46112</v>
      </c>
      <c r="D558" s="23">
        <f>'P&amp;L Acumulado'!$I$1</f>
        <v>46112</v>
      </c>
      <c r="E558" t="str">
        <f>TEXT('P&amp;L Acumulado'!$G$1,"mmm/yyyy")&amp;" a "&amp;TEXT('P&amp;L Acumulado'!$I$1,"mmm/yyyy")</f>
        <v>jan/yyyy a mar/yyyy</v>
      </c>
      <c r="F558" t="s">
        <v>11</v>
      </c>
      <c r="G558" t="s">
        <v>96</v>
      </c>
      <c r="H558" t="s">
        <v>6</v>
      </c>
      <c r="I558" s="429">
        <f>'P&amp;L Acumulado'!M7</f>
        <v>72330158.949365944</v>
      </c>
      <c r="J558" t="s">
        <v>1071</v>
      </c>
      <c r="K558" t="s">
        <v>1078</v>
      </c>
      <c r="L558">
        <v>7</v>
      </c>
    </row>
    <row r="559" spans="1:12" ht="18" customHeight="1" x14ac:dyDescent="0.25">
      <c r="A559" t="s">
        <v>1070</v>
      </c>
      <c r="B559" s="23">
        <f>'P&amp;L Acumulado'!$G$1</f>
        <v>46053</v>
      </c>
      <c r="C559" s="23">
        <f>'P&amp;L Acumulado'!$I$1</f>
        <v>46112</v>
      </c>
      <c r="D559" s="23">
        <f>'P&amp;L Acumulado'!$I$1</f>
        <v>46112</v>
      </c>
      <c r="E559" t="str">
        <f>TEXT('P&amp;L Acumulado'!$G$1,"mmm/yyyy")&amp;" a "&amp;TEXT('P&amp;L Acumulado'!$I$1,"mmm/yyyy")</f>
        <v>jan/yyyy a mar/yyyy</v>
      </c>
      <c r="F559" t="s">
        <v>11</v>
      </c>
      <c r="G559" t="s">
        <v>96</v>
      </c>
      <c r="H559" t="s">
        <v>549</v>
      </c>
      <c r="I559" s="104">
        <f>'P&amp;L Acumulado'!N7</f>
        <v>2.6494939434263065E-2</v>
      </c>
      <c r="J559" t="s">
        <v>1071</v>
      </c>
      <c r="K559" t="s">
        <v>1079</v>
      </c>
      <c r="L559">
        <v>7</v>
      </c>
    </row>
    <row r="560" spans="1:12" ht="18" customHeight="1" x14ac:dyDescent="0.25">
      <c r="A560" t="s">
        <v>1070</v>
      </c>
      <c r="B560" s="23">
        <f>'P&amp;L Acumulado'!$G$1</f>
        <v>46053</v>
      </c>
      <c r="C560" s="23">
        <f>'P&amp;L Acumulado'!$I$1</f>
        <v>46112</v>
      </c>
      <c r="D560" s="23">
        <f>'P&amp;L Acumulado'!$I$1</f>
        <v>46112</v>
      </c>
      <c r="E560" t="str">
        <f>TEXT('P&amp;L Acumulado'!$G$1,"mmm/yyyy")&amp;" a "&amp;TEXT('P&amp;L Acumulado'!$I$1,"mmm/yyyy")</f>
        <v>jan/yyyy a mar/yyyy</v>
      </c>
      <c r="F560" t="s">
        <v>11</v>
      </c>
      <c r="G560" t="s">
        <v>96</v>
      </c>
      <c r="H560" t="s">
        <v>557</v>
      </c>
      <c r="I560" s="429">
        <f>'P&amp;L Acumulado'!O7</f>
        <v>1916383.1806340665</v>
      </c>
      <c r="J560" t="s">
        <v>1071</v>
      </c>
      <c r="K560" t="s">
        <v>1080</v>
      </c>
      <c r="L560">
        <v>7</v>
      </c>
    </row>
    <row r="561" spans="1:12" ht="18" customHeight="1" x14ac:dyDescent="0.25">
      <c r="A561" t="s">
        <v>1070</v>
      </c>
      <c r="B561" s="23">
        <f>'P&amp;L Acumulado'!$G$1</f>
        <v>46053</v>
      </c>
      <c r="C561" s="23">
        <f>'P&amp;L Acumulado'!$I$1</f>
        <v>46112</v>
      </c>
      <c r="D561" s="23">
        <f>'P&amp;L Acumulado'!$I$1</f>
        <v>46112</v>
      </c>
      <c r="E561" t="str">
        <f>TEXT('P&amp;L Acumulado'!$G$1,"mmm/yyyy")&amp;" a "&amp;TEXT('P&amp;L Acumulado'!$I$1,"mmm/yyyy")</f>
        <v>jan/yyyy a mar/yyyy</v>
      </c>
      <c r="F561" t="s">
        <v>12</v>
      </c>
      <c r="G561" t="s">
        <v>252</v>
      </c>
      <c r="H561" t="s">
        <v>5</v>
      </c>
      <c r="I561" s="429">
        <f>'P&amp;L Acumulado'!C8</f>
        <v>0</v>
      </c>
      <c r="J561" t="s">
        <v>1071</v>
      </c>
      <c r="K561" t="s">
        <v>1081</v>
      </c>
      <c r="L561">
        <v>8</v>
      </c>
    </row>
    <row r="562" spans="1:12" ht="18" customHeight="1" x14ac:dyDescent="0.25">
      <c r="A562" t="s">
        <v>1070</v>
      </c>
      <c r="B562" s="23">
        <f>'P&amp;L Acumulado'!$G$1</f>
        <v>46053</v>
      </c>
      <c r="C562" s="23">
        <f>'P&amp;L Acumulado'!$I$1</f>
        <v>46112</v>
      </c>
      <c r="D562" s="23">
        <f>'P&amp;L Acumulado'!$I$1</f>
        <v>46112</v>
      </c>
      <c r="E562" t="str">
        <f>TEXT('P&amp;L Acumulado'!$G$1,"mmm/yyyy")&amp;" a "&amp;TEXT('P&amp;L Acumulado'!$I$1,"mmm/yyyy")</f>
        <v>jan/yyyy a mar/yyyy</v>
      </c>
      <c r="F562" t="s">
        <v>12</v>
      </c>
      <c r="G562" t="s">
        <v>252</v>
      </c>
      <c r="H562" t="s">
        <v>6</v>
      </c>
      <c r="I562" s="429">
        <f>'P&amp;L Acumulado'!D8</f>
        <v>0</v>
      </c>
      <c r="J562" t="s">
        <v>1071</v>
      </c>
      <c r="K562" t="s">
        <v>1082</v>
      </c>
      <c r="L562">
        <v>8</v>
      </c>
    </row>
    <row r="563" spans="1:12" ht="18" customHeight="1" x14ac:dyDescent="0.25">
      <c r="A563" t="s">
        <v>1070</v>
      </c>
      <c r="B563" s="23">
        <f>'P&amp;L Acumulado'!$G$1</f>
        <v>46053</v>
      </c>
      <c r="C563" s="23">
        <f>'P&amp;L Acumulado'!$I$1</f>
        <v>46112</v>
      </c>
      <c r="D563" s="23">
        <f>'P&amp;L Acumulado'!$I$1</f>
        <v>46112</v>
      </c>
      <c r="E563" t="str">
        <f>TEXT('P&amp;L Acumulado'!$G$1,"mmm/yyyy")&amp;" a "&amp;TEXT('P&amp;L Acumulado'!$I$1,"mmm/yyyy")</f>
        <v>jan/yyyy a mar/yyyy</v>
      </c>
      <c r="F563" t="s">
        <v>12</v>
      </c>
      <c r="G563" t="s">
        <v>252</v>
      </c>
      <c r="H563" t="s">
        <v>549</v>
      </c>
      <c r="I563" s="104" t="str">
        <f>'P&amp;L Acumulado'!E8</f>
        <v>-</v>
      </c>
      <c r="J563" t="s">
        <v>1071</v>
      </c>
      <c r="K563" t="s">
        <v>1083</v>
      </c>
      <c r="L563">
        <v>8</v>
      </c>
    </row>
    <row r="564" spans="1:12" ht="18" customHeight="1" x14ac:dyDescent="0.25">
      <c r="A564" t="s">
        <v>1070</v>
      </c>
      <c r="B564" s="23">
        <f>'P&amp;L Acumulado'!$G$1</f>
        <v>46053</v>
      </c>
      <c r="C564" s="23">
        <f>'P&amp;L Acumulado'!$I$1</f>
        <v>46112</v>
      </c>
      <c r="D564" s="23">
        <f>'P&amp;L Acumulado'!$I$1</f>
        <v>46112</v>
      </c>
      <c r="E564" t="str">
        <f>TEXT('P&amp;L Acumulado'!$G$1,"mmm/yyyy")&amp;" a "&amp;TEXT('P&amp;L Acumulado'!$I$1,"mmm/yyyy")</f>
        <v>jan/yyyy a mar/yyyy</v>
      </c>
      <c r="F564" t="s">
        <v>12</v>
      </c>
      <c r="G564" t="s">
        <v>205</v>
      </c>
      <c r="H564" t="s">
        <v>5</v>
      </c>
      <c r="I564" s="429">
        <f>'P&amp;L Acumulado'!F8</f>
        <v>0</v>
      </c>
      <c r="J564" t="s">
        <v>1071</v>
      </c>
      <c r="K564" t="s">
        <v>1084</v>
      </c>
      <c r="L564">
        <v>8</v>
      </c>
    </row>
    <row r="565" spans="1:12" ht="18" customHeight="1" x14ac:dyDescent="0.25">
      <c r="A565" t="s">
        <v>1070</v>
      </c>
      <c r="B565" s="23">
        <f>'P&amp;L Acumulado'!$G$1</f>
        <v>46053</v>
      </c>
      <c r="C565" s="23">
        <f>'P&amp;L Acumulado'!$I$1</f>
        <v>46112</v>
      </c>
      <c r="D565" s="23">
        <f>'P&amp;L Acumulado'!$I$1</f>
        <v>46112</v>
      </c>
      <c r="E565" t="str">
        <f>TEXT('P&amp;L Acumulado'!$G$1,"mmm/yyyy")&amp;" a "&amp;TEXT('P&amp;L Acumulado'!$I$1,"mmm/yyyy")</f>
        <v>jan/yyyy a mar/yyyy</v>
      </c>
      <c r="F565" t="s">
        <v>12</v>
      </c>
      <c r="G565" t="s">
        <v>205</v>
      </c>
      <c r="H565" t="s">
        <v>6</v>
      </c>
      <c r="I565" s="429">
        <f>'P&amp;L Acumulado'!G8</f>
        <v>0</v>
      </c>
      <c r="J565" t="s">
        <v>1071</v>
      </c>
      <c r="K565" t="s">
        <v>1085</v>
      </c>
      <c r="L565">
        <v>8</v>
      </c>
    </row>
    <row r="566" spans="1:12" ht="18" customHeight="1" x14ac:dyDescent="0.25">
      <c r="A566" t="s">
        <v>1070</v>
      </c>
      <c r="B566" s="23">
        <f>'P&amp;L Acumulado'!$G$1</f>
        <v>46053</v>
      </c>
      <c r="C566" s="23">
        <f>'P&amp;L Acumulado'!$I$1</f>
        <v>46112</v>
      </c>
      <c r="D566" s="23">
        <f>'P&amp;L Acumulado'!$I$1</f>
        <v>46112</v>
      </c>
      <c r="E566" t="str">
        <f>TEXT('P&amp;L Acumulado'!$G$1,"mmm/yyyy")&amp;" a "&amp;TEXT('P&amp;L Acumulado'!$I$1,"mmm/yyyy")</f>
        <v>jan/yyyy a mar/yyyy</v>
      </c>
      <c r="F566" t="s">
        <v>12</v>
      </c>
      <c r="G566" t="s">
        <v>205</v>
      </c>
      <c r="H566" t="s">
        <v>549</v>
      </c>
      <c r="I566" s="104" t="str">
        <f>'P&amp;L Acumulado'!H8</f>
        <v>-</v>
      </c>
      <c r="J566" t="s">
        <v>1071</v>
      </c>
      <c r="K566" t="s">
        <v>1086</v>
      </c>
      <c r="L566">
        <v>8</v>
      </c>
    </row>
    <row r="567" spans="1:12" ht="18" customHeight="1" x14ac:dyDescent="0.25">
      <c r="A567" t="s">
        <v>1070</v>
      </c>
      <c r="B567" s="23">
        <f>'P&amp;L Acumulado'!$G$1</f>
        <v>46053</v>
      </c>
      <c r="C567" s="23">
        <f>'P&amp;L Acumulado'!$I$1</f>
        <v>46112</v>
      </c>
      <c r="D567" s="23">
        <f>'P&amp;L Acumulado'!$I$1</f>
        <v>46112</v>
      </c>
      <c r="E567" t="str">
        <f>TEXT('P&amp;L Acumulado'!$G$1,"mmm/yyyy")&amp;" a "&amp;TEXT('P&amp;L Acumulado'!$I$1,"mmm/yyyy")</f>
        <v>jan/yyyy a mar/yyyy</v>
      </c>
      <c r="F567" t="s">
        <v>12</v>
      </c>
      <c r="G567" t="s">
        <v>220</v>
      </c>
      <c r="H567" t="s">
        <v>5</v>
      </c>
      <c r="I567" s="429">
        <f>'P&amp;L Acumulado'!I8</f>
        <v>13818699.830000002</v>
      </c>
      <c r="J567" t="s">
        <v>1071</v>
      </c>
      <c r="K567" t="s">
        <v>1087</v>
      </c>
      <c r="L567">
        <v>8</v>
      </c>
    </row>
    <row r="568" spans="1:12" ht="18" customHeight="1" x14ac:dyDescent="0.25">
      <c r="A568" t="s">
        <v>1070</v>
      </c>
      <c r="B568" s="23">
        <f>'P&amp;L Acumulado'!$G$1</f>
        <v>46053</v>
      </c>
      <c r="C568" s="23">
        <f>'P&amp;L Acumulado'!$I$1</f>
        <v>46112</v>
      </c>
      <c r="D568" s="23">
        <f>'P&amp;L Acumulado'!$I$1</f>
        <v>46112</v>
      </c>
      <c r="E568" t="str">
        <f>TEXT('P&amp;L Acumulado'!$G$1,"mmm/yyyy")&amp;" a "&amp;TEXT('P&amp;L Acumulado'!$I$1,"mmm/yyyy")</f>
        <v>jan/yyyy a mar/yyyy</v>
      </c>
      <c r="F568" t="s">
        <v>12</v>
      </c>
      <c r="G568" t="s">
        <v>220</v>
      </c>
      <c r="H568" t="s">
        <v>6</v>
      </c>
      <c r="I568" s="429">
        <f>'P&amp;L Acumulado'!J8</f>
        <v>11742056.175543636</v>
      </c>
      <c r="J568" t="s">
        <v>1071</v>
      </c>
      <c r="K568" t="s">
        <v>1088</v>
      </c>
      <c r="L568">
        <v>8</v>
      </c>
    </row>
    <row r="569" spans="1:12" ht="18" customHeight="1" x14ac:dyDescent="0.25">
      <c r="A569" t="s">
        <v>1070</v>
      </c>
      <c r="B569" s="23">
        <f>'P&amp;L Acumulado'!$G$1</f>
        <v>46053</v>
      </c>
      <c r="C569" s="23">
        <f>'P&amp;L Acumulado'!$I$1</f>
        <v>46112</v>
      </c>
      <c r="D569" s="23">
        <f>'P&amp;L Acumulado'!$I$1</f>
        <v>46112</v>
      </c>
      <c r="E569" t="str">
        <f>TEXT('P&amp;L Acumulado'!$G$1,"mmm/yyyy")&amp;" a "&amp;TEXT('P&amp;L Acumulado'!$I$1,"mmm/yyyy")</f>
        <v>jan/yyyy a mar/yyyy</v>
      </c>
      <c r="F569" t="s">
        <v>12</v>
      </c>
      <c r="G569" t="s">
        <v>220</v>
      </c>
      <c r="H569" t="s">
        <v>549</v>
      </c>
      <c r="I569" s="104">
        <f>'P&amp;L Acumulado'!K8</f>
        <v>0.17685519668877081</v>
      </c>
      <c r="J569" t="s">
        <v>1071</v>
      </c>
      <c r="K569" t="s">
        <v>1089</v>
      </c>
      <c r="L569">
        <v>8</v>
      </c>
    </row>
    <row r="570" spans="1:12" ht="18" customHeight="1" x14ac:dyDescent="0.25">
      <c r="A570" t="s">
        <v>1070</v>
      </c>
      <c r="B570" s="23">
        <f>'P&amp;L Acumulado'!$G$1</f>
        <v>46053</v>
      </c>
      <c r="C570" s="23">
        <f>'P&amp;L Acumulado'!$I$1</f>
        <v>46112</v>
      </c>
      <c r="D570" s="23">
        <f>'P&amp;L Acumulado'!$I$1</f>
        <v>46112</v>
      </c>
      <c r="E570" t="str">
        <f>TEXT('P&amp;L Acumulado'!$G$1,"mmm/yyyy")&amp;" a "&amp;TEXT('P&amp;L Acumulado'!$I$1,"mmm/yyyy")</f>
        <v>jan/yyyy a mar/yyyy</v>
      </c>
      <c r="F570" t="s">
        <v>12</v>
      </c>
      <c r="G570" t="s">
        <v>96</v>
      </c>
      <c r="H570" t="s">
        <v>5</v>
      </c>
      <c r="I570" s="429">
        <f>'P&amp;L Acumulado'!L8</f>
        <v>13818699.830000002</v>
      </c>
      <c r="J570" t="s">
        <v>1071</v>
      </c>
      <c r="K570" t="s">
        <v>1090</v>
      </c>
      <c r="L570">
        <v>8</v>
      </c>
    </row>
    <row r="571" spans="1:12" ht="18" customHeight="1" x14ac:dyDescent="0.25">
      <c r="A571" t="s">
        <v>1070</v>
      </c>
      <c r="B571" s="23">
        <f>'P&amp;L Acumulado'!$G$1</f>
        <v>46053</v>
      </c>
      <c r="C571" s="23">
        <f>'P&amp;L Acumulado'!$I$1</f>
        <v>46112</v>
      </c>
      <c r="D571" s="23">
        <f>'P&amp;L Acumulado'!$I$1</f>
        <v>46112</v>
      </c>
      <c r="E571" t="str">
        <f>TEXT('P&amp;L Acumulado'!$G$1,"mmm/yyyy")&amp;" a "&amp;TEXT('P&amp;L Acumulado'!$I$1,"mmm/yyyy")</f>
        <v>jan/yyyy a mar/yyyy</v>
      </c>
      <c r="F571" t="s">
        <v>12</v>
      </c>
      <c r="G571" t="s">
        <v>96</v>
      </c>
      <c r="H571" t="s">
        <v>6</v>
      </c>
      <c r="I571" s="429">
        <f>'P&amp;L Acumulado'!M8</f>
        <v>11742056.175543636</v>
      </c>
      <c r="J571" t="s">
        <v>1071</v>
      </c>
      <c r="K571" t="s">
        <v>1091</v>
      </c>
      <c r="L571">
        <v>8</v>
      </c>
    </row>
    <row r="572" spans="1:12" ht="18" customHeight="1" x14ac:dyDescent="0.25">
      <c r="A572" t="s">
        <v>1070</v>
      </c>
      <c r="B572" s="23">
        <f>'P&amp;L Acumulado'!$G$1</f>
        <v>46053</v>
      </c>
      <c r="C572" s="23">
        <f>'P&amp;L Acumulado'!$I$1</f>
        <v>46112</v>
      </c>
      <c r="D572" s="23">
        <f>'P&amp;L Acumulado'!$I$1</f>
        <v>46112</v>
      </c>
      <c r="E572" t="str">
        <f>TEXT('P&amp;L Acumulado'!$G$1,"mmm/yyyy")&amp;" a "&amp;TEXT('P&amp;L Acumulado'!$I$1,"mmm/yyyy")</f>
        <v>jan/yyyy a mar/yyyy</v>
      </c>
      <c r="F572" t="s">
        <v>12</v>
      </c>
      <c r="G572" t="s">
        <v>96</v>
      </c>
      <c r="H572" t="s">
        <v>549</v>
      </c>
      <c r="I572" s="104">
        <f>'P&amp;L Acumulado'!N8</f>
        <v>0.17685519668877081</v>
      </c>
      <c r="J572" t="s">
        <v>1071</v>
      </c>
      <c r="K572" t="s">
        <v>1092</v>
      </c>
      <c r="L572">
        <v>8</v>
      </c>
    </row>
    <row r="573" spans="1:12" ht="18" customHeight="1" x14ac:dyDescent="0.25">
      <c r="A573" t="s">
        <v>1070</v>
      </c>
      <c r="B573" s="23">
        <f>'P&amp;L Acumulado'!$G$1</f>
        <v>46053</v>
      </c>
      <c r="C573" s="23">
        <f>'P&amp;L Acumulado'!$I$1</f>
        <v>46112</v>
      </c>
      <c r="D573" s="23">
        <f>'P&amp;L Acumulado'!$I$1</f>
        <v>46112</v>
      </c>
      <c r="E573" t="str">
        <f>TEXT('P&amp;L Acumulado'!$G$1,"mmm/yyyy")&amp;" a "&amp;TEXT('P&amp;L Acumulado'!$I$1,"mmm/yyyy")</f>
        <v>jan/yyyy a mar/yyyy</v>
      </c>
      <c r="F573" t="s">
        <v>12</v>
      </c>
      <c r="G573" t="s">
        <v>96</v>
      </c>
      <c r="H573" t="s">
        <v>557</v>
      </c>
      <c r="I573" s="429">
        <f>'P&amp;L Acumulado'!O8</f>
        <v>2076643.6544563659</v>
      </c>
      <c r="J573" t="s">
        <v>1071</v>
      </c>
      <c r="K573" t="s">
        <v>1093</v>
      </c>
      <c r="L573">
        <v>8</v>
      </c>
    </row>
    <row r="574" spans="1:12" ht="18" customHeight="1" x14ac:dyDescent="0.25">
      <c r="A574" t="s">
        <v>1070</v>
      </c>
      <c r="B574" s="23">
        <f>'P&amp;L Acumulado'!$G$1</f>
        <v>46053</v>
      </c>
      <c r="C574" s="23">
        <f>'P&amp;L Acumulado'!$I$1</f>
        <v>46112</v>
      </c>
      <c r="D574" s="23">
        <f>'P&amp;L Acumulado'!$I$1</f>
        <v>46112</v>
      </c>
      <c r="E574" t="str">
        <f>TEXT('P&amp;L Acumulado'!$G$1,"mmm/yyyy")&amp;" a "&amp;TEXT('P&amp;L Acumulado'!$I$1,"mmm/yyyy")</f>
        <v>jan/yyyy a mar/yyyy</v>
      </c>
      <c r="F574" t="s">
        <v>13</v>
      </c>
      <c r="G574" t="s">
        <v>252</v>
      </c>
      <c r="H574" t="s">
        <v>5</v>
      </c>
      <c r="I574" s="429">
        <f>'P&amp;L Acumulado'!C9</f>
        <v>0</v>
      </c>
      <c r="J574" t="s">
        <v>1071</v>
      </c>
      <c r="K574" t="s">
        <v>1094</v>
      </c>
      <c r="L574">
        <v>9</v>
      </c>
    </row>
    <row r="575" spans="1:12" ht="18" customHeight="1" x14ac:dyDescent="0.25">
      <c r="A575" t="s">
        <v>1070</v>
      </c>
      <c r="B575" s="23">
        <f>'P&amp;L Acumulado'!$G$1</f>
        <v>46053</v>
      </c>
      <c r="C575" s="23">
        <f>'P&amp;L Acumulado'!$I$1</f>
        <v>46112</v>
      </c>
      <c r="D575" s="23">
        <f>'P&amp;L Acumulado'!$I$1</f>
        <v>46112</v>
      </c>
      <c r="E575" t="str">
        <f>TEXT('P&amp;L Acumulado'!$G$1,"mmm/yyyy")&amp;" a "&amp;TEXT('P&amp;L Acumulado'!$I$1,"mmm/yyyy")</f>
        <v>jan/yyyy a mar/yyyy</v>
      </c>
      <c r="F575" t="s">
        <v>13</v>
      </c>
      <c r="G575" t="s">
        <v>252</v>
      </c>
      <c r="H575" t="s">
        <v>6</v>
      </c>
      <c r="I575" s="429">
        <f>'P&amp;L Acumulado'!D9</f>
        <v>0</v>
      </c>
      <c r="J575" t="s">
        <v>1071</v>
      </c>
      <c r="K575" t="s">
        <v>1095</v>
      </c>
      <c r="L575">
        <v>9</v>
      </c>
    </row>
    <row r="576" spans="1:12" ht="18" customHeight="1" x14ac:dyDescent="0.25">
      <c r="A576" t="s">
        <v>1070</v>
      </c>
      <c r="B576" s="23">
        <f>'P&amp;L Acumulado'!$G$1</f>
        <v>46053</v>
      </c>
      <c r="C576" s="23">
        <f>'P&amp;L Acumulado'!$I$1</f>
        <v>46112</v>
      </c>
      <c r="D576" s="23">
        <f>'P&amp;L Acumulado'!$I$1</f>
        <v>46112</v>
      </c>
      <c r="E576" t="str">
        <f>TEXT('P&amp;L Acumulado'!$G$1,"mmm/yyyy")&amp;" a "&amp;TEXT('P&amp;L Acumulado'!$I$1,"mmm/yyyy")</f>
        <v>jan/yyyy a mar/yyyy</v>
      </c>
      <c r="F576" t="s">
        <v>13</v>
      </c>
      <c r="G576" t="s">
        <v>252</v>
      </c>
      <c r="H576" t="s">
        <v>549</v>
      </c>
      <c r="I576" s="104" t="str">
        <f>'P&amp;L Acumulado'!E9</f>
        <v>-</v>
      </c>
      <c r="J576" t="s">
        <v>1071</v>
      </c>
      <c r="K576" t="s">
        <v>1096</v>
      </c>
      <c r="L576">
        <v>9</v>
      </c>
    </row>
    <row r="577" spans="1:12" ht="18" customHeight="1" x14ac:dyDescent="0.25">
      <c r="A577" t="s">
        <v>1070</v>
      </c>
      <c r="B577" s="23">
        <f>'P&amp;L Acumulado'!$G$1</f>
        <v>46053</v>
      </c>
      <c r="C577" s="23">
        <f>'P&amp;L Acumulado'!$I$1</f>
        <v>46112</v>
      </c>
      <c r="D577" s="23">
        <f>'P&amp;L Acumulado'!$I$1</f>
        <v>46112</v>
      </c>
      <c r="E577" t="str">
        <f>TEXT('P&amp;L Acumulado'!$G$1,"mmm/yyyy")&amp;" a "&amp;TEXT('P&amp;L Acumulado'!$I$1,"mmm/yyyy")</f>
        <v>jan/yyyy a mar/yyyy</v>
      </c>
      <c r="F577" t="s">
        <v>13</v>
      </c>
      <c r="G577" t="s">
        <v>205</v>
      </c>
      <c r="H577" t="s">
        <v>5</v>
      </c>
      <c r="I577" s="429">
        <f>'P&amp;L Acumulado'!F9</f>
        <v>0</v>
      </c>
      <c r="J577" t="s">
        <v>1071</v>
      </c>
      <c r="K577" t="s">
        <v>1097</v>
      </c>
      <c r="L577">
        <v>9</v>
      </c>
    </row>
    <row r="578" spans="1:12" ht="18" customHeight="1" x14ac:dyDescent="0.25">
      <c r="A578" t="s">
        <v>1070</v>
      </c>
      <c r="B578" s="23">
        <f>'P&amp;L Acumulado'!$G$1</f>
        <v>46053</v>
      </c>
      <c r="C578" s="23">
        <f>'P&amp;L Acumulado'!$I$1</f>
        <v>46112</v>
      </c>
      <c r="D578" s="23">
        <f>'P&amp;L Acumulado'!$I$1</f>
        <v>46112</v>
      </c>
      <c r="E578" t="str">
        <f>TEXT('P&amp;L Acumulado'!$G$1,"mmm/yyyy")&amp;" a "&amp;TEXT('P&amp;L Acumulado'!$I$1,"mmm/yyyy")</f>
        <v>jan/yyyy a mar/yyyy</v>
      </c>
      <c r="F578" t="s">
        <v>13</v>
      </c>
      <c r="G578" t="s">
        <v>205</v>
      </c>
      <c r="H578" t="s">
        <v>6</v>
      </c>
      <c r="I578" s="429">
        <f>'P&amp;L Acumulado'!G9</f>
        <v>0</v>
      </c>
      <c r="J578" t="s">
        <v>1071</v>
      </c>
      <c r="K578" t="s">
        <v>1098</v>
      </c>
      <c r="L578">
        <v>9</v>
      </c>
    </row>
    <row r="579" spans="1:12" ht="18" customHeight="1" x14ac:dyDescent="0.25">
      <c r="A579" t="s">
        <v>1070</v>
      </c>
      <c r="B579" s="23">
        <f>'P&amp;L Acumulado'!$G$1</f>
        <v>46053</v>
      </c>
      <c r="C579" s="23">
        <f>'P&amp;L Acumulado'!$I$1</f>
        <v>46112</v>
      </c>
      <c r="D579" s="23">
        <f>'P&amp;L Acumulado'!$I$1</f>
        <v>46112</v>
      </c>
      <c r="E579" t="str">
        <f>TEXT('P&amp;L Acumulado'!$G$1,"mmm/yyyy")&amp;" a "&amp;TEXT('P&amp;L Acumulado'!$I$1,"mmm/yyyy")</f>
        <v>jan/yyyy a mar/yyyy</v>
      </c>
      <c r="F579" t="s">
        <v>13</v>
      </c>
      <c r="G579" t="s">
        <v>205</v>
      </c>
      <c r="H579" t="s">
        <v>549</v>
      </c>
      <c r="I579" s="104" t="str">
        <f>'P&amp;L Acumulado'!H9</f>
        <v>-</v>
      </c>
      <c r="J579" t="s">
        <v>1071</v>
      </c>
      <c r="K579" t="s">
        <v>1099</v>
      </c>
      <c r="L579">
        <v>9</v>
      </c>
    </row>
    <row r="580" spans="1:12" ht="18" customHeight="1" x14ac:dyDescent="0.25">
      <c r="A580" t="s">
        <v>1070</v>
      </c>
      <c r="B580" s="23">
        <f>'P&amp;L Acumulado'!$G$1</f>
        <v>46053</v>
      </c>
      <c r="C580" s="23">
        <f>'P&amp;L Acumulado'!$I$1</f>
        <v>46112</v>
      </c>
      <c r="D580" s="23">
        <f>'P&amp;L Acumulado'!$I$1</f>
        <v>46112</v>
      </c>
      <c r="E580" t="str">
        <f>TEXT('P&amp;L Acumulado'!$G$1,"mmm/yyyy")&amp;" a "&amp;TEXT('P&amp;L Acumulado'!$I$1,"mmm/yyyy")</f>
        <v>jan/yyyy a mar/yyyy</v>
      </c>
      <c r="F580" t="s">
        <v>13</v>
      </c>
      <c r="G580" t="s">
        <v>220</v>
      </c>
      <c r="H580" t="s">
        <v>5</v>
      </c>
      <c r="I580" s="429">
        <f>'P&amp;L Acumulado'!I9</f>
        <v>1056042.07</v>
      </c>
      <c r="J580" t="s">
        <v>1071</v>
      </c>
      <c r="K580" t="s">
        <v>1100</v>
      </c>
      <c r="L580">
        <v>9</v>
      </c>
    </row>
    <row r="581" spans="1:12" ht="18" customHeight="1" x14ac:dyDescent="0.25">
      <c r="A581" t="s">
        <v>1070</v>
      </c>
      <c r="B581" s="23">
        <f>'P&amp;L Acumulado'!$G$1</f>
        <v>46053</v>
      </c>
      <c r="C581" s="23">
        <f>'P&amp;L Acumulado'!$I$1</f>
        <v>46112</v>
      </c>
      <c r="D581" s="23">
        <f>'P&amp;L Acumulado'!$I$1</f>
        <v>46112</v>
      </c>
      <c r="E581" t="str">
        <f>TEXT('P&amp;L Acumulado'!$G$1,"mmm/yyyy")&amp;" a "&amp;TEXT('P&amp;L Acumulado'!$I$1,"mmm/yyyy")</f>
        <v>jan/yyyy a mar/yyyy</v>
      </c>
      <c r="F581" t="s">
        <v>13</v>
      </c>
      <c r="G581" t="s">
        <v>220</v>
      </c>
      <c r="H581" t="s">
        <v>6</v>
      </c>
      <c r="I581" s="429">
        <f>'P&amp;L Acumulado'!J9</f>
        <v>1097341.7878945051</v>
      </c>
      <c r="J581" t="s">
        <v>1071</v>
      </c>
      <c r="K581" t="s">
        <v>1101</v>
      </c>
      <c r="L581">
        <v>9</v>
      </c>
    </row>
    <row r="582" spans="1:12" ht="18" customHeight="1" x14ac:dyDescent="0.25">
      <c r="A582" t="s">
        <v>1070</v>
      </c>
      <c r="B582" s="23">
        <f>'P&amp;L Acumulado'!$G$1</f>
        <v>46053</v>
      </c>
      <c r="C582" s="23">
        <f>'P&amp;L Acumulado'!$I$1</f>
        <v>46112</v>
      </c>
      <c r="D582" s="23">
        <f>'P&amp;L Acumulado'!$I$1</f>
        <v>46112</v>
      </c>
      <c r="E582" t="str">
        <f>TEXT('P&amp;L Acumulado'!$G$1,"mmm/yyyy")&amp;" a "&amp;TEXT('P&amp;L Acumulado'!$I$1,"mmm/yyyy")</f>
        <v>jan/yyyy a mar/yyyy</v>
      </c>
      <c r="F582" t="s">
        <v>13</v>
      </c>
      <c r="G582" t="s">
        <v>220</v>
      </c>
      <c r="H582" t="s">
        <v>549</v>
      </c>
      <c r="I582" s="104">
        <f>'P&amp;L Acumulado'!K9</f>
        <v>-3.7636147962384348E-2</v>
      </c>
      <c r="J582" t="s">
        <v>1071</v>
      </c>
      <c r="K582" t="s">
        <v>1102</v>
      </c>
      <c r="L582">
        <v>9</v>
      </c>
    </row>
    <row r="583" spans="1:12" ht="18" customHeight="1" x14ac:dyDescent="0.25">
      <c r="A583" t="s">
        <v>1070</v>
      </c>
      <c r="B583" s="23">
        <f>'P&amp;L Acumulado'!$G$1</f>
        <v>46053</v>
      </c>
      <c r="C583" s="23">
        <f>'P&amp;L Acumulado'!$I$1</f>
        <v>46112</v>
      </c>
      <c r="D583" s="23">
        <f>'P&amp;L Acumulado'!$I$1</f>
        <v>46112</v>
      </c>
      <c r="E583" t="str">
        <f>TEXT('P&amp;L Acumulado'!$G$1,"mmm/yyyy")&amp;" a "&amp;TEXT('P&amp;L Acumulado'!$I$1,"mmm/yyyy")</f>
        <v>jan/yyyy a mar/yyyy</v>
      </c>
      <c r="F583" t="s">
        <v>13</v>
      </c>
      <c r="G583" t="s">
        <v>96</v>
      </c>
      <c r="H583" t="s">
        <v>5</v>
      </c>
      <c r="I583" s="429">
        <f>'P&amp;L Acumulado'!L9</f>
        <v>1056042.07</v>
      </c>
      <c r="J583" t="s">
        <v>1071</v>
      </c>
      <c r="K583" t="s">
        <v>1103</v>
      </c>
      <c r="L583">
        <v>9</v>
      </c>
    </row>
    <row r="584" spans="1:12" ht="18" customHeight="1" x14ac:dyDescent="0.25">
      <c r="A584" t="s">
        <v>1070</v>
      </c>
      <c r="B584" s="23">
        <f>'P&amp;L Acumulado'!$G$1</f>
        <v>46053</v>
      </c>
      <c r="C584" s="23">
        <f>'P&amp;L Acumulado'!$I$1</f>
        <v>46112</v>
      </c>
      <c r="D584" s="23">
        <f>'P&amp;L Acumulado'!$I$1</f>
        <v>46112</v>
      </c>
      <c r="E584" t="str">
        <f>TEXT('P&amp;L Acumulado'!$G$1,"mmm/yyyy")&amp;" a "&amp;TEXT('P&amp;L Acumulado'!$I$1,"mmm/yyyy")</f>
        <v>jan/yyyy a mar/yyyy</v>
      </c>
      <c r="F584" t="s">
        <v>13</v>
      </c>
      <c r="G584" t="s">
        <v>96</v>
      </c>
      <c r="H584" t="s">
        <v>6</v>
      </c>
      <c r="I584" s="429">
        <f>'P&amp;L Acumulado'!M9</f>
        <v>1097341.7878945051</v>
      </c>
      <c r="J584" t="s">
        <v>1071</v>
      </c>
      <c r="K584" t="s">
        <v>1104</v>
      </c>
      <c r="L584">
        <v>9</v>
      </c>
    </row>
    <row r="585" spans="1:12" ht="18" customHeight="1" x14ac:dyDescent="0.25">
      <c r="A585" t="s">
        <v>1070</v>
      </c>
      <c r="B585" s="23">
        <f>'P&amp;L Acumulado'!$G$1</f>
        <v>46053</v>
      </c>
      <c r="C585" s="23">
        <f>'P&amp;L Acumulado'!$I$1</f>
        <v>46112</v>
      </c>
      <c r="D585" s="23">
        <f>'P&amp;L Acumulado'!$I$1</f>
        <v>46112</v>
      </c>
      <c r="E585" t="str">
        <f>TEXT('P&amp;L Acumulado'!$G$1,"mmm/yyyy")&amp;" a "&amp;TEXT('P&amp;L Acumulado'!$I$1,"mmm/yyyy")</f>
        <v>jan/yyyy a mar/yyyy</v>
      </c>
      <c r="F585" t="s">
        <v>13</v>
      </c>
      <c r="G585" t="s">
        <v>96</v>
      </c>
      <c r="H585" t="s">
        <v>549</v>
      </c>
      <c r="I585" s="104">
        <f>'P&amp;L Acumulado'!N9</f>
        <v>-3.7636147962384348E-2</v>
      </c>
      <c r="J585" t="s">
        <v>1071</v>
      </c>
      <c r="K585" t="s">
        <v>1105</v>
      </c>
      <c r="L585">
        <v>9</v>
      </c>
    </row>
    <row r="586" spans="1:12" ht="18" customHeight="1" x14ac:dyDescent="0.25">
      <c r="A586" t="s">
        <v>1070</v>
      </c>
      <c r="B586" s="23">
        <f>'P&amp;L Acumulado'!$G$1</f>
        <v>46053</v>
      </c>
      <c r="C586" s="23">
        <f>'P&amp;L Acumulado'!$I$1</f>
        <v>46112</v>
      </c>
      <c r="D586" s="23">
        <f>'P&amp;L Acumulado'!$I$1</f>
        <v>46112</v>
      </c>
      <c r="E586" t="str">
        <f>TEXT('P&amp;L Acumulado'!$G$1,"mmm/yyyy")&amp;" a "&amp;TEXT('P&amp;L Acumulado'!$I$1,"mmm/yyyy")</f>
        <v>jan/yyyy a mar/yyyy</v>
      </c>
      <c r="F586" t="s">
        <v>13</v>
      </c>
      <c r="G586" t="s">
        <v>96</v>
      </c>
      <c r="H586" t="s">
        <v>557</v>
      </c>
      <c r="I586" s="429">
        <f>'P&amp;L Acumulado'!O9</f>
        <v>-41299.717894505011</v>
      </c>
      <c r="J586" t="s">
        <v>1071</v>
      </c>
      <c r="K586" t="s">
        <v>1106</v>
      </c>
      <c r="L586">
        <v>9</v>
      </c>
    </row>
    <row r="587" spans="1:12" ht="18" customHeight="1" x14ac:dyDescent="0.25">
      <c r="A587" t="s">
        <v>1070</v>
      </c>
      <c r="B587" s="23">
        <f>'P&amp;L Acumulado'!$G$1</f>
        <v>46053</v>
      </c>
      <c r="C587" s="23">
        <f>'P&amp;L Acumulado'!$I$1</f>
        <v>46112</v>
      </c>
      <c r="D587" s="23">
        <f>'P&amp;L Acumulado'!$I$1</f>
        <v>46112</v>
      </c>
      <c r="E587" t="str">
        <f>TEXT('P&amp;L Acumulado'!$G$1,"mmm/yyyy")&amp;" a "&amp;TEXT('P&amp;L Acumulado'!$I$1,"mmm/yyyy")</f>
        <v>jan/yyyy a mar/yyyy</v>
      </c>
      <c r="F587" t="s">
        <v>14</v>
      </c>
      <c r="G587" t="s">
        <v>252</v>
      </c>
      <c r="H587" t="s">
        <v>5</v>
      </c>
      <c r="I587" s="429">
        <f>'P&amp;L Acumulado'!C11</f>
        <v>0</v>
      </c>
      <c r="J587" t="s">
        <v>1071</v>
      </c>
      <c r="K587" t="s">
        <v>589</v>
      </c>
      <c r="L587">
        <v>11</v>
      </c>
    </row>
    <row r="588" spans="1:12" ht="18" customHeight="1" x14ac:dyDescent="0.25">
      <c r="A588" t="s">
        <v>1070</v>
      </c>
      <c r="B588" s="23">
        <f>'P&amp;L Acumulado'!$G$1</f>
        <v>46053</v>
      </c>
      <c r="C588" s="23">
        <f>'P&amp;L Acumulado'!$I$1</f>
        <v>46112</v>
      </c>
      <c r="D588" s="23">
        <f>'P&amp;L Acumulado'!$I$1</f>
        <v>46112</v>
      </c>
      <c r="E588" t="str">
        <f>TEXT('P&amp;L Acumulado'!$G$1,"mmm/yyyy")&amp;" a "&amp;TEXT('P&amp;L Acumulado'!$I$1,"mmm/yyyy")</f>
        <v>jan/yyyy a mar/yyyy</v>
      </c>
      <c r="F588" t="s">
        <v>14</v>
      </c>
      <c r="G588" t="s">
        <v>252</v>
      </c>
      <c r="H588" t="s">
        <v>6</v>
      </c>
      <c r="I588" s="429">
        <f>'P&amp;L Acumulado'!D11</f>
        <v>0</v>
      </c>
      <c r="J588" t="s">
        <v>1071</v>
      </c>
      <c r="K588" t="s">
        <v>590</v>
      </c>
      <c r="L588">
        <v>11</v>
      </c>
    </row>
    <row r="589" spans="1:12" ht="18" customHeight="1" x14ac:dyDescent="0.25">
      <c r="A589" t="s">
        <v>1070</v>
      </c>
      <c r="B589" s="23">
        <f>'P&amp;L Acumulado'!$G$1</f>
        <v>46053</v>
      </c>
      <c r="C589" s="23">
        <f>'P&amp;L Acumulado'!$I$1</f>
        <v>46112</v>
      </c>
      <c r="D589" s="23">
        <f>'P&amp;L Acumulado'!$I$1</f>
        <v>46112</v>
      </c>
      <c r="E589" t="str">
        <f>TEXT('P&amp;L Acumulado'!$G$1,"mmm/yyyy")&amp;" a "&amp;TEXT('P&amp;L Acumulado'!$I$1,"mmm/yyyy")</f>
        <v>jan/yyyy a mar/yyyy</v>
      </c>
      <c r="F589" t="s">
        <v>14</v>
      </c>
      <c r="G589" t="s">
        <v>252</v>
      </c>
      <c r="H589" t="s">
        <v>549</v>
      </c>
      <c r="I589" s="104" t="str">
        <f>'P&amp;L Acumulado'!E11</f>
        <v>-</v>
      </c>
      <c r="J589" t="s">
        <v>1071</v>
      </c>
      <c r="K589" t="s">
        <v>591</v>
      </c>
      <c r="L589">
        <v>11</v>
      </c>
    </row>
    <row r="590" spans="1:12" ht="18" customHeight="1" x14ac:dyDescent="0.25">
      <c r="A590" t="s">
        <v>1070</v>
      </c>
      <c r="B590" s="23">
        <f>'P&amp;L Acumulado'!$G$1</f>
        <v>46053</v>
      </c>
      <c r="C590" s="23">
        <f>'P&amp;L Acumulado'!$I$1</f>
        <v>46112</v>
      </c>
      <c r="D590" s="23">
        <f>'P&amp;L Acumulado'!$I$1</f>
        <v>46112</v>
      </c>
      <c r="E590" t="str">
        <f>TEXT('P&amp;L Acumulado'!$G$1,"mmm/yyyy")&amp;" a "&amp;TEXT('P&amp;L Acumulado'!$I$1,"mmm/yyyy")</f>
        <v>jan/yyyy a mar/yyyy</v>
      </c>
      <c r="F590" t="s">
        <v>14</v>
      </c>
      <c r="G590" t="s">
        <v>205</v>
      </c>
      <c r="H590" t="s">
        <v>5</v>
      </c>
      <c r="I590" s="429">
        <f>'P&amp;L Acumulado'!F11</f>
        <v>5301448.8753800001</v>
      </c>
      <c r="J590" t="s">
        <v>1071</v>
      </c>
      <c r="K590" t="s">
        <v>592</v>
      </c>
      <c r="L590">
        <v>11</v>
      </c>
    </row>
    <row r="591" spans="1:12" ht="18" customHeight="1" x14ac:dyDescent="0.25">
      <c r="A591" t="s">
        <v>1070</v>
      </c>
      <c r="B591" s="23">
        <f>'P&amp;L Acumulado'!$G$1</f>
        <v>46053</v>
      </c>
      <c r="C591" s="23">
        <f>'P&amp;L Acumulado'!$I$1</f>
        <v>46112</v>
      </c>
      <c r="D591" s="23">
        <f>'P&amp;L Acumulado'!$I$1</f>
        <v>46112</v>
      </c>
      <c r="E591" t="str">
        <f>TEXT('P&amp;L Acumulado'!$G$1,"mmm/yyyy")&amp;" a "&amp;TEXT('P&amp;L Acumulado'!$I$1,"mmm/yyyy")</f>
        <v>jan/yyyy a mar/yyyy</v>
      </c>
      <c r="F591" t="s">
        <v>14</v>
      </c>
      <c r="G591" t="s">
        <v>205</v>
      </c>
      <c r="H591" t="s">
        <v>6</v>
      </c>
      <c r="I591" s="429">
        <f>'P&amp;L Acumulado'!G11</f>
        <v>4977110.8677961593</v>
      </c>
      <c r="J591" t="s">
        <v>1071</v>
      </c>
      <c r="K591" t="s">
        <v>593</v>
      </c>
      <c r="L591">
        <v>11</v>
      </c>
    </row>
    <row r="592" spans="1:12" ht="18" customHeight="1" x14ac:dyDescent="0.25">
      <c r="A592" t="s">
        <v>1070</v>
      </c>
      <c r="B592" s="23">
        <f>'P&amp;L Acumulado'!$G$1</f>
        <v>46053</v>
      </c>
      <c r="C592" s="23">
        <f>'P&amp;L Acumulado'!$I$1</f>
        <v>46112</v>
      </c>
      <c r="D592" s="23">
        <f>'P&amp;L Acumulado'!$I$1</f>
        <v>46112</v>
      </c>
      <c r="E592" t="str">
        <f>TEXT('P&amp;L Acumulado'!$G$1,"mmm/yyyy")&amp;" a "&amp;TEXT('P&amp;L Acumulado'!$I$1,"mmm/yyyy")</f>
        <v>jan/yyyy a mar/yyyy</v>
      </c>
      <c r="F592" t="s">
        <v>14</v>
      </c>
      <c r="G592" t="s">
        <v>205</v>
      </c>
      <c r="H592" t="s">
        <v>549</v>
      </c>
      <c r="I592" s="104">
        <f>'P&amp;L Acumulado'!H11</f>
        <v>6.5165919787407933E-2</v>
      </c>
      <c r="J592" t="s">
        <v>1071</v>
      </c>
      <c r="K592" t="s">
        <v>594</v>
      </c>
      <c r="L592">
        <v>11</v>
      </c>
    </row>
    <row r="593" spans="1:12" ht="18" customHeight="1" x14ac:dyDescent="0.25">
      <c r="A593" t="s">
        <v>1070</v>
      </c>
      <c r="B593" s="23">
        <f>'P&amp;L Acumulado'!$G$1</f>
        <v>46053</v>
      </c>
      <c r="C593" s="23">
        <f>'P&amp;L Acumulado'!$I$1</f>
        <v>46112</v>
      </c>
      <c r="D593" s="23">
        <f>'P&amp;L Acumulado'!$I$1</f>
        <v>46112</v>
      </c>
      <c r="E593" t="str">
        <f>TEXT('P&amp;L Acumulado'!$G$1,"mmm/yyyy")&amp;" a "&amp;TEXT('P&amp;L Acumulado'!$I$1,"mmm/yyyy")</f>
        <v>jan/yyyy a mar/yyyy</v>
      </c>
      <c r="F593" t="s">
        <v>14</v>
      </c>
      <c r="G593" t="s">
        <v>220</v>
      </c>
      <c r="H593" t="s">
        <v>5</v>
      </c>
      <c r="I593" s="429">
        <f>'P&amp;L Acumulado'!I11</f>
        <v>159642.33461999998</v>
      </c>
      <c r="J593" t="s">
        <v>1071</v>
      </c>
      <c r="K593" t="s">
        <v>595</v>
      </c>
      <c r="L593">
        <v>11</v>
      </c>
    </row>
    <row r="594" spans="1:12" ht="18" customHeight="1" x14ac:dyDescent="0.25">
      <c r="A594" t="s">
        <v>1070</v>
      </c>
      <c r="B594" s="23">
        <f>'P&amp;L Acumulado'!$G$1</f>
        <v>46053</v>
      </c>
      <c r="C594" s="23">
        <f>'P&amp;L Acumulado'!$I$1</f>
        <v>46112</v>
      </c>
      <c r="D594" s="23">
        <f>'P&amp;L Acumulado'!$I$1</f>
        <v>46112</v>
      </c>
      <c r="E594" t="str">
        <f>TEXT('P&amp;L Acumulado'!$G$1,"mmm/yyyy")&amp;" a "&amp;TEXT('P&amp;L Acumulado'!$I$1,"mmm/yyyy")</f>
        <v>jan/yyyy a mar/yyyy</v>
      </c>
      <c r="F594" t="s">
        <v>14</v>
      </c>
      <c r="G594" t="s">
        <v>220</v>
      </c>
      <c r="H594" t="s">
        <v>6</v>
      </c>
      <c r="I594" s="429">
        <f>'P&amp;L Acumulado'!J11</f>
        <v>124357.40425531917</v>
      </c>
      <c r="J594" t="s">
        <v>1071</v>
      </c>
      <c r="K594" t="s">
        <v>596</v>
      </c>
      <c r="L594">
        <v>11</v>
      </c>
    </row>
    <row r="595" spans="1:12" ht="18" customHeight="1" x14ac:dyDescent="0.25">
      <c r="A595" t="s">
        <v>1070</v>
      </c>
      <c r="B595" s="23">
        <f>'P&amp;L Acumulado'!$G$1</f>
        <v>46053</v>
      </c>
      <c r="C595" s="23">
        <f>'P&amp;L Acumulado'!$I$1</f>
        <v>46112</v>
      </c>
      <c r="D595" s="23">
        <f>'P&amp;L Acumulado'!$I$1</f>
        <v>46112</v>
      </c>
      <c r="E595" t="str">
        <f>TEXT('P&amp;L Acumulado'!$G$1,"mmm/yyyy")&amp;" a "&amp;TEXT('P&amp;L Acumulado'!$I$1,"mmm/yyyy")</f>
        <v>jan/yyyy a mar/yyyy</v>
      </c>
      <c r="F595" t="s">
        <v>14</v>
      </c>
      <c r="G595" t="s">
        <v>220</v>
      </c>
      <c r="H595" t="s">
        <v>549</v>
      </c>
      <c r="I595" s="104">
        <f>'P&amp;L Acumulado'!K11</f>
        <v>0.28373807394883421</v>
      </c>
      <c r="J595" t="s">
        <v>1071</v>
      </c>
      <c r="K595" t="s">
        <v>597</v>
      </c>
      <c r="L595">
        <v>11</v>
      </c>
    </row>
    <row r="596" spans="1:12" ht="18" customHeight="1" x14ac:dyDescent="0.25">
      <c r="A596" t="s">
        <v>1070</v>
      </c>
      <c r="B596" s="23">
        <f>'P&amp;L Acumulado'!$G$1</f>
        <v>46053</v>
      </c>
      <c r="C596" s="23">
        <f>'P&amp;L Acumulado'!$I$1</f>
        <v>46112</v>
      </c>
      <c r="D596" s="23">
        <f>'P&amp;L Acumulado'!$I$1</f>
        <v>46112</v>
      </c>
      <c r="E596" t="str">
        <f>TEXT('P&amp;L Acumulado'!$G$1,"mmm/yyyy")&amp;" a "&amp;TEXT('P&amp;L Acumulado'!$I$1,"mmm/yyyy")</f>
        <v>jan/yyyy a mar/yyyy</v>
      </c>
      <c r="F596" t="s">
        <v>14</v>
      </c>
      <c r="G596" t="s">
        <v>96</v>
      </c>
      <c r="H596" t="s">
        <v>5</v>
      </c>
      <c r="I596" s="429">
        <f>'P&amp;L Acumulado'!L11</f>
        <v>5461091.21</v>
      </c>
      <c r="J596" t="s">
        <v>1071</v>
      </c>
      <c r="K596" t="s">
        <v>598</v>
      </c>
      <c r="L596">
        <v>11</v>
      </c>
    </row>
    <row r="597" spans="1:12" ht="18" customHeight="1" x14ac:dyDescent="0.25">
      <c r="A597" t="s">
        <v>1070</v>
      </c>
      <c r="B597" s="23">
        <f>'P&amp;L Acumulado'!$G$1</f>
        <v>46053</v>
      </c>
      <c r="C597" s="23">
        <f>'P&amp;L Acumulado'!$I$1</f>
        <v>46112</v>
      </c>
      <c r="D597" s="23">
        <f>'P&amp;L Acumulado'!$I$1</f>
        <v>46112</v>
      </c>
      <c r="E597" t="str">
        <f>TEXT('P&amp;L Acumulado'!$G$1,"mmm/yyyy")&amp;" a "&amp;TEXT('P&amp;L Acumulado'!$I$1,"mmm/yyyy")</f>
        <v>jan/yyyy a mar/yyyy</v>
      </c>
      <c r="F597" t="s">
        <v>14</v>
      </c>
      <c r="G597" t="s">
        <v>96</v>
      </c>
      <c r="H597" t="s">
        <v>6</v>
      </c>
      <c r="I597" s="429">
        <f>'P&amp;L Acumulado'!M11</f>
        <v>5101468.2720514787</v>
      </c>
      <c r="J597" t="s">
        <v>1071</v>
      </c>
      <c r="K597" t="s">
        <v>1107</v>
      </c>
      <c r="L597">
        <v>11</v>
      </c>
    </row>
    <row r="598" spans="1:12" ht="18" customHeight="1" x14ac:dyDescent="0.25">
      <c r="A598" t="s">
        <v>1070</v>
      </c>
      <c r="B598" s="23">
        <f>'P&amp;L Acumulado'!$G$1</f>
        <v>46053</v>
      </c>
      <c r="C598" s="23">
        <f>'P&amp;L Acumulado'!$I$1</f>
        <v>46112</v>
      </c>
      <c r="D598" s="23">
        <f>'P&amp;L Acumulado'!$I$1</f>
        <v>46112</v>
      </c>
      <c r="E598" t="str">
        <f>TEXT('P&amp;L Acumulado'!$G$1,"mmm/yyyy")&amp;" a "&amp;TEXT('P&amp;L Acumulado'!$I$1,"mmm/yyyy")</f>
        <v>jan/yyyy a mar/yyyy</v>
      </c>
      <c r="F598" t="s">
        <v>14</v>
      </c>
      <c r="G598" t="s">
        <v>96</v>
      </c>
      <c r="H598" t="s">
        <v>549</v>
      </c>
      <c r="I598" s="104">
        <f>'P&amp;L Acumulado'!N11</f>
        <v>7.0494006582129343E-2</v>
      </c>
      <c r="J598" t="s">
        <v>1071</v>
      </c>
      <c r="K598" t="s">
        <v>1108</v>
      </c>
      <c r="L598">
        <v>11</v>
      </c>
    </row>
    <row r="599" spans="1:12" ht="18" customHeight="1" x14ac:dyDescent="0.25">
      <c r="A599" t="s">
        <v>1070</v>
      </c>
      <c r="B599" s="23">
        <f>'P&amp;L Acumulado'!$G$1</f>
        <v>46053</v>
      </c>
      <c r="C599" s="23">
        <f>'P&amp;L Acumulado'!$I$1</f>
        <v>46112</v>
      </c>
      <c r="D599" s="23">
        <f>'P&amp;L Acumulado'!$I$1</f>
        <v>46112</v>
      </c>
      <c r="E599" t="str">
        <f>TEXT('P&amp;L Acumulado'!$G$1,"mmm/yyyy")&amp;" a "&amp;TEXT('P&amp;L Acumulado'!$I$1,"mmm/yyyy")</f>
        <v>jan/yyyy a mar/yyyy</v>
      </c>
      <c r="F599" t="s">
        <v>14</v>
      </c>
      <c r="G599" t="s">
        <v>96</v>
      </c>
      <c r="H599" t="s">
        <v>557</v>
      </c>
      <c r="I599" s="429">
        <f>'P&amp;L Acumulado'!O11</f>
        <v>359622.93794852123</v>
      </c>
      <c r="J599" t="s">
        <v>1071</v>
      </c>
      <c r="K599" t="s">
        <v>1109</v>
      </c>
      <c r="L599">
        <v>11</v>
      </c>
    </row>
    <row r="600" spans="1:12" ht="18" customHeight="1" x14ac:dyDescent="0.25">
      <c r="A600" t="s">
        <v>1070</v>
      </c>
      <c r="B600" s="23">
        <f>'P&amp;L Acumulado'!$G$1</f>
        <v>46053</v>
      </c>
      <c r="C600" s="23">
        <f>'P&amp;L Acumulado'!$I$1</f>
        <v>46112</v>
      </c>
      <c r="D600" s="23">
        <f>'P&amp;L Acumulado'!$I$1</f>
        <v>46112</v>
      </c>
      <c r="E600" t="str">
        <f>TEXT('P&amp;L Acumulado'!$G$1,"mmm/yyyy")&amp;" a "&amp;TEXT('P&amp;L Acumulado'!$I$1,"mmm/yyyy")</f>
        <v>jan/yyyy a mar/yyyy</v>
      </c>
      <c r="F600" t="s">
        <v>609</v>
      </c>
      <c r="G600" t="s">
        <v>252</v>
      </c>
      <c r="H600" t="s">
        <v>5</v>
      </c>
      <c r="I600" s="429">
        <f>'P&amp;L Acumulado'!C12</f>
        <v>0</v>
      </c>
      <c r="J600" t="s">
        <v>1071</v>
      </c>
      <c r="K600" t="s">
        <v>599</v>
      </c>
      <c r="L600">
        <v>12</v>
      </c>
    </row>
    <row r="601" spans="1:12" ht="18" customHeight="1" x14ac:dyDescent="0.25">
      <c r="A601" t="s">
        <v>1070</v>
      </c>
      <c r="B601" s="23">
        <f>'P&amp;L Acumulado'!$G$1</f>
        <v>46053</v>
      </c>
      <c r="C601" s="23">
        <f>'P&amp;L Acumulado'!$I$1</f>
        <v>46112</v>
      </c>
      <c r="D601" s="23">
        <f>'P&amp;L Acumulado'!$I$1</f>
        <v>46112</v>
      </c>
      <c r="E601" t="str">
        <f>TEXT('P&amp;L Acumulado'!$G$1,"mmm/yyyy")&amp;" a "&amp;TEXT('P&amp;L Acumulado'!$I$1,"mmm/yyyy")</f>
        <v>jan/yyyy a mar/yyyy</v>
      </c>
      <c r="F601" t="s">
        <v>609</v>
      </c>
      <c r="G601" t="s">
        <v>252</v>
      </c>
      <c r="H601" t="s">
        <v>6</v>
      </c>
      <c r="I601" s="429">
        <f>'P&amp;L Acumulado'!D12</f>
        <v>0</v>
      </c>
      <c r="J601" t="s">
        <v>1071</v>
      </c>
      <c r="K601" t="s">
        <v>600</v>
      </c>
      <c r="L601">
        <v>12</v>
      </c>
    </row>
    <row r="602" spans="1:12" ht="18" customHeight="1" x14ac:dyDescent="0.25">
      <c r="A602" t="s">
        <v>1070</v>
      </c>
      <c r="B602" s="23">
        <f>'P&amp;L Acumulado'!$G$1</f>
        <v>46053</v>
      </c>
      <c r="C602" s="23">
        <f>'P&amp;L Acumulado'!$I$1</f>
        <v>46112</v>
      </c>
      <c r="D602" s="23">
        <f>'P&amp;L Acumulado'!$I$1</f>
        <v>46112</v>
      </c>
      <c r="E602" t="str">
        <f>TEXT('P&amp;L Acumulado'!$G$1,"mmm/yyyy")&amp;" a "&amp;TEXT('P&amp;L Acumulado'!$I$1,"mmm/yyyy")</f>
        <v>jan/yyyy a mar/yyyy</v>
      </c>
      <c r="F602" t="s">
        <v>609</v>
      </c>
      <c r="G602" t="s">
        <v>252</v>
      </c>
      <c r="H602" t="s">
        <v>549</v>
      </c>
      <c r="I602" s="104" t="str">
        <f>'P&amp;L Acumulado'!E12</f>
        <v>-</v>
      </c>
      <c r="J602" t="s">
        <v>1071</v>
      </c>
      <c r="K602" t="s">
        <v>601</v>
      </c>
      <c r="L602">
        <v>12</v>
      </c>
    </row>
    <row r="603" spans="1:12" ht="18" customHeight="1" x14ac:dyDescent="0.25">
      <c r="A603" t="s">
        <v>1070</v>
      </c>
      <c r="B603" s="23">
        <f>'P&amp;L Acumulado'!$G$1</f>
        <v>46053</v>
      </c>
      <c r="C603" s="23">
        <f>'P&amp;L Acumulado'!$I$1</f>
        <v>46112</v>
      </c>
      <c r="D603" s="23">
        <f>'P&amp;L Acumulado'!$I$1</f>
        <v>46112</v>
      </c>
      <c r="E603" t="str">
        <f>TEXT('P&amp;L Acumulado'!$G$1,"mmm/yyyy")&amp;" a "&amp;TEXT('P&amp;L Acumulado'!$I$1,"mmm/yyyy")</f>
        <v>jan/yyyy a mar/yyyy</v>
      </c>
      <c r="F603" t="s">
        <v>609</v>
      </c>
      <c r="G603" t="s">
        <v>205</v>
      </c>
      <c r="H603" t="s">
        <v>5</v>
      </c>
      <c r="I603" s="429">
        <f>'P&amp;L Acumulado'!F12</f>
        <v>0</v>
      </c>
      <c r="J603" t="s">
        <v>1071</v>
      </c>
      <c r="K603" t="s">
        <v>602</v>
      </c>
      <c r="L603">
        <v>12</v>
      </c>
    </row>
    <row r="604" spans="1:12" ht="18" customHeight="1" x14ac:dyDescent="0.25">
      <c r="A604" t="s">
        <v>1070</v>
      </c>
      <c r="B604" s="23">
        <f>'P&amp;L Acumulado'!$G$1</f>
        <v>46053</v>
      </c>
      <c r="C604" s="23">
        <f>'P&amp;L Acumulado'!$I$1</f>
        <v>46112</v>
      </c>
      <c r="D604" s="23">
        <f>'P&amp;L Acumulado'!$I$1</f>
        <v>46112</v>
      </c>
      <c r="E604" t="str">
        <f>TEXT('P&amp;L Acumulado'!$G$1,"mmm/yyyy")&amp;" a "&amp;TEXT('P&amp;L Acumulado'!$I$1,"mmm/yyyy")</f>
        <v>jan/yyyy a mar/yyyy</v>
      </c>
      <c r="F604" t="s">
        <v>609</v>
      </c>
      <c r="G604" t="s">
        <v>205</v>
      </c>
      <c r="H604" t="s">
        <v>6</v>
      </c>
      <c r="I604" s="429">
        <f>'P&amp;L Acumulado'!G12</f>
        <v>0</v>
      </c>
      <c r="J604" t="s">
        <v>1071</v>
      </c>
      <c r="K604" t="s">
        <v>603</v>
      </c>
      <c r="L604">
        <v>12</v>
      </c>
    </row>
    <row r="605" spans="1:12" ht="18" customHeight="1" x14ac:dyDescent="0.25">
      <c r="A605" t="s">
        <v>1070</v>
      </c>
      <c r="B605" s="23">
        <f>'P&amp;L Acumulado'!$G$1</f>
        <v>46053</v>
      </c>
      <c r="C605" s="23">
        <f>'P&amp;L Acumulado'!$I$1</f>
        <v>46112</v>
      </c>
      <c r="D605" s="23">
        <f>'P&amp;L Acumulado'!$I$1</f>
        <v>46112</v>
      </c>
      <c r="E605" t="str">
        <f>TEXT('P&amp;L Acumulado'!$G$1,"mmm/yyyy")&amp;" a "&amp;TEXT('P&amp;L Acumulado'!$I$1,"mmm/yyyy")</f>
        <v>jan/yyyy a mar/yyyy</v>
      </c>
      <c r="F605" t="s">
        <v>609</v>
      </c>
      <c r="G605" t="s">
        <v>205</v>
      </c>
      <c r="H605" t="s">
        <v>549</v>
      </c>
      <c r="I605" s="104" t="str">
        <f>'P&amp;L Acumulado'!H12</f>
        <v>-</v>
      </c>
      <c r="J605" t="s">
        <v>1071</v>
      </c>
      <c r="K605" t="s">
        <v>604</v>
      </c>
      <c r="L605">
        <v>12</v>
      </c>
    </row>
    <row r="606" spans="1:12" ht="18" customHeight="1" x14ac:dyDescent="0.25">
      <c r="A606" t="s">
        <v>1070</v>
      </c>
      <c r="B606" s="23">
        <f>'P&amp;L Acumulado'!$G$1</f>
        <v>46053</v>
      </c>
      <c r="C606" s="23">
        <f>'P&amp;L Acumulado'!$I$1</f>
        <v>46112</v>
      </c>
      <c r="D606" s="23">
        <f>'P&amp;L Acumulado'!$I$1</f>
        <v>46112</v>
      </c>
      <c r="E606" t="str">
        <f>TEXT('P&amp;L Acumulado'!$G$1,"mmm/yyyy")&amp;" a "&amp;TEXT('P&amp;L Acumulado'!$I$1,"mmm/yyyy")</f>
        <v>jan/yyyy a mar/yyyy</v>
      </c>
      <c r="F606" t="s">
        <v>609</v>
      </c>
      <c r="G606" t="s">
        <v>220</v>
      </c>
      <c r="H606" t="s">
        <v>5</v>
      </c>
      <c r="I606" s="429">
        <f>'P&amp;L Acumulado'!I12</f>
        <v>5128493.6400000062</v>
      </c>
      <c r="J606" t="s">
        <v>1071</v>
      </c>
      <c r="K606" t="s">
        <v>605</v>
      </c>
      <c r="L606">
        <v>12</v>
      </c>
    </row>
    <row r="607" spans="1:12" ht="18" customHeight="1" x14ac:dyDescent="0.25">
      <c r="A607" t="s">
        <v>1070</v>
      </c>
      <c r="B607" s="23">
        <f>'P&amp;L Acumulado'!$G$1</f>
        <v>46053</v>
      </c>
      <c r="C607" s="23">
        <f>'P&amp;L Acumulado'!$I$1</f>
        <v>46112</v>
      </c>
      <c r="D607" s="23">
        <f>'P&amp;L Acumulado'!$I$1</f>
        <v>46112</v>
      </c>
      <c r="E607" t="str">
        <f>TEXT('P&amp;L Acumulado'!$G$1,"mmm/yyyy")&amp;" a "&amp;TEXT('P&amp;L Acumulado'!$I$1,"mmm/yyyy")</f>
        <v>jan/yyyy a mar/yyyy</v>
      </c>
      <c r="F607" t="s">
        <v>609</v>
      </c>
      <c r="G607" t="s">
        <v>220</v>
      </c>
      <c r="H607" t="s">
        <v>6</v>
      </c>
      <c r="I607" s="429">
        <f>'P&amp;L Acumulado'!J12</f>
        <v>4988000</v>
      </c>
      <c r="J607" t="s">
        <v>1071</v>
      </c>
      <c r="K607" t="s">
        <v>606</v>
      </c>
      <c r="L607">
        <v>12</v>
      </c>
    </row>
    <row r="608" spans="1:12" ht="18" customHeight="1" x14ac:dyDescent="0.25">
      <c r="A608" t="s">
        <v>1070</v>
      </c>
      <c r="B608" s="23">
        <f>'P&amp;L Acumulado'!$G$1</f>
        <v>46053</v>
      </c>
      <c r="C608" s="23">
        <f>'P&amp;L Acumulado'!$I$1</f>
        <v>46112</v>
      </c>
      <c r="D608" s="23">
        <f>'P&amp;L Acumulado'!$I$1</f>
        <v>46112</v>
      </c>
      <c r="E608" t="str">
        <f>TEXT('P&amp;L Acumulado'!$G$1,"mmm/yyyy")&amp;" a "&amp;TEXT('P&amp;L Acumulado'!$I$1,"mmm/yyyy")</f>
        <v>jan/yyyy a mar/yyyy</v>
      </c>
      <c r="F608" t="s">
        <v>609</v>
      </c>
      <c r="G608" t="s">
        <v>220</v>
      </c>
      <c r="H608" t="s">
        <v>549</v>
      </c>
      <c r="I608" s="104">
        <f>'P&amp;L Acumulado'!K12</f>
        <v>2.8166327185245921E-2</v>
      </c>
      <c r="J608" t="s">
        <v>1071</v>
      </c>
      <c r="K608" t="s">
        <v>607</v>
      </c>
      <c r="L608">
        <v>12</v>
      </c>
    </row>
    <row r="609" spans="1:12" ht="18" customHeight="1" x14ac:dyDescent="0.25">
      <c r="A609" t="s">
        <v>1070</v>
      </c>
      <c r="B609" s="23">
        <f>'P&amp;L Acumulado'!$G$1</f>
        <v>46053</v>
      </c>
      <c r="C609" s="23">
        <f>'P&amp;L Acumulado'!$I$1</f>
        <v>46112</v>
      </c>
      <c r="D609" s="23">
        <f>'P&amp;L Acumulado'!$I$1</f>
        <v>46112</v>
      </c>
      <c r="E609" t="str">
        <f>TEXT('P&amp;L Acumulado'!$G$1,"mmm/yyyy")&amp;" a "&amp;TEXT('P&amp;L Acumulado'!$I$1,"mmm/yyyy")</f>
        <v>jan/yyyy a mar/yyyy</v>
      </c>
      <c r="F609" t="s">
        <v>609</v>
      </c>
      <c r="G609" t="s">
        <v>96</v>
      </c>
      <c r="H609" t="s">
        <v>5</v>
      </c>
      <c r="I609" s="429">
        <f>'P&amp;L Acumulado'!L12</f>
        <v>5128493.6400000062</v>
      </c>
      <c r="J609" t="s">
        <v>1071</v>
      </c>
      <c r="K609" t="s">
        <v>608</v>
      </c>
      <c r="L609">
        <v>12</v>
      </c>
    </row>
    <row r="610" spans="1:12" ht="18" customHeight="1" x14ac:dyDescent="0.25">
      <c r="A610" t="s">
        <v>1070</v>
      </c>
      <c r="B610" s="23">
        <f>'P&amp;L Acumulado'!$G$1</f>
        <v>46053</v>
      </c>
      <c r="C610" s="23">
        <f>'P&amp;L Acumulado'!$I$1</f>
        <v>46112</v>
      </c>
      <c r="D610" s="23">
        <f>'P&amp;L Acumulado'!$I$1</f>
        <v>46112</v>
      </c>
      <c r="E610" t="str">
        <f>TEXT('P&amp;L Acumulado'!$G$1,"mmm/yyyy")&amp;" a "&amp;TEXT('P&amp;L Acumulado'!$I$1,"mmm/yyyy")</f>
        <v>jan/yyyy a mar/yyyy</v>
      </c>
      <c r="F610" t="s">
        <v>609</v>
      </c>
      <c r="G610" t="s">
        <v>96</v>
      </c>
      <c r="H610" t="s">
        <v>6</v>
      </c>
      <c r="I610" s="429">
        <f>'P&amp;L Acumulado'!M12</f>
        <v>4988000</v>
      </c>
      <c r="J610" t="s">
        <v>1071</v>
      </c>
      <c r="K610" t="s">
        <v>1110</v>
      </c>
      <c r="L610">
        <v>12</v>
      </c>
    </row>
    <row r="611" spans="1:12" ht="18" customHeight="1" x14ac:dyDescent="0.25">
      <c r="A611" t="s">
        <v>1070</v>
      </c>
      <c r="B611" s="23">
        <f>'P&amp;L Acumulado'!$G$1</f>
        <v>46053</v>
      </c>
      <c r="C611" s="23">
        <f>'P&amp;L Acumulado'!$I$1</f>
        <v>46112</v>
      </c>
      <c r="D611" s="23">
        <f>'P&amp;L Acumulado'!$I$1</f>
        <v>46112</v>
      </c>
      <c r="E611" t="str">
        <f>TEXT('P&amp;L Acumulado'!$G$1,"mmm/yyyy")&amp;" a "&amp;TEXT('P&amp;L Acumulado'!$I$1,"mmm/yyyy")</f>
        <v>jan/yyyy a mar/yyyy</v>
      </c>
      <c r="F611" t="s">
        <v>609</v>
      </c>
      <c r="G611" t="s">
        <v>96</v>
      </c>
      <c r="H611" t="s">
        <v>549</v>
      </c>
      <c r="I611" s="104">
        <f>'P&amp;L Acumulado'!N12</f>
        <v>2.8166327185245921E-2</v>
      </c>
      <c r="J611" t="s">
        <v>1071</v>
      </c>
      <c r="K611" t="s">
        <v>1111</v>
      </c>
      <c r="L611">
        <v>12</v>
      </c>
    </row>
    <row r="612" spans="1:12" ht="18" customHeight="1" x14ac:dyDescent="0.25">
      <c r="A612" t="s">
        <v>1070</v>
      </c>
      <c r="B612" s="23">
        <f>'P&amp;L Acumulado'!$G$1</f>
        <v>46053</v>
      </c>
      <c r="C612" s="23">
        <f>'P&amp;L Acumulado'!$I$1</f>
        <v>46112</v>
      </c>
      <c r="D612" s="23">
        <f>'P&amp;L Acumulado'!$I$1</f>
        <v>46112</v>
      </c>
      <c r="E612" t="str">
        <f>TEXT('P&amp;L Acumulado'!$G$1,"mmm/yyyy")&amp;" a "&amp;TEXT('P&amp;L Acumulado'!$I$1,"mmm/yyyy")</f>
        <v>jan/yyyy a mar/yyyy</v>
      </c>
      <c r="F612" t="s">
        <v>609</v>
      </c>
      <c r="G612" t="s">
        <v>96</v>
      </c>
      <c r="H612" t="s">
        <v>557</v>
      </c>
      <c r="I612" s="429">
        <f>'P&amp;L Acumulado'!O12</f>
        <v>140493.64000000618</v>
      </c>
      <c r="J612" t="s">
        <v>1071</v>
      </c>
      <c r="K612" t="s">
        <v>1112</v>
      </c>
      <c r="L612">
        <v>12</v>
      </c>
    </row>
    <row r="613" spans="1:12" ht="18" customHeight="1" x14ac:dyDescent="0.25">
      <c r="A613" t="s">
        <v>1070</v>
      </c>
      <c r="B613" s="23">
        <f>'P&amp;L Acumulado'!$G$1</f>
        <v>46053</v>
      </c>
      <c r="C613" s="23">
        <f>'P&amp;L Acumulado'!$I$1</f>
        <v>46112</v>
      </c>
      <c r="D613" s="23">
        <f>'P&amp;L Acumulado'!$I$1</f>
        <v>46112</v>
      </c>
      <c r="E613" t="str">
        <f>TEXT('P&amp;L Acumulado'!$G$1,"mmm/yyyy")&amp;" a "&amp;TEXT('P&amp;L Acumulado'!$I$1,"mmm/yyyy")</f>
        <v>jan/yyyy a mar/yyyy</v>
      </c>
      <c r="F613" t="s">
        <v>16</v>
      </c>
      <c r="G613" t="s">
        <v>252</v>
      </c>
      <c r="H613" t="s">
        <v>5</v>
      </c>
      <c r="I613" s="429">
        <f>'P&amp;L Acumulado'!C13</f>
        <v>0</v>
      </c>
      <c r="J613" t="s">
        <v>1071</v>
      </c>
      <c r="K613" t="s">
        <v>610</v>
      </c>
      <c r="L613">
        <v>13</v>
      </c>
    </row>
    <row r="614" spans="1:12" ht="18" customHeight="1" x14ac:dyDescent="0.25">
      <c r="A614" t="s">
        <v>1070</v>
      </c>
      <c r="B614" s="23">
        <f>'P&amp;L Acumulado'!$G$1</f>
        <v>46053</v>
      </c>
      <c r="C614" s="23">
        <f>'P&amp;L Acumulado'!$I$1</f>
        <v>46112</v>
      </c>
      <c r="D614" s="23">
        <f>'P&amp;L Acumulado'!$I$1</f>
        <v>46112</v>
      </c>
      <c r="E614" t="str">
        <f>TEXT('P&amp;L Acumulado'!$G$1,"mmm/yyyy")&amp;" a "&amp;TEXT('P&amp;L Acumulado'!$I$1,"mmm/yyyy")</f>
        <v>jan/yyyy a mar/yyyy</v>
      </c>
      <c r="F614" t="s">
        <v>16</v>
      </c>
      <c r="G614" t="s">
        <v>252</v>
      </c>
      <c r="H614" t="s">
        <v>6</v>
      </c>
      <c r="I614" s="429">
        <f>'P&amp;L Acumulado'!D13</f>
        <v>0</v>
      </c>
      <c r="J614" t="s">
        <v>1071</v>
      </c>
      <c r="K614" t="s">
        <v>611</v>
      </c>
      <c r="L614">
        <v>13</v>
      </c>
    </row>
    <row r="615" spans="1:12" ht="18" customHeight="1" x14ac:dyDescent="0.25">
      <c r="A615" t="s">
        <v>1070</v>
      </c>
      <c r="B615" s="23">
        <f>'P&amp;L Acumulado'!$G$1</f>
        <v>46053</v>
      </c>
      <c r="C615" s="23">
        <f>'P&amp;L Acumulado'!$I$1</f>
        <v>46112</v>
      </c>
      <c r="D615" s="23">
        <f>'P&amp;L Acumulado'!$I$1</f>
        <v>46112</v>
      </c>
      <c r="E615" t="str">
        <f>TEXT('P&amp;L Acumulado'!$G$1,"mmm/yyyy")&amp;" a "&amp;TEXT('P&amp;L Acumulado'!$I$1,"mmm/yyyy")</f>
        <v>jan/yyyy a mar/yyyy</v>
      </c>
      <c r="F615" t="s">
        <v>16</v>
      </c>
      <c r="G615" t="s">
        <v>252</v>
      </c>
      <c r="H615" t="s">
        <v>549</v>
      </c>
      <c r="I615" s="104" t="str">
        <f>'P&amp;L Acumulado'!E13</f>
        <v>-</v>
      </c>
      <c r="J615" t="s">
        <v>1071</v>
      </c>
      <c r="K615" t="s">
        <v>612</v>
      </c>
      <c r="L615">
        <v>13</v>
      </c>
    </row>
    <row r="616" spans="1:12" ht="18" customHeight="1" x14ac:dyDescent="0.25">
      <c r="A616" t="s">
        <v>1070</v>
      </c>
      <c r="B616" s="23">
        <f>'P&amp;L Acumulado'!$G$1</f>
        <v>46053</v>
      </c>
      <c r="C616" s="23">
        <f>'P&amp;L Acumulado'!$I$1</f>
        <v>46112</v>
      </c>
      <c r="D616" s="23">
        <f>'P&amp;L Acumulado'!$I$1</f>
        <v>46112</v>
      </c>
      <c r="E616" t="str">
        <f>TEXT('P&amp;L Acumulado'!$G$1,"mmm/yyyy")&amp;" a "&amp;TEXT('P&amp;L Acumulado'!$I$1,"mmm/yyyy")</f>
        <v>jan/yyyy a mar/yyyy</v>
      </c>
      <c r="F616" t="s">
        <v>16</v>
      </c>
      <c r="G616" t="s">
        <v>205</v>
      </c>
      <c r="H616" t="s">
        <v>5</v>
      </c>
      <c r="I616" s="429">
        <f>'P&amp;L Acumulado'!F13</f>
        <v>26044.523880000001</v>
      </c>
      <c r="J616" t="s">
        <v>1071</v>
      </c>
      <c r="K616" t="s">
        <v>613</v>
      </c>
      <c r="L616">
        <v>13</v>
      </c>
    </row>
    <row r="617" spans="1:12" ht="18" customHeight="1" x14ac:dyDescent="0.25">
      <c r="A617" t="s">
        <v>1070</v>
      </c>
      <c r="B617" s="23">
        <f>'P&amp;L Acumulado'!$G$1</f>
        <v>46053</v>
      </c>
      <c r="C617" s="23">
        <f>'P&amp;L Acumulado'!$I$1</f>
        <v>46112</v>
      </c>
      <c r="D617" s="23">
        <f>'P&amp;L Acumulado'!$I$1</f>
        <v>46112</v>
      </c>
      <c r="E617" t="str">
        <f>TEXT('P&amp;L Acumulado'!$G$1,"mmm/yyyy")&amp;" a "&amp;TEXT('P&amp;L Acumulado'!$I$1,"mmm/yyyy")</f>
        <v>jan/yyyy a mar/yyyy</v>
      </c>
      <c r="F617" t="s">
        <v>16</v>
      </c>
      <c r="G617" t="s">
        <v>205</v>
      </c>
      <c r="H617" t="s">
        <v>6</v>
      </c>
      <c r="I617" s="429">
        <f>'P&amp;L Acumulado'!G13</f>
        <v>37399.685106382982</v>
      </c>
      <c r="J617" t="s">
        <v>1071</v>
      </c>
      <c r="K617" t="s">
        <v>614</v>
      </c>
      <c r="L617">
        <v>13</v>
      </c>
    </row>
    <row r="618" spans="1:12" ht="18" customHeight="1" x14ac:dyDescent="0.25">
      <c r="A618" t="s">
        <v>1070</v>
      </c>
      <c r="B618" s="23">
        <f>'P&amp;L Acumulado'!$G$1</f>
        <v>46053</v>
      </c>
      <c r="C618" s="23">
        <f>'P&amp;L Acumulado'!$I$1</f>
        <v>46112</v>
      </c>
      <c r="D618" s="23">
        <f>'P&amp;L Acumulado'!$I$1</f>
        <v>46112</v>
      </c>
      <c r="E618" t="str">
        <f>TEXT('P&amp;L Acumulado'!$G$1,"mmm/yyyy")&amp;" a "&amp;TEXT('P&amp;L Acumulado'!$I$1,"mmm/yyyy")</f>
        <v>jan/yyyy a mar/yyyy</v>
      </c>
      <c r="F618" t="s">
        <v>16</v>
      </c>
      <c r="G618" t="s">
        <v>205</v>
      </c>
      <c r="H618" t="s">
        <v>549</v>
      </c>
      <c r="I618" s="104">
        <f>'P&amp;L Acumulado'!H13</f>
        <v>-0.30361649286841197</v>
      </c>
      <c r="J618" t="s">
        <v>1071</v>
      </c>
      <c r="K618" t="s">
        <v>615</v>
      </c>
      <c r="L618">
        <v>13</v>
      </c>
    </row>
    <row r="619" spans="1:12" ht="18" customHeight="1" x14ac:dyDescent="0.25">
      <c r="A619" t="s">
        <v>1070</v>
      </c>
      <c r="B619" s="23">
        <f>'P&amp;L Acumulado'!$G$1</f>
        <v>46053</v>
      </c>
      <c r="C619" s="23">
        <f>'P&amp;L Acumulado'!$I$1</f>
        <v>46112</v>
      </c>
      <c r="D619" s="23">
        <f>'P&amp;L Acumulado'!$I$1</f>
        <v>46112</v>
      </c>
      <c r="E619" t="str">
        <f>TEXT('P&amp;L Acumulado'!$G$1,"mmm/yyyy")&amp;" a "&amp;TEXT('P&amp;L Acumulado'!$I$1,"mmm/yyyy")</f>
        <v>jan/yyyy a mar/yyyy</v>
      </c>
      <c r="F619" t="s">
        <v>16</v>
      </c>
      <c r="G619" t="s">
        <v>220</v>
      </c>
      <c r="H619" t="s">
        <v>5</v>
      </c>
      <c r="I619" s="429">
        <f>'P&amp;L Acumulado'!I13</f>
        <v>35092.856119999997</v>
      </c>
      <c r="J619" t="s">
        <v>1071</v>
      </c>
      <c r="K619" t="s">
        <v>616</v>
      </c>
      <c r="L619">
        <v>13</v>
      </c>
    </row>
    <row r="620" spans="1:12" ht="18" customHeight="1" x14ac:dyDescent="0.25">
      <c r="A620" t="s">
        <v>1070</v>
      </c>
      <c r="B620" s="23">
        <f>'P&amp;L Acumulado'!$G$1</f>
        <v>46053</v>
      </c>
      <c r="C620" s="23">
        <f>'P&amp;L Acumulado'!$I$1</f>
        <v>46112</v>
      </c>
      <c r="D620" s="23">
        <f>'P&amp;L Acumulado'!$I$1</f>
        <v>46112</v>
      </c>
      <c r="E620" t="str">
        <f>TEXT('P&amp;L Acumulado'!$G$1,"mmm/yyyy")&amp;" a "&amp;TEXT('P&amp;L Acumulado'!$I$1,"mmm/yyyy")</f>
        <v>jan/yyyy a mar/yyyy</v>
      </c>
      <c r="F620" t="s">
        <v>16</v>
      </c>
      <c r="G620" t="s">
        <v>220</v>
      </c>
      <c r="H620" t="s">
        <v>6</v>
      </c>
      <c r="I620" s="429">
        <f>'P&amp;L Acumulado'!J13</f>
        <v>50489.574893617013</v>
      </c>
      <c r="J620" t="s">
        <v>1071</v>
      </c>
      <c r="K620" t="s">
        <v>617</v>
      </c>
      <c r="L620">
        <v>13</v>
      </c>
    </row>
    <row r="621" spans="1:12" ht="18" customHeight="1" x14ac:dyDescent="0.25">
      <c r="A621" t="s">
        <v>1070</v>
      </c>
      <c r="B621" s="23">
        <f>'P&amp;L Acumulado'!$G$1</f>
        <v>46053</v>
      </c>
      <c r="C621" s="23">
        <f>'P&amp;L Acumulado'!$I$1</f>
        <v>46112</v>
      </c>
      <c r="D621" s="23">
        <f>'P&amp;L Acumulado'!$I$1</f>
        <v>46112</v>
      </c>
      <c r="E621" t="str">
        <f>TEXT('P&amp;L Acumulado'!$G$1,"mmm/yyyy")&amp;" a "&amp;TEXT('P&amp;L Acumulado'!$I$1,"mmm/yyyy")</f>
        <v>jan/yyyy a mar/yyyy</v>
      </c>
      <c r="F621" t="s">
        <v>16</v>
      </c>
      <c r="G621" t="s">
        <v>220</v>
      </c>
      <c r="H621" t="s">
        <v>549</v>
      </c>
      <c r="I621" s="104">
        <f>'P&amp;L Acumulado'!K13</f>
        <v>-0.30494847314635443</v>
      </c>
      <c r="J621" t="s">
        <v>1071</v>
      </c>
      <c r="K621" t="s">
        <v>618</v>
      </c>
      <c r="L621">
        <v>13</v>
      </c>
    </row>
    <row r="622" spans="1:12" ht="18" customHeight="1" x14ac:dyDescent="0.25">
      <c r="A622" t="s">
        <v>1070</v>
      </c>
      <c r="B622" s="23">
        <f>'P&amp;L Acumulado'!$G$1</f>
        <v>46053</v>
      </c>
      <c r="C622" s="23">
        <f>'P&amp;L Acumulado'!$I$1</f>
        <v>46112</v>
      </c>
      <c r="D622" s="23">
        <f>'P&amp;L Acumulado'!$I$1</f>
        <v>46112</v>
      </c>
      <c r="E622" t="str">
        <f>TEXT('P&amp;L Acumulado'!$G$1,"mmm/yyyy")&amp;" a "&amp;TEXT('P&amp;L Acumulado'!$I$1,"mmm/yyyy")</f>
        <v>jan/yyyy a mar/yyyy</v>
      </c>
      <c r="F622" t="s">
        <v>16</v>
      </c>
      <c r="G622" t="s">
        <v>96</v>
      </c>
      <c r="H622" t="s">
        <v>5</v>
      </c>
      <c r="I622" s="429">
        <f>'P&amp;L Acumulado'!L13</f>
        <v>61137.38</v>
      </c>
      <c r="J622" t="s">
        <v>1071</v>
      </c>
      <c r="K622" t="s">
        <v>619</v>
      </c>
      <c r="L622">
        <v>13</v>
      </c>
    </row>
    <row r="623" spans="1:12" ht="18" customHeight="1" x14ac:dyDescent="0.25">
      <c r="A623" t="s">
        <v>1070</v>
      </c>
      <c r="B623" s="23">
        <f>'P&amp;L Acumulado'!$G$1</f>
        <v>46053</v>
      </c>
      <c r="C623" s="23">
        <f>'P&amp;L Acumulado'!$I$1</f>
        <v>46112</v>
      </c>
      <c r="D623" s="23">
        <f>'P&amp;L Acumulado'!$I$1</f>
        <v>46112</v>
      </c>
      <c r="E623" t="str">
        <f>TEXT('P&amp;L Acumulado'!$G$1,"mmm/yyyy")&amp;" a "&amp;TEXT('P&amp;L Acumulado'!$I$1,"mmm/yyyy")</f>
        <v>jan/yyyy a mar/yyyy</v>
      </c>
      <c r="F623" t="s">
        <v>16</v>
      </c>
      <c r="G623" t="s">
        <v>96</v>
      </c>
      <c r="H623" t="s">
        <v>6</v>
      </c>
      <c r="I623" s="429">
        <f>'P&amp;L Acumulado'!M13</f>
        <v>87889.26</v>
      </c>
      <c r="J623" t="s">
        <v>1071</v>
      </c>
      <c r="K623" t="s">
        <v>1113</v>
      </c>
      <c r="L623">
        <v>13</v>
      </c>
    </row>
    <row r="624" spans="1:12" ht="18" customHeight="1" x14ac:dyDescent="0.25">
      <c r="A624" t="s">
        <v>1070</v>
      </c>
      <c r="B624" s="23">
        <f>'P&amp;L Acumulado'!$G$1</f>
        <v>46053</v>
      </c>
      <c r="C624" s="23">
        <f>'P&amp;L Acumulado'!$I$1</f>
        <v>46112</v>
      </c>
      <c r="D624" s="23">
        <f>'P&amp;L Acumulado'!$I$1</f>
        <v>46112</v>
      </c>
      <c r="E624" t="str">
        <f>TEXT('P&amp;L Acumulado'!$G$1,"mmm/yyyy")&amp;" a "&amp;TEXT('P&amp;L Acumulado'!$I$1,"mmm/yyyy")</f>
        <v>jan/yyyy a mar/yyyy</v>
      </c>
      <c r="F624" t="s">
        <v>16</v>
      </c>
      <c r="G624" t="s">
        <v>96</v>
      </c>
      <c r="H624" t="s">
        <v>549</v>
      </c>
      <c r="I624" s="104">
        <f>'P&amp;L Acumulado'!N13</f>
        <v>-0.30438167302808106</v>
      </c>
      <c r="J624" t="s">
        <v>1071</v>
      </c>
      <c r="K624" t="s">
        <v>1114</v>
      </c>
      <c r="L624">
        <v>13</v>
      </c>
    </row>
    <row r="625" spans="1:12" ht="18" customHeight="1" x14ac:dyDescent="0.25">
      <c r="A625" t="s">
        <v>1070</v>
      </c>
      <c r="B625" s="23">
        <f>'P&amp;L Acumulado'!$G$1</f>
        <v>46053</v>
      </c>
      <c r="C625" s="23">
        <f>'P&amp;L Acumulado'!$I$1</f>
        <v>46112</v>
      </c>
      <c r="D625" s="23">
        <f>'P&amp;L Acumulado'!$I$1</f>
        <v>46112</v>
      </c>
      <c r="E625" t="str">
        <f>TEXT('P&amp;L Acumulado'!$G$1,"mmm/yyyy")&amp;" a "&amp;TEXT('P&amp;L Acumulado'!$I$1,"mmm/yyyy")</f>
        <v>jan/yyyy a mar/yyyy</v>
      </c>
      <c r="F625" t="s">
        <v>16</v>
      </c>
      <c r="G625" t="s">
        <v>96</v>
      </c>
      <c r="H625" t="s">
        <v>557</v>
      </c>
      <c r="I625" s="429">
        <f>'P&amp;L Acumulado'!O13</f>
        <v>-26751.879999999997</v>
      </c>
      <c r="J625" t="s">
        <v>1071</v>
      </c>
      <c r="K625" t="s">
        <v>1115</v>
      </c>
      <c r="L625">
        <v>13</v>
      </c>
    </row>
    <row r="626" spans="1:12" ht="18" customHeight="1" x14ac:dyDescent="0.25">
      <c r="A626" t="s">
        <v>1070</v>
      </c>
      <c r="B626" s="23">
        <f>'P&amp;L Acumulado'!$G$1</f>
        <v>46053</v>
      </c>
      <c r="C626" s="23">
        <f>'P&amp;L Acumulado'!$I$1</f>
        <v>46112</v>
      </c>
      <c r="D626" s="23">
        <f>'P&amp;L Acumulado'!$I$1</f>
        <v>46112</v>
      </c>
      <c r="E626" t="str">
        <f>TEXT('P&amp;L Acumulado'!$G$1,"mmm/yyyy")&amp;" a "&amp;TEXT('P&amp;L Acumulado'!$I$1,"mmm/yyyy")</f>
        <v>jan/yyyy a mar/yyyy</v>
      </c>
      <c r="F626" t="s">
        <v>17</v>
      </c>
      <c r="G626" t="s">
        <v>252</v>
      </c>
      <c r="H626" t="s">
        <v>5</v>
      </c>
      <c r="I626" s="429">
        <f>'P&amp;L Acumulado'!C14</f>
        <v>0</v>
      </c>
      <c r="J626" t="s">
        <v>1071</v>
      </c>
      <c r="K626" t="s">
        <v>620</v>
      </c>
      <c r="L626">
        <v>14</v>
      </c>
    </row>
    <row r="627" spans="1:12" ht="18" customHeight="1" x14ac:dyDescent="0.25">
      <c r="A627" t="s">
        <v>1070</v>
      </c>
      <c r="B627" s="23">
        <f>'P&amp;L Acumulado'!$G$1</f>
        <v>46053</v>
      </c>
      <c r="C627" s="23">
        <f>'P&amp;L Acumulado'!$I$1</f>
        <v>46112</v>
      </c>
      <c r="D627" s="23">
        <f>'P&amp;L Acumulado'!$I$1</f>
        <v>46112</v>
      </c>
      <c r="E627" t="str">
        <f>TEXT('P&amp;L Acumulado'!$G$1,"mmm/yyyy")&amp;" a "&amp;TEXT('P&amp;L Acumulado'!$I$1,"mmm/yyyy")</f>
        <v>jan/yyyy a mar/yyyy</v>
      </c>
      <c r="F627" t="s">
        <v>17</v>
      </c>
      <c r="G627" t="s">
        <v>252</v>
      </c>
      <c r="H627" t="s">
        <v>6</v>
      </c>
      <c r="I627" s="429">
        <f>'P&amp;L Acumulado'!D14</f>
        <v>0</v>
      </c>
      <c r="J627" t="s">
        <v>1071</v>
      </c>
      <c r="K627" t="s">
        <v>621</v>
      </c>
      <c r="L627">
        <v>14</v>
      </c>
    </row>
    <row r="628" spans="1:12" ht="18" customHeight="1" x14ac:dyDescent="0.25">
      <c r="A628" t="s">
        <v>1070</v>
      </c>
      <c r="B628" s="23">
        <f>'P&amp;L Acumulado'!$G$1</f>
        <v>46053</v>
      </c>
      <c r="C628" s="23">
        <f>'P&amp;L Acumulado'!$I$1</f>
        <v>46112</v>
      </c>
      <c r="D628" s="23">
        <f>'P&amp;L Acumulado'!$I$1</f>
        <v>46112</v>
      </c>
      <c r="E628" t="str">
        <f>TEXT('P&amp;L Acumulado'!$G$1,"mmm/yyyy")&amp;" a "&amp;TEXT('P&amp;L Acumulado'!$I$1,"mmm/yyyy")</f>
        <v>jan/yyyy a mar/yyyy</v>
      </c>
      <c r="F628" t="s">
        <v>17</v>
      </c>
      <c r="G628" t="s">
        <v>252</v>
      </c>
      <c r="H628" t="s">
        <v>549</v>
      </c>
      <c r="I628" s="104" t="str">
        <f>'P&amp;L Acumulado'!E14</f>
        <v>-</v>
      </c>
      <c r="J628" t="s">
        <v>1071</v>
      </c>
      <c r="K628" t="s">
        <v>622</v>
      </c>
      <c r="L628">
        <v>14</v>
      </c>
    </row>
    <row r="629" spans="1:12" ht="18" customHeight="1" x14ac:dyDescent="0.25">
      <c r="A629" t="s">
        <v>1070</v>
      </c>
      <c r="B629" s="23">
        <f>'P&amp;L Acumulado'!$G$1</f>
        <v>46053</v>
      </c>
      <c r="C629" s="23">
        <f>'P&amp;L Acumulado'!$I$1</f>
        <v>46112</v>
      </c>
      <c r="D629" s="23">
        <f>'P&amp;L Acumulado'!$I$1</f>
        <v>46112</v>
      </c>
      <c r="E629" t="str">
        <f>TEXT('P&amp;L Acumulado'!$G$1,"mmm/yyyy")&amp;" a "&amp;TEXT('P&amp;L Acumulado'!$I$1,"mmm/yyyy")</f>
        <v>jan/yyyy a mar/yyyy</v>
      </c>
      <c r="F629" t="s">
        <v>17</v>
      </c>
      <c r="G629" t="s">
        <v>205</v>
      </c>
      <c r="H629" t="s">
        <v>5</v>
      </c>
      <c r="I629" s="429">
        <f>'P&amp;L Acumulado'!F14</f>
        <v>0</v>
      </c>
      <c r="J629" t="s">
        <v>1071</v>
      </c>
      <c r="K629" t="s">
        <v>623</v>
      </c>
      <c r="L629">
        <v>14</v>
      </c>
    </row>
    <row r="630" spans="1:12" ht="18" customHeight="1" x14ac:dyDescent="0.25">
      <c r="A630" t="s">
        <v>1070</v>
      </c>
      <c r="B630" s="23">
        <f>'P&amp;L Acumulado'!$G$1</f>
        <v>46053</v>
      </c>
      <c r="C630" s="23">
        <f>'P&amp;L Acumulado'!$I$1</f>
        <v>46112</v>
      </c>
      <c r="D630" s="23">
        <f>'P&amp;L Acumulado'!$I$1</f>
        <v>46112</v>
      </c>
      <c r="E630" t="str">
        <f>TEXT('P&amp;L Acumulado'!$G$1,"mmm/yyyy")&amp;" a "&amp;TEXT('P&amp;L Acumulado'!$I$1,"mmm/yyyy")</f>
        <v>jan/yyyy a mar/yyyy</v>
      </c>
      <c r="F630" t="s">
        <v>17</v>
      </c>
      <c r="G630" t="s">
        <v>205</v>
      </c>
      <c r="H630" t="s">
        <v>6</v>
      </c>
      <c r="I630" s="429">
        <f>'P&amp;L Acumulado'!G14</f>
        <v>0</v>
      </c>
      <c r="J630" t="s">
        <v>1071</v>
      </c>
      <c r="K630" t="s">
        <v>624</v>
      </c>
      <c r="L630">
        <v>14</v>
      </c>
    </row>
    <row r="631" spans="1:12" ht="18" customHeight="1" x14ac:dyDescent="0.25">
      <c r="A631" t="s">
        <v>1070</v>
      </c>
      <c r="B631" s="23">
        <f>'P&amp;L Acumulado'!$G$1</f>
        <v>46053</v>
      </c>
      <c r="C631" s="23">
        <f>'P&amp;L Acumulado'!$I$1</f>
        <v>46112</v>
      </c>
      <c r="D631" s="23">
        <f>'P&amp;L Acumulado'!$I$1</f>
        <v>46112</v>
      </c>
      <c r="E631" t="str">
        <f>TEXT('P&amp;L Acumulado'!$G$1,"mmm/yyyy")&amp;" a "&amp;TEXT('P&amp;L Acumulado'!$I$1,"mmm/yyyy")</f>
        <v>jan/yyyy a mar/yyyy</v>
      </c>
      <c r="F631" t="s">
        <v>17</v>
      </c>
      <c r="G631" t="s">
        <v>205</v>
      </c>
      <c r="H631" t="s">
        <v>549</v>
      </c>
      <c r="I631" s="104" t="str">
        <f>'P&amp;L Acumulado'!H14</f>
        <v>-</v>
      </c>
      <c r="J631" t="s">
        <v>1071</v>
      </c>
      <c r="K631" t="s">
        <v>625</v>
      </c>
      <c r="L631">
        <v>14</v>
      </c>
    </row>
    <row r="632" spans="1:12" ht="18" customHeight="1" x14ac:dyDescent="0.25">
      <c r="A632" t="s">
        <v>1070</v>
      </c>
      <c r="B632" s="23">
        <f>'P&amp;L Acumulado'!$G$1</f>
        <v>46053</v>
      </c>
      <c r="C632" s="23">
        <f>'P&amp;L Acumulado'!$I$1</f>
        <v>46112</v>
      </c>
      <c r="D632" s="23">
        <f>'P&amp;L Acumulado'!$I$1</f>
        <v>46112</v>
      </c>
      <c r="E632" t="str">
        <f>TEXT('P&amp;L Acumulado'!$G$1,"mmm/yyyy")&amp;" a "&amp;TEXT('P&amp;L Acumulado'!$I$1,"mmm/yyyy")</f>
        <v>jan/yyyy a mar/yyyy</v>
      </c>
      <c r="F632" t="s">
        <v>17</v>
      </c>
      <c r="G632" t="s">
        <v>220</v>
      </c>
      <c r="H632" t="s">
        <v>5</v>
      </c>
      <c r="I632" s="429">
        <f>'P&amp;L Acumulado'!I14</f>
        <v>0</v>
      </c>
      <c r="J632" t="s">
        <v>1071</v>
      </c>
      <c r="K632" t="s">
        <v>626</v>
      </c>
      <c r="L632">
        <v>14</v>
      </c>
    </row>
    <row r="633" spans="1:12" ht="18" customHeight="1" x14ac:dyDescent="0.25">
      <c r="A633" t="s">
        <v>1070</v>
      </c>
      <c r="B633" s="23">
        <f>'P&amp;L Acumulado'!$G$1</f>
        <v>46053</v>
      </c>
      <c r="C633" s="23">
        <f>'P&amp;L Acumulado'!$I$1</f>
        <v>46112</v>
      </c>
      <c r="D633" s="23">
        <f>'P&amp;L Acumulado'!$I$1</f>
        <v>46112</v>
      </c>
      <c r="E633" t="str">
        <f>TEXT('P&amp;L Acumulado'!$G$1,"mmm/yyyy")&amp;" a "&amp;TEXT('P&amp;L Acumulado'!$I$1,"mmm/yyyy")</f>
        <v>jan/yyyy a mar/yyyy</v>
      </c>
      <c r="F633" t="s">
        <v>17</v>
      </c>
      <c r="G633" t="s">
        <v>220</v>
      </c>
      <c r="H633" t="s">
        <v>6</v>
      </c>
      <c r="I633" s="429">
        <f>'P&amp;L Acumulado'!J14</f>
        <v>0</v>
      </c>
      <c r="J633" t="s">
        <v>1071</v>
      </c>
      <c r="K633" t="s">
        <v>627</v>
      </c>
      <c r="L633">
        <v>14</v>
      </c>
    </row>
    <row r="634" spans="1:12" ht="18" customHeight="1" x14ac:dyDescent="0.25">
      <c r="A634" t="s">
        <v>1070</v>
      </c>
      <c r="B634" s="23">
        <f>'P&amp;L Acumulado'!$G$1</f>
        <v>46053</v>
      </c>
      <c r="C634" s="23">
        <f>'P&amp;L Acumulado'!$I$1</f>
        <v>46112</v>
      </c>
      <c r="D634" s="23">
        <f>'P&amp;L Acumulado'!$I$1</f>
        <v>46112</v>
      </c>
      <c r="E634" t="str">
        <f>TEXT('P&amp;L Acumulado'!$G$1,"mmm/yyyy")&amp;" a "&amp;TEXT('P&amp;L Acumulado'!$I$1,"mmm/yyyy")</f>
        <v>jan/yyyy a mar/yyyy</v>
      </c>
      <c r="F634" t="s">
        <v>17</v>
      </c>
      <c r="G634" t="s">
        <v>220</v>
      </c>
      <c r="H634" t="s">
        <v>549</v>
      </c>
      <c r="I634" s="104" t="str">
        <f>'P&amp;L Acumulado'!K14</f>
        <v>-</v>
      </c>
      <c r="J634" t="s">
        <v>1071</v>
      </c>
      <c r="K634" t="s">
        <v>628</v>
      </c>
      <c r="L634">
        <v>14</v>
      </c>
    </row>
    <row r="635" spans="1:12" ht="18" customHeight="1" x14ac:dyDescent="0.25">
      <c r="A635" t="s">
        <v>1070</v>
      </c>
      <c r="B635" s="23">
        <f>'P&amp;L Acumulado'!$G$1</f>
        <v>46053</v>
      </c>
      <c r="C635" s="23">
        <f>'P&amp;L Acumulado'!$I$1</f>
        <v>46112</v>
      </c>
      <c r="D635" s="23">
        <f>'P&amp;L Acumulado'!$I$1</f>
        <v>46112</v>
      </c>
      <c r="E635" t="str">
        <f>TEXT('P&amp;L Acumulado'!$G$1,"mmm/yyyy")&amp;" a "&amp;TEXT('P&amp;L Acumulado'!$I$1,"mmm/yyyy")</f>
        <v>jan/yyyy a mar/yyyy</v>
      </c>
      <c r="F635" t="s">
        <v>17</v>
      </c>
      <c r="G635" t="s">
        <v>96</v>
      </c>
      <c r="H635" t="s">
        <v>5</v>
      </c>
      <c r="I635" s="429">
        <f>'P&amp;L Acumulado'!L14</f>
        <v>0</v>
      </c>
      <c r="J635" t="s">
        <v>1071</v>
      </c>
      <c r="K635" t="s">
        <v>629</v>
      </c>
      <c r="L635">
        <v>14</v>
      </c>
    </row>
    <row r="636" spans="1:12" ht="18" customHeight="1" x14ac:dyDescent="0.25">
      <c r="A636" t="s">
        <v>1070</v>
      </c>
      <c r="B636" s="23">
        <f>'P&amp;L Acumulado'!$G$1</f>
        <v>46053</v>
      </c>
      <c r="C636" s="23">
        <f>'P&amp;L Acumulado'!$I$1</f>
        <v>46112</v>
      </c>
      <c r="D636" s="23">
        <f>'P&amp;L Acumulado'!$I$1</f>
        <v>46112</v>
      </c>
      <c r="E636" t="str">
        <f>TEXT('P&amp;L Acumulado'!$G$1,"mmm/yyyy")&amp;" a "&amp;TEXT('P&amp;L Acumulado'!$I$1,"mmm/yyyy")</f>
        <v>jan/yyyy a mar/yyyy</v>
      </c>
      <c r="F636" t="s">
        <v>17</v>
      </c>
      <c r="G636" t="s">
        <v>96</v>
      </c>
      <c r="H636" t="s">
        <v>6</v>
      </c>
      <c r="I636" s="429">
        <f>'P&amp;L Acumulado'!M14</f>
        <v>0</v>
      </c>
      <c r="J636" t="s">
        <v>1071</v>
      </c>
      <c r="K636" t="s">
        <v>1116</v>
      </c>
      <c r="L636">
        <v>14</v>
      </c>
    </row>
    <row r="637" spans="1:12" ht="18" customHeight="1" x14ac:dyDescent="0.25">
      <c r="A637" t="s">
        <v>1070</v>
      </c>
      <c r="B637" s="23">
        <f>'P&amp;L Acumulado'!$G$1</f>
        <v>46053</v>
      </c>
      <c r="C637" s="23">
        <f>'P&amp;L Acumulado'!$I$1</f>
        <v>46112</v>
      </c>
      <c r="D637" s="23">
        <f>'P&amp;L Acumulado'!$I$1</f>
        <v>46112</v>
      </c>
      <c r="E637" t="str">
        <f>TEXT('P&amp;L Acumulado'!$G$1,"mmm/yyyy")&amp;" a "&amp;TEXT('P&amp;L Acumulado'!$I$1,"mmm/yyyy")</f>
        <v>jan/yyyy a mar/yyyy</v>
      </c>
      <c r="F637" t="s">
        <v>17</v>
      </c>
      <c r="G637" t="s">
        <v>96</v>
      </c>
      <c r="H637" t="s">
        <v>549</v>
      </c>
      <c r="I637" s="104" t="str">
        <f>'P&amp;L Acumulado'!N14</f>
        <v>-</v>
      </c>
      <c r="J637" t="s">
        <v>1071</v>
      </c>
      <c r="K637" t="s">
        <v>1117</v>
      </c>
      <c r="L637">
        <v>14</v>
      </c>
    </row>
    <row r="638" spans="1:12" ht="18" customHeight="1" x14ac:dyDescent="0.25">
      <c r="A638" t="s">
        <v>1070</v>
      </c>
      <c r="B638" s="23">
        <f>'P&amp;L Acumulado'!$G$1</f>
        <v>46053</v>
      </c>
      <c r="C638" s="23">
        <f>'P&amp;L Acumulado'!$I$1</f>
        <v>46112</v>
      </c>
      <c r="D638" s="23">
        <f>'P&amp;L Acumulado'!$I$1</f>
        <v>46112</v>
      </c>
      <c r="E638" t="str">
        <f>TEXT('P&amp;L Acumulado'!$G$1,"mmm/yyyy")&amp;" a "&amp;TEXT('P&amp;L Acumulado'!$I$1,"mmm/yyyy")</f>
        <v>jan/yyyy a mar/yyyy</v>
      </c>
      <c r="F638" t="s">
        <v>17</v>
      </c>
      <c r="G638" t="s">
        <v>96</v>
      </c>
      <c r="H638" t="s">
        <v>557</v>
      </c>
      <c r="I638" s="429">
        <f>'P&amp;L Acumulado'!O14</f>
        <v>0</v>
      </c>
      <c r="J638" t="s">
        <v>1071</v>
      </c>
      <c r="K638" t="s">
        <v>1118</v>
      </c>
      <c r="L638">
        <v>14</v>
      </c>
    </row>
    <row r="639" spans="1:12" ht="18" customHeight="1" x14ac:dyDescent="0.25">
      <c r="A639" t="s">
        <v>1070</v>
      </c>
      <c r="B639" s="23">
        <f>'P&amp;L Acumulado'!$G$1</f>
        <v>46053</v>
      </c>
      <c r="C639" s="23">
        <f>'P&amp;L Acumulado'!$I$1</f>
        <v>46112</v>
      </c>
      <c r="D639" s="23">
        <f>'P&amp;L Acumulado'!$I$1</f>
        <v>46112</v>
      </c>
      <c r="E639" t="str">
        <f>TEXT('P&amp;L Acumulado'!$G$1,"mmm/yyyy")&amp;" a "&amp;TEXT('P&amp;L Acumulado'!$I$1,"mmm/yyyy")</f>
        <v>jan/yyyy a mar/yyyy</v>
      </c>
      <c r="F639" t="s">
        <v>18</v>
      </c>
      <c r="G639" t="s">
        <v>252</v>
      </c>
      <c r="H639" t="s">
        <v>5</v>
      </c>
      <c r="I639" s="429">
        <f>'P&amp;L Acumulado'!C15</f>
        <v>0</v>
      </c>
      <c r="J639" t="s">
        <v>1071</v>
      </c>
      <c r="K639" t="s">
        <v>630</v>
      </c>
      <c r="L639">
        <v>15</v>
      </c>
    </row>
    <row r="640" spans="1:12" ht="18" customHeight="1" x14ac:dyDescent="0.25">
      <c r="A640" t="s">
        <v>1070</v>
      </c>
      <c r="B640" s="23">
        <f>'P&amp;L Acumulado'!$G$1</f>
        <v>46053</v>
      </c>
      <c r="C640" s="23">
        <f>'P&amp;L Acumulado'!$I$1</f>
        <v>46112</v>
      </c>
      <c r="D640" s="23">
        <f>'P&amp;L Acumulado'!$I$1</f>
        <v>46112</v>
      </c>
      <c r="E640" t="str">
        <f>TEXT('P&amp;L Acumulado'!$G$1,"mmm/yyyy")&amp;" a "&amp;TEXT('P&amp;L Acumulado'!$I$1,"mmm/yyyy")</f>
        <v>jan/yyyy a mar/yyyy</v>
      </c>
      <c r="F640" t="s">
        <v>18</v>
      </c>
      <c r="G640" t="s">
        <v>252</v>
      </c>
      <c r="H640" t="s">
        <v>6</v>
      </c>
      <c r="I640" s="429">
        <f>'P&amp;L Acumulado'!D15</f>
        <v>0</v>
      </c>
      <c r="J640" t="s">
        <v>1071</v>
      </c>
      <c r="K640" t="s">
        <v>631</v>
      </c>
      <c r="L640">
        <v>15</v>
      </c>
    </row>
    <row r="641" spans="1:12" ht="18" customHeight="1" x14ac:dyDescent="0.25">
      <c r="A641" t="s">
        <v>1070</v>
      </c>
      <c r="B641" s="23">
        <f>'P&amp;L Acumulado'!$G$1</f>
        <v>46053</v>
      </c>
      <c r="C641" s="23">
        <f>'P&amp;L Acumulado'!$I$1</f>
        <v>46112</v>
      </c>
      <c r="D641" s="23">
        <f>'P&amp;L Acumulado'!$I$1</f>
        <v>46112</v>
      </c>
      <c r="E641" t="str">
        <f>TEXT('P&amp;L Acumulado'!$G$1,"mmm/yyyy")&amp;" a "&amp;TEXT('P&amp;L Acumulado'!$I$1,"mmm/yyyy")</f>
        <v>jan/yyyy a mar/yyyy</v>
      </c>
      <c r="F641" t="s">
        <v>18</v>
      </c>
      <c r="G641" t="s">
        <v>252</v>
      </c>
      <c r="H641" t="s">
        <v>549</v>
      </c>
      <c r="I641" s="104" t="str">
        <f>'P&amp;L Acumulado'!E15</f>
        <v>-</v>
      </c>
      <c r="J641" t="s">
        <v>1071</v>
      </c>
      <c r="K641" t="s">
        <v>632</v>
      </c>
      <c r="L641">
        <v>15</v>
      </c>
    </row>
    <row r="642" spans="1:12" ht="18" customHeight="1" x14ac:dyDescent="0.25">
      <c r="A642" t="s">
        <v>1070</v>
      </c>
      <c r="B642" s="23">
        <f>'P&amp;L Acumulado'!$G$1</f>
        <v>46053</v>
      </c>
      <c r="C642" s="23">
        <f>'P&amp;L Acumulado'!$I$1</f>
        <v>46112</v>
      </c>
      <c r="D642" s="23">
        <f>'P&amp;L Acumulado'!$I$1</f>
        <v>46112</v>
      </c>
      <c r="E642" t="str">
        <f>TEXT('P&amp;L Acumulado'!$G$1,"mmm/yyyy")&amp;" a "&amp;TEXT('P&amp;L Acumulado'!$I$1,"mmm/yyyy")</f>
        <v>jan/yyyy a mar/yyyy</v>
      </c>
      <c r="F642" t="s">
        <v>18</v>
      </c>
      <c r="G642" t="s">
        <v>205</v>
      </c>
      <c r="H642" t="s">
        <v>5</v>
      </c>
      <c r="I642" s="429">
        <f>'P&amp;L Acumulado'!F15</f>
        <v>0</v>
      </c>
      <c r="J642" t="s">
        <v>1071</v>
      </c>
      <c r="K642" t="s">
        <v>633</v>
      </c>
      <c r="L642">
        <v>15</v>
      </c>
    </row>
    <row r="643" spans="1:12" ht="18" customHeight="1" x14ac:dyDescent="0.25">
      <c r="A643" t="s">
        <v>1070</v>
      </c>
      <c r="B643" s="23">
        <f>'P&amp;L Acumulado'!$G$1</f>
        <v>46053</v>
      </c>
      <c r="C643" s="23">
        <f>'P&amp;L Acumulado'!$I$1</f>
        <v>46112</v>
      </c>
      <c r="D643" s="23">
        <f>'P&amp;L Acumulado'!$I$1</f>
        <v>46112</v>
      </c>
      <c r="E643" t="str">
        <f>TEXT('P&amp;L Acumulado'!$G$1,"mmm/yyyy")&amp;" a "&amp;TEXT('P&amp;L Acumulado'!$I$1,"mmm/yyyy")</f>
        <v>jan/yyyy a mar/yyyy</v>
      </c>
      <c r="F643" t="s">
        <v>18</v>
      </c>
      <c r="G643" t="s">
        <v>205</v>
      </c>
      <c r="H643" t="s">
        <v>6</v>
      </c>
      <c r="I643" s="429">
        <f>'P&amp;L Acumulado'!G15</f>
        <v>0</v>
      </c>
      <c r="J643" t="s">
        <v>1071</v>
      </c>
      <c r="K643" t="s">
        <v>634</v>
      </c>
      <c r="L643">
        <v>15</v>
      </c>
    </row>
    <row r="644" spans="1:12" ht="18" customHeight="1" x14ac:dyDescent="0.25">
      <c r="A644" t="s">
        <v>1070</v>
      </c>
      <c r="B644" s="23">
        <f>'P&amp;L Acumulado'!$G$1</f>
        <v>46053</v>
      </c>
      <c r="C644" s="23">
        <f>'P&amp;L Acumulado'!$I$1</f>
        <v>46112</v>
      </c>
      <c r="D644" s="23">
        <f>'P&amp;L Acumulado'!$I$1</f>
        <v>46112</v>
      </c>
      <c r="E644" t="str">
        <f>TEXT('P&amp;L Acumulado'!$G$1,"mmm/yyyy")&amp;" a "&amp;TEXT('P&amp;L Acumulado'!$I$1,"mmm/yyyy")</f>
        <v>jan/yyyy a mar/yyyy</v>
      </c>
      <c r="F644" t="s">
        <v>18</v>
      </c>
      <c r="G644" t="s">
        <v>205</v>
      </c>
      <c r="H644" t="s">
        <v>549</v>
      </c>
      <c r="I644" s="104" t="str">
        <f>'P&amp;L Acumulado'!H15</f>
        <v>-</v>
      </c>
      <c r="J644" t="s">
        <v>1071</v>
      </c>
      <c r="K644" t="s">
        <v>635</v>
      </c>
      <c r="L644">
        <v>15</v>
      </c>
    </row>
    <row r="645" spans="1:12" ht="18" customHeight="1" x14ac:dyDescent="0.25">
      <c r="A645" t="s">
        <v>1070</v>
      </c>
      <c r="B645" s="23">
        <f>'P&amp;L Acumulado'!$G$1</f>
        <v>46053</v>
      </c>
      <c r="C645" s="23">
        <f>'P&amp;L Acumulado'!$I$1</f>
        <v>46112</v>
      </c>
      <c r="D645" s="23">
        <f>'P&amp;L Acumulado'!$I$1</f>
        <v>46112</v>
      </c>
      <c r="E645" t="str">
        <f>TEXT('P&amp;L Acumulado'!$G$1,"mmm/yyyy")&amp;" a "&amp;TEXT('P&amp;L Acumulado'!$I$1,"mmm/yyyy")</f>
        <v>jan/yyyy a mar/yyyy</v>
      </c>
      <c r="F645" t="s">
        <v>18</v>
      </c>
      <c r="G645" t="s">
        <v>220</v>
      </c>
      <c r="H645" t="s">
        <v>5</v>
      </c>
      <c r="I645" s="429">
        <f>'P&amp;L Acumulado'!I15</f>
        <v>688761.49</v>
      </c>
      <c r="J645" t="s">
        <v>1071</v>
      </c>
      <c r="K645" t="s">
        <v>636</v>
      </c>
      <c r="L645">
        <v>15</v>
      </c>
    </row>
    <row r="646" spans="1:12" ht="18" customHeight="1" x14ac:dyDescent="0.25">
      <c r="A646" t="s">
        <v>1070</v>
      </c>
      <c r="B646" s="23">
        <f>'P&amp;L Acumulado'!$G$1</f>
        <v>46053</v>
      </c>
      <c r="C646" s="23">
        <f>'P&amp;L Acumulado'!$I$1</f>
        <v>46112</v>
      </c>
      <c r="D646" s="23">
        <f>'P&amp;L Acumulado'!$I$1</f>
        <v>46112</v>
      </c>
      <c r="E646" t="str">
        <f>TEXT('P&amp;L Acumulado'!$G$1,"mmm/yyyy")&amp;" a "&amp;TEXT('P&amp;L Acumulado'!$I$1,"mmm/yyyy")</f>
        <v>jan/yyyy a mar/yyyy</v>
      </c>
      <c r="F646" t="s">
        <v>18</v>
      </c>
      <c r="G646" t="s">
        <v>220</v>
      </c>
      <c r="H646" t="s">
        <v>6</v>
      </c>
      <c r="I646" s="429">
        <f>'P&amp;L Acumulado'!J15</f>
        <v>929808.67500000005</v>
      </c>
      <c r="J646" t="s">
        <v>1071</v>
      </c>
      <c r="K646" t="s">
        <v>637</v>
      </c>
      <c r="L646">
        <v>15</v>
      </c>
    </row>
    <row r="647" spans="1:12" ht="18" customHeight="1" x14ac:dyDescent="0.25">
      <c r="A647" t="s">
        <v>1070</v>
      </c>
      <c r="B647" s="23">
        <f>'P&amp;L Acumulado'!$G$1</f>
        <v>46053</v>
      </c>
      <c r="C647" s="23">
        <f>'P&amp;L Acumulado'!$I$1</f>
        <v>46112</v>
      </c>
      <c r="D647" s="23">
        <f>'P&amp;L Acumulado'!$I$1</f>
        <v>46112</v>
      </c>
      <c r="E647" t="str">
        <f>TEXT('P&amp;L Acumulado'!$G$1,"mmm/yyyy")&amp;" a "&amp;TEXT('P&amp;L Acumulado'!$I$1,"mmm/yyyy")</f>
        <v>jan/yyyy a mar/yyyy</v>
      </c>
      <c r="F647" t="s">
        <v>18</v>
      </c>
      <c r="G647" t="s">
        <v>220</v>
      </c>
      <c r="H647" t="s">
        <v>549</v>
      </c>
      <c r="I647" s="104">
        <f>'P&amp;L Acumulado'!K15</f>
        <v>-0.25924385465644317</v>
      </c>
      <c r="J647" t="s">
        <v>1071</v>
      </c>
      <c r="K647" t="s">
        <v>638</v>
      </c>
      <c r="L647">
        <v>15</v>
      </c>
    </row>
    <row r="648" spans="1:12" ht="18" customHeight="1" x14ac:dyDescent="0.25">
      <c r="A648" t="s">
        <v>1070</v>
      </c>
      <c r="B648" s="23">
        <f>'P&amp;L Acumulado'!$G$1</f>
        <v>46053</v>
      </c>
      <c r="C648" s="23">
        <f>'P&amp;L Acumulado'!$I$1</f>
        <v>46112</v>
      </c>
      <c r="D648" s="23">
        <f>'P&amp;L Acumulado'!$I$1</f>
        <v>46112</v>
      </c>
      <c r="E648" t="str">
        <f>TEXT('P&amp;L Acumulado'!$G$1,"mmm/yyyy")&amp;" a "&amp;TEXT('P&amp;L Acumulado'!$I$1,"mmm/yyyy")</f>
        <v>jan/yyyy a mar/yyyy</v>
      </c>
      <c r="F648" t="s">
        <v>18</v>
      </c>
      <c r="G648" t="s">
        <v>96</v>
      </c>
      <c r="H648" t="s">
        <v>5</v>
      </c>
      <c r="I648" s="429">
        <f>'P&amp;L Acumulado'!L15</f>
        <v>688761.49</v>
      </c>
      <c r="J648" t="s">
        <v>1071</v>
      </c>
      <c r="K648" t="s">
        <v>639</v>
      </c>
      <c r="L648">
        <v>15</v>
      </c>
    </row>
    <row r="649" spans="1:12" ht="18" customHeight="1" x14ac:dyDescent="0.25">
      <c r="A649" t="s">
        <v>1070</v>
      </c>
      <c r="B649" s="23">
        <f>'P&amp;L Acumulado'!$G$1</f>
        <v>46053</v>
      </c>
      <c r="C649" s="23">
        <f>'P&amp;L Acumulado'!$I$1</f>
        <v>46112</v>
      </c>
      <c r="D649" s="23">
        <f>'P&amp;L Acumulado'!$I$1</f>
        <v>46112</v>
      </c>
      <c r="E649" t="str">
        <f>TEXT('P&amp;L Acumulado'!$G$1,"mmm/yyyy")&amp;" a "&amp;TEXT('P&amp;L Acumulado'!$I$1,"mmm/yyyy")</f>
        <v>jan/yyyy a mar/yyyy</v>
      </c>
      <c r="F649" t="s">
        <v>18</v>
      </c>
      <c r="G649" t="s">
        <v>96</v>
      </c>
      <c r="H649" t="s">
        <v>6</v>
      </c>
      <c r="I649" s="429">
        <f>'P&amp;L Acumulado'!M15</f>
        <v>929808.67500000005</v>
      </c>
      <c r="J649" t="s">
        <v>1071</v>
      </c>
      <c r="K649" t="s">
        <v>1119</v>
      </c>
      <c r="L649">
        <v>15</v>
      </c>
    </row>
    <row r="650" spans="1:12" ht="18" customHeight="1" x14ac:dyDescent="0.25">
      <c r="A650" t="s">
        <v>1070</v>
      </c>
      <c r="B650" s="23">
        <f>'P&amp;L Acumulado'!$G$1</f>
        <v>46053</v>
      </c>
      <c r="C650" s="23">
        <f>'P&amp;L Acumulado'!$I$1</f>
        <v>46112</v>
      </c>
      <c r="D650" s="23">
        <f>'P&amp;L Acumulado'!$I$1</f>
        <v>46112</v>
      </c>
      <c r="E650" t="str">
        <f>TEXT('P&amp;L Acumulado'!$G$1,"mmm/yyyy")&amp;" a "&amp;TEXT('P&amp;L Acumulado'!$I$1,"mmm/yyyy")</f>
        <v>jan/yyyy a mar/yyyy</v>
      </c>
      <c r="F650" t="s">
        <v>18</v>
      </c>
      <c r="G650" t="s">
        <v>96</v>
      </c>
      <c r="H650" t="s">
        <v>549</v>
      </c>
      <c r="I650" s="104">
        <f>'P&amp;L Acumulado'!N15</f>
        <v>-0.25924385465644317</v>
      </c>
      <c r="J650" t="s">
        <v>1071</v>
      </c>
      <c r="K650" t="s">
        <v>1120</v>
      </c>
      <c r="L650">
        <v>15</v>
      </c>
    </row>
    <row r="651" spans="1:12" ht="18" customHeight="1" x14ac:dyDescent="0.25">
      <c r="A651" t="s">
        <v>1070</v>
      </c>
      <c r="B651" s="23">
        <f>'P&amp;L Acumulado'!$G$1</f>
        <v>46053</v>
      </c>
      <c r="C651" s="23">
        <f>'P&amp;L Acumulado'!$I$1</f>
        <v>46112</v>
      </c>
      <c r="D651" s="23">
        <f>'P&amp;L Acumulado'!$I$1</f>
        <v>46112</v>
      </c>
      <c r="E651" t="str">
        <f>TEXT('P&amp;L Acumulado'!$G$1,"mmm/yyyy")&amp;" a "&amp;TEXT('P&amp;L Acumulado'!$I$1,"mmm/yyyy")</f>
        <v>jan/yyyy a mar/yyyy</v>
      </c>
      <c r="F651" t="s">
        <v>18</v>
      </c>
      <c r="G651" t="s">
        <v>96</v>
      </c>
      <c r="H651" t="s">
        <v>557</v>
      </c>
      <c r="I651" s="429">
        <f>'P&amp;L Acumulado'!O15</f>
        <v>-241047.18500000006</v>
      </c>
      <c r="J651" t="s">
        <v>1071</v>
      </c>
      <c r="K651" t="s">
        <v>1121</v>
      </c>
      <c r="L651">
        <v>15</v>
      </c>
    </row>
    <row r="652" spans="1:12" ht="18" customHeight="1" x14ac:dyDescent="0.25">
      <c r="A652" t="s">
        <v>1070</v>
      </c>
      <c r="B652" s="23">
        <f>'P&amp;L Acumulado'!$G$1</f>
        <v>46053</v>
      </c>
      <c r="C652" s="23">
        <f>'P&amp;L Acumulado'!$I$1</f>
        <v>46112</v>
      </c>
      <c r="D652" s="23">
        <f>'P&amp;L Acumulado'!$I$1</f>
        <v>46112</v>
      </c>
      <c r="E652" t="str">
        <f>TEXT('P&amp;L Acumulado'!$G$1,"mmm/yyyy")&amp;" a "&amp;TEXT('P&amp;L Acumulado'!$I$1,"mmm/yyyy")</f>
        <v>jan/yyyy a mar/yyyy</v>
      </c>
      <c r="F652" t="s">
        <v>206</v>
      </c>
      <c r="G652" t="s">
        <v>252</v>
      </c>
      <c r="H652" t="s">
        <v>5</v>
      </c>
      <c r="I652" s="429">
        <f>'P&amp;L Acumulado'!C16</f>
        <v>0</v>
      </c>
      <c r="J652" t="s">
        <v>1071</v>
      </c>
      <c r="K652" t="s">
        <v>640</v>
      </c>
      <c r="L652">
        <v>16</v>
      </c>
    </row>
    <row r="653" spans="1:12" ht="18" customHeight="1" x14ac:dyDescent="0.25">
      <c r="A653" t="s">
        <v>1070</v>
      </c>
      <c r="B653" s="23">
        <f>'P&amp;L Acumulado'!$G$1</f>
        <v>46053</v>
      </c>
      <c r="C653" s="23">
        <f>'P&amp;L Acumulado'!$I$1</f>
        <v>46112</v>
      </c>
      <c r="D653" s="23">
        <f>'P&amp;L Acumulado'!$I$1</f>
        <v>46112</v>
      </c>
      <c r="E653" t="str">
        <f>TEXT('P&amp;L Acumulado'!$G$1,"mmm/yyyy")&amp;" a "&amp;TEXT('P&amp;L Acumulado'!$I$1,"mmm/yyyy")</f>
        <v>jan/yyyy a mar/yyyy</v>
      </c>
      <c r="F653" t="s">
        <v>206</v>
      </c>
      <c r="G653" t="s">
        <v>252</v>
      </c>
      <c r="H653" t="s">
        <v>6</v>
      </c>
      <c r="I653" s="429">
        <f>'P&amp;L Acumulado'!D16</f>
        <v>0</v>
      </c>
      <c r="J653" t="s">
        <v>1071</v>
      </c>
      <c r="K653" t="s">
        <v>641</v>
      </c>
      <c r="L653">
        <v>16</v>
      </c>
    </row>
    <row r="654" spans="1:12" ht="18" customHeight="1" x14ac:dyDescent="0.25">
      <c r="A654" t="s">
        <v>1070</v>
      </c>
      <c r="B654" s="23">
        <f>'P&amp;L Acumulado'!$G$1</f>
        <v>46053</v>
      </c>
      <c r="C654" s="23">
        <f>'P&amp;L Acumulado'!$I$1</f>
        <v>46112</v>
      </c>
      <c r="D654" s="23">
        <f>'P&amp;L Acumulado'!$I$1</f>
        <v>46112</v>
      </c>
      <c r="E654" t="str">
        <f>TEXT('P&amp;L Acumulado'!$G$1,"mmm/yyyy")&amp;" a "&amp;TEXT('P&amp;L Acumulado'!$I$1,"mmm/yyyy")</f>
        <v>jan/yyyy a mar/yyyy</v>
      </c>
      <c r="F654" t="s">
        <v>206</v>
      </c>
      <c r="G654" t="s">
        <v>252</v>
      </c>
      <c r="H654" t="s">
        <v>549</v>
      </c>
      <c r="I654" s="104" t="str">
        <f>'P&amp;L Acumulado'!E16</f>
        <v>-</v>
      </c>
      <c r="J654" t="s">
        <v>1071</v>
      </c>
      <c r="K654" t="s">
        <v>642</v>
      </c>
      <c r="L654">
        <v>16</v>
      </c>
    </row>
    <row r="655" spans="1:12" ht="18" customHeight="1" x14ac:dyDescent="0.25">
      <c r="A655" t="s">
        <v>1070</v>
      </c>
      <c r="B655" s="23">
        <f>'P&amp;L Acumulado'!$G$1</f>
        <v>46053</v>
      </c>
      <c r="C655" s="23">
        <f>'P&amp;L Acumulado'!$I$1</f>
        <v>46112</v>
      </c>
      <c r="D655" s="23">
        <f>'P&amp;L Acumulado'!$I$1</f>
        <v>46112</v>
      </c>
      <c r="E655" t="str">
        <f>TEXT('P&amp;L Acumulado'!$G$1,"mmm/yyyy")&amp;" a "&amp;TEXT('P&amp;L Acumulado'!$I$1,"mmm/yyyy")</f>
        <v>jan/yyyy a mar/yyyy</v>
      </c>
      <c r="F655" t="s">
        <v>206</v>
      </c>
      <c r="G655" t="s">
        <v>205</v>
      </c>
      <c r="H655" t="s">
        <v>5</v>
      </c>
      <c r="I655" s="429">
        <f>'P&amp;L Acumulado'!F16</f>
        <v>0</v>
      </c>
      <c r="J655" t="s">
        <v>1071</v>
      </c>
      <c r="K655" t="s">
        <v>643</v>
      </c>
      <c r="L655">
        <v>16</v>
      </c>
    </row>
    <row r="656" spans="1:12" ht="18" customHeight="1" x14ac:dyDescent="0.25">
      <c r="A656" t="s">
        <v>1070</v>
      </c>
      <c r="B656" s="23">
        <f>'P&amp;L Acumulado'!$G$1</f>
        <v>46053</v>
      </c>
      <c r="C656" s="23">
        <f>'P&amp;L Acumulado'!$I$1</f>
        <v>46112</v>
      </c>
      <c r="D656" s="23">
        <f>'P&amp;L Acumulado'!$I$1</f>
        <v>46112</v>
      </c>
      <c r="E656" t="str">
        <f>TEXT('P&amp;L Acumulado'!$G$1,"mmm/yyyy")&amp;" a "&amp;TEXT('P&amp;L Acumulado'!$I$1,"mmm/yyyy")</f>
        <v>jan/yyyy a mar/yyyy</v>
      </c>
      <c r="F656" t="s">
        <v>206</v>
      </c>
      <c r="G656" t="s">
        <v>205</v>
      </c>
      <c r="H656" t="s">
        <v>6</v>
      </c>
      <c r="I656" s="429">
        <f>'P&amp;L Acumulado'!G16</f>
        <v>0</v>
      </c>
      <c r="J656" t="s">
        <v>1071</v>
      </c>
      <c r="K656" t="s">
        <v>644</v>
      </c>
      <c r="L656">
        <v>16</v>
      </c>
    </row>
    <row r="657" spans="1:12" ht="18" customHeight="1" x14ac:dyDescent="0.25">
      <c r="A657" t="s">
        <v>1070</v>
      </c>
      <c r="B657" s="23">
        <f>'P&amp;L Acumulado'!$G$1</f>
        <v>46053</v>
      </c>
      <c r="C657" s="23">
        <f>'P&amp;L Acumulado'!$I$1</f>
        <v>46112</v>
      </c>
      <c r="D657" s="23">
        <f>'P&amp;L Acumulado'!$I$1</f>
        <v>46112</v>
      </c>
      <c r="E657" t="str">
        <f>TEXT('P&amp;L Acumulado'!$G$1,"mmm/yyyy")&amp;" a "&amp;TEXT('P&amp;L Acumulado'!$I$1,"mmm/yyyy")</f>
        <v>jan/yyyy a mar/yyyy</v>
      </c>
      <c r="F657" t="s">
        <v>206</v>
      </c>
      <c r="G657" t="s">
        <v>205</v>
      </c>
      <c r="H657" t="s">
        <v>549</v>
      </c>
      <c r="I657" s="104" t="str">
        <f>'P&amp;L Acumulado'!H16</f>
        <v>-</v>
      </c>
      <c r="J657" t="s">
        <v>1071</v>
      </c>
      <c r="K657" t="s">
        <v>645</v>
      </c>
      <c r="L657">
        <v>16</v>
      </c>
    </row>
    <row r="658" spans="1:12" ht="18" customHeight="1" x14ac:dyDescent="0.25">
      <c r="A658" t="s">
        <v>1070</v>
      </c>
      <c r="B658" s="23">
        <f>'P&amp;L Acumulado'!$G$1</f>
        <v>46053</v>
      </c>
      <c r="C658" s="23">
        <f>'P&amp;L Acumulado'!$I$1</f>
        <v>46112</v>
      </c>
      <c r="D658" s="23">
        <f>'P&amp;L Acumulado'!$I$1</f>
        <v>46112</v>
      </c>
      <c r="E658" t="str">
        <f>TEXT('P&amp;L Acumulado'!$G$1,"mmm/yyyy")&amp;" a "&amp;TEXT('P&amp;L Acumulado'!$I$1,"mmm/yyyy")</f>
        <v>jan/yyyy a mar/yyyy</v>
      </c>
      <c r="F658" t="s">
        <v>206</v>
      </c>
      <c r="G658" t="s">
        <v>220</v>
      </c>
      <c r="H658" t="s">
        <v>5</v>
      </c>
      <c r="I658" s="429">
        <f>'P&amp;L Acumulado'!I16</f>
        <v>0</v>
      </c>
      <c r="J658" t="s">
        <v>1071</v>
      </c>
      <c r="K658" t="s">
        <v>646</v>
      </c>
      <c r="L658">
        <v>16</v>
      </c>
    </row>
    <row r="659" spans="1:12" ht="18" customHeight="1" x14ac:dyDescent="0.25">
      <c r="A659" t="s">
        <v>1070</v>
      </c>
      <c r="B659" s="23">
        <f>'P&amp;L Acumulado'!$G$1</f>
        <v>46053</v>
      </c>
      <c r="C659" s="23">
        <f>'P&amp;L Acumulado'!$I$1</f>
        <v>46112</v>
      </c>
      <c r="D659" s="23">
        <f>'P&amp;L Acumulado'!$I$1</f>
        <v>46112</v>
      </c>
      <c r="E659" t="str">
        <f>TEXT('P&amp;L Acumulado'!$G$1,"mmm/yyyy")&amp;" a "&amp;TEXT('P&amp;L Acumulado'!$I$1,"mmm/yyyy")</f>
        <v>jan/yyyy a mar/yyyy</v>
      </c>
      <c r="F659" t="s">
        <v>206</v>
      </c>
      <c r="G659" t="s">
        <v>220</v>
      </c>
      <c r="H659" t="s">
        <v>6</v>
      </c>
      <c r="I659" s="429">
        <f>'P&amp;L Acumulado'!J16</f>
        <v>0</v>
      </c>
      <c r="J659" t="s">
        <v>1071</v>
      </c>
      <c r="K659" t="s">
        <v>647</v>
      </c>
      <c r="L659">
        <v>16</v>
      </c>
    </row>
    <row r="660" spans="1:12" ht="18" customHeight="1" x14ac:dyDescent="0.25">
      <c r="A660" t="s">
        <v>1070</v>
      </c>
      <c r="B660" s="23">
        <f>'P&amp;L Acumulado'!$G$1</f>
        <v>46053</v>
      </c>
      <c r="C660" s="23">
        <f>'P&amp;L Acumulado'!$I$1</f>
        <v>46112</v>
      </c>
      <c r="D660" s="23">
        <f>'P&amp;L Acumulado'!$I$1</f>
        <v>46112</v>
      </c>
      <c r="E660" t="str">
        <f>TEXT('P&amp;L Acumulado'!$G$1,"mmm/yyyy")&amp;" a "&amp;TEXT('P&amp;L Acumulado'!$I$1,"mmm/yyyy")</f>
        <v>jan/yyyy a mar/yyyy</v>
      </c>
      <c r="F660" t="s">
        <v>206</v>
      </c>
      <c r="G660" t="s">
        <v>220</v>
      </c>
      <c r="H660" t="s">
        <v>549</v>
      </c>
      <c r="I660" s="104" t="str">
        <f>'P&amp;L Acumulado'!K16</f>
        <v>-</v>
      </c>
      <c r="J660" t="s">
        <v>1071</v>
      </c>
      <c r="K660" t="s">
        <v>648</v>
      </c>
      <c r="L660">
        <v>16</v>
      </c>
    </row>
    <row r="661" spans="1:12" ht="18" customHeight="1" x14ac:dyDescent="0.25">
      <c r="A661" t="s">
        <v>1070</v>
      </c>
      <c r="B661" s="23">
        <f>'P&amp;L Acumulado'!$G$1</f>
        <v>46053</v>
      </c>
      <c r="C661" s="23">
        <f>'P&amp;L Acumulado'!$I$1</f>
        <v>46112</v>
      </c>
      <c r="D661" s="23">
        <f>'P&amp;L Acumulado'!$I$1</f>
        <v>46112</v>
      </c>
      <c r="E661" t="str">
        <f>TEXT('P&amp;L Acumulado'!$G$1,"mmm/yyyy")&amp;" a "&amp;TEXT('P&amp;L Acumulado'!$I$1,"mmm/yyyy")</f>
        <v>jan/yyyy a mar/yyyy</v>
      </c>
      <c r="F661" t="s">
        <v>206</v>
      </c>
      <c r="G661" t="s">
        <v>96</v>
      </c>
      <c r="H661" t="s">
        <v>5</v>
      </c>
      <c r="I661" s="429">
        <f>'P&amp;L Acumulado'!L16</f>
        <v>0</v>
      </c>
      <c r="J661" t="s">
        <v>1071</v>
      </c>
      <c r="K661" t="s">
        <v>649</v>
      </c>
      <c r="L661">
        <v>16</v>
      </c>
    </row>
    <row r="662" spans="1:12" ht="18" customHeight="1" x14ac:dyDescent="0.25">
      <c r="A662" t="s">
        <v>1070</v>
      </c>
      <c r="B662" s="23">
        <f>'P&amp;L Acumulado'!$G$1</f>
        <v>46053</v>
      </c>
      <c r="C662" s="23">
        <f>'P&amp;L Acumulado'!$I$1</f>
        <v>46112</v>
      </c>
      <c r="D662" s="23">
        <f>'P&amp;L Acumulado'!$I$1</f>
        <v>46112</v>
      </c>
      <c r="E662" t="str">
        <f>TEXT('P&amp;L Acumulado'!$G$1,"mmm/yyyy")&amp;" a "&amp;TEXT('P&amp;L Acumulado'!$I$1,"mmm/yyyy")</f>
        <v>jan/yyyy a mar/yyyy</v>
      </c>
      <c r="F662" t="s">
        <v>206</v>
      </c>
      <c r="G662" t="s">
        <v>96</v>
      </c>
      <c r="H662" t="s">
        <v>6</v>
      </c>
      <c r="I662" s="429">
        <f>'P&amp;L Acumulado'!M16</f>
        <v>0</v>
      </c>
      <c r="J662" t="s">
        <v>1071</v>
      </c>
      <c r="K662" t="s">
        <v>1122</v>
      </c>
      <c r="L662">
        <v>16</v>
      </c>
    </row>
    <row r="663" spans="1:12" ht="18" customHeight="1" x14ac:dyDescent="0.25">
      <c r="A663" t="s">
        <v>1070</v>
      </c>
      <c r="B663" s="23">
        <f>'P&amp;L Acumulado'!$G$1</f>
        <v>46053</v>
      </c>
      <c r="C663" s="23">
        <f>'P&amp;L Acumulado'!$I$1</f>
        <v>46112</v>
      </c>
      <c r="D663" s="23">
        <f>'P&amp;L Acumulado'!$I$1</f>
        <v>46112</v>
      </c>
      <c r="E663" t="str">
        <f>TEXT('P&amp;L Acumulado'!$G$1,"mmm/yyyy")&amp;" a "&amp;TEXT('P&amp;L Acumulado'!$I$1,"mmm/yyyy")</f>
        <v>jan/yyyy a mar/yyyy</v>
      </c>
      <c r="F663" t="s">
        <v>206</v>
      </c>
      <c r="G663" t="s">
        <v>96</v>
      </c>
      <c r="H663" t="s">
        <v>549</v>
      </c>
      <c r="I663" s="104" t="str">
        <f>'P&amp;L Acumulado'!N16</f>
        <v>-</v>
      </c>
      <c r="J663" t="s">
        <v>1071</v>
      </c>
      <c r="K663" t="s">
        <v>1123</v>
      </c>
      <c r="L663">
        <v>16</v>
      </c>
    </row>
    <row r="664" spans="1:12" ht="18" customHeight="1" x14ac:dyDescent="0.25">
      <c r="A664" t="s">
        <v>1070</v>
      </c>
      <c r="B664" s="23">
        <f>'P&amp;L Acumulado'!$G$1</f>
        <v>46053</v>
      </c>
      <c r="C664" s="23">
        <f>'P&amp;L Acumulado'!$I$1</f>
        <v>46112</v>
      </c>
      <c r="D664" s="23">
        <f>'P&amp;L Acumulado'!$I$1</f>
        <v>46112</v>
      </c>
      <c r="E664" t="str">
        <f>TEXT('P&amp;L Acumulado'!$G$1,"mmm/yyyy")&amp;" a "&amp;TEXT('P&amp;L Acumulado'!$I$1,"mmm/yyyy")</f>
        <v>jan/yyyy a mar/yyyy</v>
      </c>
      <c r="F664" t="s">
        <v>206</v>
      </c>
      <c r="G664" t="s">
        <v>96</v>
      </c>
      <c r="H664" t="s">
        <v>557</v>
      </c>
      <c r="I664" s="429">
        <f>'P&amp;L Acumulado'!O16</f>
        <v>0</v>
      </c>
      <c r="J664" t="s">
        <v>1071</v>
      </c>
      <c r="K664" t="s">
        <v>1124</v>
      </c>
      <c r="L664">
        <v>16</v>
      </c>
    </row>
    <row r="665" spans="1:12" ht="18" customHeight="1" x14ac:dyDescent="0.25">
      <c r="A665" t="s">
        <v>1070</v>
      </c>
      <c r="B665" s="23">
        <f>'P&amp;L Acumulado'!$G$1</f>
        <v>46053</v>
      </c>
      <c r="C665" s="23">
        <f>'P&amp;L Acumulado'!$I$1</f>
        <v>46112</v>
      </c>
      <c r="D665" s="23">
        <f>'P&amp;L Acumulado'!$I$1</f>
        <v>46112</v>
      </c>
      <c r="E665" t="str">
        <f>TEXT('P&amp;L Acumulado'!$G$1,"mmm/yyyy")&amp;" a "&amp;TEXT('P&amp;L Acumulado'!$I$1,"mmm/yyyy")</f>
        <v>jan/yyyy a mar/yyyy</v>
      </c>
      <c r="F665" t="s">
        <v>207</v>
      </c>
      <c r="G665" t="s">
        <v>252</v>
      </c>
      <c r="H665" t="s">
        <v>5</v>
      </c>
      <c r="I665" s="429">
        <f>'P&amp;L Acumulado'!C17</f>
        <v>0</v>
      </c>
      <c r="J665" t="s">
        <v>1071</v>
      </c>
      <c r="K665" t="s">
        <v>650</v>
      </c>
      <c r="L665">
        <v>17</v>
      </c>
    </row>
    <row r="666" spans="1:12" ht="18" customHeight="1" x14ac:dyDescent="0.25">
      <c r="A666" t="s">
        <v>1070</v>
      </c>
      <c r="B666" s="23">
        <f>'P&amp;L Acumulado'!$G$1</f>
        <v>46053</v>
      </c>
      <c r="C666" s="23">
        <f>'P&amp;L Acumulado'!$I$1</f>
        <v>46112</v>
      </c>
      <c r="D666" s="23">
        <f>'P&amp;L Acumulado'!$I$1</f>
        <v>46112</v>
      </c>
      <c r="E666" t="str">
        <f>TEXT('P&amp;L Acumulado'!$G$1,"mmm/yyyy")&amp;" a "&amp;TEXT('P&amp;L Acumulado'!$I$1,"mmm/yyyy")</f>
        <v>jan/yyyy a mar/yyyy</v>
      </c>
      <c r="F666" t="s">
        <v>207</v>
      </c>
      <c r="G666" t="s">
        <v>252</v>
      </c>
      <c r="H666" t="s">
        <v>6</v>
      </c>
      <c r="I666" s="429">
        <f>'P&amp;L Acumulado'!D17</f>
        <v>0</v>
      </c>
      <c r="J666" t="s">
        <v>1071</v>
      </c>
      <c r="K666" t="s">
        <v>651</v>
      </c>
      <c r="L666">
        <v>17</v>
      </c>
    </row>
    <row r="667" spans="1:12" ht="18" customHeight="1" x14ac:dyDescent="0.25">
      <c r="A667" t="s">
        <v>1070</v>
      </c>
      <c r="B667" s="23">
        <f>'P&amp;L Acumulado'!$G$1</f>
        <v>46053</v>
      </c>
      <c r="C667" s="23">
        <f>'P&amp;L Acumulado'!$I$1</f>
        <v>46112</v>
      </c>
      <c r="D667" s="23">
        <f>'P&amp;L Acumulado'!$I$1</f>
        <v>46112</v>
      </c>
      <c r="E667" t="str">
        <f>TEXT('P&amp;L Acumulado'!$G$1,"mmm/yyyy")&amp;" a "&amp;TEXT('P&amp;L Acumulado'!$I$1,"mmm/yyyy")</f>
        <v>jan/yyyy a mar/yyyy</v>
      </c>
      <c r="F667" t="s">
        <v>207</v>
      </c>
      <c r="G667" t="s">
        <v>252</v>
      </c>
      <c r="H667" t="s">
        <v>549</v>
      </c>
      <c r="I667" s="104" t="str">
        <f>'P&amp;L Acumulado'!E17</f>
        <v>-</v>
      </c>
      <c r="J667" t="s">
        <v>1071</v>
      </c>
      <c r="K667" t="s">
        <v>652</v>
      </c>
      <c r="L667">
        <v>17</v>
      </c>
    </row>
    <row r="668" spans="1:12" ht="18" customHeight="1" x14ac:dyDescent="0.25">
      <c r="A668" t="s">
        <v>1070</v>
      </c>
      <c r="B668" s="23">
        <f>'P&amp;L Acumulado'!$G$1</f>
        <v>46053</v>
      </c>
      <c r="C668" s="23">
        <f>'P&amp;L Acumulado'!$I$1</f>
        <v>46112</v>
      </c>
      <c r="D668" s="23">
        <f>'P&amp;L Acumulado'!$I$1</f>
        <v>46112</v>
      </c>
      <c r="E668" t="str">
        <f>TEXT('P&amp;L Acumulado'!$G$1,"mmm/yyyy")&amp;" a "&amp;TEXT('P&amp;L Acumulado'!$I$1,"mmm/yyyy")</f>
        <v>jan/yyyy a mar/yyyy</v>
      </c>
      <c r="F668" t="s">
        <v>207</v>
      </c>
      <c r="G668" t="s">
        <v>205</v>
      </c>
      <c r="H668" t="s">
        <v>5</v>
      </c>
      <c r="I668" s="429">
        <f>'P&amp;L Acumulado'!F17</f>
        <v>0</v>
      </c>
      <c r="J668" t="s">
        <v>1071</v>
      </c>
      <c r="K668" t="s">
        <v>653</v>
      </c>
      <c r="L668">
        <v>17</v>
      </c>
    </row>
    <row r="669" spans="1:12" ht="18" customHeight="1" x14ac:dyDescent="0.25">
      <c r="A669" t="s">
        <v>1070</v>
      </c>
      <c r="B669" s="23">
        <f>'P&amp;L Acumulado'!$G$1</f>
        <v>46053</v>
      </c>
      <c r="C669" s="23">
        <f>'P&amp;L Acumulado'!$I$1</f>
        <v>46112</v>
      </c>
      <c r="D669" s="23">
        <f>'P&amp;L Acumulado'!$I$1</f>
        <v>46112</v>
      </c>
      <c r="E669" t="str">
        <f>TEXT('P&amp;L Acumulado'!$G$1,"mmm/yyyy")&amp;" a "&amp;TEXT('P&amp;L Acumulado'!$I$1,"mmm/yyyy")</f>
        <v>jan/yyyy a mar/yyyy</v>
      </c>
      <c r="F669" t="s">
        <v>207</v>
      </c>
      <c r="G669" t="s">
        <v>205</v>
      </c>
      <c r="H669" t="s">
        <v>6</v>
      </c>
      <c r="I669" s="429">
        <f>'P&amp;L Acumulado'!G17</f>
        <v>0</v>
      </c>
      <c r="J669" t="s">
        <v>1071</v>
      </c>
      <c r="K669" t="s">
        <v>654</v>
      </c>
      <c r="L669">
        <v>17</v>
      </c>
    </row>
    <row r="670" spans="1:12" ht="18" customHeight="1" x14ac:dyDescent="0.25">
      <c r="A670" t="s">
        <v>1070</v>
      </c>
      <c r="B670" s="23">
        <f>'P&amp;L Acumulado'!$G$1</f>
        <v>46053</v>
      </c>
      <c r="C670" s="23">
        <f>'P&amp;L Acumulado'!$I$1</f>
        <v>46112</v>
      </c>
      <c r="D670" s="23">
        <f>'P&amp;L Acumulado'!$I$1</f>
        <v>46112</v>
      </c>
      <c r="E670" t="str">
        <f>TEXT('P&amp;L Acumulado'!$G$1,"mmm/yyyy")&amp;" a "&amp;TEXT('P&amp;L Acumulado'!$I$1,"mmm/yyyy")</f>
        <v>jan/yyyy a mar/yyyy</v>
      </c>
      <c r="F670" t="s">
        <v>207</v>
      </c>
      <c r="G670" t="s">
        <v>205</v>
      </c>
      <c r="H670" t="s">
        <v>549</v>
      </c>
      <c r="I670" s="104" t="str">
        <f>'P&amp;L Acumulado'!H17</f>
        <v>-</v>
      </c>
      <c r="J670" t="s">
        <v>1071</v>
      </c>
      <c r="K670" t="s">
        <v>655</v>
      </c>
      <c r="L670">
        <v>17</v>
      </c>
    </row>
    <row r="671" spans="1:12" ht="18" customHeight="1" x14ac:dyDescent="0.25">
      <c r="A671" t="s">
        <v>1070</v>
      </c>
      <c r="B671" s="23">
        <f>'P&amp;L Acumulado'!$G$1</f>
        <v>46053</v>
      </c>
      <c r="C671" s="23">
        <f>'P&amp;L Acumulado'!$I$1</f>
        <v>46112</v>
      </c>
      <c r="D671" s="23">
        <f>'P&amp;L Acumulado'!$I$1</f>
        <v>46112</v>
      </c>
      <c r="E671" t="str">
        <f>TEXT('P&amp;L Acumulado'!$G$1,"mmm/yyyy")&amp;" a "&amp;TEXT('P&amp;L Acumulado'!$I$1,"mmm/yyyy")</f>
        <v>jan/yyyy a mar/yyyy</v>
      </c>
      <c r="F671" t="s">
        <v>207</v>
      </c>
      <c r="G671" t="s">
        <v>220</v>
      </c>
      <c r="H671" t="s">
        <v>5</v>
      </c>
      <c r="I671" s="429">
        <f>'P&amp;L Acumulado'!I17</f>
        <v>0</v>
      </c>
      <c r="J671" t="s">
        <v>1071</v>
      </c>
      <c r="K671" t="s">
        <v>656</v>
      </c>
      <c r="L671">
        <v>17</v>
      </c>
    </row>
    <row r="672" spans="1:12" ht="18" customHeight="1" x14ac:dyDescent="0.25">
      <c r="A672" t="s">
        <v>1070</v>
      </c>
      <c r="B672" s="23">
        <f>'P&amp;L Acumulado'!$G$1</f>
        <v>46053</v>
      </c>
      <c r="C672" s="23">
        <f>'P&amp;L Acumulado'!$I$1</f>
        <v>46112</v>
      </c>
      <c r="D672" s="23">
        <f>'P&amp;L Acumulado'!$I$1</f>
        <v>46112</v>
      </c>
      <c r="E672" t="str">
        <f>TEXT('P&amp;L Acumulado'!$G$1,"mmm/yyyy")&amp;" a "&amp;TEXT('P&amp;L Acumulado'!$I$1,"mmm/yyyy")</f>
        <v>jan/yyyy a mar/yyyy</v>
      </c>
      <c r="F672" t="s">
        <v>207</v>
      </c>
      <c r="G672" t="s">
        <v>220</v>
      </c>
      <c r="H672" t="s">
        <v>6</v>
      </c>
      <c r="I672" s="429">
        <f>'P&amp;L Acumulado'!J17</f>
        <v>0</v>
      </c>
      <c r="J672" t="s">
        <v>1071</v>
      </c>
      <c r="K672" t="s">
        <v>657</v>
      </c>
      <c r="L672">
        <v>17</v>
      </c>
    </row>
    <row r="673" spans="1:12" ht="18" customHeight="1" x14ac:dyDescent="0.25">
      <c r="A673" t="s">
        <v>1070</v>
      </c>
      <c r="B673" s="23">
        <f>'P&amp;L Acumulado'!$G$1</f>
        <v>46053</v>
      </c>
      <c r="C673" s="23">
        <f>'P&amp;L Acumulado'!$I$1</f>
        <v>46112</v>
      </c>
      <c r="D673" s="23">
        <f>'P&amp;L Acumulado'!$I$1</f>
        <v>46112</v>
      </c>
      <c r="E673" t="str">
        <f>TEXT('P&amp;L Acumulado'!$G$1,"mmm/yyyy")&amp;" a "&amp;TEXT('P&amp;L Acumulado'!$I$1,"mmm/yyyy")</f>
        <v>jan/yyyy a mar/yyyy</v>
      </c>
      <c r="F673" t="s">
        <v>207</v>
      </c>
      <c r="G673" t="s">
        <v>220</v>
      </c>
      <c r="H673" t="s">
        <v>549</v>
      </c>
      <c r="I673" s="104" t="str">
        <f>'P&amp;L Acumulado'!K17</f>
        <v>-</v>
      </c>
      <c r="J673" t="s">
        <v>1071</v>
      </c>
      <c r="K673" t="s">
        <v>658</v>
      </c>
      <c r="L673">
        <v>17</v>
      </c>
    </row>
    <row r="674" spans="1:12" ht="18" customHeight="1" x14ac:dyDescent="0.25">
      <c r="A674" t="s">
        <v>1070</v>
      </c>
      <c r="B674" s="23">
        <f>'P&amp;L Acumulado'!$G$1</f>
        <v>46053</v>
      </c>
      <c r="C674" s="23">
        <f>'P&amp;L Acumulado'!$I$1</f>
        <v>46112</v>
      </c>
      <c r="D674" s="23">
        <f>'P&amp;L Acumulado'!$I$1</f>
        <v>46112</v>
      </c>
      <c r="E674" t="str">
        <f>TEXT('P&amp;L Acumulado'!$G$1,"mmm/yyyy")&amp;" a "&amp;TEXT('P&amp;L Acumulado'!$I$1,"mmm/yyyy")</f>
        <v>jan/yyyy a mar/yyyy</v>
      </c>
      <c r="F674" t="s">
        <v>207</v>
      </c>
      <c r="G674" t="s">
        <v>96</v>
      </c>
      <c r="H674" t="s">
        <v>5</v>
      </c>
      <c r="I674" s="429">
        <f>'P&amp;L Acumulado'!L17</f>
        <v>0</v>
      </c>
      <c r="J674" t="s">
        <v>1071</v>
      </c>
      <c r="K674" t="s">
        <v>659</v>
      </c>
      <c r="L674">
        <v>17</v>
      </c>
    </row>
    <row r="675" spans="1:12" ht="18" customHeight="1" x14ac:dyDescent="0.25">
      <c r="A675" t="s">
        <v>1070</v>
      </c>
      <c r="B675" s="23">
        <f>'P&amp;L Acumulado'!$G$1</f>
        <v>46053</v>
      </c>
      <c r="C675" s="23">
        <f>'P&amp;L Acumulado'!$I$1</f>
        <v>46112</v>
      </c>
      <c r="D675" s="23">
        <f>'P&amp;L Acumulado'!$I$1</f>
        <v>46112</v>
      </c>
      <c r="E675" t="str">
        <f>TEXT('P&amp;L Acumulado'!$G$1,"mmm/yyyy")&amp;" a "&amp;TEXT('P&amp;L Acumulado'!$I$1,"mmm/yyyy")</f>
        <v>jan/yyyy a mar/yyyy</v>
      </c>
      <c r="F675" t="s">
        <v>207</v>
      </c>
      <c r="G675" t="s">
        <v>96</v>
      </c>
      <c r="H675" t="s">
        <v>6</v>
      </c>
      <c r="I675" s="429">
        <f>'P&amp;L Acumulado'!M17</f>
        <v>0</v>
      </c>
      <c r="J675" t="s">
        <v>1071</v>
      </c>
      <c r="K675" t="s">
        <v>1125</v>
      </c>
      <c r="L675">
        <v>17</v>
      </c>
    </row>
    <row r="676" spans="1:12" ht="18" customHeight="1" x14ac:dyDescent="0.25">
      <c r="A676" t="s">
        <v>1070</v>
      </c>
      <c r="B676" s="23">
        <f>'P&amp;L Acumulado'!$G$1</f>
        <v>46053</v>
      </c>
      <c r="C676" s="23">
        <f>'P&amp;L Acumulado'!$I$1</f>
        <v>46112</v>
      </c>
      <c r="D676" s="23">
        <f>'P&amp;L Acumulado'!$I$1</f>
        <v>46112</v>
      </c>
      <c r="E676" t="str">
        <f>TEXT('P&amp;L Acumulado'!$G$1,"mmm/yyyy")&amp;" a "&amp;TEXT('P&amp;L Acumulado'!$I$1,"mmm/yyyy")</f>
        <v>jan/yyyy a mar/yyyy</v>
      </c>
      <c r="F676" t="s">
        <v>207</v>
      </c>
      <c r="G676" t="s">
        <v>96</v>
      </c>
      <c r="H676" t="s">
        <v>549</v>
      </c>
      <c r="I676" s="104" t="str">
        <f>'P&amp;L Acumulado'!N17</f>
        <v>-</v>
      </c>
      <c r="J676" t="s">
        <v>1071</v>
      </c>
      <c r="K676" t="s">
        <v>1126</v>
      </c>
      <c r="L676">
        <v>17</v>
      </c>
    </row>
    <row r="677" spans="1:12" ht="18" customHeight="1" x14ac:dyDescent="0.25">
      <c r="A677" t="s">
        <v>1070</v>
      </c>
      <c r="B677" s="23">
        <f>'P&amp;L Acumulado'!$G$1</f>
        <v>46053</v>
      </c>
      <c r="C677" s="23">
        <f>'P&amp;L Acumulado'!$I$1</f>
        <v>46112</v>
      </c>
      <c r="D677" s="23">
        <f>'P&amp;L Acumulado'!$I$1</f>
        <v>46112</v>
      </c>
      <c r="E677" t="str">
        <f>TEXT('P&amp;L Acumulado'!$G$1,"mmm/yyyy")&amp;" a "&amp;TEXT('P&amp;L Acumulado'!$I$1,"mmm/yyyy")</f>
        <v>jan/yyyy a mar/yyyy</v>
      </c>
      <c r="F677" t="s">
        <v>207</v>
      </c>
      <c r="G677" t="s">
        <v>96</v>
      </c>
      <c r="H677" t="s">
        <v>557</v>
      </c>
      <c r="I677" s="429">
        <f>'P&amp;L Acumulado'!O17</f>
        <v>0</v>
      </c>
      <c r="J677" t="s">
        <v>1071</v>
      </c>
      <c r="K677" t="s">
        <v>1127</v>
      </c>
      <c r="L677">
        <v>17</v>
      </c>
    </row>
    <row r="678" spans="1:12" ht="18" customHeight="1" x14ac:dyDescent="0.25">
      <c r="A678" t="s">
        <v>1070</v>
      </c>
      <c r="B678" s="23">
        <f>'P&amp;L Acumulado'!$G$1</f>
        <v>46053</v>
      </c>
      <c r="C678" s="23">
        <f>'P&amp;L Acumulado'!$I$1</f>
        <v>46112</v>
      </c>
      <c r="D678" s="23">
        <f>'P&amp;L Acumulado'!$I$1</f>
        <v>46112</v>
      </c>
      <c r="E678" t="str">
        <f>TEXT('P&amp;L Acumulado'!$G$1,"mmm/yyyy")&amp;" a "&amp;TEXT('P&amp;L Acumulado'!$I$1,"mmm/yyyy")</f>
        <v>jan/yyyy a mar/yyyy</v>
      </c>
      <c r="F678" t="s">
        <v>208</v>
      </c>
      <c r="G678" t="s">
        <v>252</v>
      </c>
      <c r="H678" t="s">
        <v>5</v>
      </c>
      <c r="I678" s="429">
        <f>'P&amp;L Acumulado'!C18</f>
        <v>0</v>
      </c>
      <c r="J678" t="s">
        <v>1071</v>
      </c>
      <c r="K678" t="s">
        <v>660</v>
      </c>
      <c r="L678">
        <v>18</v>
      </c>
    </row>
    <row r="679" spans="1:12" ht="18" customHeight="1" x14ac:dyDescent="0.25">
      <c r="A679" t="s">
        <v>1070</v>
      </c>
      <c r="B679" s="23">
        <f>'P&amp;L Acumulado'!$G$1</f>
        <v>46053</v>
      </c>
      <c r="C679" s="23">
        <f>'P&amp;L Acumulado'!$I$1</f>
        <v>46112</v>
      </c>
      <c r="D679" s="23">
        <f>'P&amp;L Acumulado'!$I$1</f>
        <v>46112</v>
      </c>
      <c r="E679" t="str">
        <f>TEXT('P&amp;L Acumulado'!$G$1,"mmm/yyyy")&amp;" a "&amp;TEXT('P&amp;L Acumulado'!$I$1,"mmm/yyyy")</f>
        <v>jan/yyyy a mar/yyyy</v>
      </c>
      <c r="F679" t="s">
        <v>208</v>
      </c>
      <c r="G679" t="s">
        <v>252</v>
      </c>
      <c r="H679" t="s">
        <v>6</v>
      </c>
      <c r="I679" s="429">
        <f>'P&amp;L Acumulado'!D18</f>
        <v>0</v>
      </c>
      <c r="J679" t="s">
        <v>1071</v>
      </c>
      <c r="K679" t="s">
        <v>661</v>
      </c>
      <c r="L679">
        <v>18</v>
      </c>
    </row>
    <row r="680" spans="1:12" ht="18" customHeight="1" x14ac:dyDescent="0.25">
      <c r="A680" t="s">
        <v>1070</v>
      </c>
      <c r="B680" s="23">
        <f>'P&amp;L Acumulado'!$G$1</f>
        <v>46053</v>
      </c>
      <c r="C680" s="23">
        <f>'P&amp;L Acumulado'!$I$1</f>
        <v>46112</v>
      </c>
      <c r="D680" s="23">
        <f>'P&amp;L Acumulado'!$I$1</f>
        <v>46112</v>
      </c>
      <c r="E680" t="str">
        <f>TEXT('P&amp;L Acumulado'!$G$1,"mmm/yyyy")&amp;" a "&amp;TEXT('P&amp;L Acumulado'!$I$1,"mmm/yyyy")</f>
        <v>jan/yyyy a mar/yyyy</v>
      </c>
      <c r="F680" t="s">
        <v>208</v>
      </c>
      <c r="G680" t="s">
        <v>252</v>
      </c>
      <c r="H680" t="s">
        <v>549</v>
      </c>
      <c r="I680" s="104" t="str">
        <f>'P&amp;L Acumulado'!E18</f>
        <v>-</v>
      </c>
      <c r="J680" t="s">
        <v>1071</v>
      </c>
      <c r="K680" t="s">
        <v>662</v>
      </c>
      <c r="L680">
        <v>18</v>
      </c>
    </row>
    <row r="681" spans="1:12" ht="18" customHeight="1" x14ac:dyDescent="0.25">
      <c r="A681" t="s">
        <v>1070</v>
      </c>
      <c r="B681" s="23">
        <f>'P&amp;L Acumulado'!$G$1</f>
        <v>46053</v>
      </c>
      <c r="C681" s="23">
        <f>'P&amp;L Acumulado'!$I$1</f>
        <v>46112</v>
      </c>
      <c r="D681" s="23">
        <f>'P&amp;L Acumulado'!$I$1</f>
        <v>46112</v>
      </c>
      <c r="E681" t="str">
        <f>TEXT('P&amp;L Acumulado'!$G$1,"mmm/yyyy")&amp;" a "&amp;TEXT('P&amp;L Acumulado'!$I$1,"mmm/yyyy")</f>
        <v>jan/yyyy a mar/yyyy</v>
      </c>
      <c r="F681" t="s">
        <v>208</v>
      </c>
      <c r="G681" t="s">
        <v>205</v>
      </c>
      <c r="H681" t="s">
        <v>5</v>
      </c>
      <c r="I681" s="429">
        <f>'P&amp;L Acumulado'!F18</f>
        <v>0</v>
      </c>
      <c r="J681" t="s">
        <v>1071</v>
      </c>
      <c r="K681" t="s">
        <v>663</v>
      </c>
      <c r="L681">
        <v>18</v>
      </c>
    </row>
    <row r="682" spans="1:12" ht="18" customHeight="1" x14ac:dyDescent="0.25">
      <c r="A682" t="s">
        <v>1070</v>
      </c>
      <c r="B682" s="23">
        <f>'P&amp;L Acumulado'!$G$1</f>
        <v>46053</v>
      </c>
      <c r="C682" s="23">
        <f>'P&amp;L Acumulado'!$I$1</f>
        <v>46112</v>
      </c>
      <c r="D682" s="23">
        <f>'P&amp;L Acumulado'!$I$1</f>
        <v>46112</v>
      </c>
      <c r="E682" t="str">
        <f>TEXT('P&amp;L Acumulado'!$G$1,"mmm/yyyy")&amp;" a "&amp;TEXT('P&amp;L Acumulado'!$I$1,"mmm/yyyy")</f>
        <v>jan/yyyy a mar/yyyy</v>
      </c>
      <c r="F682" t="s">
        <v>208</v>
      </c>
      <c r="G682" t="s">
        <v>205</v>
      </c>
      <c r="H682" t="s">
        <v>6</v>
      </c>
      <c r="I682" s="429">
        <f>'P&amp;L Acumulado'!G18</f>
        <v>0</v>
      </c>
      <c r="J682" t="s">
        <v>1071</v>
      </c>
      <c r="K682" t="s">
        <v>664</v>
      </c>
      <c r="L682">
        <v>18</v>
      </c>
    </row>
    <row r="683" spans="1:12" ht="18" customHeight="1" x14ac:dyDescent="0.25">
      <c r="A683" t="s">
        <v>1070</v>
      </c>
      <c r="B683" s="23">
        <f>'P&amp;L Acumulado'!$G$1</f>
        <v>46053</v>
      </c>
      <c r="C683" s="23">
        <f>'P&amp;L Acumulado'!$I$1</f>
        <v>46112</v>
      </c>
      <c r="D683" s="23">
        <f>'P&amp;L Acumulado'!$I$1</f>
        <v>46112</v>
      </c>
      <c r="E683" t="str">
        <f>TEXT('P&amp;L Acumulado'!$G$1,"mmm/yyyy")&amp;" a "&amp;TEXT('P&amp;L Acumulado'!$I$1,"mmm/yyyy")</f>
        <v>jan/yyyy a mar/yyyy</v>
      </c>
      <c r="F683" t="s">
        <v>208</v>
      </c>
      <c r="G683" t="s">
        <v>205</v>
      </c>
      <c r="H683" t="s">
        <v>549</v>
      </c>
      <c r="I683" s="104" t="str">
        <f>'P&amp;L Acumulado'!H18</f>
        <v>-</v>
      </c>
      <c r="J683" t="s">
        <v>1071</v>
      </c>
      <c r="K683" t="s">
        <v>665</v>
      </c>
      <c r="L683">
        <v>18</v>
      </c>
    </row>
    <row r="684" spans="1:12" ht="18" customHeight="1" x14ac:dyDescent="0.25">
      <c r="A684" t="s">
        <v>1070</v>
      </c>
      <c r="B684" s="23">
        <f>'P&amp;L Acumulado'!$G$1</f>
        <v>46053</v>
      </c>
      <c r="C684" s="23">
        <f>'P&amp;L Acumulado'!$I$1</f>
        <v>46112</v>
      </c>
      <c r="D684" s="23">
        <f>'P&amp;L Acumulado'!$I$1</f>
        <v>46112</v>
      </c>
      <c r="E684" t="str">
        <f>TEXT('P&amp;L Acumulado'!$G$1,"mmm/yyyy")&amp;" a "&amp;TEXT('P&amp;L Acumulado'!$I$1,"mmm/yyyy")</f>
        <v>jan/yyyy a mar/yyyy</v>
      </c>
      <c r="F684" t="s">
        <v>208</v>
      </c>
      <c r="G684" t="s">
        <v>220</v>
      </c>
      <c r="H684" t="s">
        <v>5</v>
      </c>
      <c r="I684" s="429">
        <f>'P&amp;L Acumulado'!I18</f>
        <v>0</v>
      </c>
      <c r="J684" t="s">
        <v>1071</v>
      </c>
      <c r="K684" t="s">
        <v>666</v>
      </c>
      <c r="L684">
        <v>18</v>
      </c>
    </row>
    <row r="685" spans="1:12" ht="18" customHeight="1" x14ac:dyDescent="0.25">
      <c r="A685" t="s">
        <v>1070</v>
      </c>
      <c r="B685" s="23">
        <f>'P&amp;L Acumulado'!$G$1</f>
        <v>46053</v>
      </c>
      <c r="C685" s="23">
        <f>'P&amp;L Acumulado'!$I$1</f>
        <v>46112</v>
      </c>
      <c r="D685" s="23">
        <f>'P&amp;L Acumulado'!$I$1</f>
        <v>46112</v>
      </c>
      <c r="E685" t="str">
        <f>TEXT('P&amp;L Acumulado'!$G$1,"mmm/yyyy")&amp;" a "&amp;TEXT('P&amp;L Acumulado'!$I$1,"mmm/yyyy")</f>
        <v>jan/yyyy a mar/yyyy</v>
      </c>
      <c r="F685" t="s">
        <v>208</v>
      </c>
      <c r="G685" t="s">
        <v>220</v>
      </c>
      <c r="H685" t="s">
        <v>6</v>
      </c>
      <c r="I685" s="429">
        <f>'P&amp;L Acumulado'!J18</f>
        <v>0</v>
      </c>
      <c r="J685" t="s">
        <v>1071</v>
      </c>
      <c r="K685" t="s">
        <v>667</v>
      </c>
      <c r="L685">
        <v>18</v>
      </c>
    </row>
    <row r="686" spans="1:12" ht="18" customHeight="1" x14ac:dyDescent="0.25">
      <c r="A686" t="s">
        <v>1070</v>
      </c>
      <c r="B686" s="23">
        <f>'P&amp;L Acumulado'!$G$1</f>
        <v>46053</v>
      </c>
      <c r="C686" s="23">
        <f>'P&amp;L Acumulado'!$I$1</f>
        <v>46112</v>
      </c>
      <c r="D686" s="23">
        <f>'P&amp;L Acumulado'!$I$1</f>
        <v>46112</v>
      </c>
      <c r="E686" t="str">
        <f>TEXT('P&amp;L Acumulado'!$G$1,"mmm/yyyy")&amp;" a "&amp;TEXT('P&amp;L Acumulado'!$I$1,"mmm/yyyy")</f>
        <v>jan/yyyy a mar/yyyy</v>
      </c>
      <c r="F686" t="s">
        <v>208</v>
      </c>
      <c r="G686" t="s">
        <v>220</v>
      </c>
      <c r="H686" t="s">
        <v>549</v>
      </c>
      <c r="I686" s="104" t="str">
        <f>'P&amp;L Acumulado'!K18</f>
        <v>-</v>
      </c>
      <c r="J686" t="s">
        <v>1071</v>
      </c>
      <c r="K686" t="s">
        <v>668</v>
      </c>
      <c r="L686">
        <v>18</v>
      </c>
    </row>
    <row r="687" spans="1:12" ht="18" customHeight="1" x14ac:dyDescent="0.25">
      <c r="A687" t="s">
        <v>1070</v>
      </c>
      <c r="B687" s="23">
        <f>'P&amp;L Acumulado'!$G$1</f>
        <v>46053</v>
      </c>
      <c r="C687" s="23">
        <f>'P&amp;L Acumulado'!$I$1</f>
        <v>46112</v>
      </c>
      <c r="D687" s="23">
        <f>'P&amp;L Acumulado'!$I$1</f>
        <v>46112</v>
      </c>
      <c r="E687" t="str">
        <f>TEXT('P&amp;L Acumulado'!$G$1,"mmm/yyyy")&amp;" a "&amp;TEXT('P&amp;L Acumulado'!$I$1,"mmm/yyyy")</f>
        <v>jan/yyyy a mar/yyyy</v>
      </c>
      <c r="F687" t="s">
        <v>208</v>
      </c>
      <c r="G687" t="s">
        <v>96</v>
      </c>
      <c r="H687" t="s">
        <v>5</v>
      </c>
      <c r="I687" s="429">
        <f>'P&amp;L Acumulado'!L18</f>
        <v>0</v>
      </c>
      <c r="J687" t="s">
        <v>1071</v>
      </c>
      <c r="K687" t="s">
        <v>669</v>
      </c>
      <c r="L687">
        <v>18</v>
      </c>
    </row>
    <row r="688" spans="1:12" ht="18" customHeight="1" x14ac:dyDescent="0.25">
      <c r="A688" t="s">
        <v>1070</v>
      </c>
      <c r="B688" s="23">
        <f>'P&amp;L Acumulado'!$G$1</f>
        <v>46053</v>
      </c>
      <c r="C688" s="23">
        <f>'P&amp;L Acumulado'!$I$1</f>
        <v>46112</v>
      </c>
      <c r="D688" s="23">
        <f>'P&amp;L Acumulado'!$I$1</f>
        <v>46112</v>
      </c>
      <c r="E688" t="str">
        <f>TEXT('P&amp;L Acumulado'!$G$1,"mmm/yyyy")&amp;" a "&amp;TEXT('P&amp;L Acumulado'!$I$1,"mmm/yyyy")</f>
        <v>jan/yyyy a mar/yyyy</v>
      </c>
      <c r="F688" t="s">
        <v>208</v>
      </c>
      <c r="G688" t="s">
        <v>96</v>
      </c>
      <c r="H688" t="s">
        <v>6</v>
      </c>
      <c r="I688" s="429">
        <f>'P&amp;L Acumulado'!M18</f>
        <v>0</v>
      </c>
      <c r="J688" t="s">
        <v>1071</v>
      </c>
      <c r="K688" t="s">
        <v>1128</v>
      </c>
      <c r="L688">
        <v>18</v>
      </c>
    </row>
    <row r="689" spans="1:12" ht="18" customHeight="1" x14ac:dyDescent="0.25">
      <c r="A689" t="s">
        <v>1070</v>
      </c>
      <c r="B689" s="23">
        <f>'P&amp;L Acumulado'!$G$1</f>
        <v>46053</v>
      </c>
      <c r="C689" s="23">
        <f>'P&amp;L Acumulado'!$I$1</f>
        <v>46112</v>
      </c>
      <c r="D689" s="23">
        <f>'P&amp;L Acumulado'!$I$1</f>
        <v>46112</v>
      </c>
      <c r="E689" t="str">
        <f>TEXT('P&amp;L Acumulado'!$G$1,"mmm/yyyy")&amp;" a "&amp;TEXT('P&amp;L Acumulado'!$I$1,"mmm/yyyy")</f>
        <v>jan/yyyy a mar/yyyy</v>
      </c>
      <c r="F689" t="s">
        <v>208</v>
      </c>
      <c r="G689" t="s">
        <v>96</v>
      </c>
      <c r="H689" t="s">
        <v>549</v>
      </c>
      <c r="I689" s="104" t="str">
        <f>'P&amp;L Acumulado'!N18</f>
        <v>-</v>
      </c>
      <c r="J689" t="s">
        <v>1071</v>
      </c>
      <c r="K689" t="s">
        <v>1129</v>
      </c>
      <c r="L689">
        <v>18</v>
      </c>
    </row>
    <row r="690" spans="1:12" ht="18" customHeight="1" x14ac:dyDescent="0.25">
      <c r="A690" t="s">
        <v>1070</v>
      </c>
      <c r="B690" s="23">
        <f>'P&amp;L Acumulado'!$G$1</f>
        <v>46053</v>
      </c>
      <c r="C690" s="23">
        <f>'P&amp;L Acumulado'!$I$1</f>
        <v>46112</v>
      </c>
      <c r="D690" s="23">
        <f>'P&amp;L Acumulado'!$I$1</f>
        <v>46112</v>
      </c>
      <c r="E690" t="str">
        <f>TEXT('P&amp;L Acumulado'!$G$1,"mmm/yyyy")&amp;" a "&amp;TEXT('P&amp;L Acumulado'!$I$1,"mmm/yyyy")</f>
        <v>jan/yyyy a mar/yyyy</v>
      </c>
      <c r="F690" t="s">
        <v>208</v>
      </c>
      <c r="G690" t="s">
        <v>96</v>
      </c>
      <c r="H690" t="s">
        <v>557</v>
      </c>
      <c r="I690" s="429">
        <f>'P&amp;L Acumulado'!O18</f>
        <v>0</v>
      </c>
      <c r="J690" t="s">
        <v>1071</v>
      </c>
      <c r="K690" t="s">
        <v>1130</v>
      </c>
      <c r="L690">
        <v>18</v>
      </c>
    </row>
    <row r="691" spans="1:12" ht="18" customHeight="1" x14ac:dyDescent="0.25">
      <c r="A691" t="s">
        <v>1070</v>
      </c>
      <c r="B691" s="23">
        <f>'P&amp;L Acumulado'!$G$1</f>
        <v>46053</v>
      </c>
      <c r="C691" s="23">
        <f>'P&amp;L Acumulado'!$I$1</f>
        <v>46112</v>
      </c>
      <c r="D691" s="23">
        <f>'P&amp;L Acumulado'!$I$1</f>
        <v>46112</v>
      </c>
      <c r="E691" t="str">
        <f>TEXT('P&amp;L Acumulado'!$G$1,"mmm/yyyy")&amp;" a "&amp;TEXT('P&amp;L Acumulado'!$I$1,"mmm/yyyy")</f>
        <v>jan/yyyy a mar/yyyy</v>
      </c>
      <c r="F691" t="s">
        <v>240</v>
      </c>
      <c r="G691" t="s">
        <v>252</v>
      </c>
      <c r="H691" t="s">
        <v>5</v>
      </c>
      <c r="I691" s="429">
        <f>'P&amp;L Acumulado'!C19</f>
        <v>0</v>
      </c>
      <c r="J691" t="s">
        <v>1071</v>
      </c>
      <c r="K691" t="s">
        <v>670</v>
      </c>
      <c r="L691">
        <v>19</v>
      </c>
    </row>
    <row r="692" spans="1:12" ht="18" customHeight="1" x14ac:dyDescent="0.25">
      <c r="A692" t="s">
        <v>1070</v>
      </c>
      <c r="B692" s="23">
        <f>'P&amp;L Acumulado'!$G$1</f>
        <v>46053</v>
      </c>
      <c r="C692" s="23">
        <f>'P&amp;L Acumulado'!$I$1</f>
        <v>46112</v>
      </c>
      <c r="D692" s="23">
        <f>'P&amp;L Acumulado'!$I$1</f>
        <v>46112</v>
      </c>
      <c r="E692" t="str">
        <f>TEXT('P&amp;L Acumulado'!$G$1,"mmm/yyyy")&amp;" a "&amp;TEXT('P&amp;L Acumulado'!$I$1,"mmm/yyyy")</f>
        <v>jan/yyyy a mar/yyyy</v>
      </c>
      <c r="F692" t="s">
        <v>240</v>
      </c>
      <c r="G692" t="s">
        <v>252</v>
      </c>
      <c r="H692" t="s">
        <v>6</v>
      </c>
      <c r="I692" s="429">
        <f>'P&amp;L Acumulado'!D19</f>
        <v>0</v>
      </c>
      <c r="J692" t="s">
        <v>1071</v>
      </c>
      <c r="K692" t="s">
        <v>671</v>
      </c>
      <c r="L692">
        <v>19</v>
      </c>
    </row>
    <row r="693" spans="1:12" ht="18" customHeight="1" x14ac:dyDescent="0.25">
      <c r="A693" t="s">
        <v>1070</v>
      </c>
      <c r="B693" s="23">
        <f>'P&amp;L Acumulado'!$G$1</f>
        <v>46053</v>
      </c>
      <c r="C693" s="23">
        <f>'P&amp;L Acumulado'!$I$1</f>
        <v>46112</v>
      </c>
      <c r="D693" s="23">
        <f>'P&amp;L Acumulado'!$I$1</f>
        <v>46112</v>
      </c>
      <c r="E693" t="str">
        <f>TEXT('P&amp;L Acumulado'!$G$1,"mmm/yyyy")&amp;" a "&amp;TEXT('P&amp;L Acumulado'!$I$1,"mmm/yyyy")</f>
        <v>jan/yyyy a mar/yyyy</v>
      </c>
      <c r="F693" t="s">
        <v>240</v>
      </c>
      <c r="G693" t="s">
        <v>252</v>
      </c>
      <c r="H693" t="s">
        <v>549</v>
      </c>
      <c r="I693" s="104">
        <f>'P&amp;L Acumulado'!E19</f>
        <v>0</v>
      </c>
      <c r="J693" t="s">
        <v>1071</v>
      </c>
      <c r="K693" t="s">
        <v>672</v>
      </c>
      <c r="L693">
        <v>19</v>
      </c>
    </row>
    <row r="694" spans="1:12" ht="18" customHeight="1" x14ac:dyDescent="0.25">
      <c r="A694" t="s">
        <v>1070</v>
      </c>
      <c r="B694" s="23">
        <f>'P&amp;L Acumulado'!$G$1</f>
        <v>46053</v>
      </c>
      <c r="C694" s="23">
        <f>'P&amp;L Acumulado'!$I$1</f>
        <v>46112</v>
      </c>
      <c r="D694" s="23">
        <f>'P&amp;L Acumulado'!$I$1</f>
        <v>46112</v>
      </c>
      <c r="E694" t="str">
        <f>TEXT('P&amp;L Acumulado'!$G$1,"mmm/yyyy")&amp;" a "&amp;TEXT('P&amp;L Acumulado'!$I$1,"mmm/yyyy")</f>
        <v>jan/yyyy a mar/yyyy</v>
      </c>
      <c r="F694" t="s">
        <v>240</v>
      </c>
      <c r="G694" t="s">
        <v>205</v>
      </c>
      <c r="H694" t="s">
        <v>5</v>
      </c>
      <c r="I694" s="429">
        <f>'P&amp;L Acumulado'!F19</f>
        <v>0</v>
      </c>
      <c r="J694" t="s">
        <v>1071</v>
      </c>
      <c r="K694" t="s">
        <v>673</v>
      </c>
      <c r="L694">
        <v>19</v>
      </c>
    </row>
    <row r="695" spans="1:12" ht="18" customHeight="1" x14ac:dyDescent="0.25">
      <c r="A695" t="s">
        <v>1070</v>
      </c>
      <c r="B695" s="23">
        <f>'P&amp;L Acumulado'!$G$1</f>
        <v>46053</v>
      </c>
      <c r="C695" s="23">
        <f>'P&amp;L Acumulado'!$I$1</f>
        <v>46112</v>
      </c>
      <c r="D695" s="23">
        <f>'P&amp;L Acumulado'!$I$1</f>
        <v>46112</v>
      </c>
      <c r="E695" t="str">
        <f>TEXT('P&amp;L Acumulado'!$G$1,"mmm/yyyy")&amp;" a "&amp;TEXT('P&amp;L Acumulado'!$I$1,"mmm/yyyy")</f>
        <v>jan/yyyy a mar/yyyy</v>
      </c>
      <c r="F695" t="s">
        <v>240</v>
      </c>
      <c r="G695" t="s">
        <v>205</v>
      </c>
      <c r="H695" t="s">
        <v>6</v>
      </c>
      <c r="I695" s="429">
        <f>'P&amp;L Acumulado'!G19</f>
        <v>0</v>
      </c>
      <c r="J695" t="s">
        <v>1071</v>
      </c>
      <c r="K695" t="s">
        <v>674</v>
      </c>
      <c r="L695">
        <v>19</v>
      </c>
    </row>
    <row r="696" spans="1:12" ht="18" customHeight="1" x14ac:dyDescent="0.25">
      <c r="A696" t="s">
        <v>1070</v>
      </c>
      <c r="B696" s="23">
        <f>'P&amp;L Acumulado'!$G$1</f>
        <v>46053</v>
      </c>
      <c r="C696" s="23">
        <f>'P&amp;L Acumulado'!$I$1</f>
        <v>46112</v>
      </c>
      <c r="D696" s="23">
        <f>'P&amp;L Acumulado'!$I$1</f>
        <v>46112</v>
      </c>
      <c r="E696" t="str">
        <f>TEXT('P&amp;L Acumulado'!$G$1,"mmm/yyyy")&amp;" a "&amp;TEXT('P&amp;L Acumulado'!$I$1,"mmm/yyyy")</f>
        <v>jan/yyyy a mar/yyyy</v>
      </c>
      <c r="F696" t="s">
        <v>240</v>
      </c>
      <c r="G696" t="s">
        <v>205</v>
      </c>
      <c r="H696" t="s">
        <v>549</v>
      </c>
      <c r="I696" s="104" t="str">
        <f>'P&amp;L Acumulado'!H19</f>
        <v>-</v>
      </c>
      <c r="J696" t="s">
        <v>1071</v>
      </c>
      <c r="K696" t="s">
        <v>675</v>
      </c>
      <c r="L696">
        <v>19</v>
      </c>
    </row>
    <row r="697" spans="1:12" ht="18" customHeight="1" x14ac:dyDescent="0.25">
      <c r="A697" t="s">
        <v>1070</v>
      </c>
      <c r="B697" s="23">
        <f>'P&amp;L Acumulado'!$G$1</f>
        <v>46053</v>
      </c>
      <c r="C697" s="23">
        <f>'P&amp;L Acumulado'!$I$1</f>
        <v>46112</v>
      </c>
      <c r="D697" s="23">
        <f>'P&amp;L Acumulado'!$I$1</f>
        <v>46112</v>
      </c>
      <c r="E697" t="str">
        <f>TEXT('P&amp;L Acumulado'!$G$1,"mmm/yyyy")&amp;" a "&amp;TEXT('P&amp;L Acumulado'!$I$1,"mmm/yyyy")</f>
        <v>jan/yyyy a mar/yyyy</v>
      </c>
      <c r="F697" t="s">
        <v>240</v>
      </c>
      <c r="G697" t="s">
        <v>220</v>
      </c>
      <c r="H697" t="s">
        <v>5</v>
      </c>
      <c r="I697" s="429">
        <f>'P&amp;L Acumulado'!I19</f>
        <v>3725701.2699999996</v>
      </c>
      <c r="J697" t="s">
        <v>1071</v>
      </c>
      <c r="K697" t="s">
        <v>676</v>
      </c>
      <c r="L697">
        <v>19</v>
      </c>
    </row>
    <row r="698" spans="1:12" ht="18" customHeight="1" x14ac:dyDescent="0.25">
      <c r="A698" t="s">
        <v>1070</v>
      </c>
      <c r="B698" s="23">
        <f>'P&amp;L Acumulado'!$G$1</f>
        <v>46053</v>
      </c>
      <c r="C698" s="23">
        <f>'P&amp;L Acumulado'!$I$1</f>
        <v>46112</v>
      </c>
      <c r="D698" s="23">
        <f>'P&amp;L Acumulado'!$I$1</f>
        <v>46112</v>
      </c>
      <c r="E698" t="str">
        <f>TEXT('P&amp;L Acumulado'!$G$1,"mmm/yyyy")&amp;" a "&amp;TEXT('P&amp;L Acumulado'!$I$1,"mmm/yyyy")</f>
        <v>jan/yyyy a mar/yyyy</v>
      </c>
      <c r="F698" t="s">
        <v>240</v>
      </c>
      <c r="G698" t="s">
        <v>220</v>
      </c>
      <c r="H698" t="s">
        <v>6</v>
      </c>
      <c r="I698" s="429">
        <f>'P&amp;L Acumulado'!J19</f>
        <v>3590795.9249999998</v>
      </c>
      <c r="J698" t="s">
        <v>1071</v>
      </c>
      <c r="K698" t="s">
        <v>677</v>
      </c>
      <c r="L698">
        <v>19</v>
      </c>
    </row>
    <row r="699" spans="1:12" ht="18" customHeight="1" x14ac:dyDescent="0.25">
      <c r="A699" t="s">
        <v>1070</v>
      </c>
      <c r="B699" s="23">
        <f>'P&amp;L Acumulado'!$G$1</f>
        <v>46053</v>
      </c>
      <c r="C699" s="23">
        <f>'P&amp;L Acumulado'!$I$1</f>
        <v>46112</v>
      </c>
      <c r="D699" s="23">
        <f>'P&amp;L Acumulado'!$I$1</f>
        <v>46112</v>
      </c>
      <c r="E699" t="str">
        <f>TEXT('P&amp;L Acumulado'!$G$1,"mmm/yyyy")&amp;" a "&amp;TEXT('P&amp;L Acumulado'!$I$1,"mmm/yyyy")</f>
        <v>jan/yyyy a mar/yyyy</v>
      </c>
      <c r="F699" t="s">
        <v>240</v>
      </c>
      <c r="G699" t="s">
        <v>220</v>
      </c>
      <c r="H699" t="s">
        <v>549</v>
      </c>
      <c r="I699" s="104">
        <f>'P&amp;L Acumulado'!K19</f>
        <v>3.7569761082983266E-2</v>
      </c>
      <c r="J699" t="s">
        <v>1071</v>
      </c>
      <c r="K699" t="s">
        <v>678</v>
      </c>
      <c r="L699">
        <v>19</v>
      </c>
    </row>
    <row r="700" spans="1:12" ht="18" customHeight="1" x14ac:dyDescent="0.25">
      <c r="A700" t="s">
        <v>1070</v>
      </c>
      <c r="B700" s="23">
        <f>'P&amp;L Acumulado'!$G$1</f>
        <v>46053</v>
      </c>
      <c r="C700" s="23">
        <f>'P&amp;L Acumulado'!$I$1</f>
        <v>46112</v>
      </c>
      <c r="D700" s="23">
        <f>'P&amp;L Acumulado'!$I$1</f>
        <v>46112</v>
      </c>
      <c r="E700" t="str">
        <f>TEXT('P&amp;L Acumulado'!$G$1,"mmm/yyyy")&amp;" a "&amp;TEXT('P&amp;L Acumulado'!$I$1,"mmm/yyyy")</f>
        <v>jan/yyyy a mar/yyyy</v>
      </c>
      <c r="F700" t="s">
        <v>240</v>
      </c>
      <c r="G700" t="s">
        <v>96</v>
      </c>
      <c r="H700" t="s">
        <v>5</v>
      </c>
      <c r="I700" s="429">
        <f>'P&amp;L Acumulado'!L19</f>
        <v>3725701.2699999996</v>
      </c>
      <c r="J700" t="s">
        <v>1071</v>
      </c>
      <c r="K700" t="s">
        <v>679</v>
      </c>
      <c r="L700">
        <v>19</v>
      </c>
    </row>
    <row r="701" spans="1:12" ht="18" customHeight="1" x14ac:dyDescent="0.25">
      <c r="A701" t="s">
        <v>1070</v>
      </c>
      <c r="B701" s="23">
        <f>'P&amp;L Acumulado'!$G$1</f>
        <v>46053</v>
      </c>
      <c r="C701" s="23">
        <f>'P&amp;L Acumulado'!$I$1</f>
        <v>46112</v>
      </c>
      <c r="D701" s="23">
        <f>'P&amp;L Acumulado'!$I$1</f>
        <v>46112</v>
      </c>
      <c r="E701" t="str">
        <f>TEXT('P&amp;L Acumulado'!$G$1,"mmm/yyyy")&amp;" a "&amp;TEXT('P&amp;L Acumulado'!$I$1,"mmm/yyyy")</f>
        <v>jan/yyyy a mar/yyyy</v>
      </c>
      <c r="F701" t="s">
        <v>240</v>
      </c>
      <c r="G701" t="s">
        <v>96</v>
      </c>
      <c r="H701" t="s">
        <v>6</v>
      </c>
      <c r="I701" s="429">
        <f>'P&amp;L Acumulado'!M19</f>
        <v>3590795.9249999998</v>
      </c>
      <c r="J701" t="s">
        <v>1071</v>
      </c>
      <c r="K701" t="s">
        <v>1131</v>
      </c>
      <c r="L701">
        <v>19</v>
      </c>
    </row>
    <row r="702" spans="1:12" ht="18" customHeight="1" x14ac:dyDescent="0.25">
      <c r="A702" t="s">
        <v>1070</v>
      </c>
      <c r="B702" s="23">
        <f>'P&amp;L Acumulado'!$G$1</f>
        <v>46053</v>
      </c>
      <c r="C702" s="23">
        <f>'P&amp;L Acumulado'!$I$1</f>
        <v>46112</v>
      </c>
      <c r="D702" s="23">
        <f>'P&amp;L Acumulado'!$I$1</f>
        <v>46112</v>
      </c>
      <c r="E702" t="str">
        <f>TEXT('P&amp;L Acumulado'!$G$1,"mmm/yyyy")&amp;" a "&amp;TEXT('P&amp;L Acumulado'!$I$1,"mmm/yyyy")</f>
        <v>jan/yyyy a mar/yyyy</v>
      </c>
      <c r="F702" t="s">
        <v>240</v>
      </c>
      <c r="G702" t="s">
        <v>96</v>
      </c>
      <c r="H702" t="s">
        <v>549</v>
      </c>
      <c r="I702" s="104">
        <f>'P&amp;L Acumulado'!N19</f>
        <v>3.7569761082983266E-2</v>
      </c>
      <c r="J702" t="s">
        <v>1071</v>
      </c>
      <c r="K702" t="s">
        <v>1132</v>
      </c>
      <c r="L702">
        <v>19</v>
      </c>
    </row>
    <row r="703" spans="1:12" ht="18" customHeight="1" x14ac:dyDescent="0.25">
      <c r="A703" t="s">
        <v>1070</v>
      </c>
      <c r="B703" s="23">
        <f>'P&amp;L Acumulado'!$G$1</f>
        <v>46053</v>
      </c>
      <c r="C703" s="23">
        <f>'P&amp;L Acumulado'!$I$1</f>
        <v>46112</v>
      </c>
      <c r="D703" s="23">
        <f>'P&amp;L Acumulado'!$I$1</f>
        <v>46112</v>
      </c>
      <c r="E703" t="str">
        <f>TEXT('P&amp;L Acumulado'!$G$1,"mmm/yyyy")&amp;" a "&amp;TEXT('P&amp;L Acumulado'!$I$1,"mmm/yyyy")</f>
        <v>jan/yyyy a mar/yyyy</v>
      </c>
      <c r="F703" t="s">
        <v>240</v>
      </c>
      <c r="G703" t="s">
        <v>96</v>
      </c>
      <c r="H703" t="s">
        <v>557</v>
      </c>
      <c r="I703" s="429">
        <f>'P&amp;L Acumulado'!O19</f>
        <v>134905.34499999974</v>
      </c>
      <c r="J703" t="s">
        <v>1071</v>
      </c>
      <c r="K703" t="s">
        <v>1133</v>
      </c>
      <c r="L703">
        <v>19</v>
      </c>
    </row>
    <row r="704" spans="1:12" ht="18" customHeight="1" x14ac:dyDescent="0.25">
      <c r="A704" t="s">
        <v>1070</v>
      </c>
      <c r="B704" s="23">
        <f>'P&amp;L Acumulado'!$G$1</f>
        <v>46053</v>
      </c>
      <c r="C704" s="23">
        <f>'P&amp;L Acumulado'!$I$1</f>
        <v>46112</v>
      </c>
      <c r="D704" s="23">
        <f>'P&amp;L Acumulado'!$I$1</f>
        <v>46112</v>
      </c>
      <c r="E704" t="str">
        <f>TEXT('P&amp;L Acumulado'!$G$1,"mmm/yyyy")&amp;" a "&amp;TEXT('P&amp;L Acumulado'!$I$1,"mmm/yyyy")</f>
        <v>jan/yyyy a mar/yyyy</v>
      </c>
      <c r="F704" t="s">
        <v>19</v>
      </c>
      <c r="G704" t="s">
        <v>252</v>
      </c>
      <c r="H704" t="s">
        <v>5</v>
      </c>
      <c r="I704" s="429">
        <f>'P&amp;L Acumulado'!C20</f>
        <v>0</v>
      </c>
      <c r="J704" t="s">
        <v>1071</v>
      </c>
      <c r="K704" t="s">
        <v>680</v>
      </c>
      <c r="L704">
        <v>20</v>
      </c>
    </row>
    <row r="705" spans="1:12" ht="18" customHeight="1" x14ac:dyDescent="0.25">
      <c r="A705" t="s">
        <v>1070</v>
      </c>
      <c r="B705" s="23">
        <f>'P&amp;L Acumulado'!$G$1</f>
        <v>46053</v>
      </c>
      <c r="C705" s="23">
        <f>'P&amp;L Acumulado'!$I$1</f>
        <v>46112</v>
      </c>
      <c r="D705" s="23">
        <f>'P&amp;L Acumulado'!$I$1</f>
        <v>46112</v>
      </c>
      <c r="E705" t="str">
        <f>TEXT('P&amp;L Acumulado'!$G$1,"mmm/yyyy")&amp;" a "&amp;TEXT('P&amp;L Acumulado'!$I$1,"mmm/yyyy")</f>
        <v>jan/yyyy a mar/yyyy</v>
      </c>
      <c r="F705" t="s">
        <v>19</v>
      </c>
      <c r="G705" t="s">
        <v>252</v>
      </c>
      <c r="H705" t="s">
        <v>6</v>
      </c>
      <c r="I705" s="429">
        <f>'P&amp;L Acumulado'!D20</f>
        <v>0</v>
      </c>
      <c r="J705" t="s">
        <v>1071</v>
      </c>
      <c r="K705" t="s">
        <v>681</v>
      </c>
      <c r="L705">
        <v>20</v>
      </c>
    </row>
    <row r="706" spans="1:12" ht="18" customHeight="1" x14ac:dyDescent="0.25">
      <c r="A706" t="s">
        <v>1070</v>
      </c>
      <c r="B706" s="23">
        <f>'P&amp;L Acumulado'!$G$1</f>
        <v>46053</v>
      </c>
      <c r="C706" s="23">
        <f>'P&amp;L Acumulado'!$I$1</f>
        <v>46112</v>
      </c>
      <c r="D706" s="23">
        <f>'P&amp;L Acumulado'!$I$1</f>
        <v>46112</v>
      </c>
      <c r="E706" t="str">
        <f>TEXT('P&amp;L Acumulado'!$G$1,"mmm/yyyy")&amp;" a "&amp;TEXT('P&amp;L Acumulado'!$I$1,"mmm/yyyy")</f>
        <v>jan/yyyy a mar/yyyy</v>
      </c>
      <c r="F706" t="s">
        <v>19</v>
      </c>
      <c r="G706" t="s">
        <v>252</v>
      </c>
      <c r="H706" t="s">
        <v>549</v>
      </c>
      <c r="I706" s="104" t="str">
        <f>'P&amp;L Acumulado'!E20</f>
        <v>-</v>
      </c>
      <c r="J706" t="s">
        <v>1071</v>
      </c>
      <c r="K706" t="s">
        <v>682</v>
      </c>
      <c r="L706">
        <v>20</v>
      </c>
    </row>
    <row r="707" spans="1:12" ht="18" customHeight="1" x14ac:dyDescent="0.25">
      <c r="A707" t="s">
        <v>1070</v>
      </c>
      <c r="B707" s="23">
        <f>'P&amp;L Acumulado'!$G$1</f>
        <v>46053</v>
      </c>
      <c r="C707" s="23">
        <f>'P&amp;L Acumulado'!$I$1</f>
        <v>46112</v>
      </c>
      <c r="D707" s="23">
        <f>'P&amp;L Acumulado'!$I$1</f>
        <v>46112</v>
      </c>
      <c r="E707" t="str">
        <f>TEXT('P&amp;L Acumulado'!$G$1,"mmm/yyyy")&amp;" a "&amp;TEXT('P&amp;L Acumulado'!$I$1,"mmm/yyyy")</f>
        <v>jan/yyyy a mar/yyyy</v>
      </c>
      <c r="F707" t="s">
        <v>19</v>
      </c>
      <c r="G707" t="s">
        <v>205</v>
      </c>
      <c r="H707" t="s">
        <v>5</v>
      </c>
      <c r="I707" s="429">
        <f>'P&amp;L Acumulado'!F20</f>
        <v>0</v>
      </c>
      <c r="J707" t="s">
        <v>1071</v>
      </c>
      <c r="K707" t="s">
        <v>683</v>
      </c>
      <c r="L707">
        <v>20</v>
      </c>
    </row>
    <row r="708" spans="1:12" ht="18" customHeight="1" x14ac:dyDescent="0.25">
      <c r="A708" t="s">
        <v>1070</v>
      </c>
      <c r="B708" s="23">
        <f>'P&amp;L Acumulado'!$G$1</f>
        <v>46053</v>
      </c>
      <c r="C708" s="23">
        <f>'P&amp;L Acumulado'!$I$1</f>
        <v>46112</v>
      </c>
      <c r="D708" s="23">
        <f>'P&amp;L Acumulado'!$I$1</f>
        <v>46112</v>
      </c>
      <c r="E708" t="str">
        <f>TEXT('P&amp;L Acumulado'!$G$1,"mmm/yyyy")&amp;" a "&amp;TEXT('P&amp;L Acumulado'!$I$1,"mmm/yyyy")</f>
        <v>jan/yyyy a mar/yyyy</v>
      </c>
      <c r="F708" t="s">
        <v>19</v>
      </c>
      <c r="G708" t="s">
        <v>205</v>
      </c>
      <c r="H708" t="s">
        <v>6</v>
      </c>
      <c r="I708" s="429">
        <f>'P&amp;L Acumulado'!G20</f>
        <v>0</v>
      </c>
      <c r="J708" t="s">
        <v>1071</v>
      </c>
      <c r="K708" t="s">
        <v>684</v>
      </c>
      <c r="L708">
        <v>20</v>
      </c>
    </row>
    <row r="709" spans="1:12" ht="18" customHeight="1" x14ac:dyDescent="0.25">
      <c r="A709" t="s">
        <v>1070</v>
      </c>
      <c r="B709" s="23">
        <f>'P&amp;L Acumulado'!$G$1</f>
        <v>46053</v>
      </c>
      <c r="C709" s="23">
        <f>'P&amp;L Acumulado'!$I$1</f>
        <v>46112</v>
      </c>
      <c r="D709" s="23">
        <f>'P&amp;L Acumulado'!$I$1</f>
        <v>46112</v>
      </c>
      <c r="E709" t="str">
        <f>TEXT('P&amp;L Acumulado'!$G$1,"mmm/yyyy")&amp;" a "&amp;TEXT('P&amp;L Acumulado'!$I$1,"mmm/yyyy")</f>
        <v>jan/yyyy a mar/yyyy</v>
      </c>
      <c r="F709" t="s">
        <v>19</v>
      </c>
      <c r="G709" t="s">
        <v>205</v>
      </c>
      <c r="H709" t="s">
        <v>549</v>
      </c>
      <c r="I709" s="104" t="str">
        <f>'P&amp;L Acumulado'!H20</f>
        <v>-</v>
      </c>
      <c r="J709" t="s">
        <v>1071</v>
      </c>
      <c r="K709" t="s">
        <v>685</v>
      </c>
      <c r="L709">
        <v>20</v>
      </c>
    </row>
    <row r="710" spans="1:12" ht="18" customHeight="1" x14ac:dyDescent="0.25">
      <c r="A710" t="s">
        <v>1070</v>
      </c>
      <c r="B710" s="23">
        <f>'P&amp;L Acumulado'!$G$1</f>
        <v>46053</v>
      </c>
      <c r="C710" s="23">
        <f>'P&amp;L Acumulado'!$I$1</f>
        <v>46112</v>
      </c>
      <c r="D710" s="23">
        <f>'P&amp;L Acumulado'!$I$1</f>
        <v>46112</v>
      </c>
      <c r="E710" t="str">
        <f>TEXT('P&amp;L Acumulado'!$G$1,"mmm/yyyy")&amp;" a "&amp;TEXT('P&amp;L Acumulado'!$I$1,"mmm/yyyy")</f>
        <v>jan/yyyy a mar/yyyy</v>
      </c>
      <c r="F710" t="s">
        <v>19</v>
      </c>
      <c r="G710" t="s">
        <v>220</v>
      </c>
      <c r="H710" t="s">
        <v>5</v>
      </c>
      <c r="I710" s="429">
        <f>'P&amp;L Acumulado'!I20</f>
        <v>2726599.21</v>
      </c>
      <c r="J710" t="s">
        <v>1071</v>
      </c>
      <c r="K710" t="s">
        <v>686</v>
      </c>
      <c r="L710">
        <v>20</v>
      </c>
    </row>
    <row r="711" spans="1:12" ht="18" customHeight="1" x14ac:dyDescent="0.25">
      <c r="A711" t="s">
        <v>1070</v>
      </c>
      <c r="B711" s="23">
        <f>'P&amp;L Acumulado'!$G$1</f>
        <v>46053</v>
      </c>
      <c r="C711" s="23">
        <f>'P&amp;L Acumulado'!$I$1</f>
        <v>46112</v>
      </c>
      <c r="D711" s="23">
        <f>'P&amp;L Acumulado'!$I$1</f>
        <v>46112</v>
      </c>
      <c r="E711" t="str">
        <f>TEXT('P&amp;L Acumulado'!$G$1,"mmm/yyyy")&amp;" a "&amp;TEXT('P&amp;L Acumulado'!$I$1,"mmm/yyyy")</f>
        <v>jan/yyyy a mar/yyyy</v>
      </c>
      <c r="F711" t="s">
        <v>19</v>
      </c>
      <c r="G711" t="s">
        <v>220</v>
      </c>
      <c r="H711" t="s">
        <v>6</v>
      </c>
      <c r="I711" s="429">
        <f>'P&amp;L Acumulado'!J20</f>
        <v>2776784.38</v>
      </c>
      <c r="J711" t="s">
        <v>1071</v>
      </c>
      <c r="K711" t="s">
        <v>687</v>
      </c>
      <c r="L711">
        <v>20</v>
      </c>
    </row>
    <row r="712" spans="1:12" ht="18" customHeight="1" x14ac:dyDescent="0.25">
      <c r="A712" t="s">
        <v>1070</v>
      </c>
      <c r="B712" s="23">
        <f>'P&amp;L Acumulado'!$G$1</f>
        <v>46053</v>
      </c>
      <c r="C712" s="23">
        <f>'P&amp;L Acumulado'!$I$1</f>
        <v>46112</v>
      </c>
      <c r="D712" s="23">
        <f>'P&amp;L Acumulado'!$I$1</f>
        <v>46112</v>
      </c>
      <c r="E712" t="str">
        <f>TEXT('P&amp;L Acumulado'!$G$1,"mmm/yyyy")&amp;" a "&amp;TEXT('P&amp;L Acumulado'!$I$1,"mmm/yyyy")</f>
        <v>jan/yyyy a mar/yyyy</v>
      </c>
      <c r="F712" t="s">
        <v>19</v>
      </c>
      <c r="G712" t="s">
        <v>220</v>
      </c>
      <c r="H712" t="s">
        <v>549</v>
      </c>
      <c r="I712" s="104">
        <f>'P&amp;L Acumulado'!K20</f>
        <v>-1.8073124568642185E-2</v>
      </c>
      <c r="J712" t="s">
        <v>1071</v>
      </c>
      <c r="K712" t="s">
        <v>688</v>
      </c>
      <c r="L712">
        <v>20</v>
      </c>
    </row>
    <row r="713" spans="1:12" ht="18" customHeight="1" x14ac:dyDescent="0.25">
      <c r="A713" t="s">
        <v>1070</v>
      </c>
      <c r="B713" s="23">
        <f>'P&amp;L Acumulado'!$G$1</f>
        <v>46053</v>
      </c>
      <c r="C713" s="23">
        <f>'P&amp;L Acumulado'!$I$1</f>
        <v>46112</v>
      </c>
      <c r="D713" s="23">
        <f>'P&amp;L Acumulado'!$I$1</f>
        <v>46112</v>
      </c>
      <c r="E713" t="str">
        <f>TEXT('P&amp;L Acumulado'!$G$1,"mmm/yyyy")&amp;" a "&amp;TEXT('P&amp;L Acumulado'!$I$1,"mmm/yyyy")</f>
        <v>jan/yyyy a mar/yyyy</v>
      </c>
      <c r="F713" t="s">
        <v>19</v>
      </c>
      <c r="G713" t="s">
        <v>96</v>
      </c>
      <c r="H713" t="s">
        <v>5</v>
      </c>
      <c r="I713" s="429">
        <f>'P&amp;L Acumulado'!L20</f>
        <v>2726599.21</v>
      </c>
      <c r="J713" t="s">
        <v>1071</v>
      </c>
      <c r="K713" t="s">
        <v>689</v>
      </c>
      <c r="L713">
        <v>20</v>
      </c>
    </row>
    <row r="714" spans="1:12" ht="18" customHeight="1" x14ac:dyDescent="0.25">
      <c r="A714" t="s">
        <v>1070</v>
      </c>
      <c r="B714" s="23">
        <f>'P&amp;L Acumulado'!$G$1</f>
        <v>46053</v>
      </c>
      <c r="C714" s="23">
        <f>'P&amp;L Acumulado'!$I$1</f>
        <v>46112</v>
      </c>
      <c r="D714" s="23">
        <f>'P&amp;L Acumulado'!$I$1</f>
        <v>46112</v>
      </c>
      <c r="E714" t="str">
        <f>TEXT('P&amp;L Acumulado'!$G$1,"mmm/yyyy")&amp;" a "&amp;TEXT('P&amp;L Acumulado'!$I$1,"mmm/yyyy")</f>
        <v>jan/yyyy a mar/yyyy</v>
      </c>
      <c r="F714" t="s">
        <v>19</v>
      </c>
      <c r="G714" t="s">
        <v>96</v>
      </c>
      <c r="H714" t="s">
        <v>6</v>
      </c>
      <c r="I714" s="429">
        <f>'P&amp;L Acumulado'!M20</f>
        <v>2776784.38</v>
      </c>
      <c r="J714" t="s">
        <v>1071</v>
      </c>
      <c r="K714" t="s">
        <v>1134</v>
      </c>
      <c r="L714">
        <v>20</v>
      </c>
    </row>
    <row r="715" spans="1:12" ht="18" customHeight="1" x14ac:dyDescent="0.25">
      <c r="A715" t="s">
        <v>1070</v>
      </c>
      <c r="B715" s="23">
        <f>'P&amp;L Acumulado'!$G$1</f>
        <v>46053</v>
      </c>
      <c r="C715" s="23">
        <f>'P&amp;L Acumulado'!$I$1</f>
        <v>46112</v>
      </c>
      <c r="D715" s="23">
        <f>'P&amp;L Acumulado'!$I$1</f>
        <v>46112</v>
      </c>
      <c r="E715" t="str">
        <f>TEXT('P&amp;L Acumulado'!$G$1,"mmm/yyyy")&amp;" a "&amp;TEXT('P&amp;L Acumulado'!$I$1,"mmm/yyyy")</f>
        <v>jan/yyyy a mar/yyyy</v>
      </c>
      <c r="F715" t="s">
        <v>19</v>
      </c>
      <c r="G715" t="s">
        <v>96</v>
      </c>
      <c r="H715" t="s">
        <v>549</v>
      </c>
      <c r="I715" s="104">
        <f>'P&amp;L Acumulado'!N20</f>
        <v>-1.8073124568642185E-2</v>
      </c>
      <c r="J715" t="s">
        <v>1071</v>
      </c>
      <c r="K715" t="s">
        <v>1135</v>
      </c>
      <c r="L715">
        <v>20</v>
      </c>
    </row>
    <row r="716" spans="1:12" ht="18" customHeight="1" x14ac:dyDescent="0.25">
      <c r="A716" t="s">
        <v>1070</v>
      </c>
      <c r="B716" s="23">
        <f>'P&amp;L Acumulado'!$G$1</f>
        <v>46053</v>
      </c>
      <c r="C716" s="23">
        <f>'P&amp;L Acumulado'!$I$1</f>
        <v>46112</v>
      </c>
      <c r="D716" s="23">
        <f>'P&amp;L Acumulado'!$I$1</f>
        <v>46112</v>
      </c>
      <c r="E716" t="str">
        <f>TEXT('P&amp;L Acumulado'!$G$1,"mmm/yyyy")&amp;" a "&amp;TEXT('P&amp;L Acumulado'!$I$1,"mmm/yyyy")</f>
        <v>jan/yyyy a mar/yyyy</v>
      </c>
      <c r="F716" t="s">
        <v>19</v>
      </c>
      <c r="G716" t="s">
        <v>96</v>
      </c>
      <c r="H716" t="s">
        <v>557</v>
      </c>
      <c r="I716" s="429">
        <f>'P&amp;L Acumulado'!O20</f>
        <v>-50185.169999999925</v>
      </c>
      <c r="J716" t="s">
        <v>1071</v>
      </c>
      <c r="K716" t="s">
        <v>1136</v>
      </c>
      <c r="L716">
        <v>20</v>
      </c>
    </row>
    <row r="717" spans="1:12" ht="18" customHeight="1" x14ac:dyDescent="0.25">
      <c r="A717" t="s">
        <v>1070</v>
      </c>
      <c r="B717" s="23">
        <f>'P&amp;L Acumulado'!$G$1</f>
        <v>46053</v>
      </c>
      <c r="C717" s="23">
        <f>'P&amp;L Acumulado'!$I$1</f>
        <v>46112</v>
      </c>
      <c r="D717" s="23">
        <f>'P&amp;L Acumulado'!$I$1</f>
        <v>46112</v>
      </c>
      <c r="E717" t="str">
        <f>TEXT('P&amp;L Acumulado'!$G$1,"mmm/yyyy")&amp;" a "&amp;TEXT('P&amp;L Acumulado'!$I$1,"mmm/yyyy")</f>
        <v>jan/yyyy a mar/yyyy</v>
      </c>
      <c r="F717" t="s">
        <v>20</v>
      </c>
      <c r="G717" t="s">
        <v>252</v>
      </c>
      <c r="H717" t="s">
        <v>5</v>
      </c>
      <c r="I717" s="429">
        <f>'P&amp;L Acumulado'!C21</f>
        <v>0</v>
      </c>
      <c r="J717" t="s">
        <v>1071</v>
      </c>
      <c r="K717" t="s">
        <v>690</v>
      </c>
      <c r="L717">
        <v>21</v>
      </c>
    </row>
    <row r="718" spans="1:12" ht="18" customHeight="1" x14ac:dyDescent="0.25">
      <c r="A718" t="s">
        <v>1070</v>
      </c>
      <c r="B718" s="23">
        <f>'P&amp;L Acumulado'!$G$1</f>
        <v>46053</v>
      </c>
      <c r="C718" s="23">
        <f>'P&amp;L Acumulado'!$I$1</f>
        <v>46112</v>
      </c>
      <c r="D718" s="23">
        <f>'P&amp;L Acumulado'!$I$1</f>
        <v>46112</v>
      </c>
      <c r="E718" t="str">
        <f>TEXT('P&amp;L Acumulado'!$G$1,"mmm/yyyy")&amp;" a "&amp;TEXT('P&amp;L Acumulado'!$I$1,"mmm/yyyy")</f>
        <v>jan/yyyy a mar/yyyy</v>
      </c>
      <c r="F718" t="s">
        <v>20</v>
      </c>
      <c r="G718" t="s">
        <v>252</v>
      </c>
      <c r="H718" t="s">
        <v>6</v>
      </c>
      <c r="I718" s="429">
        <f>'P&amp;L Acumulado'!D21</f>
        <v>0</v>
      </c>
      <c r="J718" t="s">
        <v>1071</v>
      </c>
      <c r="K718" t="s">
        <v>691</v>
      </c>
      <c r="L718">
        <v>21</v>
      </c>
    </row>
    <row r="719" spans="1:12" ht="18" customHeight="1" x14ac:dyDescent="0.25">
      <c r="A719" t="s">
        <v>1070</v>
      </c>
      <c r="B719" s="23">
        <f>'P&amp;L Acumulado'!$G$1</f>
        <v>46053</v>
      </c>
      <c r="C719" s="23">
        <f>'P&amp;L Acumulado'!$I$1</f>
        <v>46112</v>
      </c>
      <c r="D719" s="23">
        <f>'P&amp;L Acumulado'!$I$1</f>
        <v>46112</v>
      </c>
      <c r="E719" t="str">
        <f>TEXT('P&amp;L Acumulado'!$G$1,"mmm/yyyy")&amp;" a "&amp;TEXT('P&amp;L Acumulado'!$I$1,"mmm/yyyy")</f>
        <v>jan/yyyy a mar/yyyy</v>
      </c>
      <c r="F719" t="s">
        <v>20</v>
      </c>
      <c r="G719" t="s">
        <v>252</v>
      </c>
      <c r="H719" t="s">
        <v>549</v>
      </c>
      <c r="I719" s="104" t="str">
        <f>'P&amp;L Acumulado'!E21</f>
        <v>-</v>
      </c>
      <c r="J719" t="s">
        <v>1071</v>
      </c>
      <c r="K719" t="s">
        <v>692</v>
      </c>
      <c r="L719">
        <v>21</v>
      </c>
    </row>
    <row r="720" spans="1:12" ht="18" customHeight="1" x14ac:dyDescent="0.25">
      <c r="A720" t="s">
        <v>1070</v>
      </c>
      <c r="B720" s="23">
        <f>'P&amp;L Acumulado'!$G$1</f>
        <v>46053</v>
      </c>
      <c r="C720" s="23">
        <f>'P&amp;L Acumulado'!$I$1</f>
        <v>46112</v>
      </c>
      <c r="D720" s="23">
        <f>'P&amp;L Acumulado'!$I$1</f>
        <v>46112</v>
      </c>
      <c r="E720" t="str">
        <f>TEXT('P&amp;L Acumulado'!$G$1,"mmm/yyyy")&amp;" a "&amp;TEXT('P&amp;L Acumulado'!$I$1,"mmm/yyyy")</f>
        <v>jan/yyyy a mar/yyyy</v>
      </c>
      <c r="F720" t="s">
        <v>20</v>
      </c>
      <c r="G720" t="s">
        <v>205</v>
      </c>
      <c r="H720" t="s">
        <v>5</v>
      </c>
      <c r="I720" s="429">
        <f>'P&amp;L Acumulado'!F21</f>
        <v>0</v>
      </c>
      <c r="J720" t="s">
        <v>1071</v>
      </c>
      <c r="K720" t="s">
        <v>693</v>
      </c>
      <c r="L720">
        <v>21</v>
      </c>
    </row>
    <row r="721" spans="1:12" ht="18" customHeight="1" x14ac:dyDescent="0.25">
      <c r="A721" t="s">
        <v>1070</v>
      </c>
      <c r="B721" s="23">
        <f>'P&amp;L Acumulado'!$G$1</f>
        <v>46053</v>
      </c>
      <c r="C721" s="23">
        <f>'P&amp;L Acumulado'!$I$1</f>
        <v>46112</v>
      </c>
      <c r="D721" s="23">
        <f>'P&amp;L Acumulado'!$I$1</f>
        <v>46112</v>
      </c>
      <c r="E721" t="str">
        <f>TEXT('P&amp;L Acumulado'!$G$1,"mmm/yyyy")&amp;" a "&amp;TEXT('P&amp;L Acumulado'!$I$1,"mmm/yyyy")</f>
        <v>jan/yyyy a mar/yyyy</v>
      </c>
      <c r="F721" t="s">
        <v>20</v>
      </c>
      <c r="G721" t="s">
        <v>205</v>
      </c>
      <c r="H721" t="s">
        <v>6</v>
      </c>
      <c r="I721" s="429">
        <f>'P&amp;L Acumulado'!G21</f>
        <v>0</v>
      </c>
      <c r="J721" t="s">
        <v>1071</v>
      </c>
      <c r="K721" t="s">
        <v>694</v>
      </c>
      <c r="L721">
        <v>21</v>
      </c>
    </row>
    <row r="722" spans="1:12" ht="18" customHeight="1" x14ac:dyDescent="0.25">
      <c r="A722" t="s">
        <v>1070</v>
      </c>
      <c r="B722" s="23">
        <f>'P&amp;L Acumulado'!$G$1</f>
        <v>46053</v>
      </c>
      <c r="C722" s="23">
        <f>'P&amp;L Acumulado'!$I$1</f>
        <v>46112</v>
      </c>
      <c r="D722" s="23">
        <f>'P&amp;L Acumulado'!$I$1</f>
        <v>46112</v>
      </c>
      <c r="E722" t="str">
        <f>TEXT('P&amp;L Acumulado'!$G$1,"mmm/yyyy")&amp;" a "&amp;TEXT('P&amp;L Acumulado'!$I$1,"mmm/yyyy")</f>
        <v>jan/yyyy a mar/yyyy</v>
      </c>
      <c r="F722" t="s">
        <v>20</v>
      </c>
      <c r="G722" t="s">
        <v>205</v>
      </c>
      <c r="H722" t="s">
        <v>549</v>
      </c>
      <c r="I722" s="104" t="str">
        <f>'P&amp;L Acumulado'!H21</f>
        <v>-</v>
      </c>
      <c r="J722" t="s">
        <v>1071</v>
      </c>
      <c r="K722" t="s">
        <v>695</v>
      </c>
      <c r="L722">
        <v>21</v>
      </c>
    </row>
    <row r="723" spans="1:12" ht="18" customHeight="1" x14ac:dyDescent="0.25">
      <c r="A723" t="s">
        <v>1070</v>
      </c>
      <c r="B723" s="23">
        <f>'P&amp;L Acumulado'!$G$1</f>
        <v>46053</v>
      </c>
      <c r="C723" s="23">
        <f>'P&amp;L Acumulado'!$I$1</f>
        <v>46112</v>
      </c>
      <c r="D723" s="23">
        <f>'P&amp;L Acumulado'!$I$1</f>
        <v>46112</v>
      </c>
      <c r="E723" t="str">
        <f>TEXT('P&amp;L Acumulado'!$G$1,"mmm/yyyy")&amp;" a "&amp;TEXT('P&amp;L Acumulado'!$I$1,"mmm/yyyy")</f>
        <v>jan/yyyy a mar/yyyy</v>
      </c>
      <c r="F723" t="s">
        <v>20</v>
      </c>
      <c r="G723" t="s">
        <v>220</v>
      </c>
      <c r="H723" t="s">
        <v>5</v>
      </c>
      <c r="I723" s="429">
        <f>'P&amp;L Acumulado'!I21</f>
        <v>242143.16999999934</v>
      </c>
      <c r="J723" t="s">
        <v>1071</v>
      </c>
      <c r="K723" t="s">
        <v>696</v>
      </c>
      <c r="L723">
        <v>21</v>
      </c>
    </row>
    <row r="724" spans="1:12" ht="18" customHeight="1" x14ac:dyDescent="0.25">
      <c r="A724" t="s">
        <v>1070</v>
      </c>
      <c r="B724" s="23">
        <f>'P&amp;L Acumulado'!$G$1</f>
        <v>46053</v>
      </c>
      <c r="C724" s="23">
        <f>'P&amp;L Acumulado'!$I$1</f>
        <v>46112</v>
      </c>
      <c r="D724" s="23">
        <f>'P&amp;L Acumulado'!$I$1</f>
        <v>46112</v>
      </c>
      <c r="E724" t="str">
        <f>TEXT('P&amp;L Acumulado'!$G$1,"mmm/yyyy")&amp;" a "&amp;TEXT('P&amp;L Acumulado'!$I$1,"mmm/yyyy")</f>
        <v>jan/yyyy a mar/yyyy</v>
      </c>
      <c r="F724" t="s">
        <v>20</v>
      </c>
      <c r="G724" t="s">
        <v>220</v>
      </c>
      <c r="H724" t="s">
        <v>6</v>
      </c>
      <c r="I724" s="429">
        <f>'P&amp;L Acumulado'!J21</f>
        <v>65377.309999999845</v>
      </c>
      <c r="J724" t="s">
        <v>1071</v>
      </c>
      <c r="K724" t="s">
        <v>697</v>
      </c>
      <c r="L724">
        <v>21</v>
      </c>
    </row>
    <row r="725" spans="1:12" ht="18" customHeight="1" x14ac:dyDescent="0.25">
      <c r="A725" t="s">
        <v>1070</v>
      </c>
      <c r="B725" s="23">
        <f>'P&amp;L Acumulado'!$G$1</f>
        <v>46053</v>
      </c>
      <c r="C725" s="23">
        <f>'P&amp;L Acumulado'!$I$1</f>
        <v>46112</v>
      </c>
      <c r="D725" s="23">
        <f>'P&amp;L Acumulado'!$I$1</f>
        <v>46112</v>
      </c>
      <c r="E725" t="str">
        <f>TEXT('P&amp;L Acumulado'!$G$1,"mmm/yyyy")&amp;" a "&amp;TEXT('P&amp;L Acumulado'!$I$1,"mmm/yyyy")</f>
        <v>jan/yyyy a mar/yyyy</v>
      </c>
      <c r="F725" t="s">
        <v>20</v>
      </c>
      <c r="G725" t="s">
        <v>220</v>
      </c>
      <c r="H725" t="s">
        <v>549</v>
      </c>
      <c r="I725" s="104">
        <f>'P&amp;L Acumulado'!K21</f>
        <v>2.7037799505669464</v>
      </c>
      <c r="J725" t="s">
        <v>1071</v>
      </c>
      <c r="K725" t="s">
        <v>698</v>
      </c>
      <c r="L725">
        <v>21</v>
      </c>
    </row>
    <row r="726" spans="1:12" ht="18" customHeight="1" x14ac:dyDescent="0.25">
      <c r="A726" t="s">
        <v>1070</v>
      </c>
      <c r="B726" s="23">
        <f>'P&amp;L Acumulado'!$G$1</f>
        <v>46053</v>
      </c>
      <c r="C726" s="23">
        <f>'P&amp;L Acumulado'!$I$1</f>
        <v>46112</v>
      </c>
      <c r="D726" s="23">
        <f>'P&amp;L Acumulado'!$I$1</f>
        <v>46112</v>
      </c>
      <c r="E726" t="str">
        <f>TEXT('P&amp;L Acumulado'!$G$1,"mmm/yyyy")&amp;" a "&amp;TEXT('P&amp;L Acumulado'!$I$1,"mmm/yyyy")</f>
        <v>jan/yyyy a mar/yyyy</v>
      </c>
      <c r="F726" t="s">
        <v>20</v>
      </c>
      <c r="G726" t="s">
        <v>96</v>
      </c>
      <c r="H726" t="s">
        <v>5</v>
      </c>
      <c r="I726" s="429">
        <f>'P&amp;L Acumulado'!L21</f>
        <v>242143.16999999934</v>
      </c>
      <c r="J726" t="s">
        <v>1071</v>
      </c>
      <c r="K726" t="s">
        <v>699</v>
      </c>
      <c r="L726">
        <v>21</v>
      </c>
    </row>
    <row r="727" spans="1:12" ht="18" customHeight="1" x14ac:dyDescent="0.25">
      <c r="A727" t="s">
        <v>1070</v>
      </c>
      <c r="B727" s="23">
        <f>'P&amp;L Acumulado'!$G$1</f>
        <v>46053</v>
      </c>
      <c r="C727" s="23">
        <f>'P&amp;L Acumulado'!$I$1</f>
        <v>46112</v>
      </c>
      <c r="D727" s="23">
        <f>'P&amp;L Acumulado'!$I$1</f>
        <v>46112</v>
      </c>
      <c r="E727" t="str">
        <f>TEXT('P&amp;L Acumulado'!$G$1,"mmm/yyyy")&amp;" a "&amp;TEXT('P&amp;L Acumulado'!$I$1,"mmm/yyyy")</f>
        <v>jan/yyyy a mar/yyyy</v>
      </c>
      <c r="F727" t="s">
        <v>20</v>
      </c>
      <c r="G727" t="s">
        <v>96</v>
      </c>
      <c r="H727" t="s">
        <v>6</v>
      </c>
      <c r="I727" s="429">
        <f>'P&amp;L Acumulado'!M21</f>
        <v>65377.309999999845</v>
      </c>
      <c r="J727" t="s">
        <v>1071</v>
      </c>
      <c r="K727" t="s">
        <v>1137</v>
      </c>
      <c r="L727">
        <v>21</v>
      </c>
    </row>
    <row r="728" spans="1:12" ht="18" customHeight="1" x14ac:dyDescent="0.25">
      <c r="A728" t="s">
        <v>1070</v>
      </c>
      <c r="B728" s="23">
        <f>'P&amp;L Acumulado'!$G$1</f>
        <v>46053</v>
      </c>
      <c r="C728" s="23">
        <f>'P&amp;L Acumulado'!$I$1</f>
        <v>46112</v>
      </c>
      <c r="D728" s="23">
        <f>'P&amp;L Acumulado'!$I$1</f>
        <v>46112</v>
      </c>
      <c r="E728" t="str">
        <f>TEXT('P&amp;L Acumulado'!$G$1,"mmm/yyyy")&amp;" a "&amp;TEXT('P&amp;L Acumulado'!$I$1,"mmm/yyyy")</f>
        <v>jan/yyyy a mar/yyyy</v>
      </c>
      <c r="F728" t="s">
        <v>20</v>
      </c>
      <c r="G728" t="s">
        <v>96</v>
      </c>
      <c r="H728" t="s">
        <v>549</v>
      </c>
      <c r="I728" s="104">
        <f>'P&amp;L Acumulado'!N21</f>
        <v>2.7037799505669464</v>
      </c>
      <c r="J728" t="s">
        <v>1071</v>
      </c>
      <c r="K728" t="s">
        <v>1138</v>
      </c>
      <c r="L728">
        <v>21</v>
      </c>
    </row>
    <row r="729" spans="1:12" ht="18" customHeight="1" x14ac:dyDescent="0.25">
      <c r="A729" t="s">
        <v>1070</v>
      </c>
      <c r="B729" s="23">
        <f>'P&amp;L Acumulado'!$G$1</f>
        <v>46053</v>
      </c>
      <c r="C729" s="23">
        <f>'P&amp;L Acumulado'!$I$1</f>
        <v>46112</v>
      </c>
      <c r="D729" s="23">
        <f>'P&amp;L Acumulado'!$I$1</f>
        <v>46112</v>
      </c>
      <c r="E729" t="str">
        <f>TEXT('P&amp;L Acumulado'!$G$1,"mmm/yyyy")&amp;" a "&amp;TEXT('P&amp;L Acumulado'!$I$1,"mmm/yyyy")</f>
        <v>jan/yyyy a mar/yyyy</v>
      </c>
      <c r="F729" t="s">
        <v>20</v>
      </c>
      <c r="G729" t="s">
        <v>96</v>
      </c>
      <c r="H729" t="s">
        <v>557</v>
      </c>
      <c r="I729" s="429">
        <f>'P&amp;L Acumulado'!O21</f>
        <v>176765.85999999949</v>
      </c>
      <c r="J729" t="s">
        <v>1071</v>
      </c>
      <c r="K729" t="s">
        <v>1139</v>
      </c>
      <c r="L729">
        <v>21</v>
      </c>
    </row>
    <row r="730" spans="1:12" ht="18" customHeight="1" x14ac:dyDescent="0.25">
      <c r="A730" t="s">
        <v>1070</v>
      </c>
      <c r="B730" s="23">
        <f>'P&amp;L Acumulado'!$G$1</f>
        <v>46053</v>
      </c>
      <c r="C730" s="23">
        <f>'P&amp;L Acumulado'!$I$1</f>
        <v>46112</v>
      </c>
      <c r="D730" s="23">
        <f>'P&amp;L Acumulado'!$I$1</f>
        <v>46112</v>
      </c>
      <c r="E730" t="str">
        <f>TEXT('P&amp;L Acumulado'!$G$1,"mmm/yyyy")&amp;" a "&amp;TEXT('P&amp;L Acumulado'!$I$1,"mmm/yyyy")</f>
        <v>jan/yyyy a mar/yyyy</v>
      </c>
      <c r="F730" t="s">
        <v>21</v>
      </c>
      <c r="G730" t="s">
        <v>252</v>
      </c>
      <c r="H730" t="s">
        <v>5</v>
      </c>
      <c r="I730" s="429">
        <f>'P&amp;L Acumulado'!C22</f>
        <v>0</v>
      </c>
      <c r="J730" t="s">
        <v>1071</v>
      </c>
      <c r="K730" t="s">
        <v>700</v>
      </c>
      <c r="L730">
        <v>22</v>
      </c>
    </row>
    <row r="731" spans="1:12" ht="18" customHeight="1" x14ac:dyDescent="0.25">
      <c r="A731" t="s">
        <v>1070</v>
      </c>
      <c r="B731" s="23">
        <f>'P&amp;L Acumulado'!$G$1</f>
        <v>46053</v>
      </c>
      <c r="C731" s="23">
        <f>'P&amp;L Acumulado'!$I$1</f>
        <v>46112</v>
      </c>
      <c r="D731" s="23">
        <f>'P&amp;L Acumulado'!$I$1</f>
        <v>46112</v>
      </c>
      <c r="E731" t="str">
        <f>TEXT('P&amp;L Acumulado'!$G$1,"mmm/yyyy")&amp;" a "&amp;TEXT('P&amp;L Acumulado'!$I$1,"mmm/yyyy")</f>
        <v>jan/yyyy a mar/yyyy</v>
      </c>
      <c r="F731" t="s">
        <v>21</v>
      </c>
      <c r="G731" t="s">
        <v>252</v>
      </c>
      <c r="H731" t="s">
        <v>6</v>
      </c>
      <c r="I731" s="429">
        <f>'P&amp;L Acumulado'!D22</f>
        <v>0</v>
      </c>
      <c r="J731" t="s">
        <v>1071</v>
      </c>
      <c r="K731" t="s">
        <v>701</v>
      </c>
      <c r="L731">
        <v>22</v>
      </c>
    </row>
    <row r="732" spans="1:12" ht="18" customHeight="1" x14ac:dyDescent="0.25">
      <c r="A732" t="s">
        <v>1070</v>
      </c>
      <c r="B732" s="23">
        <f>'P&amp;L Acumulado'!$G$1</f>
        <v>46053</v>
      </c>
      <c r="C732" s="23">
        <f>'P&amp;L Acumulado'!$I$1</f>
        <v>46112</v>
      </c>
      <c r="D732" s="23">
        <f>'P&amp;L Acumulado'!$I$1</f>
        <v>46112</v>
      </c>
      <c r="E732" t="str">
        <f>TEXT('P&amp;L Acumulado'!$G$1,"mmm/yyyy")&amp;" a "&amp;TEXT('P&amp;L Acumulado'!$I$1,"mmm/yyyy")</f>
        <v>jan/yyyy a mar/yyyy</v>
      </c>
      <c r="F732" t="s">
        <v>21</v>
      </c>
      <c r="G732" t="s">
        <v>252</v>
      </c>
      <c r="H732" t="s">
        <v>549</v>
      </c>
      <c r="I732" s="104">
        <f>'P&amp;L Acumulado'!E22</f>
        <v>0</v>
      </c>
      <c r="J732" t="s">
        <v>1071</v>
      </c>
      <c r="K732" t="s">
        <v>702</v>
      </c>
      <c r="L732">
        <v>22</v>
      </c>
    </row>
    <row r="733" spans="1:12" ht="18" customHeight="1" x14ac:dyDescent="0.25">
      <c r="A733" t="s">
        <v>1070</v>
      </c>
      <c r="B733" s="23">
        <f>'P&amp;L Acumulado'!$G$1</f>
        <v>46053</v>
      </c>
      <c r="C733" s="23">
        <f>'P&amp;L Acumulado'!$I$1</f>
        <v>46112</v>
      </c>
      <c r="D733" s="23">
        <f>'P&amp;L Acumulado'!$I$1</f>
        <v>46112</v>
      </c>
      <c r="E733" t="str">
        <f>TEXT('P&amp;L Acumulado'!$G$1,"mmm/yyyy")&amp;" a "&amp;TEXT('P&amp;L Acumulado'!$I$1,"mmm/yyyy")</f>
        <v>jan/yyyy a mar/yyyy</v>
      </c>
      <c r="F733" t="s">
        <v>21</v>
      </c>
      <c r="G733" t="s">
        <v>205</v>
      </c>
      <c r="H733" t="s">
        <v>5</v>
      </c>
      <c r="I733" s="429">
        <f>'P&amp;L Acumulado'!F22</f>
        <v>0</v>
      </c>
      <c r="J733" t="s">
        <v>1071</v>
      </c>
      <c r="K733" t="s">
        <v>703</v>
      </c>
      <c r="L733">
        <v>22</v>
      </c>
    </row>
    <row r="734" spans="1:12" ht="18" customHeight="1" x14ac:dyDescent="0.25">
      <c r="A734" t="s">
        <v>1070</v>
      </c>
      <c r="B734" s="23">
        <f>'P&amp;L Acumulado'!$G$1</f>
        <v>46053</v>
      </c>
      <c r="C734" s="23">
        <f>'P&amp;L Acumulado'!$I$1</f>
        <v>46112</v>
      </c>
      <c r="D734" s="23">
        <f>'P&amp;L Acumulado'!$I$1</f>
        <v>46112</v>
      </c>
      <c r="E734" t="str">
        <f>TEXT('P&amp;L Acumulado'!$G$1,"mmm/yyyy")&amp;" a "&amp;TEXT('P&amp;L Acumulado'!$I$1,"mmm/yyyy")</f>
        <v>jan/yyyy a mar/yyyy</v>
      </c>
      <c r="F734" t="s">
        <v>21</v>
      </c>
      <c r="G734" t="s">
        <v>205</v>
      </c>
      <c r="H734" t="s">
        <v>6</v>
      </c>
      <c r="I734" s="429">
        <f>'P&amp;L Acumulado'!G22</f>
        <v>0</v>
      </c>
      <c r="J734" t="s">
        <v>1071</v>
      </c>
      <c r="K734" t="s">
        <v>704</v>
      </c>
      <c r="L734">
        <v>22</v>
      </c>
    </row>
    <row r="735" spans="1:12" ht="18" customHeight="1" x14ac:dyDescent="0.25">
      <c r="A735" t="s">
        <v>1070</v>
      </c>
      <c r="B735" s="23">
        <f>'P&amp;L Acumulado'!$G$1</f>
        <v>46053</v>
      </c>
      <c r="C735" s="23">
        <f>'P&amp;L Acumulado'!$I$1</f>
        <v>46112</v>
      </c>
      <c r="D735" s="23">
        <f>'P&amp;L Acumulado'!$I$1</f>
        <v>46112</v>
      </c>
      <c r="E735" t="str">
        <f>TEXT('P&amp;L Acumulado'!$G$1,"mmm/yyyy")&amp;" a "&amp;TEXT('P&amp;L Acumulado'!$I$1,"mmm/yyyy")</f>
        <v>jan/yyyy a mar/yyyy</v>
      </c>
      <c r="F735" t="s">
        <v>21</v>
      </c>
      <c r="G735" t="s">
        <v>205</v>
      </c>
      <c r="H735" t="s">
        <v>549</v>
      </c>
      <c r="I735" s="104" t="str">
        <f>'P&amp;L Acumulado'!H22</f>
        <v>-</v>
      </c>
      <c r="J735" t="s">
        <v>1071</v>
      </c>
      <c r="K735" t="s">
        <v>705</v>
      </c>
      <c r="L735">
        <v>22</v>
      </c>
    </row>
    <row r="736" spans="1:12" ht="18" customHeight="1" x14ac:dyDescent="0.25">
      <c r="A736" t="s">
        <v>1070</v>
      </c>
      <c r="B736" s="23">
        <f>'P&amp;L Acumulado'!$G$1</f>
        <v>46053</v>
      </c>
      <c r="C736" s="23">
        <f>'P&amp;L Acumulado'!$I$1</f>
        <v>46112</v>
      </c>
      <c r="D736" s="23">
        <f>'P&amp;L Acumulado'!$I$1</f>
        <v>46112</v>
      </c>
      <c r="E736" t="str">
        <f>TEXT('P&amp;L Acumulado'!$G$1,"mmm/yyyy")&amp;" a "&amp;TEXT('P&amp;L Acumulado'!$I$1,"mmm/yyyy")</f>
        <v>jan/yyyy a mar/yyyy</v>
      </c>
      <c r="F736" t="s">
        <v>21</v>
      </c>
      <c r="G736" t="s">
        <v>220</v>
      </c>
      <c r="H736" t="s">
        <v>5</v>
      </c>
      <c r="I736" s="429">
        <f>'P&amp;L Acumulado'!I22</f>
        <v>-94430.299999999988</v>
      </c>
      <c r="J736" t="s">
        <v>1071</v>
      </c>
      <c r="K736" t="s">
        <v>706</v>
      </c>
      <c r="L736">
        <v>22</v>
      </c>
    </row>
    <row r="737" spans="1:12" ht="18" customHeight="1" x14ac:dyDescent="0.25">
      <c r="A737" t="s">
        <v>1070</v>
      </c>
      <c r="B737" s="23">
        <f>'P&amp;L Acumulado'!$G$1</f>
        <v>46053</v>
      </c>
      <c r="C737" s="23">
        <f>'P&amp;L Acumulado'!$I$1</f>
        <v>46112</v>
      </c>
      <c r="D737" s="23">
        <f>'P&amp;L Acumulado'!$I$1</f>
        <v>46112</v>
      </c>
      <c r="E737" t="str">
        <f>TEXT('P&amp;L Acumulado'!$G$1,"mmm/yyyy")&amp;" a "&amp;TEXT('P&amp;L Acumulado'!$I$1,"mmm/yyyy")</f>
        <v>jan/yyyy a mar/yyyy</v>
      </c>
      <c r="F737" t="s">
        <v>21</v>
      </c>
      <c r="G737" t="s">
        <v>220</v>
      </c>
      <c r="H737" t="s">
        <v>6</v>
      </c>
      <c r="I737" s="429">
        <f>'P&amp;L Acumulado'!J22</f>
        <v>241278.17</v>
      </c>
      <c r="J737" t="s">
        <v>1071</v>
      </c>
      <c r="K737" t="s">
        <v>707</v>
      </c>
      <c r="L737">
        <v>22</v>
      </c>
    </row>
    <row r="738" spans="1:12" ht="18" customHeight="1" x14ac:dyDescent="0.25">
      <c r="A738" t="s">
        <v>1070</v>
      </c>
      <c r="B738" s="23">
        <f>'P&amp;L Acumulado'!$G$1</f>
        <v>46053</v>
      </c>
      <c r="C738" s="23">
        <f>'P&amp;L Acumulado'!$I$1</f>
        <v>46112</v>
      </c>
      <c r="D738" s="23">
        <f>'P&amp;L Acumulado'!$I$1</f>
        <v>46112</v>
      </c>
      <c r="E738" t="str">
        <f>TEXT('P&amp;L Acumulado'!$G$1,"mmm/yyyy")&amp;" a "&amp;TEXT('P&amp;L Acumulado'!$I$1,"mmm/yyyy")</f>
        <v>jan/yyyy a mar/yyyy</v>
      </c>
      <c r="F738" t="s">
        <v>21</v>
      </c>
      <c r="G738" t="s">
        <v>220</v>
      </c>
      <c r="H738" t="s">
        <v>549</v>
      </c>
      <c r="I738" s="104">
        <f>'P&amp;L Acumulado'!K22</f>
        <v>-1.3913752329935194</v>
      </c>
      <c r="J738" t="s">
        <v>1071</v>
      </c>
      <c r="K738" t="s">
        <v>708</v>
      </c>
      <c r="L738">
        <v>22</v>
      </c>
    </row>
    <row r="739" spans="1:12" ht="18" customHeight="1" x14ac:dyDescent="0.25">
      <c r="A739" t="s">
        <v>1070</v>
      </c>
      <c r="B739" s="23">
        <f>'P&amp;L Acumulado'!$G$1</f>
        <v>46053</v>
      </c>
      <c r="C739" s="23">
        <f>'P&amp;L Acumulado'!$I$1</f>
        <v>46112</v>
      </c>
      <c r="D739" s="23">
        <f>'P&amp;L Acumulado'!$I$1</f>
        <v>46112</v>
      </c>
      <c r="E739" t="str">
        <f>TEXT('P&amp;L Acumulado'!$G$1,"mmm/yyyy")&amp;" a "&amp;TEXT('P&amp;L Acumulado'!$I$1,"mmm/yyyy")</f>
        <v>jan/yyyy a mar/yyyy</v>
      </c>
      <c r="F739" t="s">
        <v>21</v>
      </c>
      <c r="G739" t="s">
        <v>96</v>
      </c>
      <c r="H739" t="s">
        <v>5</v>
      </c>
      <c r="I739" s="429">
        <f>'P&amp;L Acumulado'!L22</f>
        <v>-94430.299999999988</v>
      </c>
      <c r="J739" t="s">
        <v>1071</v>
      </c>
      <c r="K739" t="s">
        <v>709</v>
      </c>
      <c r="L739">
        <v>22</v>
      </c>
    </row>
    <row r="740" spans="1:12" ht="18" customHeight="1" x14ac:dyDescent="0.25">
      <c r="A740" t="s">
        <v>1070</v>
      </c>
      <c r="B740" s="23">
        <f>'P&amp;L Acumulado'!$G$1</f>
        <v>46053</v>
      </c>
      <c r="C740" s="23">
        <f>'P&amp;L Acumulado'!$I$1</f>
        <v>46112</v>
      </c>
      <c r="D740" s="23">
        <f>'P&amp;L Acumulado'!$I$1</f>
        <v>46112</v>
      </c>
      <c r="E740" t="str">
        <f>TEXT('P&amp;L Acumulado'!$G$1,"mmm/yyyy")&amp;" a "&amp;TEXT('P&amp;L Acumulado'!$I$1,"mmm/yyyy")</f>
        <v>jan/yyyy a mar/yyyy</v>
      </c>
      <c r="F740" t="s">
        <v>21</v>
      </c>
      <c r="G740" t="s">
        <v>96</v>
      </c>
      <c r="H740" t="s">
        <v>6</v>
      </c>
      <c r="I740" s="429">
        <f>'P&amp;L Acumulado'!M22</f>
        <v>241278.17</v>
      </c>
      <c r="J740" t="s">
        <v>1071</v>
      </c>
      <c r="K740" t="s">
        <v>1140</v>
      </c>
      <c r="L740">
        <v>22</v>
      </c>
    </row>
    <row r="741" spans="1:12" ht="18" customHeight="1" x14ac:dyDescent="0.25">
      <c r="A741" t="s">
        <v>1070</v>
      </c>
      <c r="B741" s="23">
        <f>'P&amp;L Acumulado'!$G$1</f>
        <v>46053</v>
      </c>
      <c r="C741" s="23">
        <f>'P&amp;L Acumulado'!$I$1</f>
        <v>46112</v>
      </c>
      <c r="D741" s="23">
        <f>'P&amp;L Acumulado'!$I$1</f>
        <v>46112</v>
      </c>
      <c r="E741" t="str">
        <f>TEXT('P&amp;L Acumulado'!$G$1,"mmm/yyyy")&amp;" a "&amp;TEXT('P&amp;L Acumulado'!$I$1,"mmm/yyyy")</f>
        <v>jan/yyyy a mar/yyyy</v>
      </c>
      <c r="F741" t="s">
        <v>21</v>
      </c>
      <c r="G741" t="s">
        <v>96</v>
      </c>
      <c r="H741" t="s">
        <v>549</v>
      </c>
      <c r="I741" s="104">
        <f>'P&amp;L Acumulado'!N22</f>
        <v>-1.3913752329935194</v>
      </c>
      <c r="J741" t="s">
        <v>1071</v>
      </c>
      <c r="K741" t="s">
        <v>1141</v>
      </c>
      <c r="L741">
        <v>22</v>
      </c>
    </row>
    <row r="742" spans="1:12" ht="18" customHeight="1" x14ac:dyDescent="0.25">
      <c r="A742" t="s">
        <v>1070</v>
      </c>
      <c r="B742" s="23">
        <f>'P&amp;L Acumulado'!$G$1</f>
        <v>46053</v>
      </c>
      <c r="C742" s="23">
        <f>'P&amp;L Acumulado'!$I$1</f>
        <v>46112</v>
      </c>
      <c r="D742" s="23">
        <f>'P&amp;L Acumulado'!$I$1</f>
        <v>46112</v>
      </c>
      <c r="E742" t="str">
        <f>TEXT('P&amp;L Acumulado'!$G$1,"mmm/yyyy")&amp;" a "&amp;TEXT('P&amp;L Acumulado'!$I$1,"mmm/yyyy")</f>
        <v>jan/yyyy a mar/yyyy</v>
      </c>
      <c r="F742" t="s">
        <v>21</v>
      </c>
      <c r="G742" t="s">
        <v>96</v>
      </c>
      <c r="H742" t="s">
        <v>557</v>
      </c>
      <c r="I742" s="429">
        <f>'P&amp;L Acumulado'!O22</f>
        <v>-335708.47</v>
      </c>
      <c r="J742" t="s">
        <v>1071</v>
      </c>
      <c r="K742" t="s">
        <v>1142</v>
      </c>
      <c r="L742">
        <v>22</v>
      </c>
    </row>
    <row r="743" spans="1:12" ht="18" customHeight="1" x14ac:dyDescent="0.25">
      <c r="A743" t="s">
        <v>1070</v>
      </c>
      <c r="B743" s="23">
        <f>'P&amp;L Acumulado'!$G$1</f>
        <v>46053</v>
      </c>
      <c r="C743" s="23">
        <f>'P&amp;L Acumulado'!$I$1</f>
        <v>46112</v>
      </c>
      <c r="D743" s="23">
        <f>'P&amp;L Acumulado'!$I$1</f>
        <v>46112</v>
      </c>
      <c r="E743" t="str">
        <f>TEXT('P&amp;L Acumulado'!$G$1,"mmm/yyyy")&amp;" a "&amp;TEXT('P&amp;L Acumulado'!$I$1,"mmm/yyyy")</f>
        <v>jan/yyyy a mar/yyyy</v>
      </c>
      <c r="F743" t="s">
        <v>22</v>
      </c>
      <c r="G743" t="s">
        <v>252</v>
      </c>
      <c r="H743" t="s">
        <v>5</v>
      </c>
      <c r="I743" s="429">
        <f>'P&amp;L Acumulado'!C23</f>
        <v>0</v>
      </c>
      <c r="J743" t="s">
        <v>1071</v>
      </c>
      <c r="K743" t="s">
        <v>710</v>
      </c>
      <c r="L743">
        <v>23</v>
      </c>
    </row>
    <row r="744" spans="1:12" ht="18" customHeight="1" x14ac:dyDescent="0.25">
      <c r="A744" t="s">
        <v>1070</v>
      </c>
      <c r="B744" s="23">
        <f>'P&amp;L Acumulado'!$G$1</f>
        <v>46053</v>
      </c>
      <c r="C744" s="23">
        <f>'P&amp;L Acumulado'!$I$1</f>
        <v>46112</v>
      </c>
      <c r="D744" s="23">
        <f>'P&amp;L Acumulado'!$I$1</f>
        <v>46112</v>
      </c>
      <c r="E744" t="str">
        <f>TEXT('P&amp;L Acumulado'!$G$1,"mmm/yyyy")&amp;" a "&amp;TEXT('P&amp;L Acumulado'!$I$1,"mmm/yyyy")</f>
        <v>jan/yyyy a mar/yyyy</v>
      </c>
      <c r="F744" t="s">
        <v>22</v>
      </c>
      <c r="G744" t="s">
        <v>252</v>
      </c>
      <c r="H744" t="s">
        <v>6</v>
      </c>
      <c r="I744" s="429">
        <f>'P&amp;L Acumulado'!D23</f>
        <v>0</v>
      </c>
      <c r="J744" t="s">
        <v>1071</v>
      </c>
      <c r="K744" t="s">
        <v>711</v>
      </c>
      <c r="L744">
        <v>23</v>
      </c>
    </row>
    <row r="745" spans="1:12" ht="18" customHeight="1" x14ac:dyDescent="0.25">
      <c r="A745" t="s">
        <v>1070</v>
      </c>
      <c r="B745" s="23">
        <f>'P&amp;L Acumulado'!$G$1</f>
        <v>46053</v>
      </c>
      <c r="C745" s="23">
        <f>'P&amp;L Acumulado'!$I$1</f>
        <v>46112</v>
      </c>
      <c r="D745" s="23">
        <f>'P&amp;L Acumulado'!$I$1</f>
        <v>46112</v>
      </c>
      <c r="E745" t="str">
        <f>TEXT('P&amp;L Acumulado'!$G$1,"mmm/yyyy")&amp;" a "&amp;TEXT('P&amp;L Acumulado'!$I$1,"mmm/yyyy")</f>
        <v>jan/yyyy a mar/yyyy</v>
      </c>
      <c r="F745" t="s">
        <v>22</v>
      </c>
      <c r="G745" t="s">
        <v>252</v>
      </c>
      <c r="H745" t="s">
        <v>549</v>
      </c>
      <c r="I745" s="104" t="str">
        <f>'P&amp;L Acumulado'!E23</f>
        <v>-</v>
      </c>
      <c r="J745" t="s">
        <v>1071</v>
      </c>
      <c r="K745" t="s">
        <v>712</v>
      </c>
      <c r="L745">
        <v>23</v>
      </c>
    </row>
    <row r="746" spans="1:12" ht="18" customHeight="1" x14ac:dyDescent="0.25">
      <c r="A746" t="s">
        <v>1070</v>
      </c>
      <c r="B746" s="23">
        <f>'P&amp;L Acumulado'!$G$1</f>
        <v>46053</v>
      </c>
      <c r="C746" s="23">
        <f>'P&amp;L Acumulado'!$I$1</f>
        <v>46112</v>
      </c>
      <c r="D746" s="23">
        <f>'P&amp;L Acumulado'!$I$1</f>
        <v>46112</v>
      </c>
      <c r="E746" t="str">
        <f>TEXT('P&amp;L Acumulado'!$G$1,"mmm/yyyy")&amp;" a "&amp;TEXT('P&amp;L Acumulado'!$I$1,"mmm/yyyy")</f>
        <v>jan/yyyy a mar/yyyy</v>
      </c>
      <c r="F746" t="s">
        <v>22</v>
      </c>
      <c r="G746" t="s">
        <v>205</v>
      </c>
      <c r="H746" t="s">
        <v>5</v>
      </c>
      <c r="I746" s="429">
        <f>'P&amp;L Acumulado'!F23</f>
        <v>0</v>
      </c>
      <c r="J746" t="s">
        <v>1071</v>
      </c>
      <c r="K746" t="s">
        <v>713</v>
      </c>
      <c r="L746">
        <v>23</v>
      </c>
    </row>
    <row r="747" spans="1:12" ht="18" customHeight="1" x14ac:dyDescent="0.25">
      <c r="A747" t="s">
        <v>1070</v>
      </c>
      <c r="B747" s="23">
        <f>'P&amp;L Acumulado'!$G$1</f>
        <v>46053</v>
      </c>
      <c r="C747" s="23">
        <f>'P&amp;L Acumulado'!$I$1</f>
        <v>46112</v>
      </c>
      <c r="D747" s="23">
        <f>'P&amp;L Acumulado'!$I$1</f>
        <v>46112</v>
      </c>
      <c r="E747" t="str">
        <f>TEXT('P&amp;L Acumulado'!$G$1,"mmm/yyyy")&amp;" a "&amp;TEXT('P&amp;L Acumulado'!$I$1,"mmm/yyyy")</f>
        <v>jan/yyyy a mar/yyyy</v>
      </c>
      <c r="F747" t="s">
        <v>22</v>
      </c>
      <c r="G747" t="s">
        <v>205</v>
      </c>
      <c r="H747" t="s">
        <v>6</v>
      </c>
      <c r="I747" s="429">
        <f>'P&amp;L Acumulado'!G23</f>
        <v>0</v>
      </c>
      <c r="J747" t="s">
        <v>1071</v>
      </c>
      <c r="K747" t="s">
        <v>714</v>
      </c>
      <c r="L747">
        <v>23</v>
      </c>
    </row>
    <row r="748" spans="1:12" ht="18" customHeight="1" x14ac:dyDescent="0.25">
      <c r="A748" t="s">
        <v>1070</v>
      </c>
      <c r="B748" s="23">
        <f>'P&amp;L Acumulado'!$G$1</f>
        <v>46053</v>
      </c>
      <c r="C748" s="23">
        <f>'P&amp;L Acumulado'!$I$1</f>
        <v>46112</v>
      </c>
      <c r="D748" s="23">
        <f>'P&amp;L Acumulado'!$I$1</f>
        <v>46112</v>
      </c>
      <c r="E748" t="str">
        <f>TEXT('P&amp;L Acumulado'!$G$1,"mmm/yyyy")&amp;" a "&amp;TEXT('P&amp;L Acumulado'!$I$1,"mmm/yyyy")</f>
        <v>jan/yyyy a mar/yyyy</v>
      </c>
      <c r="F748" t="s">
        <v>22</v>
      </c>
      <c r="G748" t="s">
        <v>205</v>
      </c>
      <c r="H748" t="s">
        <v>549</v>
      </c>
      <c r="I748" s="104" t="str">
        <f>'P&amp;L Acumulado'!H23</f>
        <v>-</v>
      </c>
      <c r="J748" t="s">
        <v>1071</v>
      </c>
      <c r="K748" t="s">
        <v>715</v>
      </c>
      <c r="L748">
        <v>23</v>
      </c>
    </row>
    <row r="749" spans="1:12" ht="18" customHeight="1" x14ac:dyDescent="0.25">
      <c r="A749" t="s">
        <v>1070</v>
      </c>
      <c r="B749" s="23">
        <f>'P&amp;L Acumulado'!$G$1</f>
        <v>46053</v>
      </c>
      <c r="C749" s="23">
        <f>'P&amp;L Acumulado'!$I$1</f>
        <v>46112</v>
      </c>
      <c r="D749" s="23">
        <f>'P&amp;L Acumulado'!$I$1</f>
        <v>46112</v>
      </c>
      <c r="E749" t="str">
        <f>TEXT('P&amp;L Acumulado'!$G$1,"mmm/yyyy")&amp;" a "&amp;TEXT('P&amp;L Acumulado'!$I$1,"mmm/yyyy")</f>
        <v>jan/yyyy a mar/yyyy</v>
      </c>
      <c r="F749" t="s">
        <v>22</v>
      </c>
      <c r="G749" t="s">
        <v>220</v>
      </c>
      <c r="H749" t="s">
        <v>5</v>
      </c>
      <c r="I749" s="429">
        <f>'P&amp;L Acumulado'!I23</f>
        <v>851389.19</v>
      </c>
      <c r="J749" t="s">
        <v>1071</v>
      </c>
      <c r="K749" t="s">
        <v>716</v>
      </c>
      <c r="L749">
        <v>23</v>
      </c>
    </row>
    <row r="750" spans="1:12" ht="18" customHeight="1" x14ac:dyDescent="0.25">
      <c r="A750" t="s">
        <v>1070</v>
      </c>
      <c r="B750" s="23">
        <f>'P&amp;L Acumulado'!$G$1</f>
        <v>46053</v>
      </c>
      <c r="C750" s="23">
        <f>'P&amp;L Acumulado'!$I$1</f>
        <v>46112</v>
      </c>
      <c r="D750" s="23">
        <f>'P&amp;L Acumulado'!$I$1</f>
        <v>46112</v>
      </c>
      <c r="E750" t="str">
        <f>TEXT('P&amp;L Acumulado'!$G$1,"mmm/yyyy")&amp;" a "&amp;TEXT('P&amp;L Acumulado'!$I$1,"mmm/yyyy")</f>
        <v>jan/yyyy a mar/yyyy</v>
      </c>
      <c r="F750" t="s">
        <v>22</v>
      </c>
      <c r="G750" t="s">
        <v>220</v>
      </c>
      <c r="H750" t="s">
        <v>6</v>
      </c>
      <c r="I750" s="429">
        <f>'P&amp;L Acumulado'!J23</f>
        <v>507356.065</v>
      </c>
      <c r="J750" t="s">
        <v>1071</v>
      </c>
      <c r="K750" t="s">
        <v>717</v>
      </c>
      <c r="L750">
        <v>23</v>
      </c>
    </row>
    <row r="751" spans="1:12" ht="18" customHeight="1" x14ac:dyDescent="0.25">
      <c r="A751" t="s">
        <v>1070</v>
      </c>
      <c r="B751" s="23">
        <f>'P&amp;L Acumulado'!$G$1</f>
        <v>46053</v>
      </c>
      <c r="C751" s="23">
        <f>'P&amp;L Acumulado'!$I$1</f>
        <v>46112</v>
      </c>
      <c r="D751" s="23">
        <f>'P&amp;L Acumulado'!$I$1</f>
        <v>46112</v>
      </c>
      <c r="E751" t="str">
        <f>TEXT('P&amp;L Acumulado'!$G$1,"mmm/yyyy")&amp;" a "&amp;TEXT('P&amp;L Acumulado'!$I$1,"mmm/yyyy")</f>
        <v>jan/yyyy a mar/yyyy</v>
      </c>
      <c r="F751" t="s">
        <v>22</v>
      </c>
      <c r="G751" t="s">
        <v>220</v>
      </c>
      <c r="H751" t="s">
        <v>549</v>
      </c>
      <c r="I751" s="104">
        <f>'P&amp;L Acumulado'!K23</f>
        <v>0.6780901002927795</v>
      </c>
      <c r="J751" t="s">
        <v>1071</v>
      </c>
      <c r="K751" t="s">
        <v>718</v>
      </c>
      <c r="L751">
        <v>23</v>
      </c>
    </row>
    <row r="752" spans="1:12" ht="18" customHeight="1" x14ac:dyDescent="0.25">
      <c r="A752" t="s">
        <v>1070</v>
      </c>
      <c r="B752" s="23">
        <f>'P&amp;L Acumulado'!$G$1</f>
        <v>46053</v>
      </c>
      <c r="C752" s="23">
        <f>'P&amp;L Acumulado'!$I$1</f>
        <v>46112</v>
      </c>
      <c r="D752" s="23">
        <f>'P&amp;L Acumulado'!$I$1</f>
        <v>46112</v>
      </c>
      <c r="E752" t="str">
        <f>TEXT('P&amp;L Acumulado'!$G$1,"mmm/yyyy")&amp;" a "&amp;TEXT('P&amp;L Acumulado'!$I$1,"mmm/yyyy")</f>
        <v>jan/yyyy a mar/yyyy</v>
      </c>
      <c r="F752" t="s">
        <v>22</v>
      </c>
      <c r="G752" t="s">
        <v>96</v>
      </c>
      <c r="H752" t="s">
        <v>5</v>
      </c>
      <c r="I752" s="429">
        <f>'P&amp;L Acumulado'!L23</f>
        <v>851389.19</v>
      </c>
      <c r="J752" t="s">
        <v>1071</v>
      </c>
      <c r="K752" t="s">
        <v>719</v>
      </c>
      <c r="L752">
        <v>23</v>
      </c>
    </row>
    <row r="753" spans="1:12" ht="18" customHeight="1" x14ac:dyDescent="0.25">
      <c r="A753" t="s">
        <v>1070</v>
      </c>
      <c r="B753" s="23">
        <f>'P&amp;L Acumulado'!$G$1</f>
        <v>46053</v>
      </c>
      <c r="C753" s="23">
        <f>'P&amp;L Acumulado'!$I$1</f>
        <v>46112</v>
      </c>
      <c r="D753" s="23">
        <f>'P&amp;L Acumulado'!$I$1</f>
        <v>46112</v>
      </c>
      <c r="E753" t="str">
        <f>TEXT('P&amp;L Acumulado'!$G$1,"mmm/yyyy")&amp;" a "&amp;TEXT('P&amp;L Acumulado'!$I$1,"mmm/yyyy")</f>
        <v>jan/yyyy a mar/yyyy</v>
      </c>
      <c r="F753" t="s">
        <v>22</v>
      </c>
      <c r="G753" t="s">
        <v>96</v>
      </c>
      <c r="H753" t="s">
        <v>6</v>
      </c>
      <c r="I753" s="429">
        <f>'P&amp;L Acumulado'!M23</f>
        <v>507356.065</v>
      </c>
      <c r="J753" t="s">
        <v>1071</v>
      </c>
      <c r="K753" t="s">
        <v>1143</v>
      </c>
      <c r="L753">
        <v>23</v>
      </c>
    </row>
    <row r="754" spans="1:12" ht="18" customHeight="1" x14ac:dyDescent="0.25">
      <c r="A754" t="s">
        <v>1070</v>
      </c>
      <c r="B754" s="23">
        <f>'P&amp;L Acumulado'!$G$1</f>
        <v>46053</v>
      </c>
      <c r="C754" s="23">
        <f>'P&amp;L Acumulado'!$I$1</f>
        <v>46112</v>
      </c>
      <c r="D754" s="23">
        <f>'P&amp;L Acumulado'!$I$1</f>
        <v>46112</v>
      </c>
      <c r="E754" t="str">
        <f>TEXT('P&amp;L Acumulado'!$G$1,"mmm/yyyy")&amp;" a "&amp;TEXT('P&amp;L Acumulado'!$I$1,"mmm/yyyy")</f>
        <v>jan/yyyy a mar/yyyy</v>
      </c>
      <c r="F754" t="s">
        <v>22</v>
      </c>
      <c r="G754" t="s">
        <v>96</v>
      </c>
      <c r="H754" t="s">
        <v>549</v>
      </c>
      <c r="I754" s="104">
        <f>'P&amp;L Acumulado'!N23</f>
        <v>0.6780901002927795</v>
      </c>
      <c r="J754" t="s">
        <v>1071</v>
      </c>
      <c r="K754" t="s">
        <v>1144</v>
      </c>
      <c r="L754">
        <v>23</v>
      </c>
    </row>
    <row r="755" spans="1:12" ht="18" customHeight="1" x14ac:dyDescent="0.25">
      <c r="A755" t="s">
        <v>1070</v>
      </c>
      <c r="B755" s="23">
        <f>'P&amp;L Acumulado'!$G$1</f>
        <v>46053</v>
      </c>
      <c r="C755" s="23">
        <f>'P&amp;L Acumulado'!$I$1</f>
        <v>46112</v>
      </c>
      <c r="D755" s="23">
        <f>'P&amp;L Acumulado'!$I$1</f>
        <v>46112</v>
      </c>
      <c r="E755" t="str">
        <f>TEXT('P&amp;L Acumulado'!$G$1,"mmm/yyyy")&amp;" a "&amp;TEXT('P&amp;L Acumulado'!$I$1,"mmm/yyyy")</f>
        <v>jan/yyyy a mar/yyyy</v>
      </c>
      <c r="F755" t="s">
        <v>22</v>
      </c>
      <c r="G755" t="s">
        <v>96</v>
      </c>
      <c r="H755" t="s">
        <v>557</v>
      </c>
      <c r="I755" s="429">
        <f>'P&amp;L Acumulado'!O23</f>
        <v>344033.12499999994</v>
      </c>
      <c r="J755" t="s">
        <v>1071</v>
      </c>
      <c r="K755" t="s">
        <v>1145</v>
      </c>
      <c r="L755">
        <v>23</v>
      </c>
    </row>
    <row r="756" spans="1:12" ht="18" customHeight="1" x14ac:dyDescent="0.25">
      <c r="A756" t="s">
        <v>1070</v>
      </c>
      <c r="B756" s="23">
        <f>'P&amp;L Acumulado'!$G$1</f>
        <v>46053</v>
      </c>
      <c r="C756" s="23">
        <f>'P&amp;L Acumulado'!$I$1</f>
        <v>46112</v>
      </c>
      <c r="D756" s="23">
        <f>'P&amp;L Acumulado'!$I$1</f>
        <v>46112</v>
      </c>
      <c r="E756" t="str">
        <f>TEXT('P&amp;L Acumulado'!$G$1,"mmm/yyyy")&amp;" a "&amp;TEXT('P&amp;L Acumulado'!$I$1,"mmm/yyyy")</f>
        <v>jan/yyyy a mar/yyyy</v>
      </c>
      <c r="F756" t="s">
        <v>23</v>
      </c>
      <c r="G756" t="s">
        <v>252</v>
      </c>
      <c r="H756" t="s">
        <v>5</v>
      </c>
      <c r="I756" s="429">
        <f>'P&amp;L Acumulado'!C24</f>
        <v>0</v>
      </c>
      <c r="J756" t="s">
        <v>1071</v>
      </c>
      <c r="K756" t="s">
        <v>720</v>
      </c>
      <c r="L756">
        <v>24</v>
      </c>
    </row>
    <row r="757" spans="1:12" ht="18" customHeight="1" x14ac:dyDescent="0.25">
      <c r="A757" t="s">
        <v>1070</v>
      </c>
      <c r="B757" s="23">
        <f>'P&amp;L Acumulado'!$G$1</f>
        <v>46053</v>
      </c>
      <c r="C757" s="23">
        <f>'P&amp;L Acumulado'!$I$1</f>
        <v>46112</v>
      </c>
      <c r="D757" s="23">
        <f>'P&amp;L Acumulado'!$I$1</f>
        <v>46112</v>
      </c>
      <c r="E757" t="str">
        <f>TEXT('P&amp;L Acumulado'!$G$1,"mmm/yyyy")&amp;" a "&amp;TEXT('P&amp;L Acumulado'!$I$1,"mmm/yyyy")</f>
        <v>jan/yyyy a mar/yyyy</v>
      </c>
      <c r="F757" t="s">
        <v>23</v>
      </c>
      <c r="G757" t="s">
        <v>252</v>
      </c>
      <c r="H757" t="s">
        <v>6</v>
      </c>
      <c r="I757" s="429">
        <f>'P&amp;L Acumulado'!D24</f>
        <v>0</v>
      </c>
      <c r="J757" t="s">
        <v>1071</v>
      </c>
      <c r="K757" t="s">
        <v>721</v>
      </c>
      <c r="L757">
        <v>24</v>
      </c>
    </row>
    <row r="758" spans="1:12" ht="18" customHeight="1" x14ac:dyDescent="0.25">
      <c r="A758" t="s">
        <v>1070</v>
      </c>
      <c r="B758" s="23">
        <f>'P&amp;L Acumulado'!$G$1</f>
        <v>46053</v>
      </c>
      <c r="C758" s="23">
        <f>'P&amp;L Acumulado'!$I$1</f>
        <v>46112</v>
      </c>
      <c r="D758" s="23">
        <f>'P&amp;L Acumulado'!$I$1</f>
        <v>46112</v>
      </c>
      <c r="E758" t="str">
        <f>TEXT('P&amp;L Acumulado'!$G$1,"mmm/yyyy")&amp;" a "&amp;TEXT('P&amp;L Acumulado'!$I$1,"mmm/yyyy")</f>
        <v>jan/yyyy a mar/yyyy</v>
      </c>
      <c r="F758" t="s">
        <v>23</v>
      </c>
      <c r="G758" t="s">
        <v>252</v>
      </c>
      <c r="H758" t="s">
        <v>549</v>
      </c>
      <c r="I758" s="104" t="str">
        <f>'P&amp;L Acumulado'!E24</f>
        <v>-</v>
      </c>
      <c r="J758" t="s">
        <v>1071</v>
      </c>
      <c r="K758" t="s">
        <v>722</v>
      </c>
      <c r="L758">
        <v>24</v>
      </c>
    </row>
    <row r="759" spans="1:12" ht="18" customHeight="1" x14ac:dyDescent="0.25">
      <c r="A759" t="s">
        <v>1070</v>
      </c>
      <c r="B759" s="23">
        <f>'P&amp;L Acumulado'!$G$1</f>
        <v>46053</v>
      </c>
      <c r="C759" s="23">
        <f>'P&amp;L Acumulado'!$I$1</f>
        <v>46112</v>
      </c>
      <c r="D759" s="23">
        <f>'P&amp;L Acumulado'!$I$1</f>
        <v>46112</v>
      </c>
      <c r="E759" t="str">
        <f>TEXT('P&amp;L Acumulado'!$G$1,"mmm/yyyy")&amp;" a "&amp;TEXT('P&amp;L Acumulado'!$I$1,"mmm/yyyy")</f>
        <v>jan/yyyy a mar/yyyy</v>
      </c>
      <c r="F759" t="s">
        <v>23</v>
      </c>
      <c r="G759" t="s">
        <v>205</v>
      </c>
      <c r="H759" t="s">
        <v>5</v>
      </c>
      <c r="I759" s="429">
        <f>'P&amp;L Acumulado'!F24</f>
        <v>-12377761.539453447</v>
      </c>
      <c r="J759" t="s">
        <v>1071</v>
      </c>
      <c r="K759" t="s">
        <v>723</v>
      </c>
      <c r="L759">
        <v>24</v>
      </c>
    </row>
    <row r="760" spans="1:12" ht="18" customHeight="1" x14ac:dyDescent="0.25">
      <c r="A760" t="s">
        <v>1070</v>
      </c>
      <c r="B760" s="23">
        <f>'P&amp;L Acumulado'!$G$1</f>
        <v>46053</v>
      </c>
      <c r="C760" s="23">
        <f>'P&amp;L Acumulado'!$I$1</f>
        <v>46112</v>
      </c>
      <c r="D760" s="23">
        <f>'P&amp;L Acumulado'!$I$1</f>
        <v>46112</v>
      </c>
      <c r="E760" t="str">
        <f>TEXT('P&amp;L Acumulado'!$G$1,"mmm/yyyy")&amp;" a "&amp;TEXT('P&amp;L Acumulado'!$I$1,"mmm/yyyy")</f>
        <v>jan/yyyy a mar/yyyy</v>
      </c>
      <c r="F760" t="s">
        <v>23</v>
      </c>
      <c r="G760" t="s">
        <v>205</v>
      </c>
      <c r="H760" t="s">
        <v>6</v>
      </c>
      <c r="I760" s="429">
        <f>'P&amp;L Acumulado'!G24</f>
        <v>-11952517.772858504</v>
      </c>
      <c r="J760" t="s">
        <v>1071</v>
      </c>
      <c r="K760" t="s">
        <v>724</v>
      </c>
      <c r="L760">
        <v>24</v>
      </c>
    </row>
    <row r="761" spans="1:12" ht="18" customHeight="1" x14ac:dyDescent="0.25">
      <c r="A761" t="s">
        <v>1070</v>
      </c>
      <c r="B761" s="23">
        <f>'P&amp;L Acumulado'!$G$1</f>
        <v>46053</v>
      </c>
      <c r="C761" s="23">
        <f>'P&amp;L Acumulado'!$I$1</f>
        <v>46112</v>
      </c>
      <c r="D761" s="23">
        <f>'P&amp;L Acumulado'!$I$1</f>
        <v>46112</v>
      </c>
      <c r="E761" t="str">
        <f>TEXT('P&amp;L Acumulado'!$G$1,"mmm/yyyy")&amp;" a "&amp;TEXT('P&amp;L Acumulado'!$I$1,"mmm/yyyy")</f>
        <v>jan/yyyy a mar/yyyy</v>
      </c>
      <c r="F761" t="s">
        <v>23</v>
      </c>
      <c r="G761" t="s">
        <v>205</v>
      </c>
      <c r="H761" t="s">
        <v>549</v>
      </c>
      <c r="I761" s="104">
        <f>'P&amp;L Acumulado'!H24</f>
        <v>3.5577756475759115E-2</v>
      </c>
      <c r="J761" t="s">
        <v>1071</v>
      </c>
      <c r="K761" t="s">
        <v>725</v>
      </c>
      <c r="L761">
        <v>24</v>
      </c>
    </row>
    <row r="762" spans="1:12" ht="18" customHeight="1" x14ac:dyDescent="0.25">
      <c r="A762" t="s">
        <v>1070</v>
      </c>
      <c r="B762" s="23">
        <f>'P&amp;L Acumulado'!$G$1</f>
        <v>46053</v>
      </c>
      <c r="C762" s="23">
        <f>'P&amp;L Acumulado'!$I$1</f>
        <v>46112</v>
      </c>
      <c r="D762" s="23">
        <f>'P&amp;L Acumulado'!$I$1</f>
        <v>46112</v>
      </c>
      <c r="E762" t="str">
        <f>TEXT('P&amp;L Acumulado'!$G$1,"mmm/yyyy")&amp;" a "&amp;TEXT('P&amp;L Acumulado'!$I$1,"mmm/yyyy")</f>
        <v>jan/yyyy a mar/yyyy</v>
      </c>
      <c r="F762" t="s">
        <v>23</v>
      </c>
      <c r="G762" t="s">
        <v>220</v>
      </c>
      <c r="H762" t="s">
        <v>5</v>
      </c>
      <c r="I762" s="429">
        <f>'P&amp;L Acumulado'!I24</f>
        <v>-42950170.290546522</v>
      </c>
      <c r="J762" t="s">
        <v>1071</v>
      </c>
      <c r="K762" t="s">
        <v>726</v>
      </c>
      <c r="L762">
        <v>24</v>
      </c>
    </row>
    <row r="763" spans="1:12" ht="18" customHeight="1" x14ac:dyDescent="0.25">
      <c r="A763" t="s">
        <v>1070</v>
      </c>
      <c r="B763" s="23">
        <f>'P&amp;L Acumulado'!$G$1</f>
        <v>46053</v>
      </c>
      <c r="C763" s="23">
        <f>'P&amp;L Acumulado'!$I$1</f>
        <v>46112</v>
      </c>
      <c r="D763" s="23">
        <f>'P&amp;L Acumulado'!$I$1</f>
        <v>46112</v>
      </c>
      <c r="E763" t="str">
        <f>TEXT('P&amp;L Acumulado'!$G$1,"mmm/yyyy")&amp;" a "&amp;TEXT('P&amp;L Acumulado'!$I$1,"mmm/yyyy")</f>
        <v>jan/yyyy a mar/yyyy</v>
      </c>
      <c r="F763" t="s">
        <v>23</v>
      </c>
      <c r="G763" t="s">
        <v>220</v>
      </c>
      <c r="H763" t="s">
        <v>6</v>
      </c>
      <c r="I763" s="429">
        <f>'P&amp;L Acumulado'!J24</f>
        <v>-41901835.419307753</v>
      </c>
      <c r="J763" t="s">
        <v>1071</v>
      </c>
      <c r="K763" t="s">
        <v>727</v>
      </c>
      <c r="L763">
        <v>24</v>
      </c>
    </row>
    <row r="764" spans="1:12" ht="18" customHeight="1" x14ac:dyDescent="0.25">
      <c r="A764" t="s">
        <v>1070</v>
      </c>
      <c r="B764" s="23">
        <f>'P&amp;L Acumulado'!$G$1</f>
        <v>46053</v>
      </c>
      <c r="C764" s="23">
        <f>'P&amp;L Acumulado'!$I$1</f>
        <v>46112</v>
      </c>
      <c r="D764" s="23">
        <f>'P&amp;L Acumulado'!$I$1</f>
        <v>46112</v>
      </c>
      <c r="E764" t="str">
        <f>TEXT('P&amp;L Acumulado'!$G$1,"mmm/yyyy")&amp;" a "&amp;TEXT('P&amp;L Acumulado'!$I$1,"mmm/yyyy")</f>
        <v>jan/yyyy a mar/yyyy</v>
      </c>
      <c r="F764" t="s">
        <v>23</v>
      </c>
      <c r="G764" t="s">
        <v>220</v>
      </c>
      <c r="H764" t="s">
        <v>549</v>
      </c>
      <c r="I764" s="104">
        <f>'P&amp;L Acumulado'!K24</f>
        <v>2.5018829384158892E-2</v>
      </c>
      <c r="J764" t="s">
        <v>1071</v>
      </c>
      <c r="K764" t="s">
        <v>728</v>
      </c>
      <c r="L764">
        <v>24</v>
      </c>
    </row>
    <row r="765" spans="1:12" ht="18" customHeight="1" x14ac:dyDescent="0.25">
      <c r="A765" t="s">
        <v>1070</v>
      </c>
      <c r="B765" s="23">
        <f>'P&amp;L Acumulado'!$G$1</f>
        <v>46053</v>
      </c>
      <c r="C765" s="23">
        <f>'P&amp;L Acumulado'!$I$1</f>
        <v>46112</v>
      </c>
      <c r="D765" s="23">
        <f>'P&amp;L Acumulado'!$I$1</f>
        <v>46112</v>
      </c>
      <c r="E765" t="str">
        <f>TEXT('P&amp;L Acumulado'!$G$1,"mmm/yyyy")&amp;" a "&amp;TEXT('P&amp;L Acumulado'!$I$1,"mmm/yyyy")</f>
        <v>jan/yyyy a mar/yyyy</v>
      </c>
      <c r="F765" t="s">
        <v>23</v>
      </c>
      <c r="G765" t="s">
        <v>96</v>
      </c>
      <c r="H765" t="s">
        <v>5</v>
      </c>
      <c r="I765" s="429">
        <f>'P&amp;L Acumulado'!L24</f>
        <v>-55327931.829999968</v>
      </c>
      <c r="J765" t="s">
        <v>1071</v>
      </c>
      <c r="K765" t="s">
        <v>729</v>
      </c>
      <c r="L765">
        <v>24</v>
      </c>
    </row>
    <row r="766" spans="1:12" ht="18" customHeight="1" x14ac:dyDescent="0.25">
      <c r="A766" t="s">
        <v>1070</v>
      </c>
      <c r="B766" s="23">
        <f>'P&amp;L Acumulado'!$G$1</f>
        <v>46053</v>
      </c>
      <c r="C766" s="23">
        <f>'P&amp;L Acumulado'!$I$1</f>
        <v>46112</v>
      </c>
      <c r="D766" s="23">
        <f>'P&amp;L Acumulado'!$I$1</f>
        <v>46112</v>
      </c>
      <c r="E766" t="str">
        <f>TEXT('P&amp;L Acumulado'!$G$1,"mmm/yyyy")&amp;" a "&amp;TEXT('P&amp;L Acumulado'!$I$1,"mmm/yyyy")</f>
        <v>jan/yyyy a mar/yyyy</v>
      </c>
      <c r="F766" t="s">
        <v>23</v>
      </c>
      <c r="G766" t="s">
        <v>96</v>
      </c>
      <c r="H766" t="s">
        <v>6</v>
      </c>
      <c r="I766" s="429">
        <f>'P&amp;L Acumulado'!M24</f>
        <v>-53854353.192166261</v>
      </c>
      <c r="J766" t="s">
        <v>1071</v>
      </c>
      <c r="K766" t="s">
        <v>1146</v>
      </c>
      <c r="L766">
        <v>24</v>
      </c>
    </row>
    <row r="767" spans="1:12" ht="18" customHeight="1" x14ac:dyDescent="0.25">
      <c r="A767" t="s">
        <v>1070</v>
      </c>
      <c r="B767" s="23">
        <f>'P&amp;L Acumulado'!$G$1</f>
        <v>46053</v>
      </c>
      <c r="C767" s="23">
        <f>'P&amp;L Acumulado'!$I$1</f>
        <v>46112</v>
      </c>
      <c r="D767" s="23">
        <f>'P&amp;L Acumulado'!$I$1</f>
        <v>46112</v>
      </c>
      <c r="E767" t="str">
        <f>TEXT('P&amp;L Acumulado'!$G$1,"mmm/yyyy")&amp;" a "&amp;TEXT('P&amp;L Acumulado'!$I$1,"mmm/yyyy")</f>
        <v>jan/yyyy a mar/yyyy</v>
      </c>
      <c r="F767" t="s">
        <v>23</v>
      </c>
      <c r="G767" t="s">
        <v>96</v>
      </c>
      <c r="H767" t="s">
        <v>549</v>
      </c>
      <c r="I767" s="104">
        <f>'P&amp;L Acumulado'!N24</f>
        <v>2.7362293862774667E-2</v>
      </c>
      <c r="J767" t="s">
        <v>1071</v>
      </c>
      <c r="K767" t="s">
        <v>1147</v>
      </c>
      <c r="L767">
        <v>24</v>
      </c>
    </row>
    <row r="768" spans="1:12" ht="18" customHeight="1" x14ac:dyDescent="0.25">
      <c r="A768" t="s">
        <v>1070</v>
      </c>
      <c r="B768" s="23">
        <f>'P&amp;L Acumulado'!$G$1</f>
        <v>46053</v>
      </c>
      <c r="C768" s="23">
        <f>'P&amp;L Acumulado'!$I$1</f>
        <v>46112</v>
      </c>
      <c r="D768" s="23">
        <f>'P&amp;L Acumulado'!$I$1</f>
        <v>46112</v>
      </c>
      <c r="E768" t="str">
        <f>TEXT('P&amp;L Acumulado'!$G$1,"mmm/yyyy")&amp;" a "&amp;TEXT('P&amp;L Acumulado'!$I$1,"mmm/yyyy")</f>
        <v>jan/yyyy a mar/yyyy</v>
      </c>
      <c r="F768" t="s">
        <v>23</v>
      </c>
      <c r="G768" t="s">
        <v>96</v>
      </c>
      <c r="H768" t="s">
        <v>557</v>
      </c>
      <c r="I768" s="429">
        <f>'P&amp;L Acumulado'!O24</f>
        <v>1473578.637833707</v>
      </c>
      <c r="J768" t="s">
        <v>1071</v>
      </c>
      <c r="K768" t="s">
        <v>1148</v>
      </c>
      <c r="L768">
        <v>24</v>
      </c>
    </row>
    <row r="769" spans="1:12" ht="18" customHeight="1" x14ac:dyDescent="0.25">
      <c r="A769" t="s">
        <v>1070</v>
      </c>
      <c r="B769" s="23">
        <f>'P&amp;L Acumulado'!$G$1</f>
        <v>46053</v>
      </c>
      <c r="C769" s="23">
        <f>'P&amp;L Acumulado'!$I$1</f>
        <v>46112</v>
      </c>
      <c r="D769" s="23">
        <f>'P&amp;L Acumulado'!$I$1</f>
        <v>46112</v>
      </c>
      <c r="E769" t="str">
        <f>TEXT('P&amp;L Acumulado'!$G$1,"mmm/yyyy")&amp;" a "&amp;TEXT('P&amp;L Acumulado'!$I$1,"mmm/yyyy")</f>
        <v>jan/yyyy a mar/yyyy</v>
      </c>
      <c r="F769" t="s">
        <v>24</v>
      </c>
      <c r="G769" t="s">
        <v>252</v>
      </c>
      <c r="H769" t="s">
        <v>5</v>
      </c>
      <c r="I769" s="429">
        <f>'P&amp;L Acumulado'!C25</f>
        <v>0</v>
      </c>
      <c r="J769" t="s">
        <v>1071</v>
      </c>
      <c r="K769" t="s">
        <v>730</v>
      </c>
      <c r="L769">
        <v>25</v>
      </c>
    </row>
    <row r="770" spans="1:12" ht="18" customHeight="1" x14ac:dyDescent="0.25">
      <c r="A770" t="s">
        <v>1070</v>
      </c>
      <c r="B770" s="23">
        <f>'P&amp;L Acumulado'!$G$1</f>
        <v>46053</v>
      </c>
      <c r="C770" s="23">
        <f>'P&amp;L Acumulado'!$I$1</f>
        <v>46112</v>
      </c>
      <c r="D770" s="23">
        <f>'P&amp;L Acumulado'!$I$1</f>
        <v>46112</v>
      </c>
      <c r="E770" t="str">
        <f>TEXT('P&amp;L Acumulado'!$G$1,"mmm/yyyy")&amp;" a "&amp;TEXT('P&amp;L Acumulado'!$I$1,"mmm/yyyy")</f>
        <v>jan/yyyy a mar/yyyy</v>
      </c>
      <c r="F770" t="s">
        <v>24</v>
      </c>
      <c r="G770" t="s">
        <v>252</v>
      </c>
      <c r="H770" t="s">
        <v>6</v>
      </c>
      <c r="I770" s="429">
        <f>'P&amp;L Acumulado'!D25</f>
        <v>0</v>
      </c>
      <c r="J770" t="s">
        <v>1071</v>
      </c>
      <c r="K770" t="s">
        <v>731</v>
      </c>
      <c r="L770">
        <v>25</v>
      </c>
    </row>
    <row r="771" spans="1:12" ht="18" customHeight="1" x14ac:dyDescent="0.25">
      <c r="A771" t="s">
        <v>1070</v>
      </c>
      <c r="B771" s="23">
        <f>'P&amp;L Acumulado'!$G$1</f>
        <v>46053</v>
      </c>
      <c r="C771" s="23">
        <f>'P&amp;L Acumulado'!$I$1</f>
        <v>46112</v>
      </c>
      <c r="D771" s="23">
        <f>'P&amp;L Acumulado'!$I$1</f>
        <v>46112</v>
      </c>
      <c r="E771" t="str">
        <f>TEXT('P&amp;L Acumulado'!$G$1,"mmm/yyyy")&amp;" a "&amp;TEXT('P&amp;L Acumulado'!$I$1,"mmm/yyyy")</f>
        <v>jan/yyyy a mar/yyyy</v>
      </c>
      <c r="F771" t="s">
        <v>24</v>
      </c>
      <c r="G771" t="s">
        <v>252</v>
      </c>
      <c r="H771" t="s">
        <v>549</v>
      </c>
      <c r="I771" s="104" t="str">
        <f>'P&amp;L Acumulado'!E25</f>
        <v>-</v>
      </c>
      <c r="J771" t="s">
        <v>1071</v>
      </c>
      <c r="K771" t="s">
        <v>732</v>
      </c>
      <c r="L771">
        <v>25</v>
      </c>
    </row>
    <row r="772" spans="1:12" ht="18" customHeight="1" x14ac:dyDescent="0.25">
      <c r="A772" t="s">
        <v>1070</v>
      </c>
      <c r="B772" s="23">
        <f>'P&amp;L Acumulado'!$G$1</f>
        <v>46053</v>
      </c>
      <c r="C772" s="23">
        <f>'P&amp;L Acumulado'!$I$1</f>
        <v>46112</v>
      </c>
      <c r="D772" s="23">
        <f>'P&amp;L Acumulado'!$I$1</f>
        <v>46112</v>
      </c>
      <c r="E772" t="str">
        <f>TEXT('P&amp;L Acumulado'!$G$1,"mmm/yyyy")&amp;" a "&amp;TEXT('P&amp;L Acumulado'!$I$1,"mmm/yyyy")</f>
        <v>jan/yyyy a mar/yyyy</v>
      </c>
      <c r="F772" t="s">
        <v>24</v>
      </c>
      <c r="G772" t="s">
        <v>205</v>
      </c>
      <c r="H772" t="s">
        <v>5</v>
      </c>
      <c r="I772" s="429">
        <f>'P&amp;L Acumulado'!F25</f>
        <v>-12377761.539453447</v>
      </c>
      <c r="J772" t="s">
        <v>1071</v>
      </c>
      <c r="K772" t="s">
        <v>733</v>
      </c>
      <c r="L772">
        <v>25</v>
      </c>
    </row>
    <row r="773" spans="1:12" ht="18" customHeight="1" x14ac:dyDescent="0.25">
      <c r="A773" t="s">
        <v>1070</v>
      </c>
      <c r="B773" s="23">
        <f>'P&amp;L Acumulado'!$G$1</f>
        <v>46053</v>
      </c>
      <c r="C773" s="23">
        <f>'P&amp;L Acumulado'!$I$1</f>
        <v>46112</v>
      </c>
      <c r="D773" s="23">
        <f>'P&amp;L Acumulado'!$I$1</f>
        <v>46112</v>
      </c>
      <c r="E773" t="str">
        <f>TEXT('P&amp;L Acumulado'!$G$1,"mmm/yyyy")&amp;" a "&amp;TEXT('P&amp;L Acumulado'!$I$1,"mmm/yyyy")</f>
        <v>jan/yyyy a mar/yyyy</v>
      </c>
      <c r="F773" t="s">
        <v>24</v>
      </c>
      <c r="G773" t="s">
        <v>205</v>
      </c>
      <c r="H773" t="s">
        <v>6</v>
      </c>
      <c r="I773" s="429">
        <f>'P&amp;L Acumulado'!G25</f>
        <v>-11952517.772858504</v>
      </c>
      <c r="J773" t="s">
        <v>1071</v>
      </c>
      <c r="K773" t="s">
        <v>734</v>
      </c>
      <c r="L773">
        <v>25</v>
      </c>
    </row>
    <row r="774" spans="1:12" ht="18" customHeight="1" x14ac:dyDescent="0.25">
      <c r="A774" t="s">
        <v>1070</v>
      </c>
      <c r="B774" s="23">
        <f>'P&amp;L Acumulado'!$G$1</f>
        <v>46053</v>
      </c>
      <c r="C774" s="23">
        <f>'P&amp;L Acumulado'!$I$1</f>
        <v>46112</v>
      </c>
      <c r="D774" s="23">
        <f>'P&amp;L Acumulado'!$I$1</f>
        <v>46112</v>
      </c>
      <c r="E774" t="str">
        <f>TEXT('P&amp;L Acumulado'!$G$1,"mmm/yyyy")&amp;" a "&amp;TEXT('P&amp;L Acumulado'!$I$1,"mmm/yyyy")</f>
        <v>jan/yyyy a mar/yyyy</v>
      </c>
      <c r="F774" t="s">
        <v>24</v>
      </c>
      <c r="G774" t="s">
        <v>205</v>
      </c>
      <c r="H774" t="s">
        <v>549</v>
      </c>
      <c r="I774" s="104">
        <f>'P&amp;L Acumulado'!H25</f>
        <v>3.5577756475759115E-2</v>
      </c>
      <c r="J774" t="s">
        <v>1071</v>
      </c>
      <c r="K774" t="s">
        <v>735</v>
      </c>
      <c r="L774">
        <v>25</v>
      </c>
    </row>
    <row r="775" spans="1:12" ht="18" customHeight="1" x14ac:dyDescent="0.25">
      <c r="A775" t="s">
        <v>1070</v>
      </c>
      <c r="B775" s="23">
        <f>'P&amp;L Acumulado'!$G$1</f>
        <v>46053</v>
      </c>
      <c r="C775" s="23">
        <f>'P&amp;L Acumulado'!$I$1</f>
        <v>46112</v>
      </c>
      <c r="D775" s="23">
        <f>'P&amp;L Acumulado'!$I$1</f>
        <v>46112</v>
      </c>
      <c r="E775" t="str">
        <f>TEXT('P&amp;L Acumulado'!$G$1,"mmm/yyyy")&amp;" a "&amp;TEXT('P&amp;L Acumulado'!$I$1,"mmm/yyyy")</f>
        <v>jan/yyyy a mar/yyyy</v>
      </c>
      <c r="F775" t="s">
        <v>24</v>
      </c>
      <c r="G775" t="s">
        <v>220</v>
      </c>
      <c r="H775" t="s">
        <v>5</v>
      </c>
      <c r="I775" s="429">
        <f>'P&amp;L Acumulado'!I25</f>
        <v>-42950170.290546522</v>
      </c>
      <c r="J775" t="s">
        <v>1071</v>
      </c>
      <c r="K775" t="s">
        <v>736</v>
      </c>
      <c r="L775">
        <v>25</v>
      </c>
    </row>
    <row r="776" spans="1:12" ht="18" customHeight="1" x14ac:dyDescent="0.25">
      <c r="A776" t="s">
        <v>1070</v>
      </c>
      <c r="B776" s="23">
        <f>'P&amp;L Acumulado'!$G$1</f>
        <v>46053</v>
      </c>
      <c r="C776" s="23">
        <f>'P&amp;L Acumulado'!$I$1</f>
        <v>46112</v>
      </c>
      <c r="D776" s="23">
        <f>'P&amp;L Acumulado'!$I$1</f>
        <v>46112</v>
      </c>
      <c r="E776" t="str">
        <f>TEXT('P&amp;L Acumulado'!$G$1,"mmm/yyyy")&amp;" a "&amp;TEXT('P&amp;L Acumulado'!$I$1,"mmm/yyyy")</f>
        <v>jan/yyyy a mar/yyyy</v>
      </c>
      <c r="F776" t="s">
        <v>24</v>
      </c>
      <c r="G776" t="s">
        <v>220</v>
      </c>
      <c r="H776" t="s">
        <v>6</v>
      </c>
      <c r="I776" s="429">
        <f>'P&amp;L Acumulado'!J25</f>
        <v>-41901835.419307753</v>
      </c>
      <c r="J776" t="s">
        <v>1071</v>
      </c>
      <c r="K776" t="s">
        <v>737</v>
      </c>
      <c r="L776">
        <v>25</v>
      </c>
    </row>
    <row r="777" spans="1:12" ht="18" customHeight="1" x14ac:dyDescent="0.25">
      <c r="A777" t="s">
        <v>1070</v>
      </c>
      <c r="B777" s="23">
        <f>'P&amp;L Acumulado'!$G$1</f>
        <v>46053</v>
      </c>
      <c r="C777" s="23">
        <f>'P&amp;L Acumulado'!$I$1</f>
        <v>46112</v>
      </c>
      <c r="D777" s="23">
        <f>'P&amp;L Acumulado'!$I$1</f>
        <v>46112</v>
      </c>
      <c r="E777" t="str">
        <f>TEXT('P&amp;L Acumulado'!$G$1,"mmm/yyyy")&amp;" a "&amp;TEXT('P&amp;L Acumulado'!$I$1,"mmm/yyyy")</f>
        <v>jan/yyyy a mar/yyyy</v>
      </c>
      <c r="F777" t="s">
        <v>24</v>
      </c>
      <c r="G777" t="s">
        <v>220</v>
      </c>
      <c r="H777" t="s">
        <v>549</v>
      </c>
      <c r="I777" s="104">
        <f>'P&amp;L Acumulado'!K25</f>
        <v>2.5018829384158892E-2</v>
      </c>
      <c r="J777" t="s">
        <v>1071</v>
      </c>
      <c r="K777" t="s">
        <v>738</v>
      </c>
      <c r="L777">
        <v>25</v>
      </c>
    </row>
    <row r="778" spans="1:12" ht="18" customHeight="1" x14ac:dyDescent="0.25">
      <c r="A778" t="s">
        <v>1070</v>
      </c>
      <c r="B778" s="23">
        <f>'P&amp;L Acumulado'!$G$1</f>
        <v>46053</v>
      </c>
      <c r="C778" s="23">
        <f>'P&amp;L Acumulado'!$I$1</f>
        <v>46112</v>
      </c>
      <c r="D778" s="23">
        <f>'P&amp;L Acumulado'!$I$1</f>
        <v>46112</v>
      </c>
      <c r="E778" t="str">
        <f>TEXT('P&amp;L Acumulado'!$G$1,"mmm/yyyy")&amp;" a "&amp;TEXT('P&amp;L Acumulado'!$I$1,"mmm/yyyy")</f>
        <v>jan/yyyy a mar/yyyy</v>
      </c>
      <c r="F778" t="s">
        <v>24</v>
      </c>
      <c r="G778" t="s">
        <v>96</v>
      </c>
      <c r="H778" t="s">
        <v>5</v>
      </c>
      <c r="I778" s="429">
        <f>'P&amp;L Acumulado'!L25</f>
        <v>-55327931.829999968</v>
      </c>
      <c r="J778" t="s">
        <v>1071</v>
      </c>
      <c r="K778" t="s">
        <v>739</v>
      </c>
      <c r="L778">
        <v>25</v>
      </c>
    </row>
    <row r="779" spans="1:12" ht="18" customHeight="1" x14ac:dyDescent="0.25">
      <c r="A779" t="s">
        <v>1070</v>
      </c>
      <c r="B779" s="23">
        <f>'P&amp;L Acumulado'!$G$1</f>
        <v>46053</v>
      </c>
      <c r="C779" s="23">
        <f>'P&amp;L Acumulado'!$I$1</f>
        <v>46112</v>
      </c>
      <c r="D779" s="23">
        <f>'P&amp;L Acumulado'!$I$1</f>
        <v>46112</v>
      </c>
      <c r="E779" t="str">
        <f>TEXT('P&amp;L Acumulado'!$G$1,"mmm/yyyy")&amp;" a "&amp;TEXT('P&amp;L Acumulado'!$I$1,"mmm/yyyy")</f>
        <v>jan/yyyy a mar/yyyy</v>
      </c>
      <c r="F779" t="s">
        <v>24</v>
      </c>
      <c r="G779" t="s">
        <v>96</v>
      </c>
      <c r="H779" t="s">
        <v>6</v>
      </c>
      <c r="I779" s="429">
        <f>'P&amp;L Acumulado'!M25</f>
        <v>-53854353.192166261</v>
      </c>
      <c r="J779" t="s">
        <v>1071</v>
      </c>
      <c r="K779" t="s">
        <v>1149</v>
      </c>
      <c r="L779">
        <v>25</v>
      </c>
    </row>
    <row r="780" spans="1:12" ht="18" customHeight="1" x14ac:dyDescent="0.25">
      <c r="A780" t="s">
        <v>1070</v>
      </c>
      <c r="B780" s="23">
        <f>'P&amp;L Acumulado'!$G$1</f>
        <v>46053</v>
      </c>
      <c r="C780" s="23">
        <f>'P&amp;L Acumulado'!$I$1</f>
        <v>46112</v>
      </c>
      <c r="D780" s="23">
        <f>'P&amp;L Acumulado'!$I$1</f>
        <v>46112</v>
      </c>
      <c r="E780" t="str">
        <f>TEXT('P&amp;L Acumulado'!$G$1,"mmm/yyyy")&amp;" a "&amp;TEXT('P&amp;L Acumulado'!$I$1,"mmm/yyyy")</f>
        <v>jan/yyyy a mar/yyyy</v>
      </c>
      <c r="F780" t="s">
        <v>24</v>
      </c>
      <c r="G780" t="s">
        <v>96</v>
      </c>
      <c r="H780" t="s">
        <v>549</v>
      </c>
      <c r="I780" s="104">
        <f>'P&amp;L Acumulado'!N25</f>
        <v>2.7362293862774667E-2</v>
      </c>
      <c r="J780" t="s">
        <v>1071</v>
      </c>
      <c r="K780" t="s">
        <v>1150</v>
      </c>
      <c r="L780">
        <v>25</v>
      </c>
    </row>
    <row r="781" spans="1:12" ht="18" customHeight="1" x14ac:dyDescent="0.25">
      <c r="A781" t="s">
        <v>1070</v>
      </c>
      <c r="B781" s="23">
        <f>'P&amp;L Acumulado'!$G$1</f>
        <v>46053</v>
      </c>
      <c r="C781" s="23">
        <f>'P&amp;L Acumulado'!$I$1</f>
        <v>46112</v>
      </c>
      <c r="D781" s="23">
        <f>'P&amp;L Acumulado'!$I$1</f>
        <v>46112</v>
      </c>
      <c r="E781" t="str">
        <f>TEXT('P&amp;L Acumulado'!$G$1,"mmm/yyyy")&amp;" a "&amp;TEXT('P&amp;L Acumulado'!$I$1,"mmm/yyyy")</f>
        <v>jan/yyyy a mar/yyyy</v>
      </c>
      <c r="F781" t="s">
        <v>24</v>
      </c>
      <c r="G781" t="s">
        <v>96</v>
      </c>
      <c r="H781" t="s">
        <v>557</v>
      </c>
      <c r="I781" s="429">
        <f>'P&amp;L Acumulado'!O25</f>
        <v>1473578.637833707</v>
      </c>
      <c r="J781" t="s">
        <v>1071</v>
      </c>
      <c r="K781" t="s">
        <v>1151</v>
      </c>
      <c r="L781">
        <v>25</v>
      </c>
    </row>
    <row r="782" spans="1:12" ht="18" customHeight="1" x14ac:dyDescent="0.25">
      <c r="A782" t="s">
        <v>1070</v>
      </c>
      <c r="B782" s="23">
        <f>'P&amp;L Acumulado'!$G$1</f>
        <v>46053</v>
      </c>
      <c r="C782" s="23">
        <f>'P&amp;L Acumulado'!$I$1</f>
        <v>46112</v>
      </c>
      <c r="D782" s="23">
        <f>'P&amp;L Acumulado'!$I$1</f>
        <v>46112</v>
      </c>
      <c r="E782" t="str">
        <f>TEXT('P&amp;L Acumulado'!$G$1,"mmm/yyyy")&amp;" a "&amp;TEXT('P&amp;L Acumulado'!$I$1,"mmm/yyyy")</f>
        <v>jan/yyyy a mar/yyyy</v>
      </c>
      <c r="F782" t="s">
        <v>25</v>
      </c>
      <c r="G782" t="s">
        <v>252</v>
      </c>
      <c r="H782" t="s">
        <v>5</v>
      </c>
      <c r="I782" s="429">
        <f>'P&amp;L Acumulado'!C26</f>
        <v>0</v>
      </c>
      <c r="J782" t="s">
        <v>1071</v>
      </c>
      <c r="K782" t="s">
        <v>740</v>
      </c>
      <c r="L782">
        <v>26</v>
      </c>
    </row>
    <row r="783" spans="1:12" ht="18" customHeight="1" x14ac:dyDescent="0.25">
      <c r="A783" t="s">
        <v>1070</v>
      </c>
      <c r="B783" s="23">
        <f>'P&amp;L Acumulado'!$G$1</f>
        <v>46053</v>
      </c>
      <c r="C783" s="23">
        <f>'P&amp;L Acumulado'!$I$1</f>
        <v>46112</v>
      </c>
      <c r="D783" s="23">
        <f>'P&amp;L Acumulado'!$I$1</f>
        <v>46112</v>
      </c>
      <c r="E783" t="str">
        <f>TEXT('P&amp;L Acumulado'!$G$1,"mmm/yyyy")&amp;" a "&amp;TEXT('P&amp;L Acumulado'!$I$1,"mmm/yyyy")</f>
        <v>jan/yyyy a mar/yyyy</v>
      </c>
      <c r="F783" t="s">
        <v>25</v>
      </c>
      <c r="G783" t="s">
        <v>252</v>
      </c>
      <c r="H783" t="s">
        <v>6</v>
      </c>
      <c r="I783" s="429">
        <f>'P&amp;L Acumulado'!D26</f>
        <v>0</v>
      </c>
      <c r="J783" t="s">
        <v>1071</v>
      </c>
      <c r="K783" t="s">
        <v>741</v>
      </c>
      <c r="L783">
        <v>26</v>
      </c>
    </row>
    <row r="784" spans="1:12" ht="18" customHeight="1" x14ac:dyDescent="0.25">
      <c r="A784" t="s">
        <v>1070</v>
      </c>
      <c r="B784" s="23">
        <f>'P&amp;L Acumulado'!$G$1</f>
        <v>46053</v>
      </c>
      <c r="C784" s="23">
        <f>'P&amp;L Acumulado'!$I$1</f>
        <v>46112</v>
      </c>
      <c r="D784" s="23">
        <f>'P&amp;L Acumulado'!$I$1</f>
        <v>46112</v>
      </c>
      <c r="E784" t="str">
        <f>TEXT('P&amp;L Acumulado'!$G$1,"mmm/yyyy")&amp;" a "&amp;TEXT('P&amp;L Acumulado'!$I$1,"mmm/yyyy")</f>
        <v>jan/yyyy a mar/yyyy</v>
      </c>
      <c r="F784" t="s">
        <v>25</v>
      </c>
      <c r="G784" t="s">
        <v>252</v>
      </c>
      <c r="H784" t="s">
        <v>549</v>
      </c>
      <c r="I784" s="104" t="str">
        <f>'P&amp;L Acumulado'!E26</f>
        <v>-</v>
      </c>
      <c r="J784" t="s">
        <v>1071</v>
      </c>
      <c r="K784" t="s">
        <v>742</v>
      </c>
      <c r="L784">
        <v>26</v>
      </c>
    </row>
    <row r="785" spans="1:12" ht="18" customHeight="1" x14ac:dyDescent="0.25">
      <c r="A785" t="s">
        <v>1070</v>
      </c>
      <c r="B785" s="23">
        <f>'P&amp;L Acumulado'!$G$1</f>
        <v>46053</v>
      </c>
      <c r="C785" s="23">
        <f>'P&amp;L Acumulado'!$I$1</f>
        <v>46112</v>
      </c>
      <c r="D785" s="23">
        <f>'P&amp;L Acumulado'!$I$1</f>
        <v>46112</v>
      </c>
      <c r="E785" t="str">
        <f>TEXT('P&amp;L Acumulado'!$G$1,"mmm/yyyy")&amp;" a "&amp;TEXT('P&amp;L Acumulado'!$I$1,"mmm/yyyy")</f>
        <v>jan/yyyy a mar/yyyy</v>
      </c>
      <c r="F785" t="s">
        <v>25</v>
      </c>
      <c r="G785" t="s">
        <v>205</v>
      </c>
      <c r="H785" t="s">
        <v>5</v>
      </c>
      <c r="I785" s="429">
        <f>'P&amp;L Acumulado'!F26</f>
        <v>0</v>
      </c>
      <c r="J785" t="s">
        <v>1071</v>
      </c>
      <c r="K785" t="s">
        <v>743</v>
      </c>
      <c r="L785">
        <v>26</v>
      </c>
    </row>
    <row r="786" spans="1:12" ht="18" customHeight="1" x14ac:dyDescent="0.25">
      <c r="A786" t="s">
        <v>1070</v>
      </c>
      <c r="B786" s="23">
        <f>'P&amp;L Acumulado'!$G$1</f>
        <v>46053</v>
      </c>
      <c r="C786" s="23">
        <f>'P&amp;L Acumulado'!$I$1</f>
        <v>46112</v>
      </c>
      <c r="D786" s="23">
        <f>'P&amp;L Acumulado'!$I$1</f>
        <v>46112</v>
      </c>
      <c r="E786" t="str">
        <f>TEXT('P&amp;L Acumulado'!$G$1,"mmm/yyyy")&amp;" a "&amp;TEXT('P&amp;L Acumulado'!$I$1,"mmm/yyyy")</f>
        <v>jan/yyyy a mar/yyyy</v>
      </c>
      <c r="F786" t="s">
        <v>25</v>
      </c>
      <c r="G786" t="s">
        <v>205</v>
      </c>
      <c r="H786" t="s">
        <v>6</v>
      </c>
      <c r="I786" s="429">
        <f>'P&amp;L Acumulado'!G26</f>
        <v>0</v>
      </c>
      <c r="J786" t="s">
        <v>1071</v>
      </c>
      <c r="K786" t="s">
        <v>744</v>
      </c>
      <c r="L786">
        <v>26</v>
      </c>
    </row>
    <row r="787" spans="1:12" ht="18" customHeight="1" x14ac:dyDescent="0.25">
      <c r="A787" t="s">
        <v>1070</v>
      </c>
      <c r="B787" s="23">
        <f>'P&amp;L Acumulado'!$G$1</f>
        <v>46053</v>
      </c>
      <c r="C787" s="23">
        <f>'P&amp;L Acumulado'!$I$1</f>
        <v>46112</v>
      </c>
      <c r="D787" s="23">
        <f>'P&amp;L Acumulado'!$I$1</f>
        <v>46112</v>
      </c>
      <c r="E787" t="str">
        <f>TEXT('P&amp;L Acumulado'!$G$1,"mmm/yyyy")&amp;" a "&amp;TEXT('P&amp;L Acumulado'!$I$1,"mmm/yyyy")</f>
        <v>jan/yyyy a mar/yyyy</v>
      </c>
      <c r="F787" t="s">
        <v>25</v>
      </c>
      <c r="G787" t="s">
        <v>205</v>
      </c>
      <c r="H787" t="s">
        <v>549</v>
      </c>
      <c r="I787" s="104" t="str">
        <f>'P&amp;L Acumulado'!H26</f>
        <v>-</v>
      </c>
      <c r="J787" t="s">
        <v>1071</v>
      </c>
      <c r="K787" t="s">
        <v>745</v>
      </c>
      <c r="L787">
        <v>26</v>
      </c>
    </row>
    <row r="788" spans="1:12" ht="18" customHeight="1" x14ac:dyDescent="0.25">
      <c r="A788" t="s">
        <v>1070</v>
      </c>
      <c r="B788" s="23">
        <f>'P&amp;L Acumulado'!$G$1</f>
        <v>46053</v>
      </c>
      <c r="C788" s="23">
        <f>'P&amp;L Acumulado'!$I$1</f>
        <v>46112</v>
      </c>
      <c r="D788" s="23">
        <f>'P&amp;L Acumulado'!$I$1</f>
        <v>46112</v>
      </c>
      <c r="E788" t="str">
        <f>TEXT('P&amp;L Acumulado'!$G$1,"mmm/yyyy")&amp;" a "&amp;TEXT('P&amp;L Acumulado'!$I$1,"mmm/yyyy")</f>
        <v>jan/yyyy a mar/yyyy</v>
      </c>
      <c r="F788" t="s">
        <v>25</v>
      </c>
      <c r="G788" t="s">
        <v>220</v>
      </c>
      <c r="H788" t="s">
        <v>5</v>
      </c>
      <c r="I788" s="429">
        <f>'P&amp;L Acumulado'!I26</f>
        <v>-13866527.15</v>
      </c>
      <c r="J788" t="s">
        <v>1071</v>
      </c>
      <c r="K788" t="s">
        <v>746</v>
      </c>
      <c r="L788">
        <v>26</v>
      </c>
    </row>
    <row r="789" spans="1:12" ht="18" customHeight="1" x14ac:dyDescent="0.25">
      <c r="A789" t="s">
        <v>1070</v>
      </c>
      <c r="B789" s="23">
        <f>'P&amp;L Acumulado'!$G$1</f>
        <v>46053</v>
      </c>
      <c r="C789" s="23">
        <f>'P&amp;L Acumulado'!$I$1</f>
        <v>46112</v>
      </c>
      <c r="D789" s="23">
        <f>'P&amp;L Acumulado'!$I$1</f>
        <v>46112</v>
      </c>
      <c r="E789" t="str">
        <f>TEXT('P&amp;L Acumulado'!$G$1,"mmm/yyyy")&amp;" a "&amp;TEXT('P&amp;L Acumulado'!$I$1,"mmm/yyyy")</f>
        <v>jan/yyyy a mar/yyyy</v>
      </c>
      <c r="F789" t="s">
        <v>25</v>
      </c>
      <c r="G789" t="s">
        <v>220</v>
      </c>
      <c r="H789" t="s">
        <v>6</v>
      </c>
      <c r="I789" s="429">
        <f>'P&amp;L Acumulado'!J26</f>
        <v>-14127529.032177728</v>
      </c>
      <c r="J789" t="s">
        <v>1071</v>
      </c>
      <c r="K789" t="s">
        <v>747</v>
      </c>
      <c r="L789">
        <v>26</v>
      </c>
    </row>
    <row r="790" spans="1:12" ht="18" customHeight="1" x14ac:dyDescent="0.25">
      <c r="A790" t="s">
        <v>1070</v>
      </c>
      <c r="B790" s="23">
        <f>'P&amp;L Acumulado'!$G$1</f>
        <v>46053</v>
      </c>
      <c r="C790" s="23">
        <f>'P&amp;L Acumulado'!$I$1</f>
        <v>46112</v>
      </c>
      <c r="D790" s="23">
        <f>'P&amp;L Acumulado'!$I$1</f>
        <v>46112</v>
      </c>
      <c r="E790" t="str">
        <f>TEXT('P&amp;L Acumulado'!$G$1,"mmm/yyyy")&amp;" a "&amp;TEXT('P&amp;L Acumulado'!$I$1,"mmm/yyyy")</f>
        <v>jan/yyyy a mar/yyyy</v>
      </c>
      <c r="F790" t="s">
        <v>25</v>
      </c>
      <c r="G790" t="s">
        <v>220</v>
      </c>
      <c r="H790" t="s">
        <v>549</v>
      </c>
      <c r="I790" s="104">
        <f>'P&amp;L Acumulado'!K26</f>
        <v>-1.8474701526590587E-2</v>
      </c>
      <c r="J790" t="s">
        <v>1071</v>
      </c>
      <c r="K790" t="s">
        <v>748</v>
      </c>
      <c r="L790">
        <v>26</v>
      </c>
    </row>
    <row r="791" spans="1:12" ht="18" customHeight="1" x14ac:dyDescent="0.25">
      <c r="A791" t="s">
        <v>1070</v>
      </c>
      <c r="B791" s="23">
        <f>'P&amp;L Acumulado'!$G$1</f>
        <v>46053</v>
      </c>
      <c r="C791" s="23">
        <f>'P&amp;L Acumulado'!$I$1</f>
        <v>46112</v>
      </c>
      <c r="D791" s="23">
        <f>'P&amp;L Acumulado'!$I$1</f>
        <v>46112</v>
      </c>
      <c r="E791" t="str">
        <f>TEXT('P&amp;L Acumulado'!$G$1,"mmm/yyyy")&amp;" a "&amp;TEXT('P&amp;L Acumulado'!$I$1,"mmm/yyyy")</f>
        <v>jan/yyyy a mar/yyyy</v>
      </c>
      <c r="F791" t="s">
        <v>25</v>
      </c>
      <c r="G791" t="s">
        <v>96</v>
      </c>
      <c r="H791" t="s">
        <v>5</v>
      </c>
      <c r="I791" s="429">
        <f>'P&amp;L Acumulado'!L26</f>
        <v>-13866527.15</v>
      </c>
      <c r="J791" t="s">
        <v>1071</v>
      </c>
      <c r="K791" t="s">
        <v>749</v>
      </c>
      <c r="L791">
        <v>26</v>
      </c>
    </row>
    <row r="792" spans="1:12" ht="18" customHeight="1" x14ac:dyDescent="0.25">
      <c r="A792" t="s">
        <v>1070</v>
      </c>
      <c r="B792" s="23">
        <f>'P&amp;L Acumulado'!$G$1</f>
        <v>46053</v>
      </c>
      <c r="C792" s="23">
        <f>'P&amp;L Acumulado'!$I$1</f>
        <v>46112</v>
      </c>
      <c r="D792" s="23">
        <f>'P&amp;L Acumulado'!$I$1</f>
        <v>46112</v>
      </c>
      <c r="E792" t="str">
        <f>TEXT('P&amp;L Acumulado'!$G$1,"mmm/yyyy")&amp;" a "&amp;TEXT('P&amp;L Acumulado'!$I$1,"mmm/yyyy")</f>
        <v>jan/yyyy a mar/yyyy</v>
      </c>
      <c r="F792" t="s">
        <v>25</v>
      </c>
      <c r="G792" t="s">
        <v>96</v>
      </c>
      <c r="H792" t="s">
        <v>6</v>
      </c>
      <c r="I792" s="429">
        <f>'P&amp;L Acumulado'!M26</f>
        <v>-14127529.032177728</v>
      </c>
      <c r="J792" t="s">
        <v>1071</v>
      </c>
      <c r="K792" t="s">
        <v>1152</v>
      </c>
      <c r="L792">
        <v>26</v>
      </c>
    </row>
    <row r="793" spans="1:12" ht="18" customHeight="1" x14ac:dyDescent="0.25">
      <c r="A793" t="s">
        <v>1070</v>
      </c>
      <c r="B793" s="23">
        <f>'P&amp;L Acumulado'!$G$1</f>
        <v>46053</v>
      </c>
      <c r="C793" s="23">
        <f>'P&amp;L Acumulado'!$I$1</f>
        <v>46112</v>
      </c>
      <c r="D793" s="23">
        <f>'P&amp;L Acumulado'!$I$1</f>
        <v>46112</v>
      </c>
      <c r="E793" t="str">
        <f>TEXT('P&amp;L Acumulado'!$G$1,"mmm/yyyy")&amp;" a "&amp;TEXT('P&amp;L Acumulado'!$I$1,"mmm/yyyy")</f>
        <v>jan/yyyy a mar/yyyy</v>
      </c>
      <c r="F793" t="s">
        <v>25</v>
      </c>
      <c r="G793" t="s">
        <v>96</v>
      </c>
      <c r="H793" t="s">
        <v>549</v>
      </c>
      <c r="I793" s="104">
        <f>'P&amp;L Acumulado'!N26</f>
        <v>-1.8474701526590587E-2</v>
      </c>
      <c r="J793" t="s">
        <v>1071</v>
      </c>
      <c r="K793" t="s">
        <v>1153</v>
      </c>
      <c r="L793">
        <v>26</v>
      </c>
    </row>
    <row r="794" spans="1:12" ht="18" customHeight="1" x14ac:dyDescent="0.25">
      <c r="A794" t="s">
        <v>1070</v>
      </c>
      <c r="B794" s="23">
        <f>'P&amp;L Acumulado'!$G$1</f>
        <v>46053</v>
      </c>
      <c r="C794" s="23">
        <f>'P&amp;L Acumulado'!$I$1</f>
        <v>46112</v>
      </c>
      <c r="D794" s="23">
        <f>'P&amp;L Acumulado'!$I$1</f>
        <v>46112</v>
      </c>
      <c r="E794" t="str">
        <f>TEXT('P&amp;L Acumulado'!$G$1,"mmm/yyyy")&amp;" a "&amp;TEXT('P&amp;L Acumulado'!$I$1,"mmm/yyyy")</f>
        <v>jan/yyyy a mar/yyyy</v>
      </c>
      <c r="F794" t="s">
        <v>25</v>
      </c>
      <c r="G794" t="s">
        <v>96</v>
      </c>
      <c r="H794" t="s">
        <v>557</v>
      </c>
      <c r="I794" s="429">
        <f>'P&amp;L Acumulado'!O26</f>
        <v>-261001.8821777273</v>
      </c>
      <c r="J794" t="s">
        <v>1071</v>
      </c>
      <c r="K794" t="s">
        <v>1154</v>
      </c>
      <c r="L794">
        <v>26</v>
      </c>
    </row>
    <row r="795" spans="1:12" ht="18" customHeight="1" x14ac:dyDescent="0.25">
      <c r="A795" t="s">
        <v>1070</v>
      </c>
      <c r="B795" s="23">
        <f>'P&amp;L Acumulado'!$G$1</f>
        <v>46053</v>
      </c>
      <c r="C795" s="23">
        <f>'P&amp;L Acumulado'!$I$1</f>
        <v>46112</v>
      </c>
      <c r="D795" s="23">
        <f>'P&amp;L Acumulado'!$I$1</f>
        <v>46112</v>
      </c>
      <c r="E795" t="str">
        <f>TEXT('P&amp;L Acumulado'!$G$1,"mmm/yyyy")&amp;" a "&amp;TEXT('P&amp;L Acumulado'!$I$1,"mmm/yyyy")</f>
        <v>jan/yyyy a mar/yyyy</v>
      </c>
      <c r="F795" t="s">
        <v>28</v>
      </c>
      <c r="G795" t="s">
        <v>252</v>
      </c>
      <c r="H795" t="s">
        <v>5</v>
      </c>
      <c r="I795" s="429">
        <f>'P&amp;L Acumulado'!C27</f>
        <v>0</v>
      </c>
      <c r="J795" t="s">
        <v>1071</v>
      </c>
      <c r="K795" t="s">
        <v>750</v>
      </c>
      <c r="L795">
        <v>27</v>
      </c>
    </row>
    <row r="796" spans="1:12" ht="18" customHeight="1" x14ac:dyDescent="0.25">
      <c r="A796" t="s">
        <v>1070</v>
      </c>
      <c r="B796" s="23">
        <f>'P&amp;L Acumulado'!$G$1</f>
        <v>46053</v>
      </c>
      <c r="C796" s="23">
        <f>'P&amp;L Acumulado'!$I$1</f>
        <v>46112</v>
      </c>
      <c r="D796" s="23">
        <f>'P&amp;L Acumulado'!$I$1</f>
        <v>46112</v>
      </c>
      <c r="E796" t="str">
        <f>TEXT('P&amp;L Acumulado'!$G$1,"mmm/yyyy")&amp;" a "&amp;TEXT('P&amp;L Acumulado'!$I$1,"mmm/yyyy")</f>
        <v>jan/yyyy a mar/yyyy</v>
      </c>
      <c r="F796" t="s">
        <v>28</v>
      </c>
      <c r="G796" t="s">
        <v>252</v>
      </c>
      <c r="H796" t="s">
        <v>6</v>
      </c>
      <c r="I796" s="429">
        <f>'P&amp;L Acumulado'!D27</f>
        <v>0</v>
      </c>
      <c r="J796" t="s">
        <v>1071</v>
      </c>
      <c r="K796" t="s">
        <v>751</v>
      </c>
      <c r="L796">
        <v>27</v>
      </c>
    </row>
    <row r="797" spans="1:12" ht="18" customHeight="1" x14ac:dyDescent="0.25">
      <c r="A797" t="s">
        <v>1070</v>
      </c>
      <c r="B797" s="23">
        <f>'P&amp;L Acumulado'!$G$1</f>
        <v>46053</v>
      </c>
      <c r="C797" s="23">
        <f>'P&amp;L Acumulado'!$I$1</f>
        <v>46112</v>
      </c>
      <c r="D797" s="23">
        <f>'P&amp;L Acumulado'!$I$1</f>
        <v>46112</v>
      </c>
      <c r="E797" t="str">
        <f>TEXT('P&amp;L Acumulado'!$G$1,"mmm/yyyy")&amp;" a "&amp;TEXT('P&amp;L Acumulado'!$I$1,"mmm/yyyy")</f>
        <v>jan/yyyy a mar/yyyy</v>
      </c>
      <c r="F797" t="s">
        <v>28</v>
      </c>
      <c r="G797" t="s">
        <v>252</v>
      </c>
      <c r="H797" t="s">
        <v>549</v>
      </c>
      <c r="I797" s="104" t="str">
        <f>'P&amp;L Acumulado'!E27</f>
        <v>-</v>
      </c>
      <c r="J797" t="s">
        <v>1071</v>
      </c>
      <c r="K797" t="s">
        <v>752</v>
      </c>
      <c r="L797">
        <v>27</v>
      </c>
    </row>
    <row r="798" spans="1:12" ht="18" customHeight="1" x14ac:dyDescent="0.25">
      <c r="A798" t="s">
        <v>1070</v>
      </c>
      <c r="B798" s="23">
        <f>'P&amp;L Acumulado'!$G$1</f>
        <v>46053</v>
      </c>
      <c r="C798" s="23">
        <f>'P&amp;L Acumulado'!$I$1</f>
        <v>46112</v>
      </c>
      <c r="D798" s="23">
        <f>'P&amp;L Acumulado'!$I$1</f>
        <v>46112</v>
      </c>
      <c r="E798" t="str">
        <f>TEXT('P&amp;L Acumulado'!$G$1,"mmm/yyyy")&amp;" a "&amp;TEXT('P&amp;L Acumulado'!$I$1,"mmm/yyyy")</f>
        <v>jan/yyyy a mar/yyyy</v>
      </c>
      <c r="F798" t="s">
        <v>28</v>
      </c>
      <c r="G798" t="s">
        <v>205</v>
      </c>
      <c r="H798" t="s">
        <v>5</v>
      </c>
      <c r="I798" s="429">
        <f>'P&amp;L Acumulado'!F27</f>
        <v>-14897132.901454369</v>
      </c>
      <c r="J798" t="s">
        <v>1071</v>
      </c>
      <c r="K798" t="s">
        <v>753</v>
      </c>
      <c r="L798">
        <v>27</v>
      </c>
    </row>
    <row r="799" spans="1:12" ht="18" customHeight="1" x14ac:dyDescent="0.25">
      <c r="A799" t="s">
        <v>1070</v>
      </c>
      <c r="B799" s="23">
        <f>'P&amp;L Acumulado'!$G$1</f>
        <v>46053</v>
      </c>
      <c r="C799" s="23">
        <f>'P&amp;L Acumulado'!$I$1</f>
        <v>46112</v>
      </c>
      <c r="D799" s="23">
        <f>'P&amp;L Acumulado'!$I$1</f>
        <v>46112</v>
      </c>
      <c r="E799" t="str">
        <f>TEXT('P&amp;L Acumulado'!$G$1,"mmm/yyyy")&amp;" a "&amp;TEXT('P&amp;L Acumulado'!$I$1,"mmm/yyyy")</f>
        <v>jan/yyyy a mar/yyyy</v>
      </c>
      <c r="F799" t="s">
        <v>28</v>
      </c>
      <c r="G799" t="s">
        <v>205</v>
      </c>
      <c r="H799" t="s">
        <v>6</v>
      </c>
      <c r="I799" s="429">
        <f>'P&amp;L Acumulado'!G27</f>
        <v>-14593479.731775232</v>
      </c>
      <c r="J799" t="s">
        <v>1071</v>
      </c>
      <c r="K799" t="s">
        <v>754</v>
      </c>
      <c r="L799">
        <v>27</v>
      </c>
    </row>
    <row r="800" spans="1:12" ht="18" customHeight="1" x14ac:dyDescent="0.25">
      <c r="A800" t="s">
        <v>1070</v>
      </c>
      <c r="B800" s="23">
        <f>'P&amp;L Acumulado'!$G$1</f>
        <v>46053</v>
      </c>
      <c r="C800" s="23">
        <f>'P&amp;L Acumulado'!$I$1</f>
        <v>46112</v>
      </c>
      <c r="D800" s="23">
        <f>'P&amp;L Acumulado'!$I$1</f>
        <v>46112</v>
      </c>
      <c r="E800" t="str">
        <f>TEXT('P&amp;L Acumulado'!$G$1,"mmm/yyyy")&amp;" a "&amp;TEXT('P&amp;L Acumulado'!$I$1,"mmm/yyyy")</f>
        <v>jan/yyyy a mar/yyyy</v>
      </c>
      <c r="F800" t="s">
        <v>28</v>
      </c>
      <c r="G800" t="s">
        <v>205</v>
      </c>
      <c r="H800" t="s">
        <v>549</v>
      </c>
      <c r="I800" s="104">
        <f>'P&amp;L Acumulado'!H27</f>
        <v>2.0807454785302104E-2</v>
      </c>
      <c r="J800" t="s">
        <v>1071</v>
      </c>
      <c r="K800" t="s">
        <v>755</v>
      </c>
      <c r="L800">
        <v>27</v>
      </c>
    </row>
    <row r="801" spans="1:12" ht="18" customHeight="1" x14ac:dyDescent="0.25">
      <c r="A801" t="s">
        <v>1070</v>
      </c>
      <c r="B801" s="23">
        <f>'P&amp;L Acumulado'!$G$1</f>
        <v>46053</v>
      </c>
      <c r="C801" s="23">
        <f>'P&amp;L Acumulado'!$I$1</f>
        <v>46112</v>
      </c>
      <c r="D801" s="23">
        <f>'P&amp;L Acumulado'!$I$1</f>
        <v>46112</v>
      </c>
      <c r="E801" t="str">
        <f>TEXT('P&amp;L Acumulado'!$G$1,"mmm/yyyy")&amp;" a "&amp;TEXT('P&amp;L Acumulado'!$I$1,"mmm/yyyy")</f>
        <v>jan/yyyy a mar/yyyy</v>
      </c>
      <c r="F801" t="s">
        <v>28</v>
      </c>
      <c r="G801" t="s">
        <v>220</v>
      </c>
      <c r="H801" t="s">
        <v>5</v>
      </c>
      <c r="I801" s="429">
        <f>'P&amp;L Acumulado'!I27</f>
        <v>-35637698.278545603</v>
      </c>
      <c r="J801" t="s">
        <v>1071</v>
      </c>
      <c r="K801" t="s">
        <v>756</v>
      </c>
      <c r="L801">
        <v>27</v>
      </c>
    </row>
    <row r="802" spans="1:12" ht="18" customHeight="1" x14ac:dyDescent="0.25">
      <c r="A802" t="s">
        <v>1070</v>
      </c>
      <c r="B802" s="23">
        <f>'P&amp;L Acumulado'!$G$1</f>
        <v>46053</v>
      </c>
      <c r="C802" s="23">
        <f>'P&amp;L Acumulado'!$I$1</f>
        <v>46112</v>
      </c>
      <c r="D802" s="23">
        <f>'P&amp;L Acumulado'!$I$1</f>
        <v>46112</v>
      </c>
      <c r="E802" t="str">
        <f>TEXT('P&amp;L Acumulado'!$G$1,"mmm/yyyy")&amp;" a "&amp;TEXT('P&amp;L Acumulado'!$I$1,"mmm/yyyy")</f>
        <v>jan/yyyy a mar/yyyy</v>
      </c>
      <c r="F802" t="s">
        <v>28</v>
      </c>
      <c r="G802" t="s">
        <v>220</v>
      </c>
      <c r="H802" t="s">
        <v>6</v>
      </c>
      <c r="I802" s="429">
        <f>'P&amp;L Acumulado'!J27</f>
        <v>-34558299.594106011</v>
      </c>
      <c r="J802" t="s">
        <v>1071</v>
      </c>
      <c r="K802" t="s">
        <v>757</v>
      </c>
      <c r="L802">
        <v>27</v>
      </c>
    </row>
    <row r="803" spans="1:12" ht="18" customHeight="1" x14ac:dyDescent="0.25">
      <c r="A803" t="s">
        <v>1070</v>
      </c>
      <c r="B803" s="23">
        <f>'P&amp;L Acumulado'!$G$1</f>
        <v>46053</v>
      </c>
      <c r="C803" s="23">
        <f>'P&amp;L Acumulado'!$I$1</f>
        <v>46112</v>
      </c>
      <c r="D803" s="23">
        <f>'P&amp;L Acumulado'!$I$1</f>
        <v>46112</v>
      </c>
      <c r="E803" t="str">
        <f>TEXT('P&amp;L Acumulado'!$G$1,"mmm/yyyy")&amp;" a "&amp;TEXT('P&amp;L Acumulado'!$I$1,"mmm/yyyy")</f>
        <v>jan/yyyy a mar/yyyy</v>
      </c>
      <c r="F803" t="s">
        <v>28</v>
      </c>
      <c r="G803" t="s">
        <v>220</v>
      </c>
      <c r="H803" t="s">
        <v>549</v>
      </c>
      <c r="I803" s="104">
        <f>'P&amp;L Acumulado'!K27</f>
        <v>3.1234137591181987E-2</v>
      </c>
      <c r="J803" t="s">
        <v>1071</v>
      </c>
      <c r="K803" t="s">
        <v>758</v>
      </c>
      <c r="L803">
        <v>27</v>
      </c>
    </row>
    <row r="804" spans="1:12" ht="18" customHeight="1" x14ac:dyDescent="0.25">
      <c r="A804" t="s">
        <v>1070</v>
      </c>
      <c r="B804" s="23">
        <f>'P&amp;L Acumulado'!$G$1</f>
        <v>46053</v>
      </c>
      <c r="C804" s="23">
        <f>'P&amp;L Acumulado'!$I$1</f>
        <v>46112</v>
      </c>
      <c r="D804" s="23">
        <f>'P&amp;L Acumulado'!$I$1</f>
        <v>46112</v>
      </c>
      <c r="E804" t="str">
        <f>TEXT('P&amp;L Acumulado'!$G$1,"mmm/yyyy")&amp;" a "&amp;TEXT('P&amp;L Acumulado'!$I$1,"mmm/yyyy")</f>
        <v>jan/yyyy a mar/yyyy</v>
      </c>
      <c r="F804" t="s">
        <v>28</v>
      </c>
      <c r="G804" t="s">
        <v>96</v>
      </c>
      <c r="H804" t="s">
        <v>5</v>
      </c>
      <c r="I804" s="429">
        <f>'P&amp;L Acumulado'!L27</f>
        <v>-50534831.17999997</v>
      </c>
      <c r="J804" t="s">
        <v>1071</v>
      </c>
      <c r="K804" t="s">
        <v>759</v>
      </c>
      <c r="L804">
        <v>27</v>
      </c>
    </row>
    <row r="805" spans="1:12" ht="18" customHeight="1" x14ac:dyDescent="0.25">
      <c r="A805" t="s">
        <v>1070</v>
      </c>
      <c r="B805" s="23">
        <f>'P&amp;L Acumulado'!$G$1</f>
        <v>46053</v>
      </c>
      <c r="C805" s="23">
        <f>'P&amp;L Acumulado'!$I$1</f>
        <v>46112</v>
      </c>
      <c r="D805" s="23">
        <f>'P&amp;L Acumulado'!$I$1</f>
        <v>46112</v>
      </c>
      <c r="E805" t="str">
        <f>TEXT('P&amp;L Acumulado'!$G$1,"mmm/yyyy")&amp;" a "&amp;TEXT('P&amp;L Acumulado'!$I$1,"mmm/yyyy")</f>
        <v>jan/yyyy a mar/yyyy</v>
      </c>
      <c r="F805" t="s">
        <v>28</v>
      </c>
      <c r="G805" t="s">
        <v>96</v>
      </c>
      <c r="H805" t="s">
        <v>6</v>
      </c>
      <c r="I805" s="429">
        <f>'P&amp;L Acumulado'!M27</f>
        <v>-49151779.325881243</v>
      </c>
      <c r="J805" t="s">
        <v>1071</v>
      </c>
      <c r="K805" t="s">
        <v>1155</v>
      </c>
      <c r="L805">
        <v>27</v>
      </c>
    </row>
    <row r="806" spans="1:12" ht="18" customHeight="1" x14ac:dyDescent="0.25">
      <c r="A806" t="s">
        <v>1070</v>
      </c>
      <c r="B806" s="23">
        <f>'P&amp;L Acumulado'!$G$1</f>
        <v>46053</v>
      </c>
      <c r="C806" s="23">
        <f>'P&amp;L Acumulado'!$I$1</f>
        <v>46112</v>
      </c>
      <c r="D806" s="23">
        <f>'P&amp;L Acumulado'!$I$1</f>
        <v>46112</v>
      </c>
      <c r="E806" t="str">
        <f>TEXT('P&amp;L Acumulado'!$G$1,"mmm/yyyy")&amp;" a "&amp;TEXT('P&amp;L Acumulado'!$I$1,"mmm/yyyy")</f>
        <v>jan/yyyy a mar/yyyy</v>
      </c>
      <c r="F806" t="s">
        <v>28</v>
      </c>
      <c r="G806" t="s">
        <v>96</v>
      </c>
      <c r="H806" t="s">
        <v>549</v>
      </c>
      <c r="I806" s="104">
        <f>'P&amp;L Acumulado'!N27</f>
        <v>2.8138388336848452E-2</v>
      </c>
      <c r="J806" t="s">
        <v>1071</v>
      </c>
      <c r="K806" t="s">
        <v>1156</v>
      </c>
      <c r="L806">
        <v>27</v>
      </c>
    </row>
    <row r="807" spans="1:12" ht="18" customHeight="1" x14ac:dyDescent="0.25">
      <c r="A807" t="s">
        <v>1070</v>
      </c>
      <c r="B807" s="23">
        <f>'P&amp;L Acumulado'!$G$1</f>
        <v>46053</v>
      </c>
      <c r="C807" s="23">
        <f>'P&amp;L Acumulado'!$I$1</f>
        <v>46112</v>
      </c>
      <c r="D807" s="23">
        <f>'P&amp;L Acumulado'!$I$1</f>
        <v>46112</v>
      </c>
      <c r="E807" t="str">
        <f>TEXT('P&amp;L Acumulado'!$G$1,"mmm/yyyy")&amp;" a "&amp;TEXT('P&amp;L Acumulado'!$I$1,"mmm/yyyy")</f>
        <v>jan/yyyy a mar/yyyy</v>
      </c>
      <c r="F807" t="s">
        <v>28</v>
      </c>
      <c r="G807" t="s">
        <v>96</v>
      </c>
      <c r="H807" t="s">
        <v>557</v>
      </c>
      <c r="I807" s="429">
        <f>'P&amp;L Acumulado'!O27</f>
        <v>1383051.8541187271</v>
      </c>
      <c r="J807" t="s">
        <v>1071</v>
      </c>
      <c r="K807" t="s">
        <v>1157</v>
      </c>
      <c r="L807">
        <v>27</v>
      </c>
    </row>
    <row r="808" spans="1:12" ht="18" customHeight="1" x14ac:dyDescent="0.25">
      <c r="A808" t="s">
        <v>1070</v>
      </c>
      <c r="B808" s="23">
        <f>'P&amp;L Acumulado'!$G$1</f>
        <v>46053</v>
      </c>
      <c r="C808" s="23">
        <f>'P&amp;L Acumulado'!$I$1</f>
        <v>46112</v>
      </c>
      <c r="D808" s="23">
        <f>'P&amp;L Acumulado'!$I$1</f>
        <v>46112</v>
      </c>
      <c r="E808" t="str">
        <f>TEXT('P&amp;L Acumulado'!$G$1,"mmm/yyyy")&amp;" a "&amp;TEXT('P&amp;L Acumulado'!$I$1,"mmm/yyyy")</f>
        <v>jan/yyyy a mar/yyyy</v>
      </c>
      <c r="F808" t="s">
        <v>29</v>
      </c>
      <c r="G808" t="s">
        <v>252</v>
      </c>
      <c r="H808" t="s">
        <v>5</v>
      </c>
      <c r="I808" s="429">
        <f>'P&amp;L Acumulado'!C28</f>
        <v>0</v>
      </c>
      <c r="J808" t="s">
        <v>1071</v>
      </c>
      <c r="K808" t="s">
        <v>760</v>
      </c>
      <c r="L808">
        <v>28</v>
      </c>
    </row>
    <row r="809" spans="1:12" ht="18" customHeight="1" x14ac:dyDescent="0.25">
      <c r="A809" t="s">
        <v>1070</v>
      </c>
      <c r="B809" s="23">
        <f>'P&amp;L Acumulado'!$G$1</f>
        <v>46053</v>
      </c>
      <c r="C809" s="23">
        <f>'P&amp;L Acumulado'!$I$1</f>
        <v>46112</v>
      </c>
      <c r="D809" s="23">
        <f>'P&amp;L Acumulado'!$I$1</f>
        <v>46112</v>
      </c>
      <c r="E809" t="str">
        <f>TEXT('P&amp;L Acumulado'!$G$1,"mmm/yyyy")&amp;" a "&amp;TEXT('P&amp;L Acumulado'!$I$1,"mmm/yyyy")</f>
        <v>jan/yyyy a mar/yyyy</v>
      </c>
      <c r="F809" t="s">
        <v>29</v>
      </c>
      <c r="G809" t="s">
        <v>252</v>
      </c>
      <c r="H809" t="s">
        <v>6</v>
      </c>
      <c r="I809" s="429">
        <f>'P&amp;L Acumulado'!D28</f>
        <v>0</v>
      </c>
      <c r="J809" t="s">
        <v>1071</v>
      </c>
      <c r="K809" t="s">
        <v>761</v>
      </c>
      <c r="L809">
        <v>28</v>
      </c>
    </row>
    <row r="810" spans="1:12" ht="18" customHeight="1" x14ac:dyDescent="0.25">
      <c r="A810" t="s">
        <v>1070</v>
      </c>
      <c r="B810" s="23">
        <f>'P&amp;L Acumulado'!$G$1</f>
        <v>46053</v>
      </c>
      <c r="C810" s="23">
        <f>'P&amp;L Acumulado'!$I$1</f>
        <v>46112</v>
      </c>
      <c r="D810" s="23">
        <f>'P&amp;L Acumulado'!$I$1</f>
        <v>46112</v>
      </c>
      <c r="E810" t="str">
        <f>TEXT('P&amp;L Acumulado'!$G$1,"mmm/yyyy")&amp;" a "&amp;TEXT('P&amp;L Acumulado'!$I$1,"mmm/yyyy")</f>
        <v>jan/yyyy a mar/yyyy</v>
      </c>
      <c r="F810" t="s">
        <v>29</v>
      </c>
      <c r="G810" t="s">
        <v>252</v>
      </c>
      <c r="H810" t="s">
        <v>549</v>
      </c>
      <c r="I810" s="104" t="str">
        <f>'P&amp;L Acumulado'!E28</f>
        <v>-</v>
      </c>
      <c r="J810" t="s">
        <v>1071</v>
      </c>
      <c r="K810" t="s">
        <v>762</v>
      </c>
      <c r="L810">
        <v>28</v>
      </c>
    </row>
    <row r="811" spans="1:12" ht="18" customHeight="1" x14ac:dyDescent="0.25">
      <c r="A811" t="s">
        <v>1070</v>
      </c>
      <c r="B811" s="23">
        <f>'P&amp;L Acumulado'!$G$1</f>
        <v>46053</v>
      </c>
      <c r="C811" s="23">
        <f>'P&amp;L Acumulado'!$I$1</f>
        <v>46112</v>
      </c>
      <c r="D811" s="23">
        <f>'P&amp;L Acumulado'!$I$1</f>
        <v>46112</v>
      </c>
      <c r="E811" t="str">
        <f>TEXT('P&amp;L Acumulado'!$G$1,"mmm/yyyy")&amp;" a "&amp;TEXT('P&amp;L Acumulado'!$I$1,"mmm/yyyy")</f>
        <v>jan/yyyy a mar/yyyy</v>
      </c>
      <c r="F811" t="s">
        <v>29</v>
      </c>
      <c r="G811" t="s">
        <v>205</v>
      </c>
      <c r="H811" t="s">
        <v>5</v>
      </c>
      <c r="I811" s="429">
        <f>'P&amp;L Acumulado'!F28</f>
        <v>1639266.172000923</v>
      </c>
      <c r="J811" t="s">
        <v>1071</v>
      </c>
      <c r="K811" t="s">
        <v>763</v>
      </c>
      <c r="L811">
        <v>28</v>
      </c>
    </row>
    <row r="812" spans="1:12" ht="18" customHeight="1" x14ac:dyDescent="0.25">
      <c r="A812" t="s">
        <v>1070</v>
      </c>
      <c r="B812" s="23">
        <f>'P&amp;L Acumulado'!$G$1</f>
        <v>46053</v>
      </c>
      <c r="C812" s="23">
        <f>'P&amp;L Acumulado'!$I$1</f>
        <v>46112</v>
      </c>
      <c r="D812" s="23">
        <f>'P&amp;L Acumulado'!$I$1</f>
        <v>46112</v>
      </c>
      <c r="E812" t="str">
        <f>TEXT('P&amp;L Acumulado'!$G$1,"mmm/yyyy")&amp;" a "&amp;TEXT('P&amp;L Acumulado'!$I$1,"mmm/yyyy")</f>
        <v>jan/yyyy a mar/yyyy</v>
      </c>
      <c r="F812" t="s">
        <v>29</v>
      </c>
      <c r="G812" t="s">
        <v>205</v>
      </c>
      <c r="H812" t="s">
        <v>6</v>
      </c>
      <c r="I812" s="429">
        <f>'P&amp;L Acumulado'!G28</f>
        <v>1621140.0861965842</v>
      </c>
      <c r="J812" t="s">
        <v>1071</v>
      </c>
      <c r="K812" t="s">
        <v>764</v>
      </c>
      <c r="L812">
        <v>28</v>
      </c>
    </row>
    <row r="813" spans="1:12" ht="18" customHeight="1" x14ac:dyDescent="0.25">
      <c r="A813" t="s">
        <v>1070</v>
      </c>
      <c r="B813" s="23">
        <f>'P&amp;L Acumulado'!$G$1</f>
        <v>46053</v>
      </c>
      <c r="C813" s="23">
        <f>'P&amp;L Acumulado'!$I$1</f>
        <v>46112</v>
      </c>
      <c r="D813" s="23">
        <f>'P&amp;L Acumulado'!$I$1</f>
        <v>46112</v>
      </c>
      <c r="E813" t="str">
        <f>TEXT('P&amp;L Acumulado'!$G$1,"mmm/yyyy")&amp;" a "&amp;TEXT('P&amp;L Acumulado'!$I$1,"mmm/yyyy")</f>
        <v>jan/yyyy a mar/yyyy</v>
      </c>
      <c r="F813" t="s">
        <v>29</v>
      </c>
      <c r="G813" t="s">
        <v>205</v>
      </c>
      <c r="H813" t="s">
        <v>549</v>
      </c>
      <c r="I813" s="104">
        <f>'P&amp;L Acumulado'!H28</f>
        <v>1.118107309706029E-2</v>
      </c>
      <c r="J813" t="s">
        <v>1071</v>
      </c>
      <c r="K813" t="s">
        <v>765</v>
      </c>
      <c r="L813">
        <v>28</v>
      </c>
    </row>
    <row r="814" spans="1:12" ht="18" customHeight="1" x14ac:dyDescent="0.25">
      <c r="A814" t="s">
        <v>1070</v>
      </c>
      <c r="B814" s="23">
        <f>'P&amp;L Acumulado'!$G$1</f>
        <v>46053</v>
      </c>
      <c r="C814" s="23">
        <f>'P&amp;L Acumulado'!$I$1</f>
        <v>46112</v>
      </c>
      <c r="D814" s="23">
        <f>'P&amp;L Acumulado'!$I$1</f>
        <v>46112</v>
      </c>
      <c r="E814" t="str">
        <f>TEXT('P&amp;L Acumulado'!$G$1,"mmm/yyyy")&amp;" a "&amp;TEXT('P&amp;L Acumulado'!$I$1,"mmm/yyyy")</f>
        <v>jan/yyyy a mar/yyyy</v>
      </c>
      <c r="F814" t="s">
        <v>29</v>
      </c>
      <c r="G814" t="s">
        <v>220</v>
      </c>
      <c r="H814" t="s">
        <v>5</v>
      </c>
      <c r="I814" s="429">
        <f>'P&amp;L Acumulado'!I28</f>
        <v>6003650.7479990777</v>
      </c>
      <c r="J814" t="s">
        <v>1071</v>
      </c>
      <c r="K814" t="s">
        <v>766</v>
      </c>
      <c r="L814">
        <v>28</v>
      </c>
    </row>
    <row r="815" spans="1:12" ht="18" customHeight="1" x14ac:dyDescent="0.25">
      <c r="A815" t="s">
        <v>1070</v>
      </c>
      <c r="B815" s="23">
        <f>'P&amp;L Acumulado'!$G$1</f>
        <v>46053</v>
      </c>
      <c r="C815" s="23">
        <f>'P&amp;L Acumulado'!$I$1</f>
        <v>46112</v>
      </c>
      <c r="D815" s="23">
        <f>'P&amp;L Acumulado'!$I$1</f>
        <v>46112</v>
      </c>
      <c r="E815" t="str">
        <f>TEXT('P&amp;L Acumulado'!$G$1,"mmm/yyyy")&amp;" a "&amp;TEXT('P&amp;L Acumulado'!$I$1,"mmm/yyyy")</f>
        <v>jan/yyyy a mar/yyyy</v>
      </c>
      <c r="F815" t="s">
        <v>29</v>
      </c>
      <c r="G815" t="s">
        <v>220</v>
      </c>
      <c r="H815" t="s">
        <v>6</v>
      </c>
      <c r="I815" s="429">
        <f>'P&amp;L Acumulado'!J28</f>
        <v>5938223.1539768651</v>
      </c>
      <c r="J815" t="s">
        <v>1071</v>
      </c>
      <c r="K815" t="s">
        <v>767</v>
      </c>
      <c r="L815">
        <v>28</v>
      </c>
    </row>
    <row r="816" spans="1:12" ht="18" customHeight="1" x14ac:dyDescent="0.25">
      <c r="A816" t="s">
        <v>1070</v>
      </c>
      <c r="B816" s="23">
        <f>'P&amp;L Acumulado'!$G$1</f>
        <v>46053</v>
      </c>
      <c r="C816" s="23">
        <f>'P&amp;L Acumulado'!$I$1</f>
        <v>46112</v>
      </c>
      <c r="D816" s="23">
        <f>'P&amp;L Acumulado'!$I$1</f>
        <v>46112</v>
      </c>
      <c r="E816" t="str">
        <f>TEXT('P&amp;L Acumulado'!$G$1,"mmm/yyyy")&amp;" a "&amp;TEXT('P&amp;L Acumulado'!$I$1,"mmm/yyyy")</f>
        <v>jan/yyyy a mar/yyyy</v>
      </c>
      <c r="F816" t="s">
        <v>29</v>
      </c>
      <c r="G816" t="s">
        <v>220</v>
      </c>
      <c r="H816" t="s">
        <v>549</v>
      </c>
      <c r="I816" s="104">
        <f>'P&amp;L Acumulado'!K28</f>
        <v>1.1018042321025767E-2</v>
      </c>
      <c r="J816" t="s">
        <v>1071</v>
      </c>
      <c r="K816" t="s">
        <v>768</v>
      </c>
      <c r="L816">
        <v>28</v>
      </c>
    </row>
    <row r="817" spans="1:12" ht="18" customHeight="1" x14ac:dyDescent="0.25">
      <c r="A817" t="s">
        <v>1070</v>
      </c>
      <c r="B817" s="23">
        <f>'P&amp;L Acumulado'!$G$1</f>
        <v>46053</v>
      </c>
      <c r="C817" s="23">
        <f>'P&amp;L Acumulado'!$I$1</f>
        <v>46112</v>
      </c>
      <c r="D817" s="23">
        <f>'P&amp;L Acumulado'!$I$1</f>
        <v>46112</v>
      </c>
      <c r="E817" t="str">
        <f>TEXT('P&amp;L Acumulado'!$G$1,"mmm/yyyy")&amp;" a "&amp;TEXT('P&amp;L Acumulado'!$I$1,"mmm/yyyy")</f>
        <v>jan/yyyy a mar/yyyy</v>
      </c>
      <c r="F817" t="s">
        <v>29</v>
      </c>
      <c r="G817" t="s">
        <v>96</v>
      </c>
      <c r="H817" t="s">
        <v>5</v>
      </c>
      <c r="I817" s="429">
        <f>'P&amp;L Acumulado'!L28</f>
        <v>7642916.9200000009</v>
      </c>
      <c r="J817" t="s">
        <v>1071</v>
      </c>
      <c r="K817" t="s">
        <v>769</v>
      </c>
      <c r="L817">
        <v>28</v>
      </c>
    </row>
    <row r="818" spans="1:12" ht="18" customHeight="1" x14ac:dyDescent="0.25">
      <c r="A818" t="s">
        <v>1070</v>
      </c>
      <c r="B818" s="23">
        <f>'P&amp;L Acumulado'!$G$1</f>
        <v>46053</v>
      </c>
      <c r="C818" s="23">
        <f>'P&amp;L Acumulado'!$I$1</f>
        <v>46112</v>
      </c>
      <c r="D818" s="23">
        <f>'P&amp;L Acumulado'!$I$1</f>
        <v>46112</v>
      </c>
      <c r="E818" t="str">
        <f>TEXT('P&amp;L Acumulado'!$G$1,"mmm/yyyy")&amp;" a "&amp;TEXT('P&amp;L Acumulado'!$I$1,"mmm/yyyy")</f>
        <v>jan/yyyy a mar/yyyy</v>
      </c>
      <c r="F818" t="s">
        <v>29</v>
      </c>
      <c r="G818" t="s">
        <v>96</v>
      </c>
      <c r="H818" t="s">
        <v>6</v>
      </c>
      <c r="I818" s="429">
        <f>'P&amp;L Acumulado'!M28</f>
        <v>7559363.2401734497</v>
      </c>
      <c r="J818" t="s">
        <v>1071</v>
      </c>
      <c r="K818" t="s">
        <v>1158</v>
      </c>
      <c r="L818">
        <v>28</v>
      </c>
    </row>
    <row r="819" spans="1:12" ht="18" customHeight="1" x14ac:dyDescent="0.25">
      <c r="A819" t="s">
        <v>1070</v>
      </c>
      <c r="B819" s="23">
        <f>'P&amp;L Acumulado'!$G$1</f>
        <v>46053</v>
      </c>
      <c r="C819" s="23">
        <f>'P&amp;L Acumulado'!$I$1</f>
        <v>46112</v>
      </c>
      <c r="D819" s="23">
        <f>'P&amp;L Acumulado'!$I$1</f>
        <v>46112</v>
      </c>
      <c r="E819" t="str">
        <f>TEXT('P&amp;L Acumulado'!$G$1,"mmm/yyyy")&amp;" a "&amp;TEXT('P&amp;L Acumulado'!$I$1,"mmm/yyyy")</f>
        <v>jan/yyyy a mar/yyyy</v>
      </c>
      <c r="F819" t="s">
        <v>29</v>
      </c>
      <c r="G819" t="s">
        <v>96</v>
      </c>
      <c r="H819" t="s">
        <v>549</v>
      </c>
      <c r="I819" s="104">
        <f>'P&amp;L Acumulado'!N28</f>
        <v>1.105300501800377E-2</v>
      </c>
      <c r="J819" t="s">
        <v>1071</v>
      </c>
      <c r="K819" t="s">
        <v>1159</v>
      </c>
      <c r="L819">
        <v>28</v>
      </c>
    </row>
    <row r="820" spans="1:12" ht="18" customHeight="1" x14ac:dyDescent="0.25">
      <c r="A820" t="s">
        <v>1070</v>
      </c>
      <c r="B820" s="23">
        <f>'P&amp;L Acumulado'!$G$1</f>
        <v>46053</v>
      </c>
      <c r="C820" s="23">
        <f>'P&amp;L Acumulado'!$I$1</f>
        <v>46112</v>
      </c>
      <c r="D820" s="23">
        <f>'P&amp;L Acumulado'!$I$1</f>
        <v>46112</v>
      </c>
      <c r="E820" t="str">
        <f>TEXT('P&amp;L Acumulado'!$G$1,"mmm/yyyy")&amp;" a "&amp;TEXT('P&amp;L Acumulado'!$I$1,"mmm/yyyy")</f>
        <v>jan/yyyy a mar/yyyy</v>
      </c>
      <c r="F820" t="s">
        <v>29</v>
      </c>
      <c r="G820" t="s">
        <v>96</v>
      </c>
      <c r="H820" t="s">
        <v>557</v>
      </c>
      <c r="I820" s="429">
        <f>'P&amp;L Acumulado'!O28</f>
        <v>83553.679826551117</v>
      </c>
      <c r="J820" t="s">
        <v>1071</v>
      </c>
      <c r="K820" t="s">
        <v>1160</v>
      </c>
      <c r="L820">
        <v>28</v>
      </c>
    </row>
    <row r="821" spans="1:12" ht="18" customHeight="1" x14ac:dyDescent="0.25">
      <c r="A821" t="s">
        <v>1070</v>
      </c>
      <c r="B821" s="23">
        <f>'P&amp;L Acumulado'!$G$1</f>
        <v>46053</v>
      </c>
      <c r="C821" s="23">
        <f>'P&amp;L Acumulado'!$I$1</f>
        <v>46112</v>
      </c>
      <c r="D821" s="23">
        <f>'P&amp;L Acumulado'!$I$1</f>
        <v>46112</v>
      </c>
      <c r="E821" t="str">
        <f>TEXT('P&amp;L Acumulado'!$G$1,"mmm/yyyy")&amp;" a "&amp;TEXT('P&amp;L Acumulado'!$I$1,"mmm/yyyy")</f>
        <v>jan/yyyy a mar/yyyy</v>
      </c>
      <c r="F821" t="s">
        <v>30</v>
      </c>
      <c r="G821" t="s">
        <v>252</v>
      </c>
      <c r="H821" t="s">
        <v>5</v>
      </c>
      <c r="I821" s="429">
        <f>'P&amp;L Acumulado'!C29</f>
        <v>0</v>
      </c>
      <c r="J821" t="s">
        <v>1071</v>
      </c>
      <c r="K821" t="s">
        <v>770</v>
      </c>
      <c r="L821">
        <v>29</v>
      </c>
    </row>
    <row r="822" spans="1:12" ht="18" customHeight="1" x14ac:dyDescent="0.25">
      <c r="A822" t="s">
        <v>1070</v>
      </c>
      <c r="B822" s="23">
        <f>'P&amp;L Acumulado'!$G$1</f>
        <v>46053</v>
      </c>
      <c r="C822" s="23">
        <f>'P&amp;L Acumulado'!$I$1</f>
        <v>46112</v>
      </c>
      <c r="D822" s="23">
        <f>'P&amp;L Acumulado'!$I$1</f>
        <v>46112</v>
      </c>
      <c r="E822" t="str">
        <f>TEXT('P&amp;L Acumulado'!$G$1,"mmm/yyyy")&amp;" a "&amp;TEXT('P&amp;L Acumulado'!$I$1,"mmm/yyyy")</f>
        <v>jan/yyyy a mar/yyyy</v>
      </c>
      <c r="F822" t="s">
        <v>30</v>
      </c>
      <c r="G822" t="s">
        <v>252</v>
      </c>
      <c r="H822" t="s">
        <v>6</v>
      </c>
      <c r="I822" s="429">
        <f>'P&amp;L Acumulado'!D29</f>
        <v>0</v>
      </c>
      <c r="J822" t="s">
        <v>1071</v>
      </c>
      <c r="K822" t="s">
        <v>771</v>
      </c>
      <c r="L822">
        <v>29</v>
      </c>
    </row>
    <row r="823" spans="1:12" ht="18" customHeight="1" x14ac:dyDescent="0.25">
      <c r="A823" t="s">
        <v>1070</v>
      </c>
      <c r="B823" s="23">
        <f>'P&amp;L Acumulado'!$G$1</f>
        <v>46053</v>
      </c>
      <c r="C823" s="23">
        <f>'P&amp;L Acumulado'!$I$1</f>
        <v>46112</v>
      </c>
      <c r="D823" s="23">
        <f>'P&amp;L Acumulado'!$I$1</f>
        <v>46112</v>
      </c>
      <c r="E823" t="str">
        <f>TEXT('P&amp;L Acumulado'!$G$1,"mmm/yyyy")&amp;" a "&amp;TEXT('P&amp;L Acumulado'!$I$1,"mmm/yyyy")</f>
        <v>jan/yyyy a mar/yyyy</v>
      </c>
      <c r="F823" t="s">
        <v>30</v>
      </c>
      <c r="G823" t="s">
        <v>252</v>
      </c>
      <c r="H823" t="s">
        <v>549</v>
      </c>
      <c r="I823" s="104" t="str">
        <f>'P&amp;L Acumulado'!E29</f>
        <v>-</v>
      </c>
      <c r="J823" t="s">
        <v>1071</v>
      </c>
      <c r="K823" t="s">
        <v>772</v>
      </c>
      <c r="L823">
        <v>29</v>
      </c>
    </row>
    <row r="824" spans="1:12" ht="18" customHeight="1" x14ac:dyDescent="0.25">
      <c r="A824" t="s">
        <v>1070</v>
      </c>
      <c r="B824" s="23">
        <f>'P&amp;L Acumulado'!$G$1</f>
        <v>46053</v>
      </c>
      <c r="C824" s="23">
        <f>'P&amp;L Acumulado'!$I$1</f>
        <v>46112</v>
      </c>
      <c r="D824" s="23">
        <f>'P&amp;L Acumulado'!$I$1</f>
        <v>46112</v>
      </c>
      <c r="E824" t="str">
        <f>TEXT('P&amp;L Acumulado'!$G$1,"mmm/yyyy")&amp;" a "&amp;TEXT('P&amp;L Acumulado'!$I$1,"mmm/yyyy")</f>
        <v>jan/yyyy a mar/yyyy</v>
      </c>
      <c r="F824" t="s">
        <v>30</v>
      </c>
      <c r="G824" t="s">
        <v>205</v>
      </c>
      <c r="H824" t="s">
        <v>5</v>
      </c>
      <c r="I824" s="429">
        <f>'P&amp;L Acumulado'!F29</f>
        <v>880105.19</v>
      </c>
      <c r="J824" t="s">
        <v>1071</v>
      </c>
      <c r="K824" t="s">
        <v>773</v>
      </c>
      <c r="L824">
        <v>29</v>
      </c>
    </row>
    <row r="825" spans="1:12" ht="18" customHeight="1" x14ac:dyDescent="0.25">
      <c r="A825" t="s">
        <v>1070</v>
      </c>
      <c r="B825" s="23">
        <f>'P&amp;L Acumulado'!$G$1</f>
        <v>46053</v>
      </c>
      <c r="C825" s="23">
        <f>'P&amp;L Acumulado'!$I$1</f>
        <v>46112</v>
      </c>
      <c r="D825" s="23">
        <f>'P&amp;L Acumulado'!$I$1</f>
        <v>46112</v>
      </c>
      <c r="E825" t="str">
        <f>TEXT('P&amp;L Acumulado'!$G$1,"mmm/yyyy")&amp;" a "&amp;TEXT('P&amp;L Acumulado'!$I$1,"mmm/yyyy")</f>
        <v>jan/yyyy a mar/yyyy</v>
      </c>
      <c r="F825" t="s">
        <v>30</v>
      </c>
      <c r="G825" t="s">
        <v>205</v>
      </c>
      <c r="H825" t="s">
        <v>6</v>
      </c>
      <c r="I825" s="429">
        <f>'P&amp;L Acumulado'!G29</f>
        <v>1019821.872720141</v>
      </c>
      <c r="J825" t="s">
        <v>1071</v>
      </c>
      <c r="K825" t="s">
        <v>774</v>
      </c>
      <c r="L825">
        <v>29</v>
      </c>
    </row>
    <row r="826" spans="1:12" ht="18" customHeight="1" x14ac:dyDescent="0.25">
      <c r="A826" t="s">
        <v>1070</v>
      </c>
      <c r="B826" s="23">
        <f>'P&amp;L Acumulado'!$G$1</f>
        <v>46053</v>
      </c>
      <c r="C826" s="23">
        <f>'P&amp;L Acumulado'!$I$1</f>
        <v>46112</v>
      </c>
      <c r="D826" s="23">
        <f>'P&amp;L Acumulado'!$I$1</f>
        <v>46112</v>
      </c>
      <c r="E826" t="str">
        <f>TEXT('P&amp;L Acumulado'!$G$1,"mmm/yyyy")&amp;" a "&amp;TEXT('P&amp;L Acumulado'!$I$1,"mmm/yyyy")</f>
        <v>jan/yyyy a mar/yyyy</v>
      </c>
      <c r="F826" t="s">
        <v>30</v>
      </c>
      <c r="G826" t="s">
        <v>205</v>
      </c>
      <c r="H826" t="s">
        <v>549</v>
      </c>
      <c r="I826" s="104">
        <f>'P&amp;L Acumulado'!H29</f>
        <v>-0.13700106504627008</v>
      </c>
      <c r="J826" t="s">
        <v>1071</v>
      </c>
      <c r="K826" t="s">
        <v>775</v>
      </c>
      <c r="L826">
        <v>29</v>
      </c>
    </row>
    <row r="827" spans="1:12" ht="18" customHeight="1" x14ac:dyDescent="0.25">
      <c r="A827" t="s">
        <v>1070</v>
      </c>
      <c r="B827" s="23">
        <f>'P&amp;L Acumulado'!$G$1</f>
        <v>46053</v>
      </c>
      <c r="C827" s="23">
        <f>'P&amp;L Acumulado'!$I$1</f>
        <v>46112</v>
      </c>
      <c r="D827" s="23">
        <f>'P&amp;L Acumulado'!$I$1</f>
        <v>46112</v>
      </c>
      <c r="E827" t="str">
        <f>TEXT('P&amp;L Acumulado'!$G$1,"mmm/yyyy")&amp;" a "&amp;TEXT('P&amp;L Acumulado'!$I$1,"mmm/yyyy")</f>
        <v>jan/yyyy a mar/yyyy</v>
      </c>
      <c r="F827" t="s">
        <v>30</v>
      </c>
      <c r="G827" t="s">
        <v>220</v>
      </c>
      <c r="H827" t="s">
        <v>5</v>
      </c>
      <c r="I827" s="429">
        <f>'P&amp;L Acumulado'!I29</f>
        <v>550404.39</v>
      </c>
      <c r="J827" t="s">
        <v>1071</v>
      </c>
      <c r="K827" t="s">
        <v>776</v>
      </c>
      <c r="L827">
        <v>29</v>
      </c>
    </row>
    <row r="828" spans="1:12" ht="18" customHeight="1" x14ac:dyDescent="0.25">
      <c r="A828" t="s">
        <v>1070</v>
      </c>
      <c r="B828" s="23">
        <f>'P&amp;L Acumulado'!$G$1</f>
        <v>46053</v>
      </c>
      <c r="C828" s="23">
        <f>'P&amp;L Acumulado'!$I$1</f>
        <v>46112</v>
      </c>
      <c r="D828" s="23">
        <f>'P&amp;L Acumulado'!$I$1</f>
        <v>46112</v>
      </c>
      <c r="E828" t="str">
        <f>TEXT('P&amp;L Acumulado'!$G$1,"mmm/yyyy")&amp;" a "&amp;TEXT('P&amp;L Acumulado'!$I$1,"mmm/yyyy")</f>
        <v>jan/yyyy a mar/yyyy</v>
      </c>
      <c r="F828" t="s">
        <v>30</v>
      </c>
      <c r="G828" t="s">
        <v>220</v>
      </c>
      <c r="H828" t="s">
        <v>6</v>
      </c>
      <c r="I828" s="429">
        <f>'P&amp;L Acumulado'!J29</f>
        <v>845770.05299912021</v>
      </c>
      <c r="J828" t="s">
        <v>1071</v>
      </c>
      <c r="K828" t="s">
        <v>777</v>
      </c>
      <c r="L828">
        <v>29</v>
      </c>
    </row>
    <row r="829" spans="1:12" ht="18" customHeight="1" x14ac:dyDescent="0.25">
      <c r="A829" t="s">
        <v>1070</v>
      </c>
      <c r="B829" s="23">
        <f>'P&amp;L Acumulado'!$G$1</f>
        <v>46053</v>
      </c>
      <c r="C829" s="23">
        <f>'P&amp;L Acumulado'!$I$1</f>
        <v>46112</v>
      </c>
      <c r="D829" s="23">
        <f>'P&amp;L Acumulado'!$I$1</f>
        <v>46112</v>
      </c>
      <c r="E829" t="str">
        <f>TEXT('P&amp;L Acumulado'!$G$1,"mmm/yyyy")&amp;" a "&amp;TEXT('P&amp;L Acumulado'!$I$1,"mmm/yyyy")</f>
        <v>jan/yyyy a mar/yyyy</v>
      </c>
      <c r="F829" t="s">
        <v>30</v>
      </c>
      <c r="G829" t="s">
        <v>220</v>
      </c>
      <c r="H829" t="s">
        <v>549</v>
      </c>
      <c r="I829" s="104">
        <f>'P&amp;L Acumulado'!K29</f>
        <v>-0.34922691096917735</v>
      </c>
      <c r="J829" t="s">
        <v>1071</v>
      </c>
      <c r="K829" t="s">
        <v>778</v>
      </c>
      <c r="L829">
        <v>29</v>
      </c>
    </row>
    <row r="830" spans="1:12" ht="18" customHeight="1" x14ac:dyDescent="0.25">
      <c r="A830" t="s">
        <v>1070</v>
      </c>
      <c r="B830" s="23">
        <f>'P&amp;L Acumulado'!$G$1</f>
        <v>46053</v>
      </c>
      <c r="C830" s="23">
        <f>'P&amp;L Acumulado'!$I$1</f>
        <v>46112</v>
      </c>
      <c r="D830" s="23">
        <f>'P&amp;L Acumulado'!$I$1</f>
        <v>46112</v>
      </c>
      <c r="E830" t="str">
        <f>TEXT('P&amp;L Acumulado'!$G$1,"mmm/yyyy")&amp;" a "&amp;TEXT('P&amp;L Acumulado'!$I$1,"mmm/yyyy")</f>
        <v>jan/yyyy a mar/yyyy</v>
      </c>
      <c r="F830" t="s">
        <v>30</v>
      </c>
      <c r="G830" t="s">
        <v>96</v>
      </c>
      <c r="H830" t="s">
        <v>5</v>
      </c>
      <c r="I830" s="429">
        <f>'P&amp;L Acumulado'!L29</f>
        <v>1430509.58</v>
      </c>
      <c r="J830" t="s">
        <v>1071</v>
      </c>
      <c r="K830" t="s">
        <v>779</v>
      </c>
      <c r="L830">
        <v>29</v>
      </c>
    </row>
    <row r="831" spans="1:12" ht="18" customHeight="1" x14ac:dyDescent="0.25">
      <c r="A831" t="s">
        <v>1070</v>
      </c>
      <c r="B831" s="23">
        <f>'P&amp;L Acumulado'!$G$1</f>
        <v>46053</v>
      </c>
      <c r="C831" s="23">
        <f>'P&amp;L Acumulado'!$I$1</f>
        <v>46112</v>
      </c>
      <c r="D831" s="23">
        <f>'P&amp;L Acumulado'!$I$1</f>
        <v>46112</v>
      </c>
      <c r="E831" t="str">
        <f>TEXT('P&amp;L Acumulado'!$G$1,"mmm/yyyy")&amp;" a "&amp;TEXT('P&amp;L Acumulado'!$I$1,"mmm/yyyy")</f>
        <v>jan/yyyy a mar/yyyy</v>
      </c>
      <c r="F831" t="s">
        <v>30</v>
      </c>
      <c r="G831" t="s">
        <v>96</v>
      </c>
      <c r="H831" t="s">
        <v>6</v>
      </c>
      <c r="I831" s="429">
        <f>'P&amp;L Acumulado'!M29</f>
        <v>1865591.9257192612</v>
      </c>
      <c r="J831" t="s">
        <v>1071</v>
      </c>
      <c r="K831" t="s">
        <v>1161</v>
      </c>
      <c r="L831">
        <v>29</v>
      </c>
    </row>
    <row r="832" spans="1:12" ht="18" customHeight="1" x14ac:dyDescent="0.25">
      <c r="A832" t="s">
        <v>1070</v>
      </c>
      <c r="B832" s="23">
        <f>'P&amp;L Acumulado'!$G$1</f>
        <v>46053</v>
      </c>
      <c r="C832" s="23">
        <f>'P&amp;L Acumulado'!$I$1</f>
        <v>46112</v>
      </c>
      <c r="D832" s="23">
        <f>'P&amp;L Acumulado'!$I$1</f>
        <v>46112</v>
      </c>
      <c r="E832" t="str">
        <f>TEXT('P&amp;L Acumulado'!$G$1,"mmm/yyyy")&amp;" a "&amp;TEXT('P&amp;L Acumulado'!$I$1,"mmm/yyyy")</f>
        <v>jan/yyyy a mar/yyyy</v>
      </c>
      <c r="F832" t="s">
        <v>30</v>
      </c>
      <c r="G832" t="s">
        <v>96</v>
      </c>
      <c r="H832" t="s">
        <v>549</v>
      </c>
      <c r="I832" s="104">
        <f>'P&amp;L Acumulado'!N29</f>
        <v>-0.23321410203440884</v>
      </c>
      <c r="J832" t="s">
        <v>1071</v>
      </c>
      <c r="K832" t="s">
        <v>1162</v>
      </c>
      <c r="L832">
        <v>29</v>
      </c>
    </row>
    <row r="833" spans="1:12" ht="18" customHeight="1" x14ac:dyDescent="0.25">
      <c r="A833" t="s">
        <v>1070</v>
      </c>
      <c r="B833" s="23">
        <f>'P&amp;L Acumulado'!$G$1</f>
        <v>46053</v>
      </c>
      <c r="C833" s="23">
        <f>'P&amp;L Acumulado'!$I$1</f>
        <v>46112</v>
      </c>
      <c r="D833" s="23">
        <f>'P&amp;L Acumulado'!$I$1</f>
        <v>46112</v>
      </c>
      <c r="E833" t="str">
        <f>TEXT('P&amp;L Acumulado'!$G$1,"mmm/yyyy")&amp;" a "&amp;TEXT('P&amp;L Acumulado'!$I$1,"mmm/yyyy")</f>
        <v>jan/yyyy a mar/yyyy</v>
      </c>
      <c r="F833" t="s">
        <v>30</v>
      </c>
      <c r="G833" t="s">
        <v>96</v>
      </c>
      <c r="H833" t="s">
        <v>557</v>
      </c>
      <c r="I833" s="429">
        <f>'P&amp;L Acumulado'!O29</f>
        <v>-435082.34571926109</v>
      </c>
      <c r="J833" t="s">
        <v>1071</v>
      </c>
      <c r="K833" t="s">
        <v>1163</v>
      </c>
      <c r="L833">
        <v>29</v>
      </c>
    </row>
    <row r="834" spans="1:12" ht="18" customHeight="1" x14ac:dyDescent="0.25">
      <c r="A834" t="s">
        <v>1070</v>
      </c>
      <c r="B834" s="23">
        <f>'P&amp;L Acumulado'!$G$1</f>
        <v>46053</v>
      </c>
      <c r="C834" s="23">
        <f>'P&amp;L Acumulado'!$I$1</f>
        <v>46112</v>
      </c>
      <c r="D834" s="23">
        <f>'P&amp;L Acumulado'!$I$1</f>
        <v>46112</v>
      </c>
      <c r="E834" t="str">
        <f>TEXT('P&amp;L Acumulado'!$G$1,"mmm/yyyy")&amp;" a "&amp;TEXT('P&amp;L Acumulado'!$I$1,"mmm/yyyy")</f>
        <v>jan/yyyy a mar/yyyy</v>
      </c>
      <c r="F834" t="s">
        <v>31</v>
      </c>
      <c r="G834" t="s">
        <v>252</v>
      </c>
      <c r="H834" t="s">
        <v>5</v>
      </c>
      <c r="I834" s="429">
        <f>'P&amp;L Acumulado'!C30</f>
        <v>0</v>
      </c>
      <c r="J834" t="s">
        <v>1071</v>
      </c>
      <c r="K834" t="s">
        <v>780</v>
      </c>
      <c r="L834">
        <v>30</v>
      </c>
    </row>
    <row r="835" spans="1:12" ht="18" customHeight="1" x14ac:dyDescent="0.25">
      <c r="A835" t="s">
        <v>1070</v>
      </c>
      <c r="B835" s="23">
        <f>'P&amp;L Acumulado'!$G$1</f>
        <v>46053</v>
      </c>
      <c r="C835" s="23">
        <f>'P&amp;L Acumulado'!$I$1</f>
        <v>46112</v>
      </c>
      <c r="D835" s="23">
        <f>'P&amp;L Acumulado'!$I$1</f>
        <v>46112</v>
      </c>
      <c r="E835" t="str">
        <f>TEXT('P&amp;L Acumulado'!$G$1,"mmm/yyyy")&amp;" a "&amp;TEXT('P&amp;L Acumulado'!$I$1,"mmm/yyyy")</f>
        <v>jan/yyyy a mar/yyyy</v>
      </c>
      <c r="F835" t="s">
        <v>31</v>
      </c>
      <c r="G835" t="s">
        <v>252</v>
      </c>
      <c r="H835" t="s">
        <v>6</v>
      </c>
      <c r="I835" s="429">
        <f>'P&amp;L Acumulado'!D30</f>
        <v>0</v>
      </c>
      <c r="J835" t="s">
        <v>1071</v>
      </c>
      <c r="K835" t="s">
        <v>781</v>
      </c>
      <c r="L835">
        <v>30</v>
      </c>
    </row>
    <row r="836" spans="1:12" ht="18" customHeight="1" x14ac:dyDescent="0.25">
      <c r="A836" t="s">
        <v>1070</v>
      </c>
      <c r="B836" s="23">
        <f>'P&amp;L Acumulado'!$G$1</f>
        <v>46053</v>
      </c>
      <c r="C836" s="23">
        <f>'P&amp;L Acumulado'!$I$1</f>
        <v>46112</v>
      </c>
      <c r="D836" s="23">
        <f>'P&amp;L Acumulado'!$I$1</f>
        <v>46112</v>
      </c>
      <c r="E836" t="str">
        <f>TEXT('P&amp;L Acumulado'!$G$1,"mmm/yyyy")&amp;" a "&amp;TEXT('P&amp;L Acumulado'!$I$1,"mmm/yyyy")</f>
        <v>jan/yyyy a mar/yyyy</v>
      </c>
      <c r="F836" t="s">
        <v>31</v>
      </c>
      <c r="G836" t="s">
        <v>252</v>
      </c>
      <c r="H836" t="s">
        <v>549</v>
      </c>
      <c r="I836" s="104" t="str">
        <f>'P&amp;L Acumulado'!E30</f>
        <v>-</v>
      </c>
      <c r="J836" t="s">
        <v>1071</v>
      </c>
      <c r="K836" t="s">
        <v>782</v>
      </c>
      <c r="L836">
        <v>30</v>
      </c>
    </row>
    <row r="837" spans="1:12" ht="18" customHeight="1" x14ac:dyDescent="0.25">
      <c r="A837" t="s">
        <v>1070</v>
      </c>
      <c r="B837" s="23">
        <f>'P&amp;L Acumulado'!$G$1</f>
        <v>46053</v>
      </c>
      <c r="C837" s="23">
        <f>'P&amp;L Acumulado'!$I$1</f>
        <v>46112</v>
      </c>
      <c r="D837" s="23">
        <f>'P&amp;L Acumulado'!$I$1</f>
        <v>46112</v>
      </c>
      <c r="E837" t="str">
        <f>TEXT('P&amp;L Acumulado'!$G$1,"mmm/yyyy")&amp;" a "&amp;TEXT('P&amp;L Acumulado'!$I$1,"mmm/yyyy")</f>
        <v>jan/yyyy a mar/yyyy</v>
      </c>
      <c r="F837" t="s">
        <v>31</v>
      </c>
      <c r="G837" t="s">
        <v>205</v>
      </c>
      <c r="H837" t="s">
        <v>5</v>
      </c>
      <c r="I837" s="429">
        <f>'P&amp;L Acumulado'!F30</f>
        <v>-577965.52073334088</v>
      </c>
      <c r="J837" t="s">
        <v>1071</v>
      </c>
      <c r="K837" t="s">
        <v>783</v>
      </c>
      <c r="L837">
        <v>30</v>
      </c>
    </row>
    <row r="838" spans="1:12" ht="18" customHeight="1" x14ac:dyDescent="0.25">
      <c r="A838" t="s">
        <v>1070</v>
      </c>
      <c r="B838" s="23">
        <f>'P&amp;L Acumulado'!$G$1</f>
        <v>46053</v>
      </c>
      <c r="C838" s="23">
        <f>'P&amp;L Acumulado'!$I$1</f>
        <v>46112</v>
      </c>
      <c r="D838" s="23">
        <f>'P&amp;L Acumulado'!$I$1</f>
        <v>46112</v>
      </c>
      <c r="E838" t="str">
        <f>TEXT('P&amp;L Acumulado'!$G$1,"mmm/yyyy")&amp;" a "&amp;TEXT('P&amp;L Acumulado'!$I$1,"mmm/yyyy")</f>
        <v>jan/yyyy a mar/yyyy</v>
      </c>
      <c r="F838" t="s">
        <v>31</v>
      </c>
      <c r="G838" t="s">
        <v>205</v>
      </c>
      <c r="H838" t="s">
        <v>6</v>
      </c>
      <c r="I838" s="429">
        <f>'P&amp;L Acumulado'!G30</f>
        <v>-442314.1714086025</v>
      </c>
      <c r="J838" t="s">
        <v>1071</v>
      </c>
      <c r="K838" t="s">
        <v>784</v>
      </c>
      <c r="L838">
        <v>30</v>
      </c>
    </row>
    <row r="839" spans="1:12" ht="18" customHeight="1" x14ac:dyDescent="0.25">
      <c r="A839" t="s">
        <v>1070</v>
      </c>
      <c r="B839" s="23">
        <f>'P&amp;L Acumulado'!$G$1</f>
        <v>46053</v>
      </c>
      <c r="C839" s="23">
        <f>'P&amp;L Acumulado'!$I$1</f>
        <v>46112</v>
      </c>
      <c r="D839" s="23">
        <f>'P&amp;L Acumulado'!$I$1</f>
        <v>46112</v>
      </c>
      <c r="E839" t="str">
        <f>TEXT('P&amp;L Acumulado'!$G$1,"mmm/yyyy")&amp;" a "&amp;TEXT('P&amp;L Acumulado'!$I$1,"mmm/yyyy")</f>
        <v>jan/yyyy a mar/yyyy</v>
      </c>
      <c r="F839" t="s">
        <v>31</v>
      </c>
      <c r="G839" t="s">
        <v>205</v>
      </c>
      <c r="H839" t="s">
        <v>549</v>
      </c>
      <c r="I839" s="104">
        <f>'P&amp;L Acumulado'!H30</f>
        <v>0.30668551471624883</v>
      </c>
      <c r="J839" t="s">
        <v>1071</v>
      </c>
      <c r="K839" t="s">
        <v>785</v>
      </c>
      <c r="L839">
        <v>30</v>
      </c>
    </row>
    <row r="840" spans="1:12" ht="18" customHeight="1" x14ac:dyDescent="0.25">
      <c r="A840" t="s">
        <v>1070</v>
      </c>
      <c r="B840" s="23">
        <f>'P&amp;L Acumulado'!$G$1</f>
        <v>46053</v>
      </c>
      <c r="C840" s="23">
        <f>'P&amp;L Acumulado'!$I$1</f>
        <v>46112</v>
      </c>
      <c r="D840" s="23">
        <f>'P&amp;L Acumulado'!$I$1</f>
        <v>46112</v>
      </c>
      <c r="E840" t="str">
        <f>TEXT('P&amp;L Acumulado'!$G$1,"mmm/yyyy")&amp;" a "&amp;TEXT('P&amp;L Acumulado'!$I$1,"mmm/yyyy")</f>
        <v>jan/yyyy a mar/yyyy</v>
      </c>
      <c r="F840" t="s">
        <v>31</v>
      </c>
      <c r="G840" t="s">
        <v>220</v>
      </c>
      <c r="H840" t="s">
        <v>5</v>
      </c>
      <c r="I840" s="429">
        <f>'P&amp;L Acumulado'!I30</f>
        <v>-1960115.4092666595</v>
      </c>
      <c r="J840" t="s">
        <v>1071</v>
      </c>
      <c r="K840" t="s">
        <v>786</v>
      </c>
      <c r="L840">
        <v>30</v>
      </c>
    </row>
    <row r="841" spans="1:12" ht="18" customHeight="1" x14ac:dyDescent="0.25">
      <c r="A841" t="s">
        <v>1070</v>
      </c>
      <c r="B841" s="23">
        <f>'P&amp;L Acumulado'!$G$1</f>
        <v>46053</v>
      </c>
      <c r="C841" s="23">
        <f>'P&amp;L Acumulado'!$I$1</f>
        <v>46112</v>
      </c>
      <c r="D841" s="23">
        <f>'P&amp;L Acumulado'!$I$1</f>
        <v>46112</v>
      </c>
      <c r="E841" t="str">
        <f>TEXT('P&amp;L Acumulado'!$G$1,"mmm/yyyy")&amp;" a "&amp;TEXT('P&amp;L Acumulado'!$I$1,"mmm/yyyy")</f>
        <v>jan/yyyy a mar/yyyy</v>
      </c>
      <c r="F841" t="s">
        <v>31</v>
      </c>
      <c r="G841" t="s">
        <v>220</v>
      </c>
      <c r="H841" t="s">
        <v>6</v>
      </c>
      <c r="I841" s="429">
        <f>'P&amp;L Acumulado'!J30</f>
        <v>-1568205.8804486818</v>
      </c>
      <c r="J841" t="s">
        <v>1071</v>
      </c>
      <c r="K841" t="s">
        <v>787</v>
      </c>
      <c r="L841">
        <v>30</v>
      </c>
    </row>
    <row r="842" spans="1:12" ht="18" customHeight="1" x14ac:dyDescent="0.25">
      <c r="A842" t="s">
        <v>1070</v>
      </c>
      <c r="B842" s="23">
        <f>'P&amp;L Acumulado'!$G$1</f>
        <v>46053</v>
      </c>
      <c r="C842" s="23">
        <f>'P&amp;L Acumulado'!$I$1</f>
        <v>46112</v>
      </c>
      <c r="D842" s="23">
        <f>'P&amp;L Acumulado'!$I$1</f>
        <v>46112</v>
      </c>
      <c r="E842" t="str">
        <f>TEXT('P&amp;L Acumulado'!$G$1,"mmm/yyyy")&amp;" a "&amp;TEXT('P&amp;L Acumulado'!$I$1,"mmm/yyyy")</f>
        <v>jan/yyyy a mar/yyyy</v>
      </c>
      <c r="F842" t="s">
        <v>31</v>
      </c>
      <c r="G842" t="s">
        <v>220</v>
      </c>
      <c r="H842" t="s">
        <v>549</v>
      </c>
      <c r="I842" s="104">
        <f>'P&amp;L Acumulado'!K30</f>
        <v>0.24990948809976921</v>
      </c>
      <c r="J842" t="s">
        <v>1071</v>
      </c>
      <c r="K842" t="s">
        <v>788</v>
      </c>
      <c r="L842">
        <v>30</v>
      </c>
    </row>
    <row r="843" spans="1:12" ht="18" customHeight="1" x14ac:dyDescent="0.25">
      <c r="A843" t="s">
        <v>1070</v>
      </c>
      <c r="B843" s="23">
        <f>'P&amp;L Acumulado'!$G$1</f>
        <v>46053</v>
      </c>
      <c r="C843" s="23">
        <f>'P&amp;L Acumulado'!$I$1</f>
        <v>46112</v>
      </c>
      <c r="D843" s="23">
        <f>'P&amp;L Acumulado'!$I$1</f>
        <v>46112</v>
      </c>
      <c r="E843" t="str">
        <f>TEXT('P&amp;L Acumulado'!$G$1,"mmm/yyyy")&amp;" a "&amp;TEXT('P&amp;L Acumulado'!$I$1,"mmm/yyyy")</f>
        <v>jan/yyyy a mar/yyyy</v>
      </c>
      <c r="F843" t="s">
        <v>31</v>
      </c>
      <c r="G843" t="s">
        <v>96</v>
      </c>
      <c r="H843" t="s">
        <v>5</v>
      </c>
      <c r="I843" s="429">
        <f>'P&amp;L Acumulado'!L30</f>
        <v>-2538080.9300000006</v>
      </c>
      <c r="J843" t="s">
        <v>1071</v>
      </c>
      <c r="K843" t="s">
        <v>789</v>
      </c>
      <c r="L843">
        <v>30</v>
      </c>
    </row>
    <row r="844" spans="1:12" ht="18" customHeight="1" x14ac:dyDescent="0.25">
      <c r="A844" t="s">
        <v>1070</v>
      </c>
      <c r="B844" s="23">
        <f>'P&amp;L Acumulado'!$G$1</f>
        <v>46053</v>
      </c>
      <c r="C844" s="23">
        <f>'P&amp;L Acumulado'!$I$1</f>
        <v>46112</v>
      </c>
      <c r="D844" s="23">
        <f>'P&amp;L Acumulado'!$I$1</f>
        <v>46112</v>
      </c>
      <c r="E844" t="str">
        <f>TEXT('P&amp;L Acumulado'!$G$1,"mmm/yyyy")&amp;" a "&amp;TEXT('P&amp;L Acumulado'!$I$1,"mmm/yyyy")</f>
        <v>jan/yyyy a mar/yyyy</v>
      </c>
      <c r="F844" t="s">
        <v>31</v>
      </c>
      <c r="G844" t="s">
        <v>96</v>
      </c>
      <c r="H844" t="s">
        <v>6</v>
      </c>
      <c r="I844" s="429">
        <f>'P&amp;L Acumulado'!M30</f>
        <v>-2010520.0518572843</v>
      </c>
      <c r="J844" t="s">
        <v>1071</v>
      </c>
      <c r="K844" t="s">
        <v>1164</v>
      </c>
      <c r="L844">
        <v>30</v>
      </c>
    </row>
    <row r="845" spans="1:12" ht="18" customHeight="1" x14ac:dyDescent="0.25">
      <c r="A845" t="s">
        <v>1070</v>
      </c>
      <c r="B845" s="23">
        <f>'P&amp;L Acumulado'!$G$1</f>
        <v>46053</v>
      </c>
      <c r="C845" s="23">
        <f>'P&amp;L Acumulado'!$I$1</f>
        <v>46112</v>
      </c>
      <c r="D845" s="23">
        <f>'P&amp;L Acumulado'!$I$1</f>
        <v>46112</v>
      </c>
      <c r="E845" t="str">
        <f>TEXT('P&amp;L Acumulado'!$G$1,"mmm/yyyy")&amp;" a "&amp;TEXT('P&amp;L Acumulado'!$I$1,"mmm/yyyy")</f>
        <v>jan/yyyy a mar/yyyy</v>
      </c>
      <c r="F845" t="s">
        <v>31</v>
      </c>
      <c r="G845" t="s">
        <v>96</v>
      </c>
      <c r="H845" t="s">
        <v>549</v>
      </c>
      <c r="I845" s="104">
        <f>'P&amp;L Acumulado'!N30</f>
        <v>0.26240020717792123</v>
      </c>
      <c r="J845" t="s">
        <v>1071</v>
      </c>
      <c r="K845" t="s">
        <v>1165</v>
      </c>
      <c r="L845">
        <v>30</v>
      </c>
    </row>
    <row r="846" spans="1:12" ht="18" customHeight="1" x14ac:dyDescent="0.25">
      <c r="A846" t="s">
        <v>1070</v>
      </c>
      <c r="B846" s="23">
        <f>'P&amp;L Acumulado'!$G$1</f>
        <v>46053</v>
      </c>
      <c r="C846" s="23">
        <f>'P&amp;L Acumulado'!$I$1</f>
        <v>46112</v>
      </c>
      <c r="D846" s="23">
        <f>'P&amp;L Acumulado'!$I$1</f>
        <v>46112</v>
      </c>
      <c r="E846" t="str">
        <f>TEXT('P&amp;L Acumulado'!$G$1,"mmm/yyyy")&amp;" a "&amp;TEXT('P&amp;L Acumulado'!$I$1,"mmm/yyyy")</f>
        <v>jan/yyyy a mar/yyyy</v>
      </c>
      <c r="F846" t="s">
        <v>31</v>
      </c>
      <c r="G846" t="s">
        <v>96</v>
      </c>
      <c r="H846" t="s">
        <v>557</v>
      </c>
      <c r="I846" s="429">
        <f>'P&amp;L Acumulado'!O30</f>
        <v>527560.87814271636</v>
      </c>
      <c r="J846" t="s">
        <v>1071</v>
      </c>
      <c r="K846" t="s">
        <v>1166</v>
      </c>
      <c r="L846">
        <v>30</v>
      </c>
    </row>
    <row r="847" spans="1:12" ht="18" customHeight="1" x14ac:dyDescent="0.25">
      <c r="A847" t="s">
        <v>1070</v>
      </c>
      <c r="B847" s="23">
        <f>'P&amp;L Acumulado'!$G$1</f>
        <v>46053</v>
      </c>
      <c r="C847" s="23">
        <f>'P&amp;L Acumulado'!$I$1</f>
        <v>46112</v>
      </c>
      <c r="D847" s="23">
        <f>'P&amp;L Acumulado'!$I$1</f>
        <v>46112</v>
      </c>
      <c r="E847" t="str">
        <f>TEXT('P&amp;L Acumulado'!$G$1,"mmm/yyyy")&amp;" a "&amp;TEXT('P&amp;L Acumulado'!$I$1,"mmm/yyyy")</f>
        <v>jan/yyyy a mar/yyyy</v>
      </c>
      <c r="F847" t="s">
        <v>32</v>
      </c>
      <c r="G847" t="s">
        <v>252</v>
      </c>
      <c r="H847" t="s">
        <v>5</v>
      </c>
      <c r="I847" s="429">
        <f>'P&amp;L Acumulado'!C31</f>
        <v>0</v>
      </c>
      <c r="J847" t="s">
        <v>1071</v>
      </c>
      <c r="K847" t="s">
        <v>790</v>
      </c>
      <c r="L847">
        <v>31</v>
      </c>
    </row>
    <row r="848" spans="1:12" ht="18" customHeight="1" x14ac:dyDescent="0.25">
      <c r="A848" t="s">
        <v>1070</v>
      </c>
      <c r="B848" s="23">
        <f>'P&amp;L Acumulado'!$G$1</f>
        <v>46053</v>
      </c>
      <c r="C848" s="23">
        <f>'P&amp;L Acumulado'!$I$1</f>
        <v>46112</v>
      </c>
      <c r="D848" s="23">
        <f>'P&amp;L Acumulado'!$I$1</f>
        <v>46112</v>
      </c>
      <c r="E848" t="str">
        <f>TEXT('P&amp;L Acumulado'!$G$1,"mmm/yyyy")&amp;" a "&amp;TEXT('P&amp;L Acumulado'!$I$1,"mmm/yyyy")</f>
        <v>jan/yyyy a mar/yyyy</v>
      </c>
      <c r="F848" t="s">
        <v>32</v>
      </c>
      <c r="G848" t="s">
        <v>252</v>
      </c>
      <c r="H848" t="s">
        <v>6</v>
      </c>
      <c r="I848" s="429">
        <f>'P&amp;L Acumulado'!D31</f>
        <v>0</v>
      </c>
      <c r="J848" t="s">
        <v>1071</v>
      </c>
      <c r="K848" t="s">
        <v>791</v>
      </c>
      <c r="L848">
        <v>31</v>
      </c>
    </row>
    <row r="849" spans="1:12" ht="18" customHeight="1" x14ac:dyDescent="0.25">
      <c r="A849" t="s">
        <v>1070</v>
      </c>
      <c r="B849" s="23">
        <f>'P&amp;L Acumulado'!$G$1</f>
        <v>46053</v>
      </c>
      <c r="C849" s="23">
        <f>'P&amp;L Acumulado'!$I$1</f>
        <v>46112</v>
      </c>
      <c r="D849" s="23">
        <f>'P&amp;L Acumulado'!$I$1</f>
        <v>46112</v>
      </c>
      <c r="E849" t="str">
        <f>TEXT('P&amp;L Acumulado'!$G$1,"mmm/yyyy")&amp;" a "&amp;TEXT('P&amp;L Acumulado'!$I$1,"mmm/yyyy")</f>
        <v>jan/yyyy a mar/yyyy</v>
      </c>
      <c r="F849" t="s">
        <v>32</v>
      </c>
      <c r="G849" t="s">
        <v>252</v>
      </c>
      <c r="H849" t="s">
        <v>549</v>
      </c>
      <c r="I849" s="104" t="str">
        <f>'P&amp;L Acumulado'!E31</f>
        <v>-</v>
      </c>
      <c r="J849" t="s">
        <v>1071</v>
      </c>
      <c r="K849" t="s">
        <v>792</v>
      </c>
      <c r="L849">
        <v>31</v>
      </c>
    </row>
    <row r="850" spans="1:12" ht="18" customHeight="1" x14ac:dyDescent="0.25">
      <c r="A850" t="s">
        <v>1070</v>
      </c>
      <c r="B850" s="23">
        <f>'P&amp;L Acumulado'!$G$1</f>
        <v>46053</v>
      </c>
      <c r="C850" s="23">
        <f>'P&amp;L Acumulado'!$I$1</f>
        <v>46112</v>
      </c>
      <c r="D850" s="23">
        <f>'P&amp;L Acumulado'!$I$1</f>
        <v>46112</v>
      </c>
      <c r="E850" t="str">
        <f>TEXT('P&amp;L Acumulado'!$G$1,"mmm/yyyy")&amp;" a "&amp;TEXT('P&amp;L Acumulado'!$I$1,"mmm/yyyy")</f>
        <v>jan/yyyy a mar/yyyy</v>
      </c>
      <c r="F850" t="s">
        <v>32</v>
      </c>
      <c r="G850" t="s">
        <v>205</v>
      </c>
      <c r="H850" t="s">
        <v>5</v>
      </c>
      <c r="I850" s="429">
        <f>'P&amp;L Acumulado'!F31</f>
        <v>9822377.7890732102</v>
      </c>
      <c r="J850" t="s">
        <v>1071</v>
      </c>
      <c r="K850" t="s">
        <v>793</v>
      </c>
      <c r="L850">
        <v>31</v>
      </c>
    </row>
    <row r="851" spans="1:12" ht="18" customHeight="1" x14ac:dyDescent="0.25">
      <c r="A851" t="s">
        <v>1070</v>
      </c>
      <c r="B851" s="23">
        <f>'P&amp;L Acumulado'!$G$1</f>
        <v>46053</v>
      </c>
      <c r="C851" s="23">
        <f>'P&amp;L Acumulado'!$I$1</f>
        <v>46112</v>
      </c>
      <c r="D851" s="23">
        <f>'P&amp;L Acumulado'!$I$1</f>
        <v>46112</v>
      </c>
      <c r="E851" t="str">
        <f>TEXT('P&amp;L Acumulado'!$G$1,"mmm/yyyy")&amp;" a "&amp;TEXT('P&amp;L Acumulado'!$I$1,"mmm/yyyy")</f>
        <v>jan/yyyy a mar/yyyy</v>
      </c>
      <c r="F851" t="s">
        <v>32</v>
      </c>
      <c r="G851" t="s">
        <v>205</v>
      </c>
      <c r="H851" t="s">
        <v>6</v>
      </c>
      <c r="I851" s="429">
        <f>'P&amp;L Acumulado'!G31</f>
        <v>10057791.251941802</v>
      </c>
      <c r="J851" t="s">
        <v>1071</v>
      </c>
      <c r="K851" t="s">
        <v>794</v>
      </c>
      <c r="L851">
        <v>31</v>
      </c>
    </row>
    <row r="852" spans="1:12" ht="18" customHeight="1" x14ac:dyDescent="0.25">
      <c r="A852" t="s">
        <v>1070</v>
      </c>
      <c r="B852" s="23">
        <f>'P&amp;L Acumulado'!$G$1</f>
        <v>46053</v>
      </c>
      <c r="C852" s="23">
        <f>'P&amp;L Acumulado'!$I$1</f>
        <v>46112</v>
      </c>
      <c r="D852" s="23">
        <f>'P&amp;L Acumulado'!$I$1</f>
        <v>46112</v>
      </c>
      <c r="E852" t="str">
        <f>TEXT('P&amp;L Acumulado'!$G$1,"mmm/yyyy")&amp;" a "&amp;TEXT('P&amp;L Acumulado'!$I$1,"mmm/yyyy")</f>
        <v>jan/yyyy a mar/yyyy</v>
      </c>
      <c r="F852" t="s">
        <v>32</v>
      </c>
      <c r="G852" t="s">
        <v>205</v>
      </c>
      <c r="H852" t="s">
        <v>549</v>
      </c>
      <c r="I852" s="104">
        <f>'P&amp;L Acumulado'!H31</f>
        <v>-2.3406079622416254E-2</v>
      </c>
      <c r="J852" t="s">
        <v>1071</v>
      </c>
      <c r="K852" t="s">
        <v>795</v>
      </c>
      <c r="L852">
        <v>31</v>
      </c>
    </row>
    <row r="853" spans="1:12" ht="18" customHeight="1" x14ac:dyDescent="0.25">
      <c r="A853" t="s">
        <v>1070</v>
      </c>
      <c r="B853" s="23">
        <f>'P&amp;L Acumulado'!$G$1</f>
        <v>46053</v>
      </c>
      <c r="C853" s="23">
        <f>'P&amp;L Acumulado'!$I$1</f>
        <v>46112</v>
      </c>
      <c r="D853" s="23">
        <f>'P&amp;L Acumulado'!$I$1</f>
        <v>46112</v>
      </c>
      <c r="E853" t="str">
        <f>TEXT('P&amp;L Acumulado'!$G$1,"mmm/yyyy")&amp;" a "&amp;TEXT('P&amp;L Acumulado'!$I$1,"mmm/yyyy")</f>
        <v>jan/yyyy a mar/yyyy</v>
      </c>
      <c r="F853" t="s">
        <v>32</v>
      </c>
      <c r="G853" t="s">
        <v>220</v>
      </c>
      <c r="H853" t="s">
        <v>5</v>
      </c>
      <c r="I853" s="429">
        <f>'P&amp;L Acumulado'!I31</f>
        <v>36498078.470926829</v>
      </c>
      <c r="J853" t="s">
        <v>1071</v>
      </c>
      <c r="K853" t="s">
        <v>796</v>
      </c>
      <c r="L853">
        <v>31</v>
      </c>
    </row>
    <row r="854" spans="1:12" ht="18" customHeight="1" x14ac:dyDescent="0.25">
      <c r="A854" t="s">
        <v>1070</v>
      </c>
      <c r="B854" s="23">
        <f>'P&amp;L Acumulado'!$G$1</f>
        <v>46053</v>
      </c>
      <c r="C854" s="23">
        <f>'P&amp;L Acumulado'!$I$1</f>
        <v>46112</v>
      </c>
      <c r="D854" s="23">
        <f>'P&amp;L Acumulado'!$I$1</f>
        <v>46112</v>
      </c>
      <c r="E854" t="str">
        <f>TEXT('P&amp;L Acumulado'!$G$1,"mmm/yyyy")&amp;" a "&amp;TEXT('P&amp;L Acumulado'!$I$1,"mmm/yyyy")</f>
        <v>jan/yyyy a mar/yyyy</v>
      </c>
      <c r="F854" t="s">
        <v>32</v>
      </c>
      <c r="G854" t="s">
        <v>220</v>
      </c>
      <c r="H854" t="s">
        <v>6</v>
      </c>
      <c r="I854" s="429">
        <f>'P&amp;L Acumulado'!J31</f>
        <v>33944854.548890218</v>
      </c>
      <c r="J854" t="s">
        <v>1071</v>
      </c>
      <c r="K854" t="s">
        <v>797</v>
      </c>
      <c r="L854">
        <v>31</v>
      </c>
    </row>
    <row r="855" spans="1:12" ht="18" customHeight="1" x14ac:dyDescent="0.25">
      <c r="A855" t="s">
        <v>1070</v>
      </c>
      <c r="B855" s="23">
        <f>'P&amp;L Acumulado'!$G$1</f>
        <v>46053</v>
      </c>
      <c r="C855" s="23">
        <f>'P&amp;L Acumulado'!$I$1</f>
        <v>46112</v>
      </c>
      <c r="D855" s="23">
        <f>'P&amp;L Acumulado'!$I$1</f>
        <v>46112</v>
      </c>
      <c r="E855" t="str">
        <f>TEXT('P&amp;L Acumulado'!$G$1,"mmm/yyyy")&amp;" a "&amp;TEXT('P&amp;L Acumulado'!$I$1,"mmm/yyyy")</f>
        <v>jan/yyyy a mar/yyyy</v>
      </c>
      <c r="F855" t="s">
        <v>32</v>
      </c>
      <c r="G855" t="s">
        <v>220</v>
      </c>
      <c r="H855" t="s">
        <v>549</v>
      </c>
      <c r="I855" s="104">
        <f>'P&amp;L Acumulado'!K31</f>
        <v>7.5216817275185033E-2</v>
      </c>
      <c r="J855" t="s">
        <v>1071</v>
      </c>
      <c r="K855" t="s">
        <v>798</v>
      </c>
      <c r="L855">
        <v>31</v>
      </c>
    </row>
    <row r="856" spans="1:12" ht="18" customHeight="1" x14ac:dyDescent="0.25">
      <c r="A856" t="s">
        <v>1070</v>
      </c>
      <c r="B856" s="23">
        <f>'P&amp;L Acumulado'!$G$1</f>
        <v>46053</v>
      </c>
      <c r="C856" s="23">
        <f>'P&amp;L Acumulado'!$I$1</f>
        <v>46112</v>
      </c>
      <c r="D856" s="23">
        <f>'P&amp;L Acumulado'!$I$1</f>
        <v>46112</v>
      </c>
      <c r="E856" t="str">
        <f>TEXT('P&amp;L Acumulado'!$G$1,"mmm/yyyy")&amp;" a "&amp;TEXT('P&amp;L Acumulado'!$I$1,"mmm/yyyy")</f>
        <v>jan/yyyy a mar/yyyy</v>
      </c>
      <c r="F856" t="s">
        <v>32</v>
      </c>
      <c r="G856" t="s">
        <v>96</v>
      </c>
      <c r="H856" t="s">
        <v>5</v>
      </c>
      <c r="I856" s="429">
        <f>'P&amp;L Acumulado'!L31</f>
        <v>46320456.260000028</v>
      </c>
      <c r="J856" t="s">
        <v>1071</v>
      </c>
      <c r="K856" t="s">
        <v>799</v>
      </c>
      <c r="L856">
        <v>31</v>
      </c>
    </row>
    <row r="857" spans="1:12" ht="18" customHeight="1" x14ac:dyDescent="0.25">
      <c r="A857" t="s">
        <v>1070</v>
      </c>
      <c r="B857" s="23">
        <f>'P&amp;L Acumulado'!$G$1</f>
        <v>46053</v>
      </c>
      <c r="C857" s="23">
        <f>'P&amp;L Acumulado'!$I$1</f>
        <v>46112</v>
      </c>
      <c r="D857" s="23">
        <f>'P&amp;L Acumulado'!$I$1</f>
        <v>46112</v>
      </c>
      <c r="E857" t="str">
        <f>TEXT('P&amp;L Acumulado'!$G$1,"mmm/yyyy")&amp;" a "&amp;TEXT('P&amp;L Acumulado'!$I$1,"mmm/yyyy")</f>
        <v>jan/yyyy a mar/yyyy</v>
      </c>
      <c r="F857" t="s">
        <v>32</v>
      </c>
      <c r="G857" t="s">
        <v>96</v>
      </c>
      <c r="H857" t="s">
        <v>6</v>
      </c>
      <c r="I857" s="429">
        <f>'P&amp;L Acumulado'!M31</f>
        <v>44002645.800832018</v>
      </c>
      <c r="J857" t="s">
        <v>1071</v>
      </c>
      <c r="K857" t="s">
        <v>1167</v>
      </c>
      <c r="L857">
        <v>31</v>
      </c>
    </row>
    <row r="858" spans="1:12" ht="18" customHeight="1" x14ac:dyDescent="0.25">
      <c r="A858" t="s">
        <v>1070</v>
      </c>
      <c r="B858" s="23">
        <f>'P&amp;L Acumulado'!$G$1</f>
        <v>46053</v>
      </c>
      <c r="C858" s="23">
        <f>'P&amp;L Acumulado'!$I$1</f>
        <v>46112</v>
      </c>
      <c r="D858" s="23">
        <f>'P&amp;L Acumulado'!$I$1</f>
        <v>46112</v>
      </c>
      <c r="E858" t="str">
        <f>TEXT('P&amp;L Acumulado'!$G$1,"mmm/yyyy")&amp;" a "&amp;TEXT('P&amp;L Acumulado'!$I$1,"mmm/yyyy")</f>
        <v>jan/yyyy a mar/yyyy</v>
      </c>
      <c r="F858" t="s">
        <v>32</v>
      </c>
      <c r="G858" t="s">
        <v>96</v>
      </c>
      <c r="H858" t="s">
        <v>549</v>
      </c>
      <c r="I858" s="104">
        <f>'P&amp;L Acumulado'!N31</f>
        <v>5.2674343030622461E-2</v>
      </c>
      <c r="J858" t="s">
        <v>1071</v>
      </c>
      <c r="K858" t="s">
        <v>1168</v>
      </c>
      <c r="L858">
        <v>31</v>
      </c>
    </row>
    <row r="859" spans="1:12" ht="18" customHeight="1" x14ac:dyDescent="0.25">
      <c r="A859" t="s">
        <v>1070</v>
      </c>
      <c r="B859" s="23">
        <f>'P&amp;L Acumulado'!$G$1</f>
        <v>46053</v>
      </c>
      <c r="C859" s="23">
        <f>'P&amp;L Acumulado'!$I$1</f>
        <v>46112</v>
      </c>
      <c r="D859" s="23">
        <f>'P&amp;L Acumulado'!$I$1</f>
        <v>46112</v>
      </c>
      <c r="E859" t="str">
        <f>TEXT('P&amp;L Acumulado'!$G$1,"mmm/yyyy")&amp;" a "&amp;TEXT('P&amp;L Acumulado'!$I$1,"mmm/yyyy")</f>
        <v>jan/yyyy a mar/yyyy</v>
      </c>
      <c r="F859" t="s">
        <v>32</v>
      </c>
      <c r="G859" t="s">
        <v>96</v>
      </c>
      <c r="H859" t="s">
        <v>557</v>
      </c>
      <c r="I859" s="429">
        <f>'P&amp;L Acumulado'!O31</f>
        <v>2317810.4591680095</v>
      </c>
      <c r="J859" t="s">
        <v>1071</v>
      </c>
      <c r="K859" t="s">
        <v>1169</v>
      </c>
      <c r="L859">
        <v>31</v>
      </c>
    </row>
    <row r="860" spans="1:12" ht="18" customHeight="1" x14ac:dyDescent="0.25">
      <c r="A860" t="s">
        <v>1070</v>
      </c>
      <c r="B860" s="23">
        <f>'P&amp;L Acumulado'!$G$1</f>
        <v>46053</v>
      </c>
      <c r="C860" s="23">
        <f>'P&amp;L Acumulado'!$I$1</f>
        <v>46112</v>
      </c>
      <c r="D860" s="23">
        <f>'P&amp;L Acumulado'!$I$1</f>
        <v>46112</v>
      </c>
      <c r="E860" t="str">
        <f>TEXT('P&amp;L Acumulado'!$G$1,"mmm/yyyy")&amp;" a "&amp;TEXT('P&amp;L Acumulado'!$I$1,"mmm/yyyy")</f>
        <v>jan/yyyy a mar/yyyy</v>
      </c>
      <c r="F860" t="s">
        <v>33</v>
      </c>
      <c r="G860" t="s">
        <v>252</v>
      </c>
      <c r="H860" t="s">
        <v>5</v>
      </c>
      <c r="I860" s="429">
        <f>'P&amp;L Acumulado'!C32</f>
        <v>0</v>
      </c>
      <c r="J860" t="s">
        <v>1071</v>
      </c>
      <c r="K860" t="s">
        <v>800</v>
      </c>
      <c r="L860">
        <v>32</v>
      </c>
    </row>
    <row r="861" spans="1:12" ht="18" customHeight="1" x14ac:dyDescent="0.25">
      <c r="A861" t="s">
        <v>1070</v>
      </c>
      <c r="B861" s="23">
        <f>'P&amp;L Acumulado'!$G$1</f>
        <v>46053</v>
      </c>
      <c r="C861" s="23">
        <f>'P&amp;L Acumulado'!$I$1</f>
        <v>46112</v>
      </c>
      <c r="D861" s="23">
        <f>'P&amp;L Acumulado'!$I$1</f>
        <v>46112</v>
      </c>
      <c r="E861" t="str">
        <f>TEXT('P&amp;L Acumulado'!$G$1,"mmm/yyyy")&amp;" a "&amp;TEXT('P&amp;L Acumulado'!$I$1,"mmm/yyyy")</f>
        <v>jan/yyyy a mar/yyyy</v>
      </c>
      <c r="F861" t="s">
        <v>33</v>
      </c>
      <c r="G861" t="s">
        <v>252</v>
      </c>
      <c r="H861" t="s">
        <v>6</v>
      </c>
      <c r="I861" s="429">
        <f>'P&amp;L Acumulado'!D32</f>
        <v>0</v>
      </c>
      <c r="J861" t="s">
        <v>1071</v>
      </c>
      <c r="K861" t="s">
        <v>801</v>
      </c>
      <c r="L861">
        <v>32</v>
      </c>
    </row>
    <row r="862" spans="1:12" ht="18" customHeight="1" x14ac:dyDescent="0.25">
      <c r="A862" t="s">
        <v>1070</v>
      </c>
      <c r="B862" s="23">
        <f>'P&amp;L Acumulado'!$G$1</f>
        <v>46053</v>
      </c>
      <c r="C862" s="23">
        <f>'P&amp;L Acumulado'!$I$1</f>
        <v>46112</v>
      </c>
      <c r="D862" s="23">
        <f>'P&amp;L Acumulado'!$I$1</f>
        <v>46112</v>
      </c>
      <c r="E862" t="str">
        <f>TEXT('P&amp;L Acumulado'!$G$1,"mmm/yyyy")&amp;" a "&amp;TEXT('P&amp;L Acumulado'!$I$1,"mmm/yyyy")</f>
        <v>jan/yyyy a mar/yyyy</v>
      </c>
      <c r="F862" t="s">
        <v>33</v>
      </c>
      <c r="G862" t="s">
        <v>252</v>
      </c>
      <c r="H862" t="s">
        <v>549</v>
      </c>
      <c r="I862" s="104" t="str">
        <f>'P&amp;L Acumulado'!E32</f>
        <v>-</v>
      </c>
      <c r="J862" t="s">
        <v>1071</v>
      </c>
      <c r="K862" t="s">
        <v>802</v>
      </c>
      <c r="L862">
        <v>32</v>
      </c>
    </row>
    <row r="863" spans="1:12" ht="18" customHeight="1" x14ac:dyDescent="0.25">
      <c r="A863" t="s">
        <v>1070</v>
      </c>
      <c r="B863" s="23">
        <f>'P&amp;L Acumulado'!$G$1</f>
        <v>46053</v>
      </c>
      <c r="C863" s="23">
        <f>'P&amp;L Acumulado'!$I$1</f>
        <v>46112</v>
      </c>
      <c r="D863" s="23">
        <f>'P&amp;L Acumulado'!$I$1</f>
        <v>46112</v>
      </c>
      <c r="E863" t="str">
        <f>TEXT('P&amp;L Acumulado'!$G$1,"mmm/yyyy")&amp;" a "&amp;TEXT('P&amp;L Acumulado'!$I$1,"mmm/yyyy")</f>
        <v>jan/yyyy a mar/yyyy</v>
      </c>
      <c r="F863" t="s">
        <v>33</v>
      </c>
      <c r="G863" t="s">
        <v>205</v>
      </c>
      <c r="H863" t="s">
        <v>5</v>
      </c>
      <c r="I863" s="429">
        <f>'P&amp;L Acumulado'!F32</f>
        <v>-1740127.6683</v>
      </c>
      <c r="J863" t="s">
        <v>1071</v>
      </c>
      <c r="K863" t="s">
        <v>803</v>
      </c>
      <c r="L863">
        <v>32</v>
      </c>
    </row>
    <row r="864" spans="1:12" ht="18" customHeight="1" x14ac:dyDescent="0.25">
      <c r="A864" t="s">
        <v>1070</v>
      </c>
      <c r="B864" s="23">
        <f>'P&amp;L Acumulado'!$G$1</f>
        <v>46053</v>
      </c>
      <c r="C864" s="23">
        <f>'P&amp;L Acumulado'!$I$1</f>
        <v>46112</v>
      </c>
      <c r="D864" s="23">
        <f>'P&amp;L Acumulado'!$I$1</f>
        <v>46112</v>
      </c>
      <c r="E864" t="str">
        <f>TEXT('P&amp;L Acumulado'!$G$1,"mmm/yyyy")&amp;" a "&amp;TEXT('P&amp;L Acumulado'!$I$1,"mmm/yyyy")</f>
        <v>jan/yyyy a mar/yyyy</v>
      </c>
      <c r="F864" t="s">
        <v>33</v>
      </c>
      <c r="G864" t="s">
        <v>205</v>
      </c>
      <c r="H864" t="s">
        <v>6</v>
      </c>
      <c r="I864" s="429">
        <f>'P&amp;L Acumulado'!G32</f>
        <v>-1857717.6370141841</v>
      </c>
      <c r="J864" t="s">
        <v>1071</v>
      </c>
      <c r="K864" t="s">
        <v>804</v>
      </c>
      <c r="L864">
        <v>32</v>
      </c>
    </row>
    <row r="865" spans="1:12" ht="18" customHeight="1" x14ac:dyDescent="0.25">
      <c r="A865" t="s">
        <v>1070</v>
      </c>
      <c r="B865" s="23">
        <f>'P&amp;L Acumulado'!$G$1</f>
        <v>46053</v>
      </c>
      <c r="C865" s="23">
        <f>'P&amp;L Acumulado'!$I$1</f>
        <v>46112</v>
      </c>
      <c r="D865" s="23">
        <f>'P&amp;L Acumulado'!$I$1</f>
        <v>46112</v>
      </c>
      <c r="E865" t="str">
        <f>TEXT('P&amp;L Acumulado'!$G$1,"mmm/yyyy")&amp;" a "&amp;TEXT('P&amp;L Acumulado'!$I$1,"mmm/yyyy")</f>
        <v>jan/yyyy a mar/yyyy</v>
      </c>
      <c r="F865" t="s">
        <v>33</v>
      </c>
      <c r="G865" t="s">
        <v>205</v>
      </c>
      <c r="H865" t="s">
        <v>549</v>
      </c>
      <c r="I865" s="104">
        <f>'P&amp;L Acumulado'!H32</f>
        <v>-6.3298084903355201E-2</v>
      </c>
      <c r="J865" t="s">
        <v>1071</v>
      </c>
      <c r="K865" t="s">
        <v>805</v>
      </c>
      <c r="L865">
        <v>32</v>
      </c>
    </row>
    <row r="866" spans="1:12" ht="18" customHeight="1" x14ac:dyDescent="0.25">
      <c r="A866" t="s">
        <v>1070</v>
      </c>
      <c r="B866" s="23">
        <f>'P&amp;L Acumulado'!$G$1</f>
        <v>46053</v>
      </c>
      <c r="C866" s="23">
        <f>'P&amp;L Acumulado'!$I$1</f>
        <v>46112</v>
      </c>
      <c r="D866" s="23">
        <f>'P&amp;L Acumulado'!$I$1</f>
        <v>46112</v>
      </c>
      <c r="E866" t="str">
        <f>TEXT('P&amp;L Acumulado'!$G$1,"mmm/yyyy")&amp;" a "&amp;TEXT('P&amp;L Acumulado'!$I$1,"mmm/yyyy")</f>
        <v>jan/yyyy a mar/yyyy</v>
      </c>
      <c r="F866" t="s">
        <v>33</v>
      </c>
      <c r="G866" t="s">
        <v>220</v>
      </c>
      <c r="H866" t="s">
        <v>5</v>
      </c>
      <c r="I866" s="429">
        <f>'P&amp;L Acumulado'!I32</f>
        <v>-3731808.9816999999</v>
      </c>
      <c r="J866" t="s">
        <v>1071</v>
      </c>
      <c r="K866" t="s">
        <v>806</v>
      </c>
      <c r="L866">
        <v>32</v>
      </c>
    </row>
    <row r="867" spans="1:12" ht="18" customHeight="1" x14ac:dyDescent="0.25">
      <c r="A867" t="s">
        <v>1070</v>
      </c>
      <c r="B867" s="23">
        <f>'P&amp;L Acumulado'!$G$1</f>
        <v>46053</v>
      </c>
      <c r="C867" s="23">
        <f>'P&amp;L Acumulado'!$I$1</f>
        <v>46112</v>
      </c>
      <c r="D867" s="23">
        <f>'P&amp;L Acumulado'!$I$1</f>
        <v>46112</v>
      </c>
      <c r="E867" t="str">
        <f>TEXT('P&amp;L Acumulado'!$G$1,"mmm/yyyy")&amp;" a "&amp;TEXT('P&amp;L Acumulado'!$I$1,"mmm/yyyy")</f>
        <v>jan/yyyy a mar/yyyy</v>
      </c>
      <c r="F867" t="s">
        <v>33</v>
      </c>
      <c r="G867" t="s">
        <v>220</v>
      </c>
      <c r="H867" t="s">
        <v>6</v>
      </c>
      <c r="I867" s="429">
        <f>'P&amp;L Acumulado'!J32</f>
        <v>-3737182.1026132698</v>
      </c>
      <c r="J867" t="s">
        <v>1071</v>
      </c>
      <c r="K867" t="s">
        <v>807</v>
      </c>
      <c r="L867">
        <v>32</v>
      </c>
    </row>
    <row r="868" spans="1:12" ht="18" customHeight="1" x14ac:dyDescent="0.25">
      <c r="A868" t="s">
        <v>1070</v>
      </c>
      <c r="B868" s="23">
        <f>'P&amp;L Acumulado'!$G$1</f>
        <v>46053</v>
      </c>
      <c r="C868" s="23">
        <f>'P&amp;L Acumulado'!$I$1</f>
        <v>46112</v>
      </c>
      <c r="D868" s="23">
        <f>'P&amp;L Acumulado'!$I$1</f>
        <v>46112</v>
      </c>
      <c r="E868" t="str">
        <f>TEXT('P&amp;L Acumulado'!$G$1,"mmm/yyyy")&amp;" a "&amp;TEXT('P&amp;L Acumulado'!$I$1,"mmm/yyyy")</f>
        <v>jan/yyyy a mar/yyyy</v>
      </c>
      <c r="F868" t="s">
        <v>33</v>
      </c>
      <c r="G868" t="s">
        <v>220</v>
      </c>
      <c r="H868" t="s">
        <v>549</v>
      </c>
      <c r="I868" s="104">
        <f>'P&amp;L Acumulado'!K32</f>
        <v>-1.4377466138224548E-3</v>
      </c>
      <c r="J868" t="s">
        <v>1071</v>
      </c>
      <c r="K868" t="s">
        <v>808</v>
      </c>
      <c r="L868">
        <v>32</v>
      </c>
    </row>
    <row r="869" spans="1:12" ht="18" customHeight="1" x14ac:dyDescent="0.25">
      <c r="A869" t="s">
        <v>1070</v>
      </c>
      <c r="B869" s="23">
        <f>'P&amp;L Acumulado'!$G$1</f>
        <v>46053</v>
      </c>
      <c r="C869" s="23">
        <f>'P&amp;L Acumulado'!$I$1</f>
        <v>46112</v>
      </c>
      <c r="D869" s="23">
        <f>'P&amp;L Acumulado'!$I$1</f>
        <v>46112</v>
      </c>
      <c r="E869" t="str">
        <f>TEXT('P&amp;L Acumulado'!$G$1,"mmm/yyyy")&amp;" a "&amp;TEXT('P&amp;L Acumulado'!$I$1,"mmm/yyyy")</f>
        <v>jan/yyyy a mar/yyyy</v>
      </c>
      <c r="F869" t="s">
        <v>33</v>
      </c>
      <c r="G869" t="s">
        <v>96</v>
      </c>
      <c r="H869" t="s">
        <v>5</v>
      </c>
      <c r="I869" s="429">
        <f>'P&amp;L Acumulado'!L32</f>
        <v>-5471936.6500000004</v>
      </c>
      <c r="J869" t="s">
        <v>1071</v>
      </c>
      <c r="K869" t="s">
        <v>809</v>
      </c>
      <c r="L869">
        <v>32</v>
      </c>
    </row>
    <row r="870" spans="1:12" ht="18" customHeight="1" x14ac:dyDescent="0.25">
      <c r="A870" t="s">
        <v>1070</v>
      </c>
      <c r="B870" s="23">
        <f>'P&amp;L Acumulado'!$G$1</f>
        <v>46053</v>
      </c>
      <c r="C870" s="23">
        <f>'P&amp;L Acumulado'!$I$1</f>
        <v>46112</v>
      </c>
      <c r="D870" s="23">
        <f>'P&amp;L Acumulado'!$I$1</f>
        <v>46112</v>
      </c>
      <c r="E870" t="str">
        <f>TEXT('P&amp;L Acumulado'!$G$1,"mmm/yyyy")&amp;" a "&amp;TEXT('P&amp;L Acumulado'!$I$1,"mmm/yyyy")</f>
        <v>jan/yyyy a mar/yyyy</v>
      </c>
      <c r="F870" t="s">
        <v>33</v>
      </c>
      <c r="G870" t="s">
        <v>96</v>
      </c>
      <c r="H870" t="s">
        <v>6</v>
      </c>
      <c r="I870" s="429">
        <f>'P&amp;L Acumulado'!M32</f>
        <v>-5594899.7396274544</v>
      </c>
      <c r="J870" t="s">
        <v>1071</v>
      </c>
      <c r="K870" t="s">
        <v>1170</v>
      </c>
      <c r="L870">
        <v>32</v>
      </c>
    </row>
    <row r="871" spans="1:12" ht="18" customHeight="1" x14ac:dyDescent="0.25">
      <c r="A871" t="s">
        <v>1070</v>
      </c>
      <c r="B871" s="23">
        <f>'P&amp;L Acumulado'!$G$1</f>
        <v>46053</v>
      </c>
      <c r="C871" s="23">
        <f>'P&amp;L Acumulado'!$I$1</f>
        <v>46112</v>
      </c>
      <c r="D871" s="23">
        <f>'P&amp;L Acumulado'!$I$1</f>
        <v>46112</v>
      </c>
      <c r="E871" t="str">
        <f>TEXT('P&amp;L Acumulado'!$G$1,"mmm/yyyy")&amp;" a "&amp;TEXT('P&amp;L Acumulado'!$I$1,"mmm/yyyy")</f>
        <v>jan/yyyy a mar/yyyy</v>
      </c>
      <c r="F871" t="s">
        <v>33</v>
      </c>
      <c r="G871" t="s">
        <v>96</v>
      </c>
      <c r="H871" t="s">
        <v>549</v>
      </c>
      <c r="I871" s="104">
        <f>'P&amp;L Acumulado'!N32</f>
        <v>-2.1977711013574264E-2</v>
      </c>
      <c r="J871" t="s">
        <v>1071</v>
      </c>
      <c r="K871" t="s">
        <v>1171</v>
      </c>
      <c r="L871">
        <v>32</v>
      </c>
    </row>
    <row r="872" spans="1:12" ht="18" customHeight="1" x14ac:dyDescent="0.25">
      <c r="A872" t="s">
        <v>1070</v>
      </c>
      <c r="B872" s="23">
        <f>'P&amp;L Acumulado'!$G$1</f>
        <v>46053</v>
      </c>
      <c r="C872" s="23">
        <f>'P&amp;L Acumulado'!$I$1</f>
        <v>46112</v>
      </c>
      <c r="D872" s="23">
        <f>'P&amp;L Acumulado'!$I$1</f>
        <v>46112</v>
      </c>
      <c r="E872" t="str">
        <f>TEXT('P&amp;L Acumulado'!$G$1,"mmm/yyyy")&amp;" a "&amp;TEXT('P&amp;L Acumulado'!$I$1,"mmm/yyyy")</f>
        <v>jan/yyyy a mar/yyyy</v>
      </c>
      <c r="F872" t="s">
        <v>33</v>
      </c>
      <c r="G872" t="s">
        <v>96</v>
      </c>
      <c r="H872" t="s">
        <v>557</v>
      </c>
      <c r="I872" s="429">
        <f>'P&amp;L Acumulado'!O32</f>
        <v>-122963.08962745406</v>
      </c>
      <c r="J872" t="s">
        <v>1071</v>
      </c>
      <c r="K872" t="s">
        <v>1172</v>
      </c>
      <c r="L872">
        <v>32</v>
      </c>
    </row>
    <row r="873" spans="1:12" ht="18" customHeight="1" x14ac:dyDescent="0.25">
      <c r="A873" t="s">
        <v>1070</v>
      </c>
      <c r="B873" s="23">
        <f>'P&amp;L Acumulado'!$G$1</f>
        <v>46053</v>
      </c>
      <c r="C873" s="23">
        <f>'P&amp;L Acumulado'!$I$1</f>
        <v>46112</v>
      </c>
      <c r="D873" s="23">
        <f>'P&amp;L Acumulado'!$I$1</f>
        <v>46112</v>
      </c>
      <c r="E873" t="str">
        <f>TEXT('P&amp;L Acumulado'!$G$1,"mmm/yyyy")&amp;" a "&amp;TEXT('P&amp;L Acumulado'!$I$1,"mmm/yyyy")</f>
        <v>jan/yyyy a mar/yyyy</v>
      </c>
      <c r="F873" t="s">
        <v>33</v>
      </c>
      <c r="G873" t="s">
        <v>252</v>
      </c>
      <c r="H873" t="s">
        <v>5</v>
      </c>
      <c r="I873" s="429">
        <f>'P&amp;L Acumulado'!C33</f>
        <v>0</v>
      </c>
      <c r="J873" t="s">
        <v>1071</v>
      </c>
      <c r="K873" t="s">
        <v>810</v>
      </c>
      <c r="L873">
        <v>33</v>
      </c>
    </row>
    <row r="874" spans="1:12" ht="18" customHeight="1" x14ac:dyDescent="0.25">
      <c r="A874" t="s">
        <v>1070</v>
      </c>
      <c r="B874" s="23">
        <f>'P&amp;L Acumulado'!$G$1</f>
        <v>46053</v>
      </c>
      <c r="C874" s="23">
        <f>'P&amp;L Acumulado'!$I$1</f>
        <v>46112</v>
      </c>
      <c r="D874" s="23">
        <f>'P&amp;L Acumulado'!$I$1</f>
        <v>46112</v>
      </c>
      <c r="E874" t="str">
        <f>TEXT('P&amp;L Acumulado'!$G$1,"mmm/yyyy")&amp;" a "&amp;TEXT('P&amp;L Acumulado'!$I$1,"mmm/yyyy")</f>
        <v>jan/yyyy a mar/yyyy</v>
      </c>
      <c r="F874" t="s">
        <v>33</v>
      </c>
      <c r="G874" t="s">
        <v>252</v>
      </c>
      <c r="H874" t="s">
        <v>6</v>
      </c>
      <c r="I874" s="429">
        <f>'P&amp;L Acumulado'!D33</f>
        <v>0</v>
      </c>
      <c r="J874" t="s">
        <v>1071</v>
      </c>
      <c r="K874" t="s">
        <v>811</v>
      </c>
      <c r="L874">
        <v>33</v>
      </c>
    </row>
    <row r="875" spans="1:12" ht="18" customHeight="1" x14ac:dyDescent="0.25">
      <c r="A875" t="s">
        <v>1070</v>
      </c>
      <c r="B875" s="23">
        <f>'P&amp;L Acumulado'!$G$1</f>
        <v>46053</v>
      </c>
      <c r="C875" s="23">
        <f>'P&amp;L Acumulado'!$I$1</f>
        <v>46112</v>
      </c>
      <c r="D875" s="23">
        <f>'P&amp;L Acumulado'!$I$1</f>
        <v>46112</v>
      </c>
      <c r="E875" t="str">
        <f>TEXT('P&amp;L Acumulado'!$G$1,"mmm/yyyy")&amp;" a "&amp;TEXT('P&amp;L Acumulado'!$I$1,"mmm/yyyy")</f>
        <v>jan/yyyy a mar/yyyy</v>
      </c>
      <c r="F875" t="s">
        <v>33</v>
      </c>
      <c r="G875" t="s">
        <v>252</v>
      </c>
      <c r="H875" t="s">
        <v>549</v>
      </c>
      <c r="I875" s="104">
        <f>'P&amp;L Acumulado'!E33</f>
        <v>0</v>
      </c>
      <c r="J875" t="s">
        <v>1071</v>
      </c>
      <c r="K875" t="s">
        <v>812</v>
      </c>
      <c r="L875">
        <v>33</v>
      </c>
    </row>
    <row r="876" spans="1:12" ht="18" customHeight="1" x14ac:dyDescent="0.25">
      <c r="A876" t="s">
        <v>1070</v>
      </c>
      <c r="B876" s="23">
        <f>'P&amp;L Acumulado'!$G$1</f>
        <v>46053</v>
      </c>
      <c r="C876" s="23">
        <f>'P&amp;L Acumulado'!$I$1</f>
        <v>46112</v>
      </c>
      <c r="D876" s="23">
        <f>'P&amp;L Acumulado'!$I$1</f>
        <v>46112</v>
      </c>
      <c r="E876" t="str">
        <f>TEXT('P&amp;L Acumulado'!$G$1,"mmm/yyyy")&amp;" a "&amp;TEXT('P&amp;L Acumulado'!$I$1,"mmm/yyyy")</f>
        <v>jan/yyyy a mar/yyyy</v>
      </c>
      <c r="F876" t="s">
        <v>33</v>
      </c>
      <c r="G876" t="s">
        <v>205</v>
      </c>
      <c r="H876" t="s">
        <v>5</v>
      </c>
      <c r="I876" s="429">
        <f>'P&amp;L Acumulado'!F33</f>
        <v>-1740127.6683</v>
      </c>
      <c r="J876" t="s">
        <v>1071</v>
      </c>
      <c r="K876" t="s">
        <v>813</v>
      </c>
      <c r="L876">
        <v>33</v>
      </c>
    </row>
    <row r="877" spans="1:12" ht="18" customHeight="1" x14ac:dyDescent="0.25">
      <c r="A877" t="s">
        <v>1070</v>
      </c>
      <c r="B877" s="23">
        <f>'P&amp;L Acumulado'!$G$1</f>
        <v>46053</v>
      </c>
      <c r="C877" s="23">
        <f>'P&amp;L Acumulado'!$I$1</f>
        <v>46112</v>
      </c>
      <c r="D877" s="23">
        <f>'P&amp;L Acumulado'!$I$1</f>
        <v>46112</v>
      </c>
      <c r="E877" t="str">
        <f>TEXT('P&amp;L Acumulado'!$G$1,"mmm/yyyy")&amp;" a "&amp;TEXT('P&amp;L Acumulado'!$I$1,"mmm/yyyy")</f>
        <v>jan/yyyy a mar/yyyy</v>
      </c>
      <c r="F877" t="s">
        <v>33</v>
      </c>
      <c r="G877" t="s">
        <v>205</v>
      </c>
      <c r="H877" t="s">
        <v>6</v>
      </c>
      <c r="I877" s="429">
        <f>'P&amp;L Acumulado'!G33</f>
        <v>-1857717.6370141841</v>
      </c>
      <c r="J877" t="s">
        <v>1071</v>
      </c>
      <c r="K877" t="s">
        <v>814</v>
      </c>
      <c r="L877">
        <v>33</v>
      </c>
    </row>
    <row r="878" spans="1:12" ht="18" customHeight="1" x14ac:dyDescent="0.25">
      <c r="A878" t="s">
        <v>1070</v>
      </c>
      <c r="B878" s="23">
        <f>'P&amp;L Acumulado'!$G$1</f>
        <v>46053</v>
      </c>
      <c r="C878" s="23">
        <f>'P&amp;L Acumulado'!$I$1</f>
        <v>46112</v>
      </c>
      <c r="D878" s="23">
        <f>'P&amp;L Acumulado'!$I$1</f>
        <v>46112</v>
      </c>
      <c r="E878" t="str">
        <f>TEXT('P&amp;L Acumulado'!$G$1,"mmm/yyyy")&amp;" a "&amp;TEXT('P&amp;L Acumulado'!$I$1,"mmm/yyyy")</f>
        <v>jan/yyyy a mar/yyyy</v>
      </c>
      <c r="F878" t="s">
        <v>33</v>
      </c>
      <c r="G878" t="s">
        <v>205</v>
      </c>
      <c r="H878" t="s">
        <v>549</v>
      </c>
      <c r="I878" s="104">
        <f>'P&amp;L Acumulado'!H33</f>
        <v>-6.3298084903355201E-2</v>
      </c>
      <c r="J878" t="s">
        <v>1071</v>
      </c>
      <c r="K878" t="s">
        <v>815</v>
      </c>
      <c r="L878">
        <v>33</v>
      </c>
    </row>
    <row r="879" spans="1:12" ht="18" customHeight="1" x14ac:dyDescent="0.25">
      <c r="A879" t="s">
        <v>1070</v>
      </c>
      <c r="B879" s="23">
        <f>'P&amp;L Acumulado'!$G$1</f>
        <v>46053</v>
      </c>
      <c r="C879" s="23">
        <f>'P&amp;L Acumulado'!$I$1</f>
        <v>46112</v>
      </c>
      <c r="D879" s="23">
        <f>'P&amp;L Acumulado'!$I$1</f>
        <v>46112</v>
      </c>
      <c r="E879" t="str">
        <f>TEXT('P&amp;L Acumulado'!$G$1,"mmm/yyyy")&amp;" a "&amp;TEXT('P&amp;L Acumulado'!$I$1,"mmm/yyyy")</f>
        <v>jan/yyyy a mar/yyyy</v>
      </c>
      <c r="F879" t="s">
        <v>33</v>
      </c>
      <c r="G879" t="s">
        <v>220</v>
      </c>
      <c r="H879" t="s">
        <v>5</v>
      </c>
      <c r="I879" s="429">
        <f>'P&amp;L Acumulado'!I33</f>
        <v>-3731808.9816999999</v>
      </c>
      <c r="J879" t="s">
        <v>1071</v>
      </c>
      <c r="K879" t="s">
        <v>816</v>
      </c>
      <c r="L879">
        <v>33</v>
      </c>
    </row>
    <row r="880" spans="1:12" ht="18" customHeight="1" x14ac:dyDescent="0.25">
      <c r="A880" t="s">
        <v>1070</v>
      </c>
      <c r="B880" s="23">
        <f>'P&amp;L Acumulado'!$G$1</f>
        <v>46053</v>
      </c>
      <c r="C880" s="23">
        <f>'P&amp;L Acumulado'!$I$1</f>
        <v>46112</v>
      </c>
      <c r="D880" s="23">
        <f>'P&amp;L Acumulado'!$I$1</f>
        <v>46112</v>
      </c>
      <c r="E880" t="str">
        <f>TEXT('P&amp;L Acumulado'!$G$1,"mmm/yyyy")&amp;" a "&amp;TEXT('P&amp;L Acumulado'!$I$1,"mmm/yyyy")</f>
        <v>jan/yyyy a mar/yyyy</v>
      </c>
      <c r="F880" t="s">
        <v>33</v>
      </c>
      <c r="G880" t="s">
        <v>220</v>
      </c>
      <c r="H880" t="s">
        <v>6</v>
      </c>
      <c r="I880" s="429">
        <f>'P&amp;L Acumulado'!J33</f>
        <v>-3737182.1026132698</v>
      </c>
      <c r="J880" t="s">
        <v>1071</v>
      </c>
      <c r="K880" t="s">
        <v>817</v>
      </c>
      <c r="L880">
        <v>33</v>
      </c>
    </row>
    <row r="881" spans="1:12" ht="18" customHeight="1" x14ac:dyDescent="0.25">
      <c r="A881" t="s">
        <v>1070</v>
      </c>
      <c r="B881" s="23">
        <f>'P&amp;L Acumulado'!$G$1</f>
        <v>46053</v>
      </c>
      <c r="C881" s="23">
        <f>'P&amp;L Acumulado'!$I$1</f>
        <v>46112</v>
      </c>
      <c r="D881" s="23">
        <f>'P&amp;L Acumulado'!$I$1</f>
        <v>46112</v>
      </c>
      <c r="E881" t="str">
        <f>TEXT('P&amp;L Acumulado'!$G$1,"mmm/yyyy")&amp;" a "&amp;TEXT('P&amp;L Acumulado'!$I$1,"mmm/yyyy")</f>
        <v>jan/yyyy a mar/yyyy</v>
      </c>
      <c r="F881" t="s">
        <v>33</v>
      </c>
      <c r="G881" t="s">
        <v>220</v>
      </c>
      <c r="H881" t="s">
        <v>549</v>
      </c>
      <c r="I881" s="104">
        <f>'P&amp;L Acumulado'!K33</f>
        <v>-1.4377466138224548E-3</v>
      </c>
      <c r="J881" t="s">
        <v>1071</v>
      </c>
      <c r="K881" t="s">
        <v>818</v>
      </c>
      <c r="L881">
        <v>33</v>
      </c>
    </row>
    <row r="882" spans="1:12" ht="18" customHeight="1" x14ac:dyDescent="0.25">
      <c r="A882" t="s">
        <v>1070</v>
      </c>
      <c r="B882" s="23">
        <f>'P&amp;L Acumulado'!$G$1</f>
        <v>46053</v>
      </c>
      <c r="C882" s="23">
        <f>'P&amp;L Acumulado'!$I$1</f>
        <v>46112</v>
      </c>
      <c r="D882" s="23">
        <f>'P&amp;L Acumulado'!$I$1</f>
        <v>46112</v>
      </c>
      <c r="E882" t="str">
        <f>TEXT('P&amp;L Acumulado'!$G$1,"mmm/yyyy")&amp;" a "&amp;TEXT('P&amp;L Acumulado'!$I$1,"mmm/yyyy")</f>
        <v>jan/yyyy a mar/yyyy</v>
      </c>
      <c r="F882" t="s">
        <v>33</v>
      </c>
      <c r="G882" t="s">
        <v>96</v>
      </c>
      <c r="H882" t="s">
        <v>5</v>
      </c>
      <c r="I882" s="429">
        <f>'P&amp;L Acumulado'!L33</f>
        <v>-5471936.6500000004</v>
      </c>
      <c r="J882" t="s">
        <v>1071</v>
      </c>
      <c r="K882" t="s">
        <v>819</v>
      </c>
      <c r="L882">
        <v>33</v>
      </c>
    </row>
    <row r="883" spans="1:12" ht="18" customHeight="1" x14ac:dyDescent="0.25">
      <c r="A883" t="s">
        <v>1070</v>
      </c>
      <c r="B883" s="23">
        <f>'P&amp;L Acumulado'!$G$1</f>
        <v>46053</v>
      </c>
      <c r="C883" s="23">
        <f>'P&amp;L Acumulado'!$I$1</f>
        <v>46112</v>
      </c>
      <c r="D883" s="23">
        <f>'P&amp;L Acumulado'!$I$1</f>
        <v>46112</v>
      </c>
      <c r="E883" t="str">
        <f>TEXT('P&amp;L Acumulado'!$G$1,"mmm/yyyy")&amp;" a "&amp;TEXT('P&amp;L Acumulado'!$I$1,"mmm/yyyy")</f>
        <v>jan/yyyy a mar/yyyy</v>
      </c>
      <c r="F883" t="s">
        <v>33</v>
      </c>
      <c r="G883" t="s">
        <v>96</v>
      </c>
      <c r="H883" t="s">
        <v>6</v>
      </c>
      <c r="I883" s="429">
        <f>'P&amp;L Acumulado'!M33</f>
        <v>-5594899.7396274544</v>
      </c>
      <c r="J883" t="s">
        <v>1071</v>
      </c>
      <c r="K883" t="s">
        <v>1173</v>
      </c>
      <c r="L883">
        <v>33</v>
      </c>
    </row>
    <row r="884" spans="1:12" ht="18" customHeight="1" x14ac:dyDescent="0.25">
      <c r="A884" t="s">
        <v>1070</v>
      </c>
      <c r="B884" s="23">
        <f>'P&amp;L Acumulado'!$G$1</f>
        <v>46053</v>
      </c>
      <c r="C884" s="23">
        <f>'P&amp;L Acumulado'!$I$1</f>
        <v>46112</v>
      </c>
      <c r="D884" s="23">
        <f>'P&amp;L Acumulado'!$I$1</f>
        <v>46112</v>
      </c>
      <c r="E884" t="str">
        <f>TEXT('P&amp;L Acumulado'!$G$1,"mmm/yyyy")&amp;" a "&amp;TEXT('P&amp;L Acumulado'!$I$1,"mmm/yyyy")</f>
        <v>jan/yyyy a mar/yyyy</v>
      </c>
      <c r="F884" t="s">
        <v>33</v>
      </c>
      <c r="G884" t="s">
        <v>96</v>
      </c>
      <c r="H884" t="s">
        <v>549</v>
      </c>
      <c r="I884" s="104">
        <f>'P&amp;L Acumulado'!N33</f>
        <v>-2.1977711013574264E-2</v>
      </c>
      <c r="J884" t="s">
        <v>1071</v>
      </c>
      <c r="K884" t="s">
        <v>1174</v>
      </c>
      <c r="L884">
        <v>33</v>
      </c>
    </row>
    <row r="885" spans="1:12" ht="18" customHeight="1" x14ac:dyDescent="0.25">
      <c r="A885" t="s">
        <v>1070</v>
      </c>
      <c r="B885" s="23">
        <f>'P&amp;L Acumulado'!$G$1</f>
        <v>46053</v>
      </c>
      <c r="C885" s="23">
        <f>'P&amp;L Acumulado'!$I$1</f>
        <v>46112</v>
      </c>
      <c r="D885" s="23">
        <f>'P&amp;L Acumulado'!$I$1</f>
        <v>46112</v>
      </c>
      <c r="E885" t="str">
        <f>TEXT('P&amp;L Acumulado'!$G$1,"mmm/yyyy")&amp;" a "&amp;TEXT('P&amp;L Acumulado'!$I$1,"mmm/yyyy")</f>
        <v>jan/yyyy a mar/yyyy</v>
      </c>
      <c r="F885" t="s">
        <v>33</v>
      </c>
      <c r="G885" t="s">
        <v>96</v>
      </c>
      <c r="H885" t="s">
        <v>557</v>
      </c>
      <c r="I885" s="429">
        <f>'P&amp;L Acumulado'!O33</f>
        <v>-122963.08962745406</v>
      </c>
      <c r="J885" t="s">
        <v>1071</v>
      </c>
      <c r="K885" t="s">
        <v>1175</v>
      </c>
      <c r="L885">
        <v>33</v>
      </c>
    </row>
    <row r="886" spans="1:12" ht="18" customHeight="1" x14ac:dyDescent="0.25">
      <c r="A886" t="s">
        <v>1070</v>
      </c>
      <c r="B886" s="23">
        <f>'P&amp;L Acumulado'!$G$1</f>
        <v>46053</v>
      </c>
      <c r="C886" s="23">
        <f>'P&amp;L Acumulado'!$I$1</f>
        <v>46112</v>
      </c>
      <c r="D886" s="23">
        <f>'P&amp;L Acumulado'!$I$1</f>
        <v>46112</v>
      </c>
      <c r="E886" t="str">
        <f>TEXT('P&amp;L Acumulado'!$G$1,"mmm/yyyy")&amp;" a "&amp;TEXT('P&amp;L Acumulado'!$I$1,"mmm/yyyy")</f>
        <v>jan/yyyy a mar/yyyy</v>
      </c>
      <c r="F886" t="s">
        <v>34</v>
      </c>
      <c r="G886" t="s">
        <v>252</v>
      </c>
      <c r="H886" t="s">
        <v>5</v>
      </c>
      <c r="I886" s="429">
        <f>'P&amp;L Acumulado'!C34</f>
        <v>0</v>
      </c>
      <c r="J886" t="s">
        <v>1071</v>
      </c>
      <c r="K886" t="s">
        <v>820</v>
      </c>
      <c r="L886">
        <v>34</v>
      </c>
    </row>
    <row r="887" spans="1:12" ht="18" customHeight="1" x14ac:dyDescent="0.25">
      <c r="A887" t="s">
        <v>1070</v>
      </c>
      <c r="B887" s="23">
        <f>'P&amp;L Acumulado'!$G$1</f>
        <v>46053</v>
      </c>
      <c r="C887" s="23">
        <f>'P&amp;L Acumulado'!$I$1</f>
        <v>46112</v>
      </c>
      <c r="D887" s="23">
        <f>'P&amp;L Acumulado'!$I$1</f>
        <v>46112</v>
      </c>
      <c r="E887" t="str">
        <f>TEXT('P&amp;L Acumulado'!$G$1,"mmm/yyyy")&amp;" a "&amp;TEXT('P&amp;L Acumulado'!$I$1,"mmm/yyyy")</f>
        <v>jan/yyyy a mar/yyyy</v>
      </c>
      <c r="F887" t="s">
        <v>34</v>
      </c>
      <c r="G887" t="s">
        <v>252</v>
      </c>
      <c r="H887" t="s">
        <v>6</v>
      </c>
      <c r="I887" s="429">
        <f>'P&amp;L Acumulado'!D34</f>
        <v>0</v>
      </c>
      <c r="J887" t="s">
        <v>1071</v>
      </c>
      <c r="K887" t="s">
        <v>821</v>
      </c>
      <c r="L887">
        <v>34</v>
      </c>
    </row>
    <row r="888" spans="1:12" ht="18" customHeight="1" x14ac:dyDescent="0.25">
      <c r="A888" t="s">
        <v>1070</v>
      </c>
      <c r="B888" s="23">
        <f>'P&amp;L Acumulado'!$G$1</f>
        <v>46053</v>
      </c>
      <c r="C888" s="23">
        <f>'P&amp;L Acumulado'!$I$1</f>
        <v>46112</v>
      </c>
      <c r="D888" s="23">
        <f>'P&amp;L Acumulado'!$I$1</f>
        <v>46112</v>
      </c>
      <c r="E888" t="str">
        <f>TEXT('P&amp;L Acumulado'!$G$1,"mmm/yyyy")&amp;" a "&amp;TEXT('P&amp;L Acumulado'!$I$1,"mmm/yyyy")</f>
        <v>jan/yyyy a mar/yyyy</v>
      </c>
      <c r="F888" t="s">
        <v>34</v>
      </c>
      <c r="G888" t="s">
        <v>252</v>
      </c>
      <c r="H888" t="s">
        <v>549</v>
      </c>
      <c r="I888" s="104" t="str">
        <f>'P&amp;L Acumulado'!E34</f>
        <v>-</v>
      </c>
      <c r="J888" t="s">
        <v>1071</v>
      </c>
      <c r="K888" t="s">
        <v>822</v>
      </c>
      <c r="L888">
        <v>34</v>
      </c>
    </row>
    <row r="889" spans="1:12" ht="18" customHeight="1" x14ac:dyDescent="0.25">
      <c r="A889" t="s">
        <v>1070</v>
      </c>
      <c r="B889" s="23">
        <f>'P&amp;L Acumulado'!$G$1</f>
        <v>46053</v>
      </c>
      <c r="C889" s="23">
        <f>'P&amp;L Acumulado'!$I$1</f>
        <v>46112</v>
      </c>
      <c r="D889" s="23">
        <f>'P&amp;L Acumulado'!$I$1</f>
        <v>46112</v>
      </c>
      <c r="E889" t="str">
        <f>TEXT('P&amp;L Acumulado'!$G$1,"mmm/yyyy")&amp;" a "&amp;TEXT('P&amp;L Acumulado'!$I$1,"mmm/yyyy")</f>
        <v>jan/yyyy a mar/yyyy</v>
      </c>
      <c r="F889" t="s">
        <v>34</v>
      </c>
      <c r="G889" t="s">
        <v>205</v>
      </c>
      <c r="H889" t="s">
        <v>5</v>
      </c>
      <c r="I889" s="429">
        <f>'P&amp;L Acumulado'!F34</f>
        <v>0</v>
      </c>
      <c r="J889" t="s">
        <v>1071</v>
      </c>
      <c r="K889" t="s">
        <v>823</v>
      </c>
      <c r="L889">
        <v>34</v>
      </c>
    </row>
    <row r="890" spans="1:12" ht="18" customHeight="1" x14ac:dyDescent="0.25">
      <c r="A890" t="s">
        <v>1070</v>
      </c>
      <c r="B890" s="23">
        <f>'P&amp;L Acumulado'!$G$1</f>
        <v>46053</v>
      </c>
      <c r="C890" s="23">
        <f>'P&amp;L Acumulado'!$I$1</f>
        <v>46112</v>
      </c>
      <c r="D890" s="23">
        <f>'P&amp;L Acumulado'!$I$1</f>
        <v>46112</v>
      </c>
      <c r="E890" t="str">
        <f>TEXT('P&amp;L Acumulado'!$G$1,"mmm/yyyy")&amp;" a "&amp;TEXT('P&amp;L Acumulado'!$I$1,"mmm/yyyy")</f>
        <v>jan/yyyy a mar/yyyy</v>
      </c>
      <c r="F890" t="s">
        <v>34</v>
      </c>
      <c r="G890" t="s">
        <v>205</v>
      </c>
      <c r="H890" t="s">
        <v>6</v>
      </c>
      <c r="I890" s="429">
        <f>'P&amp;L Acumulado'!G34</f>
        <v>0</v>
      </c>
      <c r="J890" t="s">
        <v>1071</v>
      </c>
      <c r="K890" t="s">
        <v>824</v>
      </c>
      <c r="L890">
        <v>34</v>
      </c>
    </row>
    <row r="891" spans="1:12" ht="18" customHeight="1" x14ac:dyDescent="0.25">
      <c r="A891" t="s">
        <v>1070</v>
      </c>
      <c r="B891" s="23">
        <f>'P&amp;L Acumulado'!$G$1</f>
        <v>46053</v>
      </c>
      <c r="C891" s="23">
        <f>'P&amp;L Acumulado'!$I$1</f>
        <v>46112</v>
      </c>
      <c r="D891" s="23">
        <f>'P&amp;L Acumulado'!$I$1</f>
        <v>46112</v>
      </c>
      <c r="E891" t="str">
        <f>TEXT('P&amp;L Acumulado'!$G$1,"mmm/yyyy")&amp;" a "&amp;TEXT('P&amp;L Acumulado'!$I$1,"mmm/yyyy")</f>
        <v>jan/yyyy a mar/yyyy</v>
      </c>
      <c r="F891" t="s">
        <v>34</v>
      </c>
      <c r="G891" t="s">
        <v>205</v>
      </c>
      <c r="H891" t="s">
        <v>549</v>
      </c>
      <c r="I891" s="104" t="str">
        <f>'P&amp;L Acumulado'!H34</f>
        <v>-</v>
      </c>
      <c r="J891" t="s">
        <v>1071</v>
      </c>
      <c r="K891" t="s">
        <v>825</v>
      </c>
      <c r="L891">
        <v>34</v>
      </c>
    </row>
    <row r="892" spans="1:12" ht="18" customHeight="1" x14ac:dyDescent="0.25">
      <c r="A892" t="s">
        <v>1070</v>
      </c>
      <c r="B892" s="23">
        <f>'P&amp;L Acumulado'!$G$1</f>
        <v>46053</v>
      </c>
      <c r="C892" s="23">
        <f>'P&amp;L Acumulado'!$I$1</f>
        <v>46112</v>
      </c>
      <c r="D892" s="23">
        <f>'P&amp;L Acumulado'!$I$1</f>
        <v>46112</v>
      </c>
      <c r="E892" t="str">
        <f>TEXT('P&amp;L Acumulado'!$G$1,"mmm/yyyy")&amp;" a "&amp;TEXT('P&amp;L Acumulado'!$I$1,"mmm/yyyy")</f>
        <v>jan/yyyy a mar/yyyy</v>
      </c>
      <c r="F892" t="s">
        <v>34</v>
      </c>
      <c r="G892" t="s">
        <v>220</v>
      </c>
      <c r="H892" t="s">
        <v>5</v>
      </c>
      <c r="I892" s="429">
        <f>'P&amp;L Acumulado'!I34</f>
        <v>0</v>
      </c>
      <c r="J892" t="s">
        <v>1071</v>
      </c>
      <c r="K892" t="s">
        <v>826</v>
      </c>
      <c r="L892">
        <v>34</v>
      </c>
    </row>
    <row r="893" spans="1:12" ht="18" customHeight="1" x14ac:dyDescent="0.25">
      <c r="A893" t="s">
        <v>1070</v>
      </c>
      <c r="B893" s="23">
        <f>'P&amp;L Acumulado'!$G$1</f>
        <v>46053</v>
      </c>
      <c r="C893" s="23">
        <f>'P&amp;L Acumulado'!$I$1</f>
        <v>46112</v>
      </c>
      <c r="D893" s="23">
        <f>'P&amp;L Acumulado'!$I$1</f>
        <v>46112</v>
      </c>
      <c r="E893" t="str">
        <f>TEXT('P&amp;L Acumulado'!$G$1,"mmm/yyyy")&amp;" a "&amp;TEXT('P&amp;L Acumulado'!$I$1,"mmm/yyyy")</f>
        <v>jan/yyyy a mar/yyyy</v>
      </c>
      <c r="F893" t="s">
        <v>34</v>
      </c>
      <c r="G893" t="s">
        <v>220</v>
      </c>
      <c r="H893" t="s">
        <v>6</v>
      </c>
      <c r="I893" s="429">
        <f>'P&amp;L Acumulado'!J34</f>
        <v>0</v>
      </c>
      <c r="J893" t="s">
        <v>1071</v>
      </c>
      <c r="K893" t="s">
        <v>827</v>
      </c>
      <c r="L893">
        <v>34</v>
      </c>
    </row>
    <row r="894" spans="1:12" ht="18" customHeight="1" x14ac:dyDescent="0.25">
      <c r="A894" t="s">
        <v>1070</v>
      </c>
      <c r="B894" s="23">
        <f>'P&amp;L Acumulado'!$G$1</f>
        <v>46053</v>
      </c>
      <c r="C894" s="23">
        <f>'P&amp;L Acumulado'!$I$1</f>
        <v>46112</v>
      </c>
      <c r="D894" s="23">
        <f>'P&amp;L Acumulado'!$I$1</f>
        <v>46112</v>
      </c>
      <c r="E894" t="str">
        <f>TEXT('P&amp;L Acumulado'!$G$1,"mmm/yyyy")&amp;" a "&amp;TEXT('P&amp;L Acumulado'!$I$1,"mmm/yyyy")</f>
        <v>jan/yyyy a mar/yyyy</v>
      </c>
      <c r="F894" t="s">
        <v>34</v>
      </c>
      <c r="G894" t="s">
        <v>220</v>
      </c>
      <c r="H894" t="s">
        <v>549</v>
      </c>
      <c r="I894" s="104" t="str">
        <f>'P&amp;L Acumulado'!K34</f>
        <v>-</v>
      </c>
      <c r="J894" t="s">
        <v>1071</v>
      </c>
      <c r="K894" t="s">
        <v>828</v>
      </c>
      <c r="L894">
        <v>34</v>
      </c>
    </row>
    <row r="895" spans="1:12" ht="18" customHeight="1" x14ac:dyDescent="0.25">
      <c r="A895" t="s">
        <v>1070</v>
      </c>
      <c r="B895" s="23">
        <f>'P&amp;L Acumulado'!$G$1</f>
        <v>46053</v>
      </c>
      <c r="C895" s="23">
        <f>'P&amp;L Acumulado'!$I$1</f>
        <v>46112</v>
      </c>
      <c r="D895" s="23">
        <f>'P&amp;L Acumulado'!$I$1</f>
        <v>46112</v>
      </c>
      <c r="E895" t="str">
        <f>TEXT('P&amp;L Acumulado'!$G$1,"mmm/yyyy")&amp;" a "&amp;TEXT('P&amp;L Acumulado'!$I$1,"mmm/yyyy")</f>
        <v>jan/yyyy a mar/yyyy</v>
      </c>
      <c r="F895" t="s">
        <v>34</v>
      </c>
      <c r="G895" t="s">
        <v>96</v>
      </c>
      <c r="H895" t="s">
        <v>5</v>
      </c>
      <c r="I895" s="429">
        <f>'P&amp;L Acumulado'!L34</f>
        <v>0</v>
      </c>
      <c r="J895" t="s">
        <v>1071</v>
      </c>
      <c r="K895" t="s">
        <v>829</v>
      </c>
      <c r="L895">
        <v>34</v>
      </c>
    </row>
    <row r="896" spans="1:12" ht="18" customHeight="1" x14ac:dyDescent="0.25">
      <c r="A896" t="s">
        <v>1070</v>
      </c>
      <c r="B896" s="23">
        <f>'P&amp;L Acumulado'!$G$1</f>
        <v>46053</v>
      </c>
      <c r="C896" s="23">
        <f>'P&amp;L Acumulado'!$I$1</f>
        <v>46112</v>
      </c>
      <c r="D896" s="23">
        <f>'P&amp;L Acumulado'!$I$1</f>
        <v>46112</v>
      </c>
      <c r="E896" t="str">
        <f>TEXT('P&amp;L Acumulado'!$G$1,"mmm/yyyy")&amp;" a "&amp;TEXT('P&amp;L Acumulado'!$I$1,"mmm/yyyy")</f>
        <v>jan/yyyy a mar/yyyy</v>
      </c>
      <c r="F896" t="s">
        <v>34</v>
      </c>
      <c r="G896" t="s">
        <v>96</v>
      </c>
      <c r="H896" t="s">
        <v>6</v>
      </c>
      <c r="I896" s="429">
        <f>'P&amp;L Acumulado'!M34</f>
        <v>0</v>
      </c>
      <c r="J896" t="s">
        <v>1071</v>
      </c>
      <c r="K896" t="s">
        <v>1176</v>
      </c>
      <c r="L896">
        <v>34</v>
      </c>
    </row>
    <row r="897" spans="1:12" ht="18" customHeight="1" x14ac:dyDescent="0.25">
      <c r="A897" t="s">
        <v>1070</v>
      </c>
      <c r="B897" s="23">
        <f>'P&amp;L Acumulado'!$G$1</f>
        <v>46053</v>
      </c>
      <c r="C897" s="23">
        <f>'P&amp;L Acumulado'!$I$1</f>
        <v>46112</v>
      </c>
      <c r="D897" s="23">
        <f>'P&amp;L Acumulado'!$I$1</f>
        <v>46112</v>
      </c>
      <c r="E897" t="str">
        <f>TEXT('P&amp;L Acumulado'!$G$1,"mmm/yyyy")&amp;" a "&amp;TEXT('P&amp;L Acumulado'!$I$1,"mmm/yyyy")</f>
        <v>jan/yyyy a mar/yyyy</v>
      </c>
      <c r="F897" t="s">
        <v>34</v>
      </c>
      <c r="G897" t="s">
        <v>96</v>
      </c>
      <c r="H897" t="s">
        <v>549</v>
      </c>
      <c r="I897" s="104" t="str">
        <f>'P&amp;L Acumulado'!N34</f>
        <v>-</v>
      </c>
      <c r="J897" t="s">
        <v>1071</v>
      </c>
      <c r="K897" t="s">
        <v>1177</v>
      </c>
      <c r="L897">
        <v>34</v>
      </c>
    </row>
    <row r="898" spans="1:12" ht="18" customHeight="1" x14ac:dyDescent="0.25">
      <c r="A898" t="s">
        <v>1070</v>
      </c>
      <c r="B898" s="23">
        <f>'P&amp;L Acumulado'!$G$1</f>
        <v>46053</v>
      </c>
      <c r="C898" s="23">
        <f>'P&amp;L Acumulado'!$I$1</f>
        <v>46112</v>
      </c>
      <c r="D898" s="23">
        <f>'P&amp;L Acumulado'!$I$1</f>
        <v>46112</v>
      </c>
      <c r="E898" t="str">
        <f>TEXT('P&amp;L Acumulado'!$G$1,"mmm/yyyy")&amp;" a "&amp;TEXT('P&amp;L Acumulado'!$I$1,"mmm/yyyy")</f>
        <v>jan/yyyy a mar/yyyy</v>
      </c>
      <c r="F898" t="s">
        <v>34</v>
      </c>
      <c r="G898" t="s">
        <v>96</v>
      </c>
      <c r="H898" t="s">
        <v>557</v>
      </c>
      <c r="I898" s="429">
        <f>'P&amp;L Acumulado'!O34</f>
        <v>0</v>
      </c>
      <c r="J898" t="s">
        <v>1071</v>
      </c>
      <c r="K898" t="s">
        <v>1178</v>
      </c>
      <c r="L898">
        <v>34</v>
      </c>
    </row>
    <row r="899" spans="1:12" ht="18" customHeight="1" x14ac:dyDescent="0.25">
      <c r="A899" t="s">
        <v>1070</v>
      </c>
      <c r="B899" s="23">
        <f>'P&amp;L Acumulado'!$G$1</f>
        <v>46053</v>
      </c>
      <c r="C899" s="23">
        <f>'P&amp;L Acumulado'!$I$1</f>
        <v>46112</v>
      </c>
      <c r="D899" s="23">
        <f>'P&amp;L Acumulado'!$I$1</f>
        <v>46112</v>
      </c>
      <c r="E899" t="str">
        <f>TEXT('P&amp;L Acumulado'!$G$1,"mmm/yyyy")&amp;" a "&amp;TEXT('P&amp;L Acumulado'!$I$1,"mmm/yyyy")</f>
        <v>jan/yyyy a mar/yyyy</v>
      </c>
      <c r="F899" t="s">
        <v>35</v>
      </c>
      <c r="G899" t="s">
        <v>252</v>
      </c>
      <c r="H899" t="s">
        <v>5</v>
      </c>
      <c r="I899" s="429">
        <f>'P&amp;L Acumulado'!C35</f>
        <v>0</v>
      </c>
      <c r="J899" t="s">
        <v>1071</v>
      </c>
      <c r="K899" t="s">
        <v>830</v>
      </c>
      <c r="L899">
        <v>35</v>
      </c>
    </row>
    <row r="900" spans="1:12" ht="18" customHeight="1" x14ac:dyDescent="0.25">
      <c r="A900" t="s">
        <v>1070</v>
      </c>
      <c r="B900" s="23">
        <f>'P&amp;L Acumulado'!$G$1</f>
        <v>46053</v>
      </c>
      <c r="C900" s="23">
        <f>'P&amp;L Acumulado'!$I$1</f>
        <v>46112</v>
      </c>
      <c r="D900" s="23">
        <f>'P&amp;L Acumulado'!$I$1</f>
        <v>46112</v>
      </c>
      <c r="E900" t="str">
        <f>TEXT('P&amp;L Acumulado'!$G$1,"mmm/yyyy")&amp;" a "&amp;TEXT('P&amp;L Acumulado'!$I$1,"mmm/yyyy")</f>
        <v>jan/yyyy a mar/yyyy</v>
      </c>
      <c r="F900" t="s">
        <v>35</v>
      </c>
      <c r="G900" t="s">
        <v>252</v>
      </c>
      <c r="H900" t="s">
        <v>6</v>
      </c>
      <c r="I900" s="429">
        <f>'P&amp;L Acumulado'!D35</f>
        <v>0</v>
      </c>
      <c r="J900" t="s">
        <v>1071</v>
      </c>
      <c r="K900" t="s">
        <v>831</v>
      </c>
      <c r="L900">
        <v>35</v>
      </c>
    </row>
    <row r="901" spans="1:12" ht="18" customHeight="1" x14ac:dyDescent="0.25">
      <c r="A901" t="s">
        <v>1070</v>
      </c>
      <c r="B901" s="23">
        <f>'P&amp;L Acumulado'!$G$1</f>
        <v>46053</v>
      </c>
      <c r="C901" s="23">
        <f>'P&amp;L Acumulado'!$I$1</f>
        <v>46112</v>
      </c>
      <c r="D901" s="23">
        <f>'P&amp;L Acumulado'!$I$1</f>
        <v>46112</v>
      </c>
      <c r="E901" t="str">
        <f>TEXT('P&amp;L Acumulado'!$G$1,"mmm/yyyy")&amp;" a "&amp;TEXT('P&amp;L Acumulado'!$I$1,"mmm/yyyy")</f>
        <v>jan/yyyy a mar/yyyy</v>
      </c>
      <c r="F901" t="s">
        <v>35</v>
      </c>
      <c r="G901" t="s">
        <v>252</v>
      </c>
      <c r="H901" t="s">
        <v>549</v>
      </c>
      <c r="I901" s="104" t="str">
        <f>'P&amp;L Acumulado'!E35</f>
        <v>-</v>
      </c>
      <c r="J901" t="s">
        <v>1071</v>
      </c>
      <c r="K901" t="s">
        <v>832</v>
      </c>
      <c r="L901">
        <v>35</v>
      </c>
    </row>
    <row r="902" spans="1:12" ht="18" customHeight="1" x14ac:dyDescent="0.25">
      <c r="A902" t="s">
        <v>1070</v>
      </c>
      <c r="B902" s="23">
        <f>'P&amp;L Acumulado'!$G$1</f>
        <v>46053</v>
      </c>
      <c r="C902" s="23">
        <f>'P&amp;L Acumulado'!$I$1</f>
        <v>46112</v>
      </c>
      <c r="D902" s="23">
        <f>'P&amp;L Acumulado'!$I$1</f>
        <v>46112</v>
      </c>
      <c r="E902" t="str">
        <f>TEXT('P&amp;L Acumulado'!$G$1,"mmm/yyyy")&amp;" a "&amp;TEXT('P&amp;L Acumulado'!$I$1,"mmm/yyyy")</f>
        <v>jan/yyyy a mar/yyyy</v>
      </c>
      <c r="F902" t="s">
        <v>35</v>
      </c>
      <c r="G902" t="s">
        <v>205</v>
      </c>
      <c r="H902" t="s">
        <v>5</v>
      </c>
      <c r="I902" s="429">
        <f>'P&amp;L Acumulado'!F35</f>
        <v>8082250.1207732102</v>
      </c>
      <c r="J902" t="s">
        <v>1071</v>
      </c>
      <c r="K902" t="s">
        <v>833</v>
      </c>
      <c r="L902">
        <v>35</v>
      </c>
    </row>
    <row r="903" spans="1:12" ht="18" customHeight="1" x14ac:dyDescent="0.25">
      <c r="A903" t="s">
        <v>1070</v>
      </c>
      <c r="B903" s="23">
        <f>'P&amp;L Acumulado'!$G$1</f>
        <v>46053</v>
      </c>
      <c r="C903" s="23">
        <f>'P&amp;L Acumulado'!$I$1</f>
        <v>46112</v>
      </c>
      <c r="D903" s="23">
        <f>'P&amp;L Acumulado'!$I$1</f>
        <v>46112</v>
      </c>
      <c r="E903" t="str">
        <f>TEXT('P&amp;L Acumulado'!$G$1,"mmm/yyyy")&amp;" a "&amp;TEXT('P&amp;L Acumulado'!$I$1,"mmm/yyyy")</f>
        <v>jan/yyyy a mar/yyyy</v>
      </c>
      <c r="F903" t="s">
        <v>35</v>
      </c>
      <c r="G903" t="s">
        <v>205</v>
      </c>
      <c r="H903" t="s">
        <v>6</v>
      </c>
      <c r="I903" s="429">
        <f>'P&amp;L Acumulado'!G35</f>
        <v>8200073.6149276178</v>
      </c>
      <c r="J903" t="s">
        <v>1071</v>
      </c>
      <c r="K903" t="s">
        <v>834</v>
      </c>
      <c r="L903">
        <v>35</v>
      </c>
    </row>
    <row r="904" spans="1:12" ht="18" customHeight="1" x14ac:dyDescent="0.25">
      <c r="A904" t="s">
        <v>1070</v>
      </c>
      <c r="B904" s="23">
        <f>'P&amp;L Acumulado'!$G$1</f>
        <v>46053</v>
      </c>
      <c r="C904" s="23">
        <f>'P&amp;L Acumulado'!$I$1</f>
        <v>46112</v>
      </c>
      <c r="D904" s="23">
        <f>'P&amp;L Acumulado'!$I$1</f>
        <v>46112</v>
      </c>
      <c r="E904" t="str">
        <f>TEXT('P&amp;L Acumulado'!$G$1,"mmm/yyyy")&amp;" a "&amp;TEXT('P&amp;L Acumulado'!$I$1,"mmm/yyyy")</f>
        <v>jan/yyyy a mar/yyyy</v>
      </c>
      <c r="F904" t="s">
        <v>35</v>
      </c>
      <c r="G904" t="s">
        <v>205</v>
      </c>
      <c r="H904" t="s">
        <v>549</v>
      </c>
      <c r="I904" s="104">
        <f>'P&amp;L Acumulado'!H35</f>
        <v>-1.4368589806305954E-2</v>
      </c>
      <c r="J904" t="s">
        <v>1071</v>
      </c>
      <c r="K904" t="s">
        <v>835</v>
      </c>
      <c r="L904">
        <v>35</v>
      </c>
    </row>
    <row r="905" spans="1:12" ht="18" customHeight="1" x14ac:dyDescent="0.25">
      <c r="A905" t="s">
        <v>1070</v>
      </c>
      <c r="B905" s="23">
        <f>'P&amp;L Acumulado'!$G$1</f>
        <v>46053</v>
      </c>
      <c r="C905" s="23">
        <f>'P&amp;L Acumulado'!$I$1</f>
        <v>46112</v>
      </c>
      <c r="D905" s="23">
        <f>'P&amp;L Acumulado'!$I$1</f>
        <v>46112</v>
      </c>
      <c r="E905" t="str">
        <f>TEXT('P&amp;L Acumulado'!$G$1,"mmm/yyyy")&amp;" a "&amp;TEXT('P&amp;L Acumulado'!$I$1,"mmm/yyyy")</f>
        <v>jan/yyyy a mar/yyyy</v>
      </c>
      <c r="F905" t="s">
        <v>35</v>
      </c>
      <c r="G905" t="s">
        <v>220</v>
      </c>
      <c r="H905" t="s">
        <v>5</v>
      </c>
      <c r="I905" s="429">
        <f>'P&amp;L Acumulado'!I35</f>
        <v>32766269.489226829</v>
      </c>
      <c r="J905" t="s">
        <v>1071</v>
      </c>
      <c r="K905" t="s">
        <v>836</v>
      </c>
      <c r="L905">
        <v>35</v>
      </c>
    </row>
    <row r="906" spans="1:12" ht="18" customHeight="1" x14ac:dyDescent="0.25">
      <c r="A906" t="s">
        <v>1070</v>
      </c>
      <c r="B906" s="23">
        <f>'P&amp;L Acumulado'!$G$1</f>
        <v>46053</v>
      </c>
      <c r="C906" s="23">
        <f>'P&amp;L Acumulado'!$I$1</f>
        <v>46112</v>
      </c>
      <c r="D906" s="23">
        <f>'P&amp;L Acumulado'!$I$1</f>
        <v>46112</v>
      </c>
      <c r="E906" t="str">
        <f>TEXT('P&amp;L Acumulado'!$G$1,"mmm/yyyy")&amp;" a "&amp;TEXT('P&amp;L Acumulado'!$I$1,"mmm/yyyy")</f>
        <v>jan/yyyy a mar/yyyy</v>
      </c>
      <c r="F906" t="s">
        <v>35</v>
      </c>
      <c r="G906" t="s">
        <v>220</v>
      </c>
      <c r="H906" t="s">
        <v>6</v>
      </c>
      <c r="I906" s="429">
        <f>'P&amp;L Acumulado'!J35</f>
        <v>30207672.446276948</v>
      </c>
      <c r="J906" t="s">
        <v>1071</v>
      </c>
      <c r="K906" t="s">
        <v>837</v>
      </c>
      <c r="L906">
        <v>35</v>
      </c>
    </row>
    <row r="907" spans="1:12" ht="18" customHeight="1" x14ac:dyDescent="0.25">
      <c r="A907" t="s">
        <v>1070</v>
      </c>
      <c r="B907" s="23">
        <f>'P&amp;L Acumulado'!$G$1</f>
        <v>46053</v>
      </c>
      <c r="C907" s="23">
        <f>'P&amp;L Acumulado'!$I$1</f>
        <v>46112</v>
      </c>
      <c r="D907" s="23">
        <f>'P&amp;L Acumulado'!$I$1</f>
        <v>46112</v>
      </c>
      <c r="E907" t="str">
        <f>TEXT('P&amp;L Acumulado'!$G$1,"mmm/yyyy")&amp;" a "&amp;TEXT('P&amp;L Acumulado'!$I$1,"mmm/yyyy")</f>
        <v>jan/yyyy a mar/yyyy</v>
      </c>
      <c r="F907" t="s">
        <v>35</v>
      </c>
      <c r="G907" t="s">
        <v>220</v>
      </c>
      <c r="H907" t="s">
        <v>549</v>
      </c>
      <c r="I907" s="104">
        <f>'P&amp;L Acumulado'!K35</f>
        <v>8.4700237911419229E-2</v>
      </c>
      <c r="J907" t="s">
        <v>1071</v>
      </c>
      <c r="K907" t="s">
        <v>838</v>
      </c>
      <c r="L907">
        <v>35</v>
      </c>
    </row>
    <row r="908" spans="1:12" ht="18" customHeight="1" x14ac:dyDescent="0.25">
      <c r="A908" t="s">
        <v>1070</v>
      </c>
      <c r="B908" s="23">
        <f>'P&amp;L Acumulado'!$G$1</f>
        <v>46053</v>
      </c>
      <c r="C908" s="23">
        <f>'P&amp;L Acumulado'!$I$1</f>
        <v>46112</v>
      </c>
      <c r="D908" s="23">
        <f>'P&amp;L Acumulado'!$I$1</f>
        <v>46112</v>
      </c>
      <c r="E908" t="str">
        <f>TEXT('P&amp;L Acumulado'!$G$1,"mmm/yyyy")&amp;" a "&amp;TEXT('P&amp;L Acumulado'!$I$1,"mmm/yyyy")</f>
        <v>jan/yyyy a mar/yyyy</v>
      </c>
      <c r="F908" t="s">
        <v>35</v>
      </c>
      <c r="G908" t="s">
        <v>96</v>
      </c>
      <c r="H908" t="s">
        <v>5</v>
      </c>
      <c r="I908" s="429">
        <f>'P&amp;L Acumulado'!L35</f>
        <v>40848519.610000029</v>
      </c>
      <c r="J908" t="s">
        <v>1071</v>
      </c>
      <c r="K908" t="s">
        <v>839</v>
      </c>
      <c r="L908">
        <v>35</v>
      </c>
    </row>
    <row r="909" spans="1:12" ht="18" customHeight="1" x14ac:dyDescent="0.25">
      <c r="A909" t="s">
        <v>1070</v>
      </c>
      <c r="B909" s="23">
        <f>'P&amp;L Acumulado'!$G$1</f>
        <v>46053</v>
      </c>
      <c r="C909" s="23">
        <f>'P&amp;L Acumulado'!$I$1</f>
        <v>46112</v>
      </c>
      <c r="D909" s="23">
        <f>'P&amp;L Acumulado'!$I$1</f>
        <v>46112</v>
      </c>
      <c r="E909" t="str">
        <f>TEXT('P&amp;L Acumulado'!$G$1,"mmm/yyyy")&amp;" a "&amp;TEXT('P&amp;L Acumulado'!$I$1,"mmm/yyyy")</f>
        <v>jan/yyyy a mar/yyyy</v>
      </c>
      <c r="F909" t="s">
        <v>35</v>
      </c>
      <c r="G909" t="s">
        <v>96</v>
      </c>
      <c r="H909" t="s">
        <v>6</v>
      </c>
      <c r="I909" s="429">
        <f>'P&amp;L Acumulado'!M35</f>
        <v>38407746.061204568</v>
      </c>
      <c r="J909" t="s">
        <v>1071</v>
      </c>
      <c r="K909" t="s">
        <v>1179</v>
      </c>
      <c r="L909">
        <v>35</v>
      </c>
    </row>
    <row r="910" spans="1:12" ht="18" customHeight="1" x14ac:dyDescent="0.25">
      <c r="A910" t="s">
        <v>1070</v>
      </c>
      <c r="B910" s="23">
        <f>'P&amp;L Acumulado'!$G$1</f>
        <v>46053</v>
      </c>
      <c r="C910" s="23">
        <f>'P&amp;L Acumulado'!$I$1</f>
        <v>46112</v>
      </c>
      <c r="D910" s="23">
        <f>'P&amp;L Acumulado'!$I$1</f>
        <v>46112</v>
      </c>
      <c r="E910" t="str">
        <f>TEXT('P&amp;L Acumulado'!$G$1,"mmm/yyyy")&amp;" a "&amp;TEXT('P&amp;L Acumulado'!$I$1,"mmm/yyyy")</f>
        <v>jan/yyyy a mar/yyyy</v>
      </c>
      <c r="F910" t="s">
        <v>35</v>
      </c>
      <c r="G910" t="s">
        <v>96</v>
      </c>
      <c r="H910" t="s">
        <v>549</v>
      </c>
      <c r="I910" s="104">
        <f>'P&amp;L Acumulado'!N35</f>
        <v>6.3548992042021135E-2</v>
      </c>
      <c r="J910" t="s">
        <v>1071</v>
      </c>
      <c r="K910" t="s">
        <v>1180</v>
      </c>
      <c r="L910">
        <v>35</v>
      </c>
    </row>
    <row r="911" spans="1:12" ht="18" customHeight="1" x14ac:dyDescent="0.25">
      <c r="A911" t="s">
        <v>1070</v>
      </c>
      <c r="B911" s="23">
        <f>'P&amp;L Acumulado'!$G$1</f>
        <v>46053</v>
      </c>
      <c r="C911" s="23">
        <f>'P&amp;L Acumulado'!$I$1</f>
        <v>46112</v>
      </c>
      <c r="D911" s="23">
        <f>'P&amp;L Acumulado'!$I$1</f>
        <v>46112</v>
      </c>
      <c r="E911" t="str">
        <f>TEXT('P&amp;L Acumulado'!$G$1,"mmm/yyyy")&amp;" a "&amp;TEXT('P&amp;L Acumulado'!$I$1,"mmm/yyyy")</f>
        <v>jan/yyyy a mar/yyyy</v>
      </c>
      <c r="F911" t="s">
        <v>35</v>
      </c>
      <c r="G911" t="s">
        <v>96</v>
      </c>
      <c r="H911" t="s">
        <v>557</v>
      </c>
      <c r="I911" s="429">
        <f>'P&amp;L Acumulado'!O35</f>
        <v>2440773.5487954617</v>
      </c>
      <c r="J911" t="s">
        <v>1071</v>
      </c>
      <c r="K911" t="s">
        <v>1181</v>
      </c>
      <c r="L911">
        <v>35</v>
      </c>
    </row>
    <row r="912" spans="1:12" ht="18" customHeight="1" x14ac:dyDescent="0.25">
      <c r="A912" t="s">
        <v>1070</v>
      </c>
      <c r="B912" s="23">
        <f>'P&amp;L Acumulado'!$G$1</f>
        <v>46053</v>
      </c>
      <c r="C912" s="23">
        <f>'P&amp;L Acumulado'!$I$1</f>
        <v>46112</v>
      </c>
      <c r="D912" s="23">
        <f>'P&amp;L Acumulado'!$I$1</f>
        <v>46112</v>
      </c>
      <c r="E912" t="str">
        <f>TEXT('P&amp;L Acumulado'!$G$1,"mmm/yyyy")&amp;" a "&amp;TEXT('P&amp;L Acumulado'!$I$1,"mmm/yyyy")</f>
        <v>jan/yyyy a mar/yyyy</v>
      </c>
      <c r="F912" t="s">
        <v>36</v>
      </c>
      <c r="G912" t="s">
        <v>252</v>
      </c>
      <c r="H912" t="s">
        <v>5</v>
      </c>
      <c r="I912" s="429">
        <f>'P&amp;L Acumulado'!C36</f>
        <v>0</v>
      </c>
      <c r="J912" t="s">
        <v>1071</v>
      </c>
      <c r="K912" t="s">
        <v>840</v>
      </c>
      <c r="L912">
        <v>36</v>
      </c>
    </row>
    <row r="913" spans="1:12" ht="18" customHeight="1" x14ac:dyDescent="0.25">
      <c r="A913" t="s">
        <v>1070</v>
      </c>
      <c r="B913" s="23">
        <f>'P&amp;L Acumulado'!$G$1</f>
        <v>46053</v>
      </c>
      <c r="C913" s="23">
        <f>'P&amp;L Acumulado'!$I$1</f>
        <v>46112</v>
      </c>
      <c r="D913" s="23">
        <f>'P&amp;L Acumulado'!$I$1</f>
        <v>46112</v>
      </c>
      <c r="E913" t="str">
        <f>TEXT('P&amp;L Acumulado'!$G$1,"mmm/yyyy")&amp;" a "&amp;TEXT('P&amp;L Acumulado'!$I$1,"mmm/yyyy")</f>
        <v>jan/yyyy a mar/yyyy</v>
      </c>
      <c r="F913" t="s">
        <v>36</v>
      </c>
      <c r="G913" t="s">
        <v>252</v>
      </c>
      <c r="H913" t="s">
        <v>6</v>
      </c>
      <c r="I913" s="429">
        <f>'P&amp;L Acumulado'!D36</f>
        <v>0</v>
      </c>
      <c r="J913" t="s">
        <v>1071</v>
      </c>
      <c r="K913" t="s">
        <v>841</v>
      </c>
      <c r="L913">
        <v>36</v>
      </c>
    </row>
    <row r="914" spans="1:12" ht="18" customHeight="1" x14ac:dyDescent="0.25">
      <c r="A914" t="s">
        <v>1070</v>
      </c>
      <c r="B914" s="23">
        <f>'P&amp;L Acumulado'!$G$1</f>
        <v>46053</v>
      </c>
      <c r="C914" s="23">
        <f>'P&amp;L Acumulado'!$I$1</f>
        <v>46112</v>
      </c>
      <c r="D914" s="23">
        <f>'P&amp;L Acumulado'!$I$1</f>
        <v>46112</v>
      </c>
      <c r="E914" t="str">
        <f>TEXT('P&amp;L Acumulado'!$G$1,"mmm/yyyy")&amp;" a "&amp;TEXT('P&amp;L Acumulado'!$I$1,"mmm/yyyy")</f>
        <v>jan/yyyy a mar/yyyy</v>
      </c>
      <c r="F914" t="s">
        <v>36</v>
      </c>
      <c r="G914" t="s">
        <v>252</v>
      </c>
      <c r="H914" t="s">
        <v>549</v>
      </c>
      <c r="I914" s="104" t="str">
        <f>'P&amp;L Acumulado'!E36</f>
        <v>-</v>
      </c>
      <c r="J914" t="s">
        <v>1071</v>
      </c>
      <c r="K914" t="s">
        <v>842</v>
      </c>
      <c r="L914">
        <v>36</v>
      </c>
    </row>
    <row r="915" spans="1:12" ht="18" customHeight="1" x14ac:dyDescent="0.25">
      <c r="A915" t="s">
        <v>1070</v>
      </c>
      <c r="B915" s="23">
        <f>'P&amp;L Acumulado'!$G$1</f>
        <v>46053</v>
      </c>
      <c r="C915" s="23">
        <f>'P&amp;L Acumulado'!$I$1</f>
        <v>46112</v>
      </c>
      <c r="D915" s="23">
        <f>'P&amp;L Acumulado'!$I$1</f>
        <v>46112</v>
      </c>
      <c r="E915" t="str">
        <f>TEXT('P&amp;L Acumulado'!$G$1,"mmm/yyyy")&amp;" a "&amp;TEXT('P&amp;L Acumulado'!$I$1,"mmm/yyyy")</f>
        <v>jan/yyyy a mar/yyyy</v>
      </c>
      <c r="F915" t="s">
        <v>36</v>
      </c>
      <c r="G915" t="s">
        <v>205</v>
      </c>
      <c r="H915" t="s">
        <v>5</v>
      </c>
      <c r="I915" s="429">
        <f>'P&amp;L Acumulado'!F36</f>
        <v>-1351894.9762400037</v>
      </c>
      <c r="J915" t="s">
        <v>1071</v>
      </c>
      <c r="K915" t="s">
        <v>843</v>
      </c>
      <c r="L915">
        <v>36</v>
      </c>
    </row>
    <row r="916" spans="1:12" ht="18" customHeight="1" x14ac:dyDescent="0.25">
      <c r="A916" t="s">
        <v>1070</v>
      </c>
      <c r="B916" s="23">
        <f>'P&amp;L Acumulado'!$G$1</f>
        <v>46053</v>
      </c>
      <c r="C916" s="23">
        <f>'P&amp;L Acumulado'!$I$1</f>
        <v>46112</v>
      </c>
      <c r="D916" s="23">
        <f>'P&amp;L Acumulado'!$I$1</f>
        <v>46112</v>
      </c>
      <c r="E916" t="str">
        <f>TEXT('P&amp;L Acumulado'!$G$1,"mmm/yyyy")&amp;" a "&amp;TEXT('P&amp;L Acumulado'!$I$1,"mmm/yyyy")</f>
        <v>jan/yyyy a mar/yyyy</v>
      </c>
      <c r="F916" t="s">
        <v>36</v>
      </c>
      <c r="G916" t="s">
        <v>205</v>
      </c>
      <c r="H916" t="s">
        <v>6</v>
      </c>
      <c r="I916" s="429">
        <f>'P&amp;L Acumulado'!G36</f>
        <v>-1385981.8822518778</v>
      </c>
      <c r="J916" t="s">
        <v>1071</v>
      </c>
      <c r="K916" t="s">
        <v>844</v>
      </c>
      <c r="L916">
        <v>36</v>
      </c>
    </row>
    <row r="917" spans="1:12" ht="18" customHeight="1" x14ac:dyDescent="0.25">
      <c r="A917" t="s">
        <v>1070</v>
      </c>
      <c r="B917" s="23">
        <f>'P&amp;L Acumulado'!$G$1</f>
        <v>46053</v>
      </c>
      <c r="C917" s="23">
        <f>'P&amp;L Acumulado'!$I$1</f>
        <v>46112</v>
      </c>
      <c r="D917" s="23">
        <f>'P&amp;L Acumulado'!$I$1</f>
        <v>46112</v>
      </c>
      <c r="E917" t="str">
        <f>TEXT('P&amp;L Acumulado'!$G$1,"mmm/yyyy")&amp;" a "&amp;TEXT('P&amp;L Acumulado'!$I$1,"mmm/yyyy")</f>
        <v>jan/yyyy a mar/yyyy</v>
      </c>
      <c r="F917" t="s">
        <v>36</v>
      </c>
      <c r="G917" t="s">
        <v>205</v>
      </c>
      <c r="H917" t="s">
        <v>549</v>
      </c>
      <c r="I917" s="104">
        <f>'P&amp;L Acumulado'!H36</f>
        <v>-2.4594048773921462E-2</v>
      </c>
      <c r="J917" t="s">
        <v>1071</v>
      </c>
      <c r="K917" t="s">
        <v>845</v>
      </c>
      <c r="L917">
        <v>36</v>
      </c>
    </row>
    <row r="918" spans="1:12" ht="18" customHeight="1" x14ac:dyDescent="0.25">
      <c r="A918" t="s">
        <v>1070</v>
      </c>
      <c r="B918" s="23">
        <f>'P&amp;L Acumulado'!$G$1</f>
        <v>46053</v>
      </c>
      <c r="C918" s="23">
        <f>'P&amp;L Acumulado'!$I$1</f>
        <v>46112</v>
      </c>
      <c r="D918" s="23">
        <f>'P&amp;L Acumulado'!$I$1</f>
        <v>46112</v>
      </c>
      <c r="E918" t="str">
        <f>TEXT('P&amp;L Acumulado'!$G$1,"mmm/yyyy")&amp;" a "&amp;TEXT('P&amp;L Acumulado'!$I$1,"mmm/yyyy")</f>
        <v>jan/yyyy a mar/yyyy</v>
      </c>
      <c r="F918" t="s">
        <v>36</v>
      </c>
      <c r="G918" t="s">
        <v>220</v>
      </c>
      <c r="H918" t="s">
        <v>5</v>
      </c>
      <c r="I918" s="429">
        <f>'P&amp;L Acumulado'!I36</f>
        <v>-5682614.0249599926</v>
      </c>
      <c r="J918" t="s">
        <v>1071</v>
      </c>
      <c r="K918" t="s">
        <v>846</v>
      </c>
      <c r="L918">
        <v>36</v>
      </c>
    </row>
    <row r="919" spans="1:12" ht="18" customHeight="1" x14ac:dyDescent="0.25">
      <c r="A919" t="s">
        <v>1070</v>
      </c>
      <c r="B919" s="23">
        <f>'P&amp;L Acumulado'!$G$1</f>
        <v>46053</v>
      </c>
      <c r="C919" s="23">
        <f>'P&amp;L Acumulado'!$I$1</f>
        <v>46112</v>
      </c>
      <c r="D919" s="23">
        <f>'P&amp;L Acumulado'!$I$1</f>
        <v>46112</v>
      </c>
      <c r="E919" t="str">
        <f>TEXT('P&amp;L Acumulado'!$G$1,"mmm/yyyy")&amp;" a "&amp;TEXT('P&amp;L Acumulado'!$I$1,"mmm/yyyy")</f>
        <v>jan/yyyy a mar/yyyy</v>
      </c>
      <c r="F919" t="s">
        <v>36</v>
      </c>
      <c r="G919" t="s">
        <v>220</v>
      </c>
      <c r="H919" t="s">
        <v>6</v>
      </c>
      <c r="I919" s="429">
        <f>'P&amp;L Acumulado'!J36</f>
        <v>-6306934.028308996</v>
      </c>
      <c r="J919" t="s">
        <v>1071</v>
      </c>
      <c r="K919" t="s">
        <v>847</v>
      </c>
      <c r="L919">
        <v>36</v>
      </c>
    </row>
    <row r="920" spans="1:12" ht="18" customHeight="1" x14ac:dyDescent="0.25">
      <c r="A920" t="s">
        <v>1070</v>
      </c>
      <c r="B920" s="23">
        <f>'P&amp;L Acumulado'!$G$1</f>
        <v>46053</v>
      </c>
      <c r="C920" s="23">
        <f>'P&amp;L Acumulado'!$I$1</f>
        <v>46112</v>
      </c>
      <c r="D920" s="23">
        <f>'P&amp;L Acumulado'!$I$1</f>
        <v>46112</v>
      </c>
      <c r="E920" t="str">
        <f>TEXT('P&amp;L Acumulado'!$G$1,"mmm/yyyy")&amp;" a "&amp;TEXT('P&amp;L Acumulado'!$I$1,"mmm/yyyy")</f>
        <v>jan/yyyy a mar/yyyy</v>
      </c>
      <c r="F920" t="s">
        <v>36</v>
      </c>
      <c r="G920" t="s">
        <v>220</v>
      </c>
      <c r="H920" t="s">
        <v>549</v>
      </c>
      <c r="I920" s="104">
        <f>'P&amp;L Acumulado'!K36</f>
        <v>-9.8989461527060674E-2</v>
      </c>
      <c r="J920" t="s">
        <v>1071</v>
      </c>
      <c r="K920" t="s">
        <v>848</v>
      </c>
      <c r="L920">
        <v>36</v>
      </c>
    </row>
    <row r="921" spans="1:12" ht="18" customHeight="1" x14ac:dyDescent="0.25">
      <c r="A921" t="s">
        <v>1070</v>
      </c>
      <c r="B921" s="23">
        <f>'P&amp;L Acumulado'!$G$1</f>
        <v>46053</v>
      </c>
      <c r="C921" s="23">
        <f>'P&amp;L Acumulado'!$I$1</f>
        <v>46112</v>
      </c>
      <c r="D921" s="23">
        <f>'P&amp;L Acumulado'!$I$1</f>
        <v>46112</v>
      </c>
      <c r="E921" t="str">
        <f>TEXT('P&amp;L Acumulado'!$G$1,"mmm/yyyy")&amp;" a "&amp;TEXT('P&amp;L Acumulado'!$I$1,"mmm/yyyy")</f>
        <v>jan/yyyy a mar/yyyy</v>
      </c>
      <c r="F921" t="s">
        <v>36</v>
      </c>
      <c r="G921" t="s">
        <v>96</v>
      </c>
      <c r="H921" t="s">
        <v>5</v>
      </c>
      <c r="I921" s="429">
        <f>'P&amp;L Acumulado'!L36</f>
        <v>-7034509.0011999961</v>
      </c>
      <c r="J921" t="s">
        <v>1071</v>
      </c>
      <c r="K921" t="s">
        <v>849</v>
      </c>
      <c r="L921">
        <v>36</v>
      </c>
    </row>
    <row r="922" spans="1:12" ht="18" customHeight="1" x14ac:dyDescent="0.25">
      <c r="A922" t="s">
        <v>1070</v>
      </c>
      <c r="B922" s="23">
        <f>'P&amp;L Acumulado'!$G$1</f>
        <v>46053</v>
      </c>
      <c r="C922" s="23">
        <f>'P&amp;L Acumulado'!$I$1</f>
        <v>46112</v>
      </c>
      <c r="D922" s="23">
        <f>'P&amp;L Acumulado'!$I$1</f>
        <v>46112</v>
      </c>
      <c r="E922" t="str">
        <f>TEXT('P&amp;L Acumulado'!$G$1,"mmm/yyyy")&amp;" a "&amp;TEXT('P&amp;L Acumulado'!$I$1,"mmm/yyyy")</f>
        <v>jan/yyyy a mar/yyyy</v>
      </c>
      <c r="F922" t="s">
        <v>36</v>
      </c>
      <c r="G922" t="s">
        <v>96</v>
      </c>
      <c r="H922" t="s">
        <v>6</v>
      </c>
      <c r="I922" s="429">
        <f>'P&amp;L Acumulado'!M36</f>
        <v>-7692915.9105608743</v>
      </c>
      <c r="J922" t="s">
        <v>1071</v>
      </c>
      <c r="K922" t="s">
        <v>1182</v>
      </c>
      <c r="L922">
        <v>36</v>
      </c>
    </row>
    <row r="923" spans="1:12" ht="18" customHeight="1" x14ac:dyDescent="0.25">
      <c r="A923" t="s">
        <v>1070</v>
      </c>
      <c r="B923" s="23">
        <f>'P&amp;L Acumulado'!$G$1</f>
        <v>46053</v>
      </c>
      <c r="C923" s="23">
        <f>'P&amp;L Acumulado'!$I$1</f>
        <v>46112</v>
      </c>
      <c r="D923" s="23">
        <f>'P&amp;L Acumulado'!$I$1</f>
        <v>46112</v>
      </c>
      <c r="E923" t="str">
        <f>TEXT('P&amp;L Acumulado'!$G$1,"mmm/yyyy")&amp;" a "&amp;TEXT('P&amp;L Acumulado'!$I$1,"mmm/yyyy")</f>
        <v>jan/yyyy a mar/yyyy</v>
      </c>
      <c r="F923" t="s">
        <v>36</v>
      </c>
      <c r="G923" t="s">
        <v>96</v>
      </c>
      <c r="H923" t="s">
        <v>549</v>
      </c>
      <c r="I923" s="104">
        <f>'P&amp;L Acumulado'!N36</f>
        <v>-8.5586131060787163E-2</v>
      </c>
      <c r="J923" t="s">
        <v>1071</v>
      </c>
      <c r="K923" t="s">
        <v>1183</v>
      </c>
      <c r="L923">
        <v>36</v>
      </c>
    </row>
    <row r="924" spans="1:12" ht="18" customHeight="1" x14ac:dyDescent="0.25">
      <c r="A924" t="s">
        <v>1070</v>
      </c>
      <c r="B924" s="23">
        <f>'P&amp;L Acumulado'!$G$1</f>
        <v>46053</v>
      </c>
      <c r="C924" s="23">
        <f>'P&amp;L Acumulado'!$I$1</f>
        <v>46112</v>
      </c>
      <c r="D924" s="23">
        <f>'P&amp;L Acumulado'!$I$1</f>
        <v>46112</v>
      </c>
      <c r="E924" t="str">
        <f>TEXT('P&amp;L Acumulado'!$G$1,"mmm/yyyy")&amp;" a "&amp;TEXT('P&amp;L Acumulado'!$I$1,"mmm/yyyy")</f>
        <v>jan/yyyy a mar/yyyy</v>
      </c>
      <c r="F924" t="s">
        <v>36</v>
      </c>
      <c r="G924" t="s">
        <v>96</v>
      </c>
      <c r="H924" t="s">
        <v>557</v>
      </c>
      <c r="I924" s="429">
        <f>'P&amp;L Acumulado'!O36</f>
        <v>-658406.90936087817</v>
      </c>
      <c r="J924" t="s">
        <v>1071</v>
      </c>
      <c r="K924" t="s">
        <v>1184</v>
      </c>
      <c r="L924">
        <v>36</v>
      </c>
    </row>
    <row r="925" spans="1:12" ht="18" customHeight="1" x14ac:dyDescent="0.25">
      <c r="A925" t="s">
        <v>1070</v>
      </c>
      <c r="B925" s="23">
        <f>'P&amp;L Acumulado'!$G$1</f>
        <v>46053</v>
      </c>
      <c r="C925" s="23">
        <f>'P&amp;L Acumulado'!$I$1</f>
        <v>46112</v>
      </c>
      <c r="D925" s="23">
        <f>'P&amp;L Acumulado'!$I$1</f>
        <v>46112</v>
      </c>
      <c r="E925" t="str">
        <f>TEXT('P&amp;L Acumulado'!$G$1,"mmm/yyyy")&amp;" a "&amp;TEXT('P&amp;L Acumulado'!$I$1,"mmm/yyyy")</f>
        <v>jan/yyyy a mar/yyyy</v>
      </c>
      <c r="F925" t="s">
        <v>37</v>
      </c>
      <c r="G925" t="s">
        <v>252</v>
      </c>
      <c r="H925" t="s">
        <v>5</v>
      </c>
      <c r="I925" s="429">
        <f>'P&amp;L Acumulado'!C37</f>
        <v>0</v>
      </c>
      <c r="J925" t="s">
        <v>1071</v>
      </c>
      <c r="K925" t="s">
        <v>850</v>
      </c>
      <c r="L925">
        <v>37</v>
      </c>
    </row>
    <row r="926" spans="1:12" ht="18" customHeight="1" x14ac:dyDescent="0.25">
      <c r="A926" t="s">
        <v>1070</v>
      </c>
      <c r="B926" s="23">
        <f>'P&amp;L Acumulado'!$G$1</f>
        <v>46053</v>
      </c>
      <c r="C926" s="23">
        <f>'P&amp;L Acumulado'!$I$1</f>
        <v>46112</v>
      </c>
      <c r="D926" s="23">
        <f>'P&amp;L Acumulado'!$I$1</f>
        <v>46112</v>
      </c>
      <c r="E926" t="str">
        <f>TEXT('P&amp;L Acumulado'!$G$1,"mmm/yyyy")&amp;" a "&amp;TEXT('P&amp;L Acumulado'!$I$1,"mmm/yyyy")</f>
        <v>jan/yyyy a mar/yyyy</v>
      </c>
      <c r="F926" t="s">
        <v>37</v>
      </c>
      <c r="G926" t="s">
        <v>252</v>
      </c>
      <c r="H926" t="s">
        <v>6</v>
      </c>
      <c r="I926" s="429">
        <f>'P&amp;L Acumulado'!D37</f>
        <v>0</v>
      </c>
      <c r="J926" t="s">
        <v>1071</v>
      </c>
      <c r="K926" t="s">
        <v>851</v>
      </c>
      <c r="L926">
        <v>37</v>
      </c>
    </row>
    <row r="927" spans="1:12" ht="18" customHeight="1" x14ac:dyDescent="0.25">
      <c r="A927" t="s">
        <v>1070</v>
      </c>
      <c r="B927" s="23">
        <f>'P&amp;L Acumulado'!$G$1</f>
        <v>46053</v>
      </c>
      <c r="C927" s="23">
        <f>'P&amp;L Acumulado'!$I$1</f>
        <v>46112</v>
      </c>
      <c r="D927" s="23">
        <f>'P&amp;L Acumulado'!$I$1</f>
        <v>46112</v>
      </c>
      <c r="E927" t="str">
        <f>TEXT('P&amp;L Acumulado'!$G$1,"mmm/yyyy")&amp;" a "&amp;TEXT('P&amp;L Acumulado'!$I$1,"mmm/yyyy")</f>
        <v>jan/yyyy a mar/yyyy</v>
      </c>
      <c r="F927" t="s">
        <v>37</v>
      </c>
      <c r="G927" t="s">
        <v>252</v>
      </c>
      <c r="H927" t="s">
        <v>549</v>
      </c>
      <c r="I927" s="104" t="str">
        <f>'P&amp;L Acumulado'!E37</f>
        <v>-</v>
      </c>
      <c r="J927" t="s">
        <v>1071</v>
      </c>
      <c r="K927" t="s">
        <v>852</v>
      </c>
      <c r="L927">
        <v>37</v>
      </c>
    </row>
    <row r="928" spans="1:12" ht="18" customHeight="1" x14ac:dyDescent="0.25">
      <c r="A928" t="s">
        <v>1070</v>
      </c>
      <c r="B928" s="23">
        <f>'P&amp;L Acumulado'!$G$1</f>
        <v>46053</v>
      </c>
      <c r="C928" s="23">
        <f>'P&amp;L Acumulado'!$I$1</f>
        <v>46112</v>
      </c>
      <c r="D928" s="23">
        <f>'P&amp;L Acumulado'!$I$1</f>
        <v>46112</v>
      </c>
      <c r="E928" t="str">
        <f>TEXT('P&amp;L Acumulado'!$G$1,"mmm/yyyy")&amp;" a "&amp;TEXT('P&amp;L Acumulado'!$I$1,"mmm/yyyy")</f>
        <v>jan/yyyy a mar/yyyy</v>
      </c>
      <c r="F928" t="s">
        <v>37</v>
      </c>
      <c r="G928" t="s">
        <v>205</v>
      </c>
      <c r="H928" t="s">
        <v>5</v>
      </c>
      <c r="I928" s="429">
        <f>'P&amp;L Acumulado'!F37</f>
        <v>-302002.26939783886</v>
      </c>
      <c r="J928" t="s">
        <v>1071</v>
      </c>
      <c r="K928" t="s">
        <v>853</v>
      </c>
      <c r="L928">
        <v>37</v>
      </c>
    </row>
    <row r="929" spans="1:12" ht="18" customHeight="1" x14ac:dyDescent="0.25">
      <c r="A929" t="s">
        <v>1070</v>
      </c>
      <c r="B929" s="23">
        <f>'P&amp;L Acumulado'!$G$1</f>
        <v>46053</v>
      </c>
      <c r="C929" s="23">
        <f>'P&amp;L Acumulado'!$I$1</f>
        <v>46112</v>
      </c>
      <c r="D929" s="23">
        <f>'P&amp;L Acumulado'!$I$1</f>
        <v>46112</v>
      </c>
      <c r="E929" t="str">
        <f>TEXT('P&amp;L Acumulado'!$G$1,"mmm/yyyy")&amp;" a "&amp;TEXT('P&amp;L Acumulado'!$I$1,"mmm/yyyy")</f>
        <v>jan/yyyy a mar/yyyy</v>
      </c>
      <c r="F929" t="s">
        <v>37</v>
      </c>
      <c r="G929" t="s">
        <v>205</v>
      </c>
      <c r="H929" t="s">
        <v>6</v>
      </c>
      <c r="I929" s="429">
        <f>'P&amp;L Acumulado'!G37</f>
        <v>0</v>
      </c>
      <c r="J929" t="s">
        <v>1071</v>
      </c>
      <c r="K929" t="s">
        <v>854</v>
      </c>
      <c r="L929">
        <v>37</v>
      </c>
    </row>
    <row r="930" spans="1:12" ht="18" customHeight="1" x14ac:dyDescent="0.25">
      <c r="A930" t="s">
        <v>1070</v>
      </c>
      <c r="B930" s="23">
        <f>'P&amp;L Acumulado'!$G$1</f>
        <v>46053</v>
      </c>
      <c r="C930" s="23">
        <f>'P&amp;L Acumulado'!$I$1</f>
        <v>46112</v>
      </c>
      <c r="D930" s="23">
        <f>'P&amp;L Acumulado'!$I$1</f>
        <v>46112</v>
      </c>
      <c r="E930" t="str">
        <f>TEXT('P&amp;L Acumulado'!$G$1,"mmm/yyyy")&amp;" a "&amp;TEXT('P&amp;L Acumulado'!$I$1,"mmm/yyyy")</f>
        <v>jan/yyyy a mar/yyyy</v>
      </c>
      <c r="F930" t="s">
        <v>37</v>
      </c>
      <c r="G930" t="s">
        <v>205</v>
      </c>
      <c r="H930" t="s">
        <v>549</v>
      </c>
      <c r="I930" s="104" t="str">
        <f>'P&amp;L Acumulado'!H37</f>
        <v>-</v>
      </c>
      <c r="J930" t="s">
        <v>1071</v>
      </c>
      <c r="K930" t="s">
        <v>855</v>
      </c>
      <c r="L930">
        <v>37</v>
      </c>
    </row>
    <row r="931" spans="1:12" ht="18" customHeight="1" x14ac:dyDescent="0.25">
      <c r="A931" t="s">
        <v>1070</v>
      </c>
      <c r="B931" s="23">
        <f>'P&amp;L Acumulado'!$G$1</f>
        <v>46053</v>
      </c>
      <c r="C931" s="23">
        <f>'P&amp;L Acumulado'!$I$1</f>
        <v>46112</v>
      </c>
      <c r="D931" s="23">
        <f>'P&amp;L Acumulado'!$I$1</f>
        <v>46112</v>
      </c>
      <c r="E931" t="str">
        <f>TEXT('P&amp;L Acumulado'!$G$1,"mmm/yyyy")&amp;" a "&amp;TEXT('P&amp;L Acumulado'!$I$1,"mmm/yyyy")</f>
        <v>jan/yyyy a mar/yyyy</v>
      </c>
      <c r="F931" t="s">
        <v>37</v>
      </c>
      <c r="G931" t="s">
        <v>220</v>
      </c>
      <c r="H931" t="s">
        <v>5</v>
      </c>
      <c r="I931" s="429">
        <f>'P&amp;L Acumulado'!I37</f>
        <v>-1070735.0206021611</v>
      </c>
      <c r="J931" t="s">
        <v>1071</v>
      </c>
      <c r="K931" t="s">
        <v>856</v>
      </c>
      <c r="L931">
        <v>37</v>
      </c>
    </row>
    <row r="932" spans="1:12" ht="18" customHeight="1" x14ac:dyDescent="0.25">
      <c r="A932" t="s">
        <v>1070</v>
      </c>
      <c r="B932" s="23">
        <f>'P&amp;L Acumulado'!$G$1</f>
        <v>46053</v>
      </c>
      <c r="C932" s="23">
        <f>'P&amp;L Acumulado'!$I$1</f>
        <v>46112</v>
      </c>
      <c r="D932" s="23">
        <f>'P&amp;L Acumulado'!$I$1</f>
        <v>46112</v>
      </c>
      <c r="E932" t="str">
        <f>TEXT('P&amp;L Acumulado'!$G$1,"mmm/yyyy")&amp;" a "&amp;TEXT('P&amp;L Acumulado'!$I$1,"mmm/yyyy")</f>
        <v>jan/yyyy a mar/yyyy</v>
      </c>
      <c r="F932" t="s">
        <v>37</v>
      </c>
      <c r="G932" t="s">
        <v>220</v>
      </c>
      <c r="H932" t="s">
        <v>6</v>
      </c>
      <c r="I932" s="429">
        <f>'P&amp;L Acumulado'!J37</f>
        <v>-606623.37662337662</v>
      </c>
      <c r="J932" t="s">
        <v>1071</v>
      </c>
      <c r="K932" t="s">
        <v>857</v>
      </c>
      <c r="L932">
        <v>37</v>
      </c>
    </row>
    <row r="933" spans="1:12" ht="18" customHeight="1" x14ac:dyDescent="0.25">
      <c r="A933" t="s">
        <v>1070</v>
      </c>
      <c r="B933" s="23">
        <f>'P&amp;L Acumulado'!$G$1</f>
        <v>46053</v>
      </c>
      <c r="C933" s="23">
        <f>'P&amp;L Acumulado'!$I$1</f>
        <v>46112</v>
      </c>
      <c r="D933" s="23">
        <f>'P&amp;L Acumulado'!$I$1</f>
        <v>46112</v>
      </c>
      <c r="E933" t="str">
        <f>TEXT('P&amp;L Acumulado'!$G$1,"mmm/yyyy")&amp;" a "&amp;TEXT('P&amp;L Acumulado'!$I$1,"mmm/yyyy")</f>
        <v>jan/yyyy a mar/yyyy</v>
      </c>
      <c r="F933" t="s">
        <v>37</v>
      </c>
      <c r="G933" t="s">
        <v>220</v>
      </c>
      <c r="H933" t="s">
        <v>549</v>
      </c>
      <c r="I933" s="104">
        <f>'P&amp;L Acumulado'!K37</f>
        <v>0.7650737869057247</v>
      </c>
      <c r="J933" t="s">
        <v>1071</v>
      </c>
      <c r="K933" t="s">
        <v>858</v>
      </c>
      <c r="L933">
        <v>37</v>
      </c>
    </row>
    <row r="934" spans="1:12" ht="18" customHeight="1" x14ac:dyDescent="0.25">
      <c r="A934" t="s">
        <v>1070</v>
      </c>
      <c r="B934" s="23">
        <f>'P&amp;L Acumulado'!$G$1</f>
        <v>46053</v>
      </c>
      <c r="C934" s="23">
        <f>'P&amp;L Acumulado'!$I$1</f>
        <v>46112</v>
      </c>
      <c r="D934" s="23">
        <f>'P&amp;L Acumulado'!$I$1</f>
        <v>46112</v>
      </c>
      <c r="E934" t="str">
        <f>TEXT('P&amp;L Acumulado'!$G$1,"mmm/yyyy")&amp;" a "&amp;TEXT('P&amp;L Acumulado'!$I$1,"mmm/yyyy")</f>
        <v>jan/yyyy a mar/yyyy</v>
      </c>
      <c r="F934" t="s">
        <v>37</v>
      </c>
      <c r="G934" t="s">
        <v>96</v>
      </c>
      <c r="H934" t="s">
        <v>5</v>
      </c>
      <c r="I934" s="429">
        <f>'P&amp;L Acumulado'!L37</f>
        <v>-1372737.29</v>
      </c>
      <c r="J934" t="s">
        <v>1071</v>
      </c>
      <c r="K934" t="s">
        <v>859</v>
      </c>
      <c r="L934">
        <v>37</v>
      </c>
    </row>
    <row r="935" spans="1:12" ht="18" customHeight="1" x14ac:dyDescent="0.25">
      <c r="A935" t="s">
        <v>1070</v>
      </c>
      <c r="B935" s="23">
        <f>'P&amp;L Acumulado'!$G$1</f>
        <v>46053</v>
      </c>
      <c r="C935" s="23">
        <f>'P&amp;L Acumulado'!$I$1</f>
        <v>46112</v>
      </c>
      <c r="D935" s="23">
        <f>'P&amp;L Acumulado'!$I$1</f>
        <v>46112</v>
      </c>
      <c r="E935" t="str">
        <f>TEXT('P&amp;L Acumulado'!$G$1,"mmm/yyyy")&amp;" a "&amp;TEXT('P&amp;L Acumulado'!$I$1,"mmm/yyyy")</f>
        <v>jan/yyyy a mar/yyyy</v>
      </c>
      <c r="F935" t="s">
        <v>37</v>
      </c>
      <c r="G935" t="s">
        <v>96</v>
      </c>
      <c r="H935" t="s">
        <v>6</v>
      </c>
      <c r="I935" s="429">
        <f>'P&amp;L Acumulado'!M37</f>
        <v>-606623.37662337662</v>
      </c>
      <c r="J935" t="s">
        <v>1071</v>
      </c>
      <c r="K935" t="s">
        <v>1185</v>
      </c>
      <c r="L935">
        <v>37</v>
      </c>
    </row>
    <row r="936" spans="1:12" ht="18" customHeight="1" x14ac:dyDescent="0.25">
      <c r="A936" t="s">
        <v>1070</v>
      </c>
      <c r="B936" s="23">
        <f>'P&amp;L Acumulado'!$G$1</f>
        <v>46053</v>
      </c>
      <c r="C936" s="23">
        <f>'P&amp;L Acumulado'!$I$1</f>
        <v>46112</v>
      </c>
      <c r="D936" s="23">
        <f>'P&amp;L Acumulado'!$I$1</f>
        <v>46112</v>
      </c>
      <c r="E936" t="str">
        <f>TEXT('P&amp;L Acumulado'!$G$1,"mmm/yyyy")&amp;" a "&amp;TEXT('P&amp;L Acumulado'!$I$1,"mmm/yyyy")</f>
        <v>jan/yyyy a mar/yyyy</v>
      </c>
      <c r="F936" t="s">
        <v>37</v>
      </c>
      <c r="G936" t="s">
        <v>96</v>
      </c>
      <c r="H936" t="s">
        <v>549</v>
      </c>
      <c r="I936" s="104">
        <f>'P&amp;L Acumulado'!N37</f>
        <v>1.2629152500535219</v>
      </c>
      <c r="J936" t="s">
        <v>1071</v>
      </c>
      <c r="K936" t="s">
        <v>1186</v>
      </c>
      <c r="L936">
        <v>37</v>
      </c>
    </row>
    <row r="937" spans="1:12" ht="18" customHeight="1" x14ac:dyDescent="0.25">
      <c r="A937" t="s">
        <v>1070</v>
      </c>
      <c r="B937" s="23">
        <f>'P&amp;L Acumulado'!$G$1</f>
        <v>46053</v>
      </c>
      <c r="C937" s="23">
        <f>'P&amp;L Acumulado'!$I$1</f>
        <v>46112</v>
      </c>
      <c r="D937" s="23">
        <f>'P&amp;L Acumulado'!$I$1</f>
        <v>46112</v>
      </c>
      <c r="E937" t="str">
        <f>TEXT('P&amp;L Acumulado'!$G$1,"mmm/yyyy")&amp;" a "&amp;TEXT('P&amp;L Acumulado'!$I$1,"mmm/yyyy")</f>
        <v>jan/yyyy a mar/yyyy</v>
      </c>
      <c r="F937" t="s">
        <v>37</v>
      </c>
      <c r="G937" t="s">
        <v>96</v>
      </c>
      <c r="H937" t="s">
        <v>557</v>
      </c>
      <c r="I937" s="429">
        <f>'P&amp;L Acumulado'!O37</f>
        <v>766113.91337662342</v>
      </c>
      <c r="J937" t="s">
        <v>1071</v>
      </c>
      <c r="K937" t="s">
        <v>1187</v>
      </c>
      <c r="L937">
        <v>37</v>
      </c>
    </row>
    <row r="938" spans="1:12" ht="18" customHeight="1" x14ac:dyDescent="0.25">
      <c r="A938" t="s">
        <v>1070</v>
      </c>
      <c r="B938" s="23">
        <f>'P&amp;L Acumulado'!$G$1</f>
        <v>46053</v>
      </c>
      <c r="C938" s="23">
        <f>'P&amp;L Acumulado'!$I$1</f>
        <v>46112</v>
      </c>
      <c r="D938" s="23">
        <f>'P&amp;L Acumulado'!$I$1</f>
        <v>46112</v>
      </c>
      <c r="E938" t="str">
        <f>TEXT('P&amp;L Acumulado'!$G$1,"mmm/yyyy")&amp;" a "&amp;TEXT('P&amp;L Acumulado'!$I$1,"mmm/yyyy")</f>
        <v>jan/yyyy a mar/yyyy</v>
      </c>
      <c r="F938" t="s">
        <v>38</v>
      </c>
      <c r="G938" t="s">
        <v>252</v>
      </c>
      <c r="H938" t="s">
        <v>5</v>
      </c>
      <c r="I938" s="429">
        <f>'P&amp;L Acumulado'!C38</f>
        <v>0</v>
      </c>
      <c r="J938" t="s">
        <v>1071</v>
      </c>
      <c r="K938" t="s">
        <v>860</v>
      </c>
      <c r="L938">
        <v>38</v>
      </c>
    </row>
    <row r="939" spans="1:12" ht="18" customHeight="1" x14ac:dyDescent="0.25">
      <c r="A939" t="s">
        <v>1070</v>
      </c>
      <c r="B939" s="23">
        <f>'P&amp;L Acumulado'!$G$1</f>
        <v>46053</v>
      </c>
      <c r="C939" s="23">
        <f>'P&amp;L Acumulado'!$I$1</f>
        <v>46112</v>
      </c>
      <c r="D939" s="23">
        <f>'P&amp;L Acumulado'!$I$1</f>
        <v>46112</v>
      </c>
      <c r="E939" t="str">
        <f>TEXT('P&amp;L Acumulado'!$G$1,"mmm/yyyy")&amp;" a "&amp;TEXT('P&amp;L Acumulado'!$I$1,"mmm/yyyy")</f>
        <v>jan/yyyy a mar/yyyy</v>
      </c>
      <c r="F939" t="s">
        <v>38</v>
      </c>
      <c r="G939" t="s">
        <v>252</v>
      </c>
      <c r="H939" t="s">
        <v>6</v>
      </c>
      <c r="I939" s="429">
        <f>'P&amp;L Acumulado'!D38</f>
        <v>0</v>
      </c>
      <c r="J939" t="s">
        <v>1071</v>
      </c>
      <c r="K939" t="s">
        <v>861</v>
      </c>
      <c r="L939">
        <v>38</v>
      </c>
    </row>
    <row r="940" spans="1:12" ht="18" customHeight="1" x14ac:dyDescent="0.25">
      <c r="A940" t="s">
        <v>1070</v>
      </c>
      <c r="B940" s="23">
        <f>'P&amp;L Acumulado'!$G$1</f>
        <v>46053</v>
      </c>
      <c r="C940" s="23">
        <f>'P&amp;L Acumulado'!$I$1</f>
        <v>46112</v>
      </c>
      <c r="D940" s="23">
        <f>'P&amp;L Acumulado'!$I$1</f>
        <v>46112</v>
      </c>
      <c r="E940" t="str">
        <f>TEXT('P&amp;L Acumulado'!$G$1,"mmm/yyyy")&amp;" a "&amp;TEXT('P&amp;L Acumulado'!$I$1,"mmm/yyyy")</f>
        <v>jan/yyyy a mar/yyyy</v>
      </c>
      <c r="F940" t="s">
        <v>38</v>
      </c>
      <c r="G940" t="s">
        <v>252</v>
      </c>
      <c r="H940" t="s">
        <v>549</v>
      </c>
      <c r="I940" s="104" t="str">
        <f>'P&amp;L Acumulado'!E38</f>
        <v>-</v>
      </c>
      <c r="J940" t="s">
        <v>1071</v>
      </c>
      <c r="K940" t="s">
        <v>862</v>
      </c>
      <c r="L940">
        <v>38</v>
      </c>
    </row>
    <row r="941" spans="1:12" ht="18" customHeight="1" x14ac:dyDescent="0.25">
      <c r="A941" t="s">
        <v>1070</v>
      </c>
      <c r="B941" s="23">
        <f>'P&amp;L Acumulado'!$G$1</f>
        <v>46053</v>
      </c>
      <c r="C941" s="23">
        <f>'P&amp;L Acumulado'!$I$1</f>
        <v>46112</v>
      </c>
      <c r="D941" s="23">
        <f>'P&amp;L Acumulado'!$I$1</f>
        <v>46112</v>
      </c>
      <c r="E941" t="str">
        <f>TEXT('P&amp;L Acumulado'!$G$1,"mmm/yyyy")&amp;" a "&amp;TEXT('P&amp;L Acumulado'!$I$1,"mmm/yyyy")</f>
        <v>jan/yyyy a mar/yyyy</v>
      </c>
      <c r="F941" t="s">
        <v>38</v>
      </c>
      <c r="G941" t="s">
        <v>205</v>
      </c>
      <c r="H941" t="s">
        <v>5</v>
      </c>
      <c r="I941" s="429">
        <f>'P&amp;L Acumulado'!F38</f>
        <v>6428352.8751353677</v>
      </c>
      <c r="J941" t="s">
        <v>1071</v>
      </c>
      <c r="K941" t="s">
        <v>863</v>
      </c>
      <c r="L941">
        <v>38</v>
      </c>
    </row>
    <row r="942" spans="1:12" ht="18" customHeight="1" x14ac:dyDescent="0.25">
      <c r="A942" t="s">
        <v>1070</v>
      </c>
      <c r="B942" s="23">
        <f>'P&amp;L Acumulado'!$G$1</f>
        <v>46053</v>
      </c>
      <c r="C942" s="23">
        <f>'P&amp;L Acumulado'!$I$1</f>
        <v>46112</v>
      </c>
      <c r="D942" s="23">
        <f>'P&amp;L Acumulado'!$I$1</f>
        <v>46112</v>
      </c>
      <c r="E942" t="str">
        <f>TEXT('P&amp;L Acumulado'!$G$1,"mmm/yyyy")&amp;" a "&amp;TEXT('P&amp;L Acumulado'!$I$1,"mmm/yyyy")</f>
        <v>jan/yyyy a mar/yyyy</v>
      </c>
      <c r="F942" t="s">
        <v>38</v>
      </c>
      <c r="G942" t="s">
        <v>205</v>
      </c>
      <c r="H942" t="s">
        <v>6</v>
      </c>
      <c r="I942" s="429">
        <f>'P&amp;L Acumulado'!G38</f>
        <v>6814091.7326757405</v>
      </c>
      <c r="J942" t="s">
        <v>1071</v>
      </c>
      <c r="K942" t="s">
        <v>864</v>
      </c>
      <c r="L942">
        <v>38</v>
      </c>
    </row>
    <row r="943" spans="1:12" ht="18" customHeight="1" x14ac:dyDescent="0.25">
      <c r="A943" t="s">
        <v>1070</v>
      </c>
      <c r="B943" s="23">
        <f>'P&amp;L Acumulado'!$G$1</f>
        <v>46053</v>
      </c>
      <c r="C943" s="23">
        <f>'P&amp;L Acumulado'!$I$1</f>
        <v>46112</v>
      </c>
      <c r="D943" s="23">
        <f>'P&amp;L Acumulado'!$I$1</f>
        <v>46112</v>
      </c>
      <c r="E943" t="str">
        <f>TEXT('P&amp;L Acumulado'!$G$1,"mmm/yyyy")&amp;" a "&amp;TEXT('P&amp;L Acumulado'!$I$1,"mmm/yyyy")</f>
        <v>jan/yyyy a mar/yyyy</v>
      </c>
      <c r="F943" t="s">
        <v>38</v>
      </c>
      <c r="G943" t="s">
        <v>205</v>
      </c>
      <c r="H943" t="s">
        <v>549</v>
      </c>
      <c r="I943" s="104">
        <f>'P&amp;L Acumulado'!H38</f>
        <v>-5.6608990995913988E-2</v>
      </c>
      <c r="J943" t="s">
        <v>1071</v>
      </c>
      <c r="K943" t="s">
        <v>865</v>
      </c>
      <c r="L943">
        <v>38</v>
      </c>
    </row>
    <row r="944" spans="1:12" ht="18" customHeight="1" x14ac:dyDescent="0.25">
      <c r="A944" t="s">
        <v>1070</v>
      </c>
      <c r="B944" s="23">
        <f>'P&amp;L Acumulado'!$G$1</f>
        <v>46053</v>
      </c>
      <c r="C944" s="23">
        <f>'P&amp;L Acumulado'!$I$1</f>
        <v>46112</v>
      </c>
      <c r="D944" s="23">
        <f>'P&amp;L Acumulado'!$I$1</f>
        <v>46112</v>
      </c>
      <c r="E944" t="str">
        <f>TEXT('P&amp;L Acumulado'!$G$1,"mmm/yyyy")&amp;" a "&amp;TEXT('P&amp;L Acumulado'!$I$1,"mmm/yyyy")</f>
        <v>jan/yyyy a mar/yyyy</v>
      </c>
      <c r="F944" t="s">
        <v>38</v>
      </c>
      <c r="G944" t="s">
        <v>220</v>
      </c>
      <c r="H944" t="s">
        <v>5</v>
      </c>
      <c r="I944" s="429">
        <f>'P&amp;L Acumulado'!I38</f>
        <v>26012920.443664677</v>
      </c>
      <c r="J944" t="s">
        <v>1071</v>
      </c>
      <c r="K944" t="s">
        <v>866</v>
      </c>
      <c r="L944">
        <v>38</v>
      </c>
    </row>
    <row r="945" spans="1:12" ht="18" customHeight="1" x14ac:dyDescent="0.25">
      <c r="A945" t="s">
        <v>1070</v>
      </c>
      <c r="B945" s="23">
        <f>'P&amp;L Acumulado'!$G$1</f>
        <v>46053</v>
      </c>
      <c r="C945" s="23">
        <f>'P&amp;L Acumulado'!$I$1</f>
        <v>46112</v>
      </c>
      <c r="D945" s="23">
        <f>'P&amp;L Acumulado'!$I$1</f>
        <v>46112</v>
      </c>
      <c r="E945" t="str">
        <f>TEXT('P&amp;L Acumulado'!$G$1,"mmm/yyyy")&amp;" a "&amp;TEXT('P&amp;L Acumulado'!$I$1,"mmm/yyyy")</f>
        <v>jan/yyyy a mar/yyyy</v>
      </c>
      <c r="F945" t="s">
        <v>38</v>
      </c>
      <c r="G945" t="s">
        <v>220</v>
      </c>
      <c r="H945" t="s">
        <v>6</v>
      </c>
      <c r="I945" s="429">
        <f>'P&amp;L Acumulado'!J38</f>
        <v>23294115.041344576</v>
      </c>
      <c r="J945" t="s">
        <v>1071</v>
      </c>
      <c r="K945" t="s">
        <v>867</v>
      </c>
      <c r="L945">
        <v>38</v>
      </c>
    </row>
    <row r="946" spans="1:12" ht="18" customHeight="1" x14ac:dyDescent="0.25">
      <c r="A946" t="s">
        <v>1070</v>
      </c>
      <c r="B946" s="23">
        <f>'P&amp;L Acumulado'!$G$1</f>
        <v>46053</v>
      </c>
      <c r="C946" s="23">
        <f>'P&amp;L Acumulado'!$I$1</f>
        <v>46112</v>
      </c>
      <c r="D946" s="23">
        <f>'P&amp;L Acumulado'!$I$1</f>
        <v>46112</v>
      </c>
      <c r="E946" t="str">
        <f>TEXT('P&amp;L Acumulado'!$G$1,"mmm/yyyy")&amp;" a "&amp;TEXT('P&amp;L Acumulado'!$I$1,"mmm/yyyy")</f>
        <v>jan/yyyy a mar/yyyy</v>
      </c>
      <c r="F946" t="s">
        <v>38</v>
      </c>
      <c r="G946" t="s">
        <v>220</v>
      </c>
      <c r="H946" t="s">
        <v>549</v>
      </c>
      <c r="I946" s="104">
        <f>'P&amp;L Acumulado'!K38</f>
        <v>0.11671640659001259</v>
      </c>
      <c r="J946" t="s">
        <v>1071</v>
      </c>
      <c r="K946" t="s">
        <v>868</v>
      </c>
      <c r="L946">
        <v>38</v>
      </c>
    </row>
    <row r="947" spans="1:12" ht="18" customHeight="1" x14ac:dyDescent="0.25">
      <c r="A947" t="s">
        <v>1070</v>
      </c>
      <c r="B947" s="23">
        <f>'P&amp;L Acumulado'!$G$1</f>
        <v>46053</v>
      </c>
      <c r="C947" s="23">
        <f>'P&amp;L Acumulado'!$I$1</f>
        <v>46112</v>
      </c>
      <c r="D947" s="23">
        <f>'P&amp;L Acumulado'!$I$1</f>
        <v>46112</v>
      </c>
      <c r="E947" t="str">
        <f>TEXT('P&amp;L Acumulado'!$G$1,"mmm/yyyy")&amp;" a "&amp;TEXT('P&amp;L Acumulado'!$I$1,"mmm/yyyy")</f>
        <v>jan/yyyy a mar/yyyy</v>
      </c>
      <c r="F947" t="s">
        <v>38</v>
      </c>
      <c r="G947" t="s">
        <v>96</v>
      </c>
      <c r="H947" t="s">
        <v>5</v>
      </c>
      <c r="I947" s="429">
        <f>'P&amp;L Acumulado'!L38</f>
        <v>32441273.318800032</v>
      </c>
      <c r="J947" t="s">
        <v>1071</v>
      </c>
      <c r="K947" t="s">
        <v>869</v>
      </c>
      <c r="L947">
        <v>38</v>
      </c>
    </row>
    <row r="948" spans="1:12" ht="18" customHeight="1" x14ac:dyDescent="0.25">
      <c r="A948" t="s">
        <v>1070</v>
      </c>
      <c r="B948" s="23">
        <f>'P&amp;L Acumulado'!$G$1</f>
        <v>46053</v>
      </c>
      <c r="C948" s="23">
        <f>'P&amp;L Acumulado'!$I$1</f>
        <v>46112</v>
      </c>
      <c r="D948" s="23">
        <f>'P&amp;L Acumulado'!$I$1</f>
        <v>46112</v>
      </c>
      <c r="E948" t="str">
        <f>TEXT('P&amp;L Acumulado'!$G$1,"mmm/yyyy")&amp;" a "&amp;TEXT('P&amp;L Acumulado'!$I$1,"mmm/yyyy")</f>
        <v>jan/yyyy a mar/yyyy</v>
      </c>
      <c r="F948" t="s">
        <v>38</v>
      </c>
      <c r="G948" t="s">
        <v>96</v>
      </c>
      <c r="H948" t="s">
        <v>6</v>
      </c>
      <c r="I948" s="429">
        <f>'P&amp;L Acumulado'!M38</f>
        <v>30108206.774020314</v>
      </c>
      <c r="J948" t="s">
        <v>1071</v>
      </c>
      <c r="K948" t="s">
        <v>1188</v>
      </c>
      <c r="L948">
        <v>38</v>
      </c>
    </row>
    <row r="949" spans="1:12" ht="18" customHeight="1" x14ac:dyDescent="0.25">
      <c r="A949" t="s">
        <v>1070</v>
      </c>
      <c r="B949" s="23">
        <f>'P&amp;L Acumulado'!$G$1</f>
        <v>46053</v>
      </c>
      <c r="C949" s="23">
        <f>'P&amp;L Acumulado'!$I$1</f>
        <v>46112</v>
      </c>
      <c r="D949" s="23">
        <f>'P&amp;L Acumulado'!$I$1</f>
        <v>46112</v>
      </c>
      <c r="E949" t="str">
        <f>TEXT('P&amp;L Acumulado'!$G$1,"mmm/yyyy")&amp;" a "&amp;TEXT('P&amp;L Acumulado'!$I$1,"mmm/yyyy")</f>
        <v>jan/yyyy a mar/yyyy</v>
      </c>
      <c r="F949" t="s">
        <v>38</v>
      </c>
      <c r="G949" t="s">
        <v>96</v>
      </c>
      <c r="H949" t="s">
        <v>549</v>
      </c>
      <c r="I949" s="104">
        <f>'P&amp;L Acumulado'!N38</f>
        <v>7.7489388932749925E-2</v>
      </c>
      <c r="J949" t="s">
        <v>1071</v>
      </c>
      <c r="K949" t="s">
        <v>1189</v>
      </c>
      <c r="L949">
        <v>38</v>
      </c>
    </row>
    <row r="950" spans="1:12" ht="18" customHeight="1" x14ac:dyDescent="0.25">
      <c r="A950" t="s">
        <v>1070</v>
      </c>
      <c r="B950" s="23">
        <f>'P&amp;L Acumulado'!$G$1</f>
        <v>46053</v>
      </c>
      <c r="C950" s="23">
        <f>'P&amp;L Acumulado'!$I$1</f>
        <v>46112</v>
      </c>
      <c r="D950" s="23">
        <f>'P&amp;L Acumulado'!$I$1</f>
        <v>46112</v>
      </c>
      <c r="E950" t="str">
        <f>TEXT('P&amp;L Acumulado'!$G$1,"mmm/yyyy")&amp;" a "&amp;TEXT('P&amp;L Acumulado'!$I$1,"mmm/yyyy")</f>
        <v>jan/yyyy a mar/yyyy</v>
      </c>
      <c r="F950" t="s">
        <v>38</v>
      </c>
      <c r="G950" t="s">
        <v>96</v>
      </c>
      <c r="H950" t="s">
        <v>557</v>
      </c>
      <c r="I950" s="429">
        <f>'P&amp;L Acumulado'!O38</f>
        <v>2333066.5447797179</v>
      </c>
      <c r="J950" t="s">
        <v>1071</v>
      </c>
      <c r="K950" t="s">
        <v>1190</v>
      </c>
      <c r="L950">
        <v>38</v>
      </c>
    </row>
    <row r="951" spans="1:12" ht="18" customHeight="1" x14ac:dyDescent="0.25">
      <c r="A951" t="s">
        <v>1070</v>
      </c>
      <c r="B951" s="23">
        <f>'P&amp;L Acumulado'!$G$1</f>
        <v>46053</v>
      </c>
      <c r="C951" s="23">
        <f>'P&amp;L Acumulado'!$I$1</f>
        <v>46112</v>
      </c>
      <c r="D951" s="23">
        <f>'P&amp;L Acumulado'!$I$1</f>
        <v>46112</v>
      </c>
      <c r="E951" t="str">
        <f>TEXT('P&amp;L Acumulado'!$G$1,"mmm/yyyy")&amp;" a "&amp;TEXT('P&amp;L Acumulado'!$I$1,"mmm/yyyy")</f>
        <v>jan/yyyy a mar/yyyy</v>
      </c>
      <c r="F951" t="s">
        <v>39</v>
      </c>
      <c r="G951" t="s">
        <v>252</v>
      </c>
      <c r="H951" t="s">
        <v>5</v>
      </c>
      <c r="I951" s="429">
        <f>'P&amp;L Acumulado'!C39</f>
        <v>0</v>
      </c>
      <c r="J951" t="s">
        <v>1071</v>
      </c>
      <c r="K951" t="s">
        <v>870</v>
      </c>
      <c r="L951">
        <v>39</v>
      </c>
    </row>
    <row r="952" spans="1:12" ht="18" customHeight="1" x14ac:dyDescent="0.25">
      <c r="A952" t="s">
        <v>1070</v>
      </c>
      <c r="B952" s="23">
        <f>'P&amp;L Acumulado'!$G$1</f>
        <v>46053</v>
      </c>
      <c r="C952" s="23">
        <f>'P&amp;L Acumulado'!$I$1</f>
        <v>46112</v>
      </c>
      <c r="D952" s="23">
        <f>'P&amp;L Acumulado'!$I$1</f>
        <v>46112</v>
      </c>
      <c r="E952" t="str">
        <f>TEXT('P&amp;L Acumulado'!$G$1,"mmm/yyyy")&amp;" a "&amp;TEXT('P&amp;L Acumulado'!$I$1,"mmm/yyyy")</f>
        <v>jan/yyyy a mar/yyyy</v>
      </c>
      <c r="F952" t="s">
        <v>39</v>
      </c>
      <c r="G952" t="s">
        <v>252</v>
      </c>
      <c r="H952" t="s">
        <v>6</v>
      </c>
      <c r="I952" s="429">
        <f>'P&amp;L Acumulado'!D39</f>
        <v>0</v>
      </c>
      <c r="J952" t="s">
        <v>1071</v>
      </c>
      <c r="K952" t="s">
        <v>871</v>
      </c>
      <c r="L952">
        <v>39</v>
      </c>
    </row>
    <row r="953" spans="1:12" ht="18" customHeight="1" x14ac:dyDescent="0.25">
      <c r="A953" t="s">
        <v>1070</v>
      </c>
      <c r="B953" s="23">
        <f>'P&amp;L Acumulado'!$G$1</f>
        <v>46053</v>
      </c>
      <c r="C953" s="23">
        <f>'P&amp;L Acumulado'!$I$1</f>
        <v>46112</v>
      </c>
      <c r="D953" s="23">
        <f>'P&amp;L Acumulado'!$I$1</f>
        <v>46112</v>
      </c>
      <c r="E953" t="str">
        <f>TEXT('P&amp;L Acumulado'!$G$1,"mmm/yyyy")&amp;" a "&amp;TEXT('P&amp;L Acumulado'!$I$1,"mmm/yyyy")</f>
        <v>jan/yyyy a mar/yyyy</v>
      </c>
      <c r="F953" t="s">
        <v>39</v>
      </c>
      <c r="G953" t="s">
        <v>252</v>
      </c>
      <c r="H953" t="s">
        <v>549</v>
      </c>
      <c r="I953" s="104" t="str">
        <f>'P&amp;L Acumulado'!E39</f>
        <v>-</v>
      </c>
      <c r="J953" t="s">
        <v>1071</v>
      </c>
      <c r="K953" t="s">
        <v>872</v>
      </c>
      <c r="L953">
        <v>39</v>
      </c>
    </row>
    <row r="954" spans="1:12" ht="18" customHeight="1" x14ac:dyDescent="0.25">
      <c r="A954" t="s">
        <v>1070</v>
      </c>
      <c r="B954" s="23">
        <f>'P&amp;L Acumulado'!$G$1</f>
        <v>46053</v>
      </c>
      <c r="C954" s="23">
        <f>'P&amp;L Acumulado'!$I$1</f>
        <v>46112</v>
      </c>
      <c r="D954" s="23">
        <f>'P&amp;L Acumulado'!$I$1</f>
        <v>46112</v>
      </c>
      <c r="E954" t="str">
        <f>TEXT('P&amp;L Acumulado'!$G$1,"mmm/yyyy")&amp;" a "&amp;TEXT('P&amp;L Acumulado'!$I$1,"mmm/yyyy")</f>
        <v>jan/yyyy a mar/yyyy</v>
      </c>
      <c r="F954" t="s">
        <v>39</v>
      </c>
      <c r="G954" t="s">
        <v>205</v>
      </c>
      <c r="H954" t="s">
        <v>5</v>
      </c>
      <c r="I954" s="429">
        <f>'P&amp;L Acumulado'!F39</f>
        <v>-1843131.0784079724</v>
      </c>
      <c r="J954" t="s">
        <v>1071</v>
      </c>
      <c r="K954" t="s">
        <v>873</v>
      </c>
      <c r="L954">
        <v>39</v>
      </c>
    </row>
    <row r="955" spans="1:12" ht="18" customHeight="1" x14ac:dyDescent="0.25">
      <c r="A955" t="s">
        <v>1070</v>
      </c>
      <c r="B955" s="23">
        <f>'P&amp;L Acumulado'!$G$1</f>
        <v>46053</v>
      </c>
      <c r="C955" s="23">
        <f>'P&amp;L Acumulado'!$I$1</f>
        <v>46112</v>
      </c>
      <c r="D955" s="23">
        <f>'P&amp;L Acumulado'!$I$1</f>
        <v>46112</v>
      </c>
      <c r="E955" t="str">
        <f>TEXT('P&amp;L Acumulado'!$G$1,"mmm/yyyy")&amp;" a "&amp;TEXT('P&amp;L Acumulado'!$I$1,"mmm/yyyy")</f>
        <v>jan/yyyy a mar/yyyy</v>
      </c>
      <c r="F955" t="s">
        <v>39</v>
      </c>
      <c r="G955" t="s">
        <v>205</v>
      </c>
      <c r="H955" t="s">
        <v>6</v>
      </c>
      <c r="I955" s="429">
        <f>'P&amp;L Acumulado'!G39</f>
        <v>-1780512.1135311949</v>
      </c>
      <c r="J955" t="s">
        <v>1071</v>
      </c>
      <c r="K955" t="s">
        <v>874</v>
      </c>
      <c r="L955">
        <v>39</v>
      </c>
    </row>
    <row r="956" spans="1:12" ht="18" customHeight="1" x14ac:dyDescent="0.25">
      <c r="A956" t="s">
        <v>1070</v>
      </c>
      <c r="B956" s="23">
        <f>'P&amp;L Acumulado'!$G$1</f>
        <v>46053</v>
      </c>
      <c r="C956" s="23">
        <f>'P&amp;L Acumulado'!$I$1</f>
        <v>46112</v>
      </c>
      <c r="D956" s="23">
        <f>'P&amp;L Acumulado'!$I$1</f>
        <v>46112</v>
      </c>
      <c r="E956" t="str">
        <f>TEXT('P&amp;L Acumulado'!$G$1,"mmm/yyyy")&amp;" a "&amp;TEXT('P&amp;L Acumulado'!$I$1,"mmm/yyyy")</f>
        <v>jan/yyyy a mar/yyyy</v>
      </c>
      <c r="F956" t="s">
        <v>39</v>
      </c>
      <c r="G956" t="s">
        <v>205</v>
      </c>
      <c r="H956" t="s">
        <v>549</v>
      </c>
      <c r="I956" s="104">
        <f>'P&amp;L Acumulado'!H39</f>
        <v>3.5169075459188237E-2</v>
      </c>
      <c r="J956" t="s">
        <v>1071</v>
      </c>
      <c r="K956" t="s">
        <v>875</v>
      </c>
      <c r="L956">
        <v>39</v>
      </c>
    </row>
    <row r="957" spans="1:12" ht="18" customHeight="1" x14ac:dyDescent="0.25">
      <c r="A957" t="s">
        <v>1070</v>
      </c>
      <c r="B957" s="23">
        <f>'P&amp;L Acumulado'!$G$1</f>
        <v>46053</v>
      </c>
      <c r="C957" s="23">
        <f>'P&amp;L Acumulado'!$I$1</f>
        <v>46112</v>
      </c>
      <c r="D957" s="23">
        <f>'P&amp;L Acumulado'!$I$1</f>
        <v>46112</v>
      </c>
      <c r="E957" t="str">
        <f>TEXT('P&amp;L Acumulado'!$G$1,"mmm/yyyy")&amp;" a "&amp;TEXT('P&amp;L Acumulado'!$I$1,"mmm/yyyy")</f>
        <v>jan/yyyy a mar/yyyy</v>
      </c>
      <c r="F957" t="s">
        <v>39</v>
      </c>
      <c r="G957" t="s">
        <v>220</v>
      </c>
      <c r="H957" t="s">
        <v>5</v>
      </c>
      <c r="I957" s="429">
        <f>'P&amp;L Acumulado'!I39</f>
        <v>-5790453.2403920759</v>
      </c>
      <c r="J957" t="s">
        <v>1071</v>
      </c>
      <c r="K957" t="s">
        <v>876</v>
      </c>
      <c r="L957">
        <v>39</v>
      </c>
    </row>
    <row r="958" spans="1:12" ht="18" customHeight="1" x14ac:dyDescent="0.25">
      <c r="A958" t="s">
        <v>1070</v>
      </c>
      <c r="B958" s="23">
        <f>'P&amp;L Acumulado'!$G$1</f>
        <v>46053</v>
      </c>
      <c r="C958" s="23">
        <f>'P&amp;L Acumulado'!$I$1</f>
        <v>46112</v>
      </c>
      <c r="D958" s="23">
        <f>'P&amp;L Acumulado'!$I$1</f>
        <v>46112</v>
      </c>
      <c r="E958" t="str">
        <f>TEXT('P&amp;L Acumulado'!$G$1,"mmm/yyyy")&amp;" a "&amp;TEXT('P&amp;L Acumulado'!$I$1,"mmm/yyyy")</f>
        <v>jan/yyyy a mar/yyyy</v>
      </c>
      <c r="F958" t="s">
        <v>39</v>
      </c>
      <c r="G958" t="s">
        <v>220</v>
      </c>
      <c r="H958" t="s">
        <v>6</v>
      </c>
      <c r="I958" s="429">
        <f>'P&amp;L Acumulado'!J39</f>
        <v>-6168799.2393088304</v>
      </c>
      <c r="J958" t="s">
        <v>1071</v>
      </c>
      <c r="K958" t="s">
        <v>877</v>
      </c>
      <c r="L958">
        <v>39</v>
      </c>
    </row>
    <row r="959" spans="1:12" ht="18" customHeight="1" x14ac:dyDescent="0.25">
      <c r="A959" t="s">
        <v>1070</v>
      </c>
      <c r="B959" s="23">
        <f>'P&amp;L Acumulado'!$G$1</f>
        <v>46053</v>
      </c>
      <c r="C959" s="23">
        <f>'P&amp;L Acumulado'!$I$1</f>
        <v>46112</v>
      </c>
      <c r="D959" s="23">
        <f>'P&amp;L Acumulado'!$I$1</f>
        <v>46112</v>
      </c>
      <c r="E959" t="str">
        <f>TEXT('P&amp;L Acumulado'!$G$1,"mmm/yyyy")&amp;" a "&amp;TEXT('P&amp;L Acumulado'!$I$1,"mmm/yyyy")</f>
        <v>jan/yyyy a mar/yyyy</v>
      </c>
      <c r="F959" t="s">
        <v>39</v>
      </c>
      <c r="G959" t="s">
        <v>220</v>
      </c>
      <c r="H959" t="s">
        <v>549</v>
      </c>
      <c r="I959" s="104">
        <f>'P&amp;L Acumulado'!K39</f>
        <v>-6.1332195171121429E-2</v>
      </c>
      <c r="J959" t="s">
        <v>1071</v>
      </c>
      <c r="K959" t="s">
        <v>878</v>
      </c>
      <c r="L959">
        <v>39</v>
      </c>
    </row>
    <row r="960" spans="1:12" ht="18" customHeight="1" x14ac:dyDescent="0.25">
      <c r="A960" t="s">
        <v>1070</v>
      </c>
      <c r="B960" s="23">
        <f>'P&amp;L Acumulado'!$G$1</f>
        <v>46053</v>
      </c>
      <c r="C960" s="23">
        <f>'P&amp;L Acumulado'!$I$1</f>
        <v>46112</v>
      </c>
      <c r="D960" s="23">
        <f>'P&amp;L Acumulado'!$I$1</f>
        <v>46112</v>
      </c>
      <c r="E960" t="str">
        <f>TEXT('P&amp;L Acumulado'!$G$1,"mmm/yyyy")&amp;" a "&amp;TEXT('P&amp;L Acumulado'!$I$1,"mmm/yyyy")</f>
        <v>jan/yyyy a mar/yyyy</v>
      </c>
      <c r="F960" t="s">
        <v>39</v>
      </c>
      <c r="G960" t="s">
        <v>96</v>
      </c>
      <c r="H960" t="s">
        <v>5</v>
      </c>
      <c r="I960" s="429">
        <f>'P&amp;L Acumulado'!L39</f>
        <v>-7633584.318800048</v>
      </c>
      <c r="J960" t="s">
        <v>1071</v>
      </c>
      <c r="K960" t="s">
        <v>879</v>
      </c>
      <c r="L960">
        <v>39</v>
      </c>
    </row>
    <row r="961" spans="1:12" ht="18" customHeight="1" x14ac:dyDescent="0.25">
      <c r="A961" t="s">
        <v>1070</v>
      </c>
      <c r="B961" s="23">
        <f>'P&amp;L Acumulado'!$G$1</f>
        <v>46053</v>
      </c>
      <c r="C961" s="23">
        <f>'P&amp;L Acumulado'!$I$1</f>
        <v>46112</v>
      </c>
      <c r="D961" s="23">
        <f>'P&amp;L Acumulado'!$I$1</f>
        <v>46112</v>
      </c>
      <c r="E961" t="str">
        <f>TEXT('P&amp;L Acumulado'!$G$1,"mmm/yyyy")&amp;" a "&amp;TEXT('P&amp;L Acumulado'!$I$1,"mmm/yyyy")</f>
        <v>jan/yyyy a mar/yyyy</v>
      </c>
      <c r="F961" t="s">
        <v>39</v>
      </c>
      <c r="G961" t="s">
        <v>96</v>
      </c>
      <c r="H961" t="s">
        <v>6</v>
      </c>
      <c r="I961" s="429">
        <f>'P&amp;L Acumulado'!M39</f>
        <v>-7949311.352840025</v>
      </c>
      <c r="J961" t="s">
        <v>1071</v>
      </c>
      <c r="K961" t="s">
        <v>1191</v>
      </c>
      <c r="L961">
        <v>39</v>
      </c>
    </row>
    <row r="962" spans="1:12" ht="18" customHeight="1" x14ac:dyDescent="0.25">
      <c r="A962" t="s">
        <v>1070</v>
      </c>
      <c r="B962" s="23">
        <f>'P&amp;L Acumulado'!$G$1</f>
        <v>46053</v>
      </c>
      <c r="C962" s="23">
        <f>'P&amp;L Acumulado'!$I$1</f>
        <v>46112</v>
      </c>
      <c r="D962" s="23">
        <f>'P&amp;L Acumulado'!$I$1</f>
        <v>46112</v>
      </c>
      <c r="E962" t="str">
        <f>TEXT('P&amp;L Acumulado'!$G$1,"mmm/yyyy")&amp;" a "&amp;TEXT('P&amp;L Acumulado'!$I$1,"mmm/yyyy")</f>
        <v>jan/yyyy a mar/yyyy</v>
      </c>
      <c r="F962" t="s">
        <v>39</v>
      </c>
      <c r="G962" t="s">
        <v>96</v>
      </c>
      <c r="H962" t="s">
        <v>549</v>
      </c>
      <c r="I962" s="104">
        <f>'P&amp;L Acumulado'!N39</f>
        <v>-3.9717532755485618E-2</v>
      </c>
      <c r="J962" t="s">
        <v>1071</v>
      </c>
      <c r="K962" t="s">
        <v>1192</v>
      </c>
      <c r="L962">
        <v>39</v>
      </c>
    </row>
    <row r="963" spans="1:12" ht="18" customHeight="1" x14ac:dyDescent="0.25">
      <c r="A963" t="s">
        <v>1070</v>
      </c>
      <c r="B963" s="23">
        <f>'P&amp;L Acumulado'!$G$1</f>
        <v>46053</v>
      </c>
      <c r="C963" s="23">
        <f>'P&amp;L Acumulado'!$I$1</f>
        <v>46112</v>
      </c>
      <c r="D963" s="23">
        <f>'P&amp;L Acumulado'!$I$1</f>
        <v>46112</v>
      </c>
      <c r="E963" t="str">
        <f>TEXT('P&amp;L Acumulado'!$G$1,"mmm/yyyy")&amp;" a "&amp;TEXT('P&amp;L Acumulado'!$I$1,"mmm/yyyy")</f>
        <v>jan/yyyy a mar/yyyy</v>
      </c>
      <c r="F963" t="s">
        <v>39</v>
      </c>
      <c r="G963" t="s">
        <v>96</v>
      </c>
      <c r="H963" t="s">
        <v>557</v>
      </c>
      <c r="I963" s="429">
        <f>'P&amp;L Acumulado'!O39</f>
        <v>-315727.03403997701</v>
      </c>
      <c r="J963" t="s">
        <v>1071</v>
      </c>
      <c r="K963" t="s">
        <v>1193</v>
      </c>
      <c r="L963">
        <v>39</v>
      </c>
    </row>
    <row r="964" spans="1:12" ht="18" customHeight="1" x14ac:dyDescent="0.25">
      <c r="A964" t="s">
        <v>1070</v>
      </c>
      <c r="B964" s="23">
        <f>'P&amp;L Acumulado'!$G$1</f>
        <v>46053</v>
      </c>
      <c r="C964" s="23">
        <f>'P&amp;L Acumulado'!$I$1</f>
        <v>46112</v>
      </c>
      <c r="D964" s="23">
        <f>'P&amp;L Acumulado'!$I$1</f>
        <v>46112</v>
      </c>
      <c r="E964" t="str">
        <f>TEXT('P&amp;L Acumulado'!$G$1,"mmm/yyyy")&amp;" a "&amp;TEXT('P&amp;L Acumulado'!$I$1,"mmm/yyyy")</f>
        <v>jan/yyyy a mar/yyyy</v>
      </c>
      <c r="F964" t="s">
        <v>137</v>
      </c>
      <c r="G964" t="s">
        <v>252</v>
      </c>
      <c r="H964" t="s">
        <v>5</v>
      </c>
      <c r="I964" s="429">
        <f>'P&amp;L Acumulado'!C40</f>
        <v>0</v>
      </c>
      <c r="J964" t="s">
        <v>1071</v>
      </c>
      <c r="K964" t="s">
        <v>880</v>
      </c>
      <c r="L964">
        <v>40</v>
      </c>
    </row>
    <row r="965" spans="1:12" ht="18" customHeight="1" x14ac:dyDescent="0.25">
      <c r="A965" t="s">
        <v>1070</v>
      </c>
      <c r="B965" s="23">
        <f>'P&amp;L Acumulado'!$G$1</f>
        <v>46053</v>
      </c>
      <c r="C965" s="23">
        <f>'P&amp;L Acumulado'!$I$1</f>
        <v>46112</v>
      </c>
      <c r="D965" s="23">
        <f>'P&amp;L Acumulado'!$I$1</f>
        <v>46112</v>
      </c>
      <c r="E965" t="str">
        <f>TEXT('P&amp;L Acumulado'!$G$1,"mmm/yyyy")&amp;" a "&amp;TEXT('P&amp;L Acumulado'!$I$1,"mmm/yyyy")</f>
        <v>jan/yyyy a mar/yyyy</v>
      </c>
      <c r="F965" t="s">
        <v>137</v>
      </c>
      <c r="G965" t="s">
        <v>252</v>
      </c>
      <c r="H965" t="s">
        <v>6</v>
      </c>
      <c r="I965" s="429">
        <f>'P&amp;L Acumulado'!D40</f>
        <v>0</v>
      </c>
      <c r="J965" t="s">
        <v>1071</v>
      </c>
      <c r="K965" t="s">
        <v>881</v>
      </c>
      <c r="L965">
        <v>40</v>
      </c>
    </row>
    <row r="966" spans="1:12" ht="18" customHeight="1" x14ac:dyDescent="0.25">
      <c r="A966" t="s">
        <v>1070</v>
      </c>
      <c r="B966" s="23">
        <f>'P&amp;L Acumulado'!$G$1</f>
        <v>46053</v>
      </c>
      <c r="C966" s="23">
        <f>'P&amp;L Acumulado'!$I$1</f>
        <v>46112</v>
      </c>
      <c r="D966" s="23">
        <f>'P&amp;L Acumulado'!$I$1</f>
        <v>46112</v>
      </c>
      <c r="E966" t="str">
        <f>TEXT('P&amp;L Acumulado'!$G$1,"mmm/yyyy")&amp;" a "&amp;TEXT('P&amp;L Acumulado'!$I$1,"mmm/yyyy")</f>
        <v>jan/yyyy a mar/yyyy</v>
      </c>
      <c r="F966" t="s">
        <v>137</v>
      </c>
      <c r="G966" t="s">
        <v>252</v>
      </c>
      <c r="H966" t="s">
        <v>549</v>
      </c>
      <c r="I966" s="104">
        <f>'P&amp;L Acumulado'!E40</f>
        <v>0</v>
      </c>
      <c r="J966" t="s">
        <v>1071</v>
      </c>
      <c r="K966" t="s">
        <v>882</v>
      </c>
      <c r="L966">
        <v>40</v>
      </c>
    </row>
    <row r="967" spans="1:12" ht="18" customHeight="1" x14ac:dyDescent="0.25">
      <c r="A967" t="s">
        <v>1070</v>
      </c>
      <c r="B967" s="23">
        <f>'P&amp;L Acumulado'!$G$1</f>
        <v>46053</v>
      </c>
      <c r="C967" s="23">
        <f>'P&amp;L Acumulado'!$I$1</f>
        <v>46112</v>
      </c>
      <c r="D967" s="23">
        <f>'P&amp;L Acumulado'!$I$1</f>
        <v>46112</v>
      </c>
      <c r="E967" t="str">
        <f>TEXT('P&amp;L Acumulado'!$G$1,"mmm/yyyy")&amp;" a "&amp;TEXT('P&amp;L Acumulado'!$I$1,"mmm/yyyy")</f>
        <v>jan/yyyy a mar/yyyy</v>
      </c>
      <c r="F967" t="s">
        <v>137</v>
      </c>
      <c r="G967" t="s">
        <v>205</v>
      </c>
      <c r="H967" t="s">
        <v>5</v>
      </c>
      <c r="I967" s="429">
        <f>'P&amp;L Acumulado'!F40</f>
        <v>-286940.90480000002</v>
      </c>
      <c r="J967" t="s">
        <v>1071</v>
      </c>
      <c r="K967" t="s">
        <v>883</v>
      </c>
      <c r="L967">
        <v>40</v>
      </c>
    </row>
    <row r="968" spans="1:12" ht="18" customHeight="1" x14ac:dyDescent="0.25">
      <c r="A968" t="s">
        <v>1070</v>
      </c>
      <c r="B968" s="23">
        <f>'P&amp;L Acumulado'!$G$1</f>
        <v>46053</v>
      </c>
      <c r="C968" s="23">
        <f>'P&amp;L Acumulado'!$I$1</f>
        <v>46112</v>
      </c>
      <c r="D968" s="23">
        <f>'P&amp;L Acumulado'!$I$1</f>
        <v>46112</v>
      </c>
      <c r="E968" t="str">
        <f>TEXT('P&amp;L Acumulado'!$G$1,"mmm/yyyy")&amp;" a "&amp;TEXT('P&amp;L Acumulado'!$I$1,"mmm/yyyy")</f>
        <v>jan/yyyy a mar/yyyy</v>
      </c>
      <c r="F968" t="s">
        <v>137</v>
      </c>
      <c r="G968" t="s">
        <v>205</v>
      </c>
      <c r="H968" t="s">
        <v>6</v>
      </c>
      <c r="I968" s="429">
        <f>'P&amp;L Acumulado'!G40</f>
        <v>-292777.96360541682</v>
      </c>
      <c r="J968" t="s">
        <v>1071</v>
      </c>
      <c r="K968" t="s">
        <v>884</v>
      </c>
      <c r="L968">
        <v>40</v>
      </c>
    </row>
    <row r="969" spans="1:12" ht="18" customHeight="1" x14ac:dyDescent="0.25">
      <c r="A969" t="s">
        <v>1070</v>
      </c>
      <c r="B969" s="23">
        <f>'P&amp;L Acumulado'!$G$1</f>
        <v>46053</v>
      </c>
      <c r="C969" s="23">
        <f>'P&amp;L Acumulado'!$I$1</f>
        <v>46112</v>
      </c>
      <c r="D969" s="23">
        <f>'P&amp;L Acumulado'!$I$1</f>
        <v>46112</v>
      </c>
      <c r="E969" t="str">
        <f>TEXT('P&amp;L Acumulado'!$G$1,"mmm/yyyy")&amp;" a "&amp;TEXT('P&amp;L Acumulado'!$I$1,"mmm/yyyy")</f>
        <v>jan/yyyy a mar/yyyy</v>
      </c>
      <c r="F969" t="s">
        <v>137</v>
      </c>
      <c r="G969" t="s">
        <v>205</v>
      </c>
      <c r="H969" t="s">
        <v>549</v>
      </c>
      <c r="I969" s="104">
        <f>'P&amp;L Acumulado'!H40</f>
        <v>-1.9936810590306386E-2</v>
      </c>
      <c r="J969" t="s">
        <v>1071</v>
      </c>
      <c r="K969" t="s">
        <v>885</v>
      </c>
      <c r="L969">
        <v>40</v>
      </c>
    </row>
    <row r="970" spans="1:12" ht="18" customHeight="1" x14ac:dyDescent="0.25">
      <c r="A970" t="s">
        <v>1070</v>
      </c>
      <c r="B970" s="23">
        <f>'P&amp;L Acumulado'!$G$1</f>
        <v>46053</v>
      </c>
      <c r="C970" s="23">
        <f>'P&amp;L Acumulado'!$I$1</f>
        <v>46112</v>
      </c>
      <c r="D970" s="23">
        <f>'P&amp;L Acumulado'!$I$1</f>
        <v>46112</v>
      </c>
      <c r="E970" t="str">
        <f>TEXT('P&amp;L Acumulado'!$G$1,"mmm/yyyy")&amp;" a "&amp;TEXT('P&amp;L Acumulado'!$I$1,"mmm/yyyy")</f>
        <v>jan/yyyy a mar/yyyy</v>
      </c>
      <c r="F970" t="s">
        <v>137</v>
      </c>
      <c r="G970" t="s">
        <v>220</v>
      </c>
      <c r="H970" t="s">
        <v>5</v>
      </c>
      <c r="I970" s="429">
        <f>'P&amp;L Acumulado'!I40</f>
        <v>-1019094.3252000001</v>
      </c>
      <c r="J970" t="s">
        <v>1071</v>
      </c>
      <c r="K970" t="s">
        <v>886</v>
      </c>
      <c r="L970">
        <v>40</v>
      </c>
    </row>
    <row r="971" spans="1:12" ht="18" customHeight="1" x14ac:dyDescent="0.25">
      <c r="A971" t="s">
        <v>1070</v>
      </c>
      <c r="B971" s="23">
        <f>'P&amp;L Acumulado'!$G$1</f>
        <v>46053</v>
      </c>
      <c r="C971" s="23">
        <f>'P&amp;L Acumulado'!$I$1</f>
        <v>46112</v>
      </c>
      <c r="D971" s="23">
        <f>'P&amp;L Acumulado'!$I$1</f>
        <v>46112</v>
      </c>
      <c r="E971" t="str">
        <f>TEXT('P&amp;L Acumulado'!$G$1,"mmm/yyyy")&amp;" a "&amp;TEXT('P&amp;L Acumulado'!$I$1,"mmm/yyyy")</f>
        <v>jan/yyyy a mar/yyyy</v>
      </c>
      <c r="F971" t="s">
        <v>137</v>
      </c>
      <c r="G971" t="s">
        <v>220</v>
      </c>
      <c r="H971" t="s">
        <v>6</v>
      </c>
      <c r="I971" s="429">
        <f>'P&amp;L Acumulado'!J40</f>
        <v>-1038030.9618737507</v>
      </c>
      <c r="J971" t="s">
        <v>1071</v>
      </c>
      <c r="K971" t="s">
        <v>887</v>
      </c>
      <c r="L971">
        <v>40</v>
      </c>
    </row>
    <row r="972" spans="1:12" ht="18" customHeight="1" x14ac:dyDescent="0.25">
      <c r="A972" t="s">
        <v>1070</v>
      </c>
      <c r="B972" s="23">
        <f>'P&amp;L Acumulado'!$G$1</f>
        <v>46053</v>
      </c>
      <c r="C972" s="23">
        <f>'P&amp;L Acumulado'!$I$1</f>
        <v>46112</v>
      </c>
      <c r="D972" s="23">
        <f>'P&amp;L Acumulado'!$I$1</f>
        <v>46112</v>
      </c>
      <c r="E972" t="str">
        <f>TEXT('P&amp;L Acumulado'!$G$1,"mmm/yyyy")&amp;" a "&amp;TEXT('P&amp;L Acumulado'!$I$1,"mmm/yyyy")</f>
        <v>jan/yyyy a mar/yyyy</v>
      </c>
      <c r="F972" t="s">
        <v>137</v>
      </c>
      <c r="G972" t="s">
        <v>220</v>
      </c>
      <c r="H972" t="s">
        <v>549</v>
      </c>
      <c r="I972" s="104">
        <f>'P&amp;L Acumulado'!K40</f>
        <v>-1.8242843777576789E-2</v>
      </c>
      <c r="J972" t="s">
        <v>1071</v>
      </c>
      <c r="K972" t="s">
        <v>888</v>
      </c>
      <c r="L972">
        <v>40</v>
      </c>
    </row>
    <row r="973" spans="1:12" ht="18" customHeight="1" x14ac:dyDescent="0.25">
      <c r="A973" t="s">
        <v>1070</v>
      </c>
      <c r="B973" s="23">
        <f>'P&amp;L Acumulado'!$G$1</f>
        <v>46053</v>
      </c>
      <c r="C973" s="23">
        <f>'P&amp;L Acumulado'!$I$1</f>
        <v>46112</v>
      </c>
      <c r="D973" s="23">
        <f>'P&amp;L Acumulado'!$I$1</f>
        <v>46112</v>
      </c>
      <c r="E973" t="str">
        <f>TEXT('P&amp;L Acumulado'!$G$1,"mmm/yyyy")&amp;" a "&amp;TEXT('P&amp;L Acumulado'!$I$1,"mmm/yyyy")</f>
        <v>jan/yyyy a mar/yyyy</v>
      </c>
      <c r="F973" t="s">
        <v>137</v>
      </c>
      <c r="G973" t="s">
        <v>96</v>
      </c>
      <c r="H973" t="s">
        <v>5</v>
      </c>
      <c r="I973" s="429">
        <f>'P&amp;L Acumulado'!L40</f>
        <v>-1306035.23</v>
      </c>
      <c r="J973" t="s">
        <v>1071</v>
      </c>
      <c r="K973" t="s">
        <v>889</v>
      </c>
      <c r="L973">
        <v>40</v>
      </c>
    </row>
    <row r="974" spans="1:12" ht="18" customHeight="1" x14ac:dyDescent="0.25">
      <c r="A974" t="s">
        <v>1070</v>
      </c>
      <c r="B974" s="23">
        <f>'P&amp;L Acumulado'!$G$1</f>
        <v>46053</v>
      </c>
      <c r="C974" s="23">
        <f>'P&amp;L Acumulado'!$I$1</f>
        <v>46112</v>
      </c>
      <c r="D974" s="23">
        <f>'P&amp;L Acumulado'!$I$1</f>
        <v>46112</v>
      </c>
      <c r="E974" t="str">
        <f>TEXT('P&amp;L Acumulado'!$G$1,"mmm/yyyy")&amp;" a "&amp;TEXT('P&amp;L Acumulado'!$I$1,"mmm/yyyy")</f>
        <v>jan/yyyy a mar/yyyy</v>
      </c>
      <c r="F974" t="s">
        <v>137</v>
      </c>
      <c r="G974" t="s">
        <v>96</v>
      </c>
      <c r="H974" t="s">
        <v>6</v>
      </c>
      <c r="I974" s="429">
        <f>'P&amp;L Acumulado'!M40</f>
        <v>-1330808.9254791676</v>
      </c>
      <c r="J974" t="s">
        <v>1071</v>
      </c>
      <c r="K974" t="s">
        <v>1194</v>
      </c>
      <c r="L974">
        <v>40</v>
      </c>
    </row>
    <row r="975" spans="1:12" ht="18" customHeight="1" x14ac:dyDescent="0.25">
      <c r="A975" t="s">
        <v>1070</v>
      </c>
      <c r="B975" s="23">
        <f>'P&amp;L Acumulado'!$G$1</f>
        <v>46053</v>
      </c>
      <c r="C975" s="23">
        <f>'P&amp;L Acumulado'!$I$1</f>
        <v>46112</v>
      </c>
      <c r="D975" s="23">
        <f>'P&amp;L Acumulado'!$I$1</f>
        <v>46112</v>
      </c>
      <c r="E975" t="str">
        <f>TEXT('P&amp;L Acumulado'!$G$1,"mmm/yyyy")&amp;" a "&amp;TEXT('P&amp;L Acumulado'!$I$1,"mmm/yyyy")</f>
        <v>jan/yyyy a mar/yyyy</v>
      </c>
      <c r="F975" t="s">
        <v>137</v>
      </c>
      <c r="G975" t="s">
        <v>96</v>
      </c>
      <c r="H975" t="s">
        <v>549</v>
      </c>
      <c r="I975" s="104">
        <f>'P&amp;L Acumulado'!N40</f>
        <v>-1.8615516476377492E-2</v>
      </c>
      <c r="J975" t="s">
        <v>1071</v>
      </c>
      <c r="K975" t="s">
        <v>1195</v>
      </c>
      <c r="L975">
        <v>40</v>
      </c>
    </row>
    <row r="976" spans="1:12" ht="18" customHeight="1" x14ac:dyDescent="0.25">
      <c r="A976" t="s">
        <v>1070</v>
      </c>
      <c r="B976" s="23">
        <f>'P&amp;L Acumulado'!$G$1</f>
        <v>46053</v>
      </c>
      <c r="C976" s="23">
        <f>'P&amp;L Acumulado'!$I$1</f>
        <v>46112</v>
      </c>
      <c r="D976" s="23">
        <f>'P&amp;L Acumulado'!$I$1</f>
        <v>46112</v>
      </c>
      <c r="E976" t="str">
        <f>TEXT('P&amp;L Acumulado'!$G$1,"mmm/yyyy")&amp;" a "&amp;TEXT('P&amp;L Acumulado'!$I$1,"mmm/yyyy")</f>
        <v>jan/yyyy a mar/yyyy</v>
      </c>
      <c r="F976" t="s">
        <v>137</v>
      </c>
      <c r="G976" t="s">
        <v>96</v>
      </c>
      <c r="H976" t="s">
        <v>557</v>
      </c>
      <c r="I976" s="429">
        <f>'P&amp;L Acumulado'!O40</f>
        <v>-24773.695479167625</v>
      </c>
      <c r="J976" t="s">
        <v>1071</v>
      </c>
      <c r="K976" t="s">
        <v>1196</v>
      </c>
      <c r="L976">
        <v>40</v>
      </c>
    </row>
    <row r="977" spans="1:12" ht="18" customHeight="1" x14ac:dyDescent="0.25">
      <c r="A977" t="s">
        <v>1070</v>
      </c>
      <c r="B977" s="23">
        <f>'P&amp;L Acumulado'!$G$1</f>
        <v>46053</v>
      </c>
      <c r="C977" s="23">
        <f>'P&amp;L Acumulado'!$I$1</f>
        <v>46112</v>
      </c>
      <c r="D977" s="23">
        <f>'P&amp;L Acumulado'!$I$1</f>
        <v>46112</v>
      </c>
      <c r="E977" t="str">
        <f>TEXT('P&amp;L Acumulado'!$G$1,"mmm/yyyy")&amp;" a "&amp;TEXT('P&amp;L Acumulado'!$I$1,"mmm/yyyy")</f>
        <v>jan/yyyy a mar/yyyy</v>
      </c>
      <c r="F977" t="s">
        <v>41</v>
      </c>
      <c r="G977" t="s">
        <v>252</v>
      </c>
      <c r="H977" t="s">
        <v>5</v>
      </c>
      <c r="I977" s="429">
        <f>'P&amp;L Acumulado'!C41</f>
        <v>0</v>
      </c>
      <c r="J977" t="s">
        <v>1071</v>
      </c>
      <c r="K977" t="s">
        <v>890</v>
      </c>
      <c r="L977">
        <v>41</v>
      </c>
    </row>
    <row r="978" spans="1:12" ht="18" customHeight="1" x14ac:dyDescent="0.25">
      <c r="A978" t="s">
        <v>1070</v>
      </c>
      <c r="B978" s="23">
        <f>'P&amp;L Acumulado'!$G$1</f>
        <v>46053</v>
      </c>
      <c r="C978" s="23">
        <f>'P&amp;L Acumulado'!$I$1</f>
        <v>46112</v>
      </c>
      <c r="D978" s="23">
        <f>'P&amp;L Acumulado'!$I$1</f>
        <v>46112</v>
      </c>
      <c r="E978" t="str">
        <f>TEXT('P&amp;L Acumulado'!$G$1,"mmm/yyyy")&amp;" a "&amp;TEXT('P&amp;L Acumulado'!$I$1,"mmm/yyyy")</f>
        <v>jan/yyyy a mar/yyyy</v>
      </c>
      <c r="F978" t="s">
        <v>41</v>
      </c>
      <c r="G978" t="s">
        <v>252</v>
      </c>
      <c r="H978" t="s">
        <v>6</v>
      </c>
      <c r="I978" s="429">
        <f>'P&amp;L Acumulado'!D41</f>
        <v>0</v>
      </c>
      <c r="J978" t="s">
        <v>1071</v>
      </c>
      <c r="K978" t="s">
        <v>891</v>
      </c>
      <c r="L978">
        <v>41</v>
      </c>
    </row>
    <row r="979" spans="1:12" ht="18" customHeight="1" x14ac:dyDescent="0.25">
      <c r="A979" t="s">
        <v>1070</v>
      </c>
      <c r="B979" s="23">
        <f>'P&amp;L Acumulado'!$G$1</f>
        <v>46053</v>
      </c>
      <c r="C979" s="23">
        <f>'P&amp;L Acumulado'!$I$1</f>
        <v>46112</v>
      </c>
      <c r="D979" s="23">
        <f>'P&amp;L Acumulado'!$I$1</f>
        <v>46112</v>
      </c>
      <c r="E979" t="str">
        <f>TEXT('P&amp;L Acumulado'!$G$1,"mmm/yyyy")&amp;" a "&amp;TEXT('P&amp;L Acumulado'!$I$1,"mmm/yyyy")</f>
        <v>jan/yyyy a mar/yyyy</v>
      </c>
      <c r="F979" t="s">
        <v>41</v>
      </c>
      <c r="G979" t="s">
        <v>252</v>
      </c>
      <c r="H979" t="s">
        <v>549</v>
      </c>
      <c r="I979" s="104" t="str">
        <f>'P&amp;L Acumulado'!E41</f>
        <v>-</v>
      </c>
      <c r="J979" t="s">
        <v>1071</v>
      </c>
      <c r="K979" t="s">
        <v>892</v>
      </c>
      <c r="L979">
        <v>41</v>
      </c>
    </row>
    <row r="980" spans="1:12" ht="18" customHeight="1" x14ac:dyDescent="0.25">
      <c r="A980" t="s">
        <v>1070</v>
      </c>
      <c r="B980" s="23">
        <f>'P&amp;L Acumulado'!$G$1</f>
        <v>46053</v>
      </c>
      <c r="C980" s="23">
        <f>'P&amp;L Acumulado'!$I$1</f>
        <v>46112</v>
      </c>
      <c r="D980" s="23">
        <f>'P&amp;L Acumulado'!$I$1</f>
        <v>46112</v>
      </c>
      <c r="E980" t="str">
        <f>TEXT('P&amp;L Acumulado'!$G$1,"mmm/yyyy")&amp;" a "&amp;TEXT('P&amp;L Acumulado'!$I$1,"mmm/yyyy")</f>
        <v>jan/yyyy a mar/yyyy</v>
      </c>
      <c r="F980" t="s">
        <v>41</v>
      </c>
      <c r="G980" t="s">
        <v>205</v>
      </c>
      <c r="H980" t="s">
        <v>5</v>
      </c>
      <c r="I980" s="429">
        <f>'P&amp;L Acumulado'!F41</f>
        <v>4298280.8919273959</v>
      </c>
      <c r="J980" t="s">
        <v>1071</v>
      </c>
      <c r="K980" t="s">
        <v>893</v>
      </c>
      <c r="L980">
        <v>41</v>
      </c>
    </row>
    <row r="981" spans="1:12" ht="18" customHeight="1" x14ac:dyDescent="0.25">
      <c r="A981" t="s">
        <v>1070</v>
      </c>
      <c r="B981" s="23">
        <f>'P&amp;L Acumulado'!$G$1</f>
        <v>46053</v>
      </c>
      <c r="C981" s="23">
        <f>'P&amp;L Acumulado'!$I$1</f>
        <v>46112</v>
      </c>
      <c r="D981" s="23">
        <f>'P&amp;L Acumulado'!$I$1</f>
        <v>46112</v>
      </c>
      <c r="E981" t="str">
        <f>TEXT('P&amp;L Acumulado'!$G$1,"mmm/yyyy")&amp;" a "&amp;TEXT('P&amp;L Acumulado'!$I$1,"mmm/yyyy")</f>
        <v>jan/yyyy a mar/yyyy</v>
      </c>
      <c r="F981" t="s">
        <v>41</v>
      </c>
      <c r="G981" t="s">
        <v>205</v>
      </c>
      <c r="H981" t="s">
        <v>6</v>
      </c>
      <c r="I981" s="429">
        <f>'P&amp;L Acumulado'!G41</f>
        <v>4740801.6555391289</v>
      </c>
      <c r="J981" t="s">
        <v>1071</v>
      </c>
      <c r="K981" t="s">
        <v>894</v>
      </c>
      <c r="L981">
        <v>41</v>
      </c>
    </row>
    <row r="982" spans="1:12" ht="18" customHeight="1" x14ac:dyDescent="0.25">
      <c r="A982" t="s">
        <v>1070</v>
      </c>
      <c r="B982" s="23">
        <f>'P&amp;L Acumulado'!$G$1</f>
        <v>46053</v>
      </c>
      <c r="C982" s="23">
        <f>'P&amp;L Acumulado'!$I$1</f>
        <v>46112</v>
      </c>
      <c r="D982" s="23">
        <f>'P&amp;L Acumulado'!$I$1</f>
        <v>46112</v>
      </c>
      <c r="E982" t="str">
        <f>TEXT('P&amp;L Acumulado'!$G$1,"mmm/yyyy")&amp;" a "&amp;TEXT('P&amp;L Acumulado'!$I$1,"mmm/yyyy")</f>
        <v>jan/yyyy a mar/yyyy</v>
      </c>
      <c r="F982" t="s">
        <v>41</v>
      </c>
      <c r="G982" t="s">
        <v>205</v>
      </c>
      <c r="H982" t="s">
        <v>549</v>
      </c>
      <c r="I982" s="104">
        <f>'P&amp;L Acumulado'!H41</f>
        <v>-9.3343024189736723E-2</v>
      </c>
      <c r="J982" t="s">
        <v>1071</v>
      </c>
      <c r="K982" t="s">
        <v>895</v>
      </c>
      <c r="L982">
        <v>41</v>
      </c>
    </row>
    <row r="983" spans="1:12" ht="18" customHeight="1" x14ac:dyDescent="0.25">
      <c r="A983" t="s">
        <v>1070</v>
      </c>
      <c r="B983" s="23">
        <f>'P&amp;L Acumulado'!$G$1</f>
        <v>46053</v>
      </c>
      <c r="C983" s="23">
        <f>'P&amp;L Acumulado'!$I$1</f>
        <v>46112</v>
      </c>
      <c r="D983" s="23">
        <f>'P&amp;L Acumulado'!$I$1</f>
        <v>46112</v>
      </c>
      <c r="E983" t="str">
        <f>TEXT('P&amp;L Acumulado'!$G$1,"mmm/yyyy")&amp;" a "&amp;TEXT('P&amp;L Acumulado'!$I$1,"mmm/yyyy")</f>
        <v>jan/yyyy a mar/yyyy</v>
      </c>
      <c r="F983" t="s">
        <v>41</v>
      </c>
      <c r="G983" t="s">
        <v>220</v>
      </c>
      <c r="H983" t="s">
        <v>5</v>
      </c>
      <c r="I983" s="429">
        <f>'P&amp;L Acumulado'!I41</f>
        <v>19203372.878072605</v>
      </c>
      <c r="J983" t="s">
        <v>1071</v>
      </c>
      <c r="K983" t="s">
        <v>896</v>
      </c>
      <c r="L983">
        <v>41</v>
      </c>
    </row>
    <row r="984" spans="1:12" ht="18" customHeight="1" x14ac:dyDescent="0.25">
      <c r="A984" t="s">
        <v>1070</v>
      </c>
      <c r="B984" s="23">
        <f>'P&amp;L Acumulado'!$G$1</f>
        <v>46053</v>
      </c>
      <c r="C984" s="23">
        <f>'P&amp;L Acumulado'!$I$1</f>
        <v>46112</v>
      </c>
      <c r="D984" s="23">
        <f>'P&amp;L Acumulado'!$I$1</f>
        <v>46112</v>
      </c>
      <c r="E984" t="str">
        <f>TEXT('P&amp;L Acumulado'!$G$1,"mmm/yyyy")&amp;" a "&amp;TEXT('P&amp;L Acumulado'!$I$1,"mmm/yyyy")</f>
        <v>jan/yyyy a mar/yyyy</v>
      </c>
      <c r="F984" t="s">
        <v>41</v>
      </c>
      <c r="G984" t="s">
        <v>220</v>
      </c>
      <c r="H984" t="s">
        <v>6</v>
      </c>
      <c r="I984" s="429">
        <f>'P&amp;L Acumulado'!J41</f>
        <v>16087284.840161994</v>
      </c>
      <c r="J984" t="s">
        <v>1071</v>
      </c>
      <c r="K984" t="s">
        <v>897</v>
      </c>
      <c r="L984">
        <v>41</v>
      </c>
    </row>
    <row r="985" spans="1:12" ht="18" customHeight="1" x14ac:dyDescent="0.25">
      <c r="A985" t="s">
        <v>1070</v>
      </c>
      <c r="B985" s="23">
        <f>'P&amp;L Acumulado'!$G$1</f>
        <v>46053</v>
      </c>
      <c r="C985" s="23">
        <f>'P&amp;L Acumulado'!$I$1</f>
        <v>46112</v>
      </c>
      <c r="D985" s="23">
        <f>'P&amp;L Acumulado'!$I$1</f>
        <v>46112</v>
      </c>
      <c r="E985" t="str">
        <f>TEXT('P&amp;L Acumulado'!$G$1,"mmm/yyyy")&amp;" a "&amp;TEXT('P&amp;L Acumulado'!$I$1,"mmm/yyyy")</f>
        <v>jan/yyyy a mar/yyyy</v>
      </c>
      <c r="F985" t="s">
        <v>41</v>
      </c>
      <c r="G985" t="s">
        <v>220</v>
      </c>
      <c r="H985" t="s">
        <v>549</v>
      </c>
      <c r="I985" s="104">
        <f>'P&amp;L Acumulado'!K41</f>
        <v>0.19369881672830713</v>
      </c>
      <c r="J985" t="s">
        <v>1071</v>
      </c>
      <c r="K985" t="s">
        <v>898</v>
      </c>
      <c r="L985">
        <v>41</v>
      </c>
    </row>
    <row r="986" spans="1:12" ht="18" customHeight="1" x14ac:dyDescent="0.25">
      <c r="A986" t="s">
        <v>1070</v>
      </c>
      <c r="B986" s="23">
        <f>'P&amp;L Acumulado'!$G$1</f>
        <v>46053</v>
      </c>
      <c r="C986" s="23">
        <f>'P&amp;L Acumulado'!$I$1</f>
        <v>46112</v>
      </c>
      <c r="D986" s="23">
        <f>'P&amp;L Acumulado'!$I$1</f>
        <v>46112</v>
      </c>
      <c r="E986" t="str">
        <f>TEXT('P&amp;L Acumulado'!$G$1,"mmm/yyyy")&amp;" a "&amp;TEXT('P&amp;L Acumulado'!$I$1,"mmm/yyyy")</f>
        <v>jan/yyyy a mar/yyyy</v>
      </c>
      <c r="F986" t="s">
        <v>41</v>
      </c>
      <c r="G986" t="s">
        <v>96</v>
      </c>
      <c r="H986" t="s">
        <v>5</v>
      </c>
      <c r="I986" s="429">
        <f>'P&amp;L Acumulado'!L41</f>
        <v>23501653.769999985</v>
      </c>
      <c r="J986" t="s">
        <v>1071</v>
      </c>
      <c r="K986" t="s">
        <v>899</v>
      </c>
      <c r="L986">
        <v>41</v>
      </c>
    </row>
    <row r="987" spans="1:12" ht="18" customHeight="1" x14ac:dyDescent="0.25">
      <c r="A987" t="s">
        <v>1070</v>
      </c>
      <c r="B987" s="23">
        <f>'P&amp;L Acumulado'!$G$1</f>
        <v>46053</v>
      </c>
      <c r="C987" s="23">
        <f>'P&amp;L Acumulado'!$I$1</f>
        <v>46112</v>
      </c>
      <c r="D987" s="23">
        <f>'P&amp;L Acumulado'!$I$1</f>
        <v>46112</v>
      </c>
      <c r="E987" t="str">
        <f>TEXT('P&amp;L Acumulado'!$G$1,"mmm/yyyy")&amp;" a "&amp;TEXT('P&amp;L Acumulado'!$I$1,"mmm/yyyy")</f>
        <v>jan/yyyy a mar/yyyy</v>
      </c>
      <c r="F987" t="s">
        <v>41</v>
      </c>
      <c r="G987" t="s">
        <v>96</v>
      </c>
      <c r="H987" t="s">
        <v>6</v>
      </c>
      <c r="I987" s="429">
        <f>'P&amp;L Acumulado'!M41</f>
        <v>20828086.495701123</v>
      </c>
      <c r="J987" t="s">
        <v>1071</v>
      </c>
      <c r="K987" t="s">
        <v>1197</v>
      </c>
      <c r="L987">
        <v>41</v>
      </c>
    </row>
    <row r="988" spans="1:12" ht="18" customHeight="1" x14ac:dyDescent="0.25">
      <c r="A988" t="s">
        <v>1070</v>
      </c>
      <c r="B988" s="23">
        <f>'P&amp;L Acumulado'!$G$1</f>
        <v>46053</v>
      </c>
      <c r="C988" s="23">
        <f>'P&amp;L Acumulado'!$I$1</f>
        <v>46112</v>
      </c>
      <c r="D988" s="23">
        <f>'P&amp;L Acumulado'!$I$1</f>
        <v>46112</v>
      </c>
      <c r="E988" t="str">
        <f>TEXT('P&amp;L Acumulado'!$G$1,"mmm/yyyy")&amp;" a "&amp;TEXT('P&amp;L Acumulado'!$I$1,"mmm/yyyy")</f>
        <v>jan/yyyy a mar/yyyy</v>
      </c>
      <c r="F988" t="s">
        <v>41</v>
      </c>
      <c r="G988" t="s">
        <v>96</v>
      </c>
      <c r="H988" t="s">
        <v>549</v>
      </c>
      <c r="I988" s="104">
        <f>'P&amp;L Acumulado'!N41</f>
        <v>0.12836355729801108</v>
      </c>
      <c r="J988" t="s">
        <v>1071</v>
      </c>
      <c r="K988" t="s">
        <v>1198</v>
      </c>
      <c r="L988">
        <v>41</v>
      </c>
    </row>
    <row r="989" spans="1:12" ht="18" customHeight="1" x14ac:dyDescent="0.25">
      <c r="A989" t="s">
        <v>1070</v>
      </c>
      <c r="B989" s="23">
        <f>'P&amp;L Acumulado'!$G$1</f>
        <v>46053</v>
      </c>
      <c r="C989" s="23">
        <f>'P&amp;L Acumulado'!$I$1</f>
        <v>46112</v>
      </c>
      <c r="D989" s="23">
        <f>'P&amp;L Acumulado'!$I$1</f>
        <v>46112</v>
      </c>
      <c r="E989" t="str">
        <f>TEXT('P&amp;L Acumulado'!$G$1,"mmm/yyyy")&amp;" a "&amp;TEXT('P&amp;L Acumulado'!$I$1,"mmm/yyyy")</f>
        <v>jan/yyyy a mar/yyyy</v>
      </c>
      <c r="F989" t="s">
        <v>41</v>
      </c>
      <c r="G989" t="s">
        <v>96</v>
      </c>
      <c r="H989" t="s">
        <v>557</v>
      </c>
      <c r="I989" s="429">
        <f>'P&amp;L Acumulado'!O41</f>
        <v>2673567.2742988616</v>
      </c>
      <c r="J989" t="s">
        <v>1071</v>
      </c>
      <c r="K989" t="s">
        <v>1199</v>
      </c>
      <c r="L989">
        <v>41</v>
      </c>
    </row>
    <row r="990" spans="1:12" ht="18" customHeight="1" x14ac:dyDescent="0.25">
      <c r="A990" t="s">
        <v>1070</v>
      </c>
      <c r="B990" s="23">
        <f>'P&amp;L Acumulado'!$G$1</f>
        <v>46053</v>
      </c>
      <c r="C990" s="23">
        <f>'P&amp;L Acumulado'!$I$1</f>
        <v>46112</v>
      </c>
      <c r="D990" s="23">
        <f>'P&amp;L Acumulado'!$I$1</f>
        <v>46112</v>
      </c>
      <c r="E990" t="str">
        <f>TEXT('P&amp;L Acumulado'!$G$1,"mmm/yyyy")&amp;" a "&amp;TEXT('P&amp;L Acumulado'!$I$1,"mmm/yyyy")</f>
        <v>jan/yyyy a mar/yyyy</v>
      </c>
      <c r="F990" t="s">
        <v>42</v>
      </c>
      <c r="G990" t="s">
        <v>252</v>
      </c>
      <c r="H990" t="s">
        <v>5</v>
      </c>
      <c r="I990" s="429">
        <f>'P&amp;L Acumulado'!C42</f>
        <v>0</v>
      </c>
      <c r="J990" t="s">
        <v>1071</v>
      </c>
      <c r="K990" t="s">
        <v>900</v>
      </c>
      <c r="L990">
        <v>42</v>
      </c>
    </row>
    <row r="991" spans="1:12" ht="18" customHeight="1" x14ac:dyDescent="0.25">
      <c r="A991" t="s">
        <v>1070</v>
      </c>
      <c r="B991" s="23">
        <f>'P&amp;L Acumulado'!$G$1</f>
        <v>46053</v>
      </c>
      <c r="C991" s="23">
        <f>'P&amp;L Acumulado'!$I$1</f>
        <v>46112</v>
      </c>
      <c r="D991" s="23">
        <f>'P&amp;L Acumulado'!$I$1</f>
        <v>46112</v>
      </c>
      <c r="E991" t="str">
        <f>TEXT('P&amp;L Acumulado'!$G$1,"mmm/yyyy")&amp;" a "&amp;TEXT('P&amp;L Acumulado'!$I$1,"mmm/yyyy")</f>
        <v>jan/yyyy a mar/yyyy</v>
      </c>
      <c r="F991" t="s">
        <v>42</v>
      </c>
      <c r="G991" t="s">
        <v>252</v>
      </c>
      <c r="H991" t="s">
        <v>6</v>
      </c>
      <c r="I991" s="429">
        <f>'P&amp;L Acumulado'!D42</f>
        <v>0</v>
      </c>
      <c r="J991" t="s">
        <v>1071</v>
      </c>
      <c r="K991" t="s">
        <v>901</v>
      </c>
      <c r="L991">
        <v>42</v>
      </c>
    </row>
    <row r="992" spans="1:12" ht="18" customHeight="1" x14ac:dyDescent="0.25">
      <c r="A992" t="s">
        <v>1070</v>
      </c>
      <c r="B992" s="23">
        <f>'P&amp;L Acumulado'!$G$1</f>
        <v>46053</v>
      </c>
      <c r="C992" s="23">
        <f>'P&amp;L Acumulado'!$I$1</f>
        <v>46112</v>
      </c>
      <c r="D992" s="23">
        <f>'P&amp;L Acumulado'!$I$1</f>
        <v>46112</v>
      </c>
      <c r="E992" t="str">
        <f>TEXT('P&amp;L Acumulado'!$G$1,"mmm/yyyy")&amp;" a "&amp;TEXT('P&amp;L Acumulado'!$I$1,"mmm/yyyy")</f>
        <v>jan/yyyy a mar/yyyy</v>
      </c>
      <c r="F992" t="s">
        <v>42</v>
      </c>
      <c r="G992" t="s">
        <v>252</v>
      </c>
      <c r="H992" t="s">
        <v>549</v>
      </c>
      <c r="I992" s="104" t="str">
        <f>'P&amp;L Acumulado'!E42</f>
        <v>-</v>
      </c>
      <c r="J992" t="s">
        <v>1071</v>
      </c>
      <c r="K992" t="s">
        <v>902</v>
      </c>
      <c r="L992">
        <v>42</v>
      </c>
    </row>
    <row r="993" spans="1:12" ht="18" customHeight="1" x14ac:dyDescent="0.25">
      <c r="A993" t="s">
        <v>1070</v>
      </c>
      <c r="B993" s="23">
        <f>'P&amp;L Acumulado'!$G$1</f>
        <v>46053</v>
      </c>
      <c r="C993" s="23">
        <f>'P&amp;L Acumulado'!$I$1</f>
        <v>46112</v>
      </c>
      <c r="D993" s="23">
        <f>'P&amp;L Acumulado'!$I$1</f>
        <v>46112</v>
      </c>
      <c r="E993" t="str">
        <f>TEXT('P&amp;L Acumulado'!$G$1,"mmm/yyyy")&amp;" a "&amp;TEXT('P&amp;L Acumulado'!$I$1,"mmm/yyyy")</f>
        <v>jan/yyyy a mar/yyyy</v>
      </c>
      <c r="F993" t="s">
        <v>42</v>
      </c>
      <c r="G993" t="s">
        <v>205</v>
      </c>
      <c r="H993" t="s">
        <v>5</v>
      </c>
      <c r="I993" s="429">
        <f>'P&amp;L Acumulado'!F42</f>
        <v>-1034735.6772990683</v>
      </c>
      <c r="J993" t="s">
        <v>1071</v>
      </c>
      <c r="K993" t="s">
        <v>903</v>
      </c>
      <c r="L993">
        <v>42</v>
      </c>
    </row>
    <row r="994" spans="1:12" ht="18" customHeight="1" x14ac:dyDescent="0.25">
      <c r="A994" t="s">
        <v>1070</v>
      </c>
      <c r="B994" s="23">
        <f>'P&amp;L Acumulado'!$G$1</f>
        <v>46053</v>
      </c>
      <c r="C994" s="23">
        <f>'P&amp;L Acumulado'!$I$1</f>
        <v>46112</v>
      </c>
      <c r="D994" s="23">
        <f>'P&amp;L Acumulado'!$I$1</f>
        <v>46112</v>
      </c>
      <c r="E994" t="str">
        <f>TEXT('P&amp;L Acumulado'!$G$1,"mmm/yyyy")&amp;" a "&amp;TEXT('P&amp;L Acumulado'!$I$1,"mmm/yyyy")</f>
        <v>jan/yyyy a mar/yyyy</v>
      </c>
      <c r="F994" t="s">
        <v>42</v>
      </c>
      <c r="G994" t="s">
        <v>205</v>
      </c>
      <c r="H994" t="s">
        <v>6</v>
      </c>
      <c r="I994" s="429">
        <f>'P&amp;L Acumulado'!G42</f>
        <v>-1191100.8342697611</v>
      </c>
      <c r="J994" t="s">
        <v>1071</v>
      </c>
      <c r="K994" t="s">
        <v>904</v>
      </c>
      <c r="L994">
        <v>42</v>
      </c>
    </row>
    <row r="995" spans="1:12" ht="18" customHeight="1" x14ac:dyDescent="0.25">
      <c r="A995" t="s">
        <v>1070</v>
      </c>
      <c r="B995" s="23">
        <f>'P&amp;L Acumulado'!$G$1</f>
        <v>46053</v>
      </c>
      <c r="C995" s="23">
        <f>'P&amp;L Acumulado'!$I$1</f>
        <v>46112</v>
      </c>
      <c r="D995" s="23">
        <f>'P&amp;L Acumulado'!$I$1</f>
        <v>46112</v>
      </c>
      <c r="E995" t="str">
        <f>TEXT('P&amp;L Acumulado'!$G$1,"mmm/yyyy")&amp;" a "&amp;TEXT('P&amp;L Acumulado'!$I$1,"mmm/yyyy")</f>
        <v>jan/yyyy a mar/yyyy</v>
      </c>
      <c r="F995" t="s">
        <v>42</v>
      </c>
      <c r="G995" t="s">
        <v>205</v>
      </c>
      <c r="H995" t="s">
        <v>549</v>
      </c>
      <c r="I995" s="104">
        <f>'P&amp;L Acumulado'!H42</f>
        <v>-0.13127785026408534</v>
      </c>
      <c r="J995" t="s">
        <v>1071</v>
      </c>
      <c r="K995" t="s">
        <v>905</v>
      </c>
      <c r="L995">
        <v>42</v>
      </c>
    </row>
    <row r="996" spans="1:12" ht="18" customHeight="1" x14ac:dyDescent="0.25">
      <c r="A996" t="s">
        <v>1070</v>
      </c>
      <c r="B996" s="23">
        <f>'P&amp;L Acumulado'!$G$1</f>
        <v>46053</v>
      </c>
      <c r="C996" s="23">
        <f>'P&amp;L Acumulado'!$I$1</f>
        <v>46112</v>
      </c>
      <c r="D996" s="23">
        <f>'P&amp;L Acumulado'!$I$1</f>
        <v>46112</v>
      </c>
      <c r="E996" t="str">
        <f>TEXT('P&amp;L Acumulado'!$G$1,"mmm/yyyy")&amp;" a "&amp;TEXT('P&amp;L Acumulado'!$I$1,"mmm/yyyy")</f>
        <v>jan/yyyy a mar/yyyy</v>
      </c>
      <c r="F996" t="s">
        <v>42</v>
      </c>
      <c r="G996" t="s">
        <v>220</v>
      </c>
      <c r="H996" t="s">
        <v>5</v>
      </c>
      <c r="I996" s="429">
        <f>'P&amp;L Acumulado'!I42</f>
        <v>-6617628.7927009221</v>
      </c>
      <c r="J996" t="s">
        <v>1071</v>
      </c>
      <c r="K996" t="s">
        <v>906</v>
      </c>
      <c r="L996">
        <v>42</v>
      </c>
    </row>
    <row r="997" spans="1:12" ht="18" customHeight="1" x14ac:dyDescent="0.25">
      <c r="A997" t="s">
        <v>1070</v>
      </c>
      <c r="B997" s="23">
        <f>'P&amp;L Acumulado'!$G$1</f>
        <v>46053</v>
      </c>
      <c r="C997" s="23">
        <f>'P&amp;L Acumulado'!$I$1</f>
        <v>46112</v>
      </c>
      <c r="D997" s="23">
        <f>'P&amp;L Acumulado'!$I$1</f>
        <v>46112</v>
      </c>
      <c r="E997" t="str">
        <f>TEXT('P&amp;L Acumulado'!$G$1,"mmm/yyyy")&amp;" a "&amp;TEXT('P&amp;L Acumulado'!$I$1,"mmm/yyyy")</f>
        <v>jan/yyyy a mar/yyyy</v>
      </c>
      <c r="F997" t="s">
        <v>42</v>
      </c>
      <c r="G997" t="s">
        <v>220</v>
      </c>
      <c r="H997" t="s">
        <v>6</v>
      </c>
      <c r="I997" s="429">
        <f>'P&amp;L Acumulado'!J42</f>
        <v>-4227633.6534101516</v>
      </c>
      <c r="J997" t="s">
        <v>1071</v>
      </c>
      <c r="K997" t="s">
        <v>907</v>
      </c>
      <c r="L997">
        <v>42</v>
      </c>
    </row>
    <row r="998" spans="1:12" ht="18" customHeight="1" x14ac:dyDescent="0.25">
      <c r="A998" t="s">
        <v>1070</v>
      </c>
      <c r="B998" s="23">
        <f>'P&amp;L Acumulado'!$G$1</f>
        <v>46053</v>
      </c>
      <c r="C998" s="23">
        <f>'P&amp;L Acumulado'!$I$1</f>
        <v>46112</v>
      </c>
      <c r="D998" s="23">
        <f>'P&amp;L Acumulado'!$I$1</f>
        <v>46112</v>
      </c>
      <c r="E998" t="str">
        <f>TEXT('P&amp;L Acumulado'!$G$1,"mmm/yyyy")&amp;" a "&amp;TEXT('P&amp;L Acumulado'!$I$1,"mmm/yyyy")</f>
        <v>jan/yyyy a mar/yyyy</v>
      </c>
      <c r="F998" t="s">
        <v>42</v>
      </c>
      <c r="G998" t="s">
        <v>220</v>
      </c>
      <c r="H998" t="s">
        <v>549</v>
      </c>
      <c r="I998" s="104">
        <f>'P&amp;L Acumulado'!K42</f>
        <v>0.56532692641495075</v>
      </c>
      <c r="J998" t="s">
        <v>1071</v>
      </c>
      <c r="K998" t="s">
        <v>908</v>
      </c>
      <c r="L998">
        <v>42</v>
      </c>
    </row>
    <row r="999" spans="1:12" ht="18" customHeight="1" x14ac:dyDescent="0.25">
      <c r="A999" t="s">
        <v>1070</v>
      </c>
      <c r="B999" s="23">
        <f>'P&amp;L Acumulado'!$G$1</f>
        <v>46053</v>
      </c>
      <c r="C999" s="23">
        <f>'P&amp;L Acumulado'!$I$1</f>
        <v>46112</v>
      </c>
      <c r="D999" s="23">
        <f>'P&amp;L Acumulado'!$I$1</f>
        <v>46112</v>
      </c>
      <c r="E999" t="str">
        <f>TEXT('P&amp;L Acumulado'!$G$1,"mmm/yyyy")&amp;" a "&amp;TEXT('P&amp;L Acumulado'!$I$1,"mmm/yyyy")</f>
        <v>jan/yyyy a mar/yyyy</v>
      </c>
      <c r="F999" t="s">
        <v>42</v>
      </c>
      <c r="G999" t="s">
        <v>96</v>
      </c>
      <c r="H999" t="s">
        <v>5</v>
      </c>
      <c r="I999" s="429">
        <f>'P&amp;L Acumulado'!L42</f>
        <v>-7652364.4699999904</v>
      </c>
      <c r="J999" t="s">
        <v>1071</v>
      </c>
      <c r="K999" t="s">
        <v>909</v>
      </c>
      <c r="L999">
        <v>42</v>
      </c>
    </row>
    <row r="1000" spans="1:12" ht="18" customHeight="1" x14ac:dyDescent="0.25">
      <c r="A1000" t="s">
        <v>1070</v>
      </c>
      <c r="B1000" s="23">
        <f>'P&amp;L Acumulado'!$G$1</f>
        <v>46053</v>
      </c>
      <c r="C1000" s="23">
        <f>'P&amp;L Acumulado'!$I$1</f>
        <v>46112</v>
      </c>
      <c r="D1000" s="23">
        <f>'P&amp;L Acumulado'!$I$1</f>
        <v>46112</v>
      </c>
      <c r="E1000" t="str">
        <f>TEXT('P&amp;L Acumulado'!$G$1,"mmm/yyyy")&amp;" a "&amp;TEXT('P&amp;L Acumulado'!$I$1,"mmm/yyyy")</f>
        <v>jan/yyyy a mar/yyyy</v>
      </c>
      <c r="F1000" t="s">
        <v>42</v>
      </c>
      <c r="G1000" t="s">
        <v>96</v>
      </c>
      <c r="H1000" t="s">
        <v>6</v>
      </c>
      <c r="I1000" s="429">
        <f>'P&amp;L Acumulado'!M42</f>
        <v>-5418734.4876799127</v>
      </c>
      <c r="J1000" t="s">
        <v>1071</v>
      </c>
      <c r="K1000" t="s">
        <v>1200</v>
      </c>
      <c r="L1000">
        <v>42</v>
      </c>
    </row>
    <row r="1001" spans="1:12" ht="18" customHeight="1" x14ac:dyDescent="0.25">
      <c r="A1001" t="s">
        <v>1070</v>
      </c>
      <c r="B1001" s="23">
        <f>'P&amp;L Acumulado'!$G$1</f>
        <v>46053</v>
      </c>
      <c r="C1001" s="23">
        <f>'P&amp;L Acumulado'!$I$1</f>
        <v>46112</v>
      </c>
      <c r="D1001" s="23">
        <f>'P&amp;L Acumulado'!$I$1</f>
        <v>46112</v>
      </c>
      <c r="E1001" t="str">
        <f>TEXT('P&amp;L Acumulado'!$G$1,"mmm/yyyy")&amp;" a "&amp;TEXT('P&amp;L Acumulado'!$I$1,"mmm/yyyy")</f>
        <v>jan/yyyy a mar/yyyy</v>
      </c>
      <c r="F1001" t="s">
        <v>42</v>
      </c>
      <c r="G1001" t="s">
        <v>96</v>
      </c>
      <c r="H1001" t="s">
        <v>549</v>
      </c>
      <c r="I1001" s="104">
        <f>'P&amp;L Acumulado'!N42</f>
        <v>0.41220509833033536</v>
      </c>
      <c r="J1001" t="s">
        <v>1071</v>
      </c>
      <c r="K1001" t="s">
        <v>1201</v>
      </c>
      <c r="L1001">
        <v>42</v>
      </c>
    </row>
    <row r="1002" spans="1:12" ht="18" customHeight="1" x14ac:dyDescent="0.25">
      <c r="A1002" t="s">
        <v>1070</v>
      </c>
      <c r="B1002" s="23">
        <f>'P&amp;L Acumulado'!$G$1</f>
        <v>46053</v>
      </c>
      <c r="C1002" s="23">
        <f>'P&amp;L Acumulado'!$I$1</f>
        <v>46112</v>
      </c>
      <c r="D1002" s="23">
        <f>'P&amp;L Acumulado'!$I$1</f>
        <v>46112</v>
      </c>
      <c r="E1002" t="str">
        <f>TEXT('P&amp;L Acumulado'!$G$1,"mmm/yyyy")&amp;" a "&amp;TEXT('P&amp;L Acumulado'!$I$1,"mmm/yyyy")</f>
        <v>jan/yyyy a mar/yyyy</v>
      </c>
      <c r="F1002" t="s">
        <v>42</v>
      </c>
      <c r="G1002" t="s">
        <v>96</v>
      </c>
      <c r="H1002" t="s">
        <v>557</v>
      </c>
      <c r="I1002" s="429">
        <f>'P&amp;L Acumulado'!O42</f>
        <v>-2233629.9823200777</v>
      </c>
      <c r="J1002" t="s">
        <v>1071</v>
      </c>
      <c r="K1002" t="s">
        <v>1202</v>
      </c>
      <c r="L1002">
        <v>42</v>
      </c>
    </row>
    <row r="1003" spans="1:12" ht="18" customHeight="1" x14ac:dyDescent="0.25">
      <c r="A1003" t="s">
        <v>1070</v>
      </c>
      <c r="B1003" s="23">
        <f>'P&amp;L Acumulado'!$G$1</f>
        <v>46053</v>
      </c>
      <c r="C1003" s="23">
        <f>'P&amp;L Acumulado'!$I$1</f>
        <v>46112</v>
      </c>
      <c r="D1003" s="23">
        <f>'P&amp;L Acumulado'!$I$1</f>
        <v>46112</v>
      </c>
      <c r="E1003" t="str">
        <f>TEXT('P&amp;L Acumulado'!$G$1,"mmm/yyyy")&amp;" a "&amp;TEXT('P&amp;L Acumulado'!$I$1,"mmm/yyyy")</f>
        <v>jan/yyyy a mar/yyyy</v>
      </c>
      <c r="F1003" t="s">
        <v>43</v>
      </c>
      <c r="G1003" t="s">
        <v>252</v>
      </c>
      <c r="H1003" t="s">
        <v>5</v>
      </c>
      <c r="I1003" s="429" t="e">
        <f>'P&amp;L Acumulado'!C43</f>
        <v>#REF!</v>
      </c>
      <c r="J1003" t="s">
        <v>1071</v>
      </c>
      <c r="K1003" t="s">
        <v>910</v>
      </c>
      <c r="L1003">
        <v>43</v>
      </c>
    </row>
    <row r="1004" spans="1:12" ht="18" customHeight="1" x14ac:dyDescent="0.25">
      <c r="A1004" t="s">
        <v>1070</v>
      </c>
      <c r="B1004" s="23">
        <f>'P&amp;L Acumulado'!$G$1</f>
        <v>46053</v>
      </c>
      <c r="C1004" s="23">
        <f>'P&amp;L Acumulado'!$I$1</f>
        <v>46112</v>
      </c>
      <c r="D1004" s="23">
        <f>'P&amp;L Acumulado'!$I$1</f>
        <v>46112</v>
      </c>
      <c r="E1004" t="str">
        <f>TEXT('P&amp;L Acumulado'!$G$1,"mmm/yyyy")&amp;" a "&amp;TEXT('P&amp;L Acumulado'!$I$1,"mmm/yyyy")</f>
        <v>jan/yyyy a mar/yyyy</v>
      </c>
      <c r="F1004" t="s">
        <v>43</v>
      </c>
      <c r="G1004" t="s">
        <v>252</v>
      </c>
      <c r="H1004" t="s">
        <v>6</v>
      </c>
      <c r="I1004" s="429" t="e">
        <f>'P&amp;L Acumulado'!D43</f>
        <v>#REF!</v>
      </c>
      <c r="J1004" t="s">
        <v>1071</v>
      </c>
      <c r="K1004" t="s">
        <v>911</v>
      </c>
      <c r="L1004">
        <v>43</v>
      </c>
    </row>
    <row r="1005" spans="1:12" ht="18" customHeight="1" x14ac:dyDescent="0.25">
      <c r="A1005" t="s">
        <v>1070</v>
      </c>
      <c r="B1005" s="23">
        <f>'P&amp;L Acumulado'!$G$1</f>
        <v>46053</v>
      </c>
      <c r="C1005" s="23">
        <f>'P&amp;L Acumulado'!$I$1</f>
        <v>46112</v>
      </c>
      <c r="D1005" s="23">
        <f>'P&amp;L Acumulado'!$I$1</f>
        <v>46112</v>
      </c>
      <c r="E1005" t="str">
        <f>TEXT('P&amp;L Acumulado'!$G$1,"mmm/yyyy")&amp;" a "&amp;TEXT('P&amp;L Acumulado'!$I$1,"mmm/yyyy")</f>
        <v>jan/yyyy a mar/yyyy</v>
      </c>
      <c r="F1005" t="s">
        <v>43</v>
      </c>
      <c r="G1005" t="s">
        <v>252</v>
      </c>
      <c r="H1005" t="s">
        <v>549</v>
      </c>
      <c r="I1005" s="104" t="str">
        <f>'P&amp;L Acumulado'!E43</f>
        <v>-</v>
      </c>
      <c r="J1005" t="s">
        <v>1071</v>
      </c>
      <c r="K1005" t="s">
        <v>912</v>
      </c>
      <c r="L1005">
        <v>43</v>
      </c>
    </row>
    <row r="1006" spans="1:12" ht="18" customHeight="1" x14ac:dyDescent="0.25">
      <c r="A1006" t="s">
        <v>1070</v>
      </c>
      <c r="B1006" s="23">
        <f>'P&amp;L Acumulado'!$G$1</f>
        <v>46053</v>
      </c>
      <c r="C1006" s="23">
        <f>'P&amp;L Acumulado'!$I$1</f>
        <v>46112</v>
      </c>
      <c r="D1006" s="23">
        <f>'P&amp;L Acumulado'!$I$1</f>
        <v>46112</v>
      </c>
      <c r="E1006" t="str">
        <f>TEXT('P&amp;L Acumulado'!$G$1,"mmm/yyyy")&amp;" a "&amp;TEXT('P&amp;L Acumulado'!$I$1,"mmm/yyyy")</f>
        <v>jan/yyyy a mar/yyyy</v>
      </c>
      <c r="F1006" t="s">
        <v>43</v>
      </c>
      <c r="G1006" t="s">
        <v>205</v>
      </c>
      <c r="H1006" t="s">
        <v>5</v>
      </c>
      <c r="I1006" s="429">
        <f>'P&amp;L Acumulado'!F43</f>
        <v>3263545.2146283276</v>
      </c>
      <c r="J1006" t="s">
        <v>1071</v>
      </c>
      <c r="K1006" t="s">
        <v>913</v>
      </c>
      <c r="L1006">
        <v>43</v>
      </c>
    </row>
    <row r="1007" spans="1:12" ht="18" customHeight="1" x14ac:dyDescent="0.25">
      <c r="A1007" t="s">
        <v>1070</v>
      </c>
      <c r="B1007" s="23">
        <f>'P&amp;L Acumulado'!$G$1</f>
        <v>46053</v>
      </c>
      <c r="C1007" s="23">
        <f>'P&amp;L Acumulado'!$I$1</f>
        <v>46112</v>
      </c>
      <c r="D1007" s="23">
        <f>'P&amp;L Acumulado'!$I$1</f>
        <v>46112</v>
      </c>
      <c r="E1007" t="str">
        <f>TEXT('P&amp;L Acumulado'!$G$1,"mmm/yyyy")&amp;" a "&amp;TEXT('P&amp;L Acumulado'!$I$1,"mmm/yyyy")</f>
        <v>jan/yyyy a mar/yyyy</v>
      </c>
      <c r="F1007" t="s">
        <v>43</v>
      </c>
      <c r="G1007" t="s">
        <v>205</v>
      </c>
      <c r="H1007" t="s">
        <v>6</v>
      </c>
      <c r="I1007" s="429">
        <f>'P&amp;L Acumulado'!G43</f>
        <v>3549700.8212693678</v>
      </c>
      <c r="J1007" t="s">
        <v>1071</v>
      </c>
      <c r="K1007" t="s">
        <v>914</v>
      </c>
      <c r="L1007">
        <v>43</v>
      </c>
    </row>
    <row r="1008" spans="1:12" ht="18" customHeight="1" x14ac:dyDescent="0.25">
      <c r="A1008" t="s">
        <v>1070</v>
      </c>
      <c r="B1008" s="23">
        <f>'P&amp;L Acumulado'!$G$1</f>
        <v>46053</v>
      </c>
      <c r="C1008" s="23">
        <f>'P&amp;L Acumulado'!$I$1</f>
        <v>46112</v>
      </c>
      <c r="D1008" s="23">
        <f>'P&amp;L Acumulado'!$I$1</f>
        <v>46112</v>
      </c>
      <c r="E1008" t="str">
        <f>TEXT('P&amp;L Acumulado'!$G$1,"mmm/yyyy")&amp;" a "&amp;TEXT('P&amp;L Acumulado'!$I$1,"mmm/yyyy")</f>
        <v>jan/yyyy a mar/yyyy</v>
      </c>
      <c r="F1008" t="s">
        <v>43</v>
      </c>
      <c r="G1008" t="s">
        <v>205</v>
      </c>
      <c r="H1008" t="s">
        <v>549</v>
      </c>
      <c r="I1008" s="104">
        <f>'P&amp;L Acumulado'!H43</f>
        <v>-8.0614006940086691E-2</v>
      </c>
      <c r="J1008" t="s">
        <v>1071</v>
      </c>
      <c r="K1008" t="s">
        <v>915</v>
      </c>
      <c r="L1008">
        <v>43</v>
      </c>
    </row>
    <row r="1009" spans="1:12" ht="18" customHeight="1" x14ac:dyDescent="0.25">
      <c r="A1009" t="s">
        <v>1070</v>
      </c>
      <c r="B1009" s="23">
        <f>'P&amp;L Acumulado'!$G$1</f>
        <v>46053</v>
      </c>
      <c r="C1009" s="23">
        <f>'P&amp;L Acumulado'!$I$1</f>
        <v>46112</v>
      </c>
      <c r="D1009" s="23">
        <f>'P&amp;L Acumulado'!$I$1</f>
        <v>46112</v>
      </c>
      <c r="E1009" t="str">
        <f>TEXT('P&amp;L Acumulado'!$G$1,"mmm/yyyy")&amp;" a "&amp;TEXT('P&amp;L Acumulado'!$I$1,"mmm/yyyy")</f>
        <v>jan/yyyy a mar/yyyy</v>
      </c>
      <c r="F1009" t="s">
        <v>43</v>
      </c>
      <c r="G1009" t="s">
        <v>220</v>
      </c>
      <c r="H1009" t="s">
        <v>5</v>
      </c>
      <c r="I1009" s="429">
        <f>'P&amp;L Acumulado'!I43</f>
        <v>12585744.085371682</v>
      </c>
      <c r="J1009" t="s">
        <v>1071</v>
      </c>
      <c r="K1009" t="s">
        <v>916</v>
      </c>
      <c r="L1009">
        <v>43</v>
      </c>
    </row>
    <row r="1010" spans="1:12" ht="18" customHeight="1" x14ac:dyDescent="0.25">
      <c r="A1010" t="s">
        <v>1070</v>
      </c>
      <c r="B1010" s="23">
        <f>'P&amp;L Acumulado'!$G$1</f>
        <v>46053</v>
      </c>
      <c r="C1010" s="23">
        <f>'P&amp;L Acumulado'!$I$1</f>
        <v>46112</v>
      </c>
      <c r="D1010" s="23">
        <f>'P&amp;L Acumulado'!$I$1</f>
        <v>46112</v>
      </c>
      <c r="E1010" t="str">
        <f>TEXT('P&amp;L Acumulado'!$G$1,"mmm/yyyy")&amp;" a "&amp;TEXT('P&amp;L Acumulado'!$I$1,"mmm/yyyy")</f>
        <v>jan/yyyy a mar/yyyy</v>
      </c>
      <c r="F1010" t="s">
        <v>43</v>
      </c>
      <c r="G1010" t="s">
        <v>220</v>
      </c>
      <c r="H1010" t="s">
        <v>6</v>
      </c>
      <c r="I1010" s="429">
        <f>'P&amp;L Acumulado'!J43</f>
        <v>11859651.186751842</v>
      </c>
      <c r="J1010" t="s">
        <v>1071</v>
      </c>
      <c r="K1010" t="s">
        <v>917</v>
      </c>
      <c r="L1010">
        <v>43</v>
      </c>
    </row>
    <row r="1011" spans="1:12" ht="18" customHeight="1" x14ac:dyDescent="0.25">
      <c r="A1011" t="s">
        <v>1070</v>
      </c>
      <c r="B1011" s="23">
        <f>'P&amp;L Acumulado'!$G$1</f>
        <v>46053</v>
      </c>
      <c r="C1011" s="23">
        <f>'P&amp;L Acumulado'!$I$1</f>
        <v>46112</v>
      </c>
      <c r="D1011" s="23">
        <f>'P&amp;L Acumulado'!$I$1</f>
        <v>46112</v>
      </c>
      <c r="E1011" t="str">
        <f>TEXT('P&amp;L Acumulado'!$G$1,"mmm/yyyy")&amp;" a "&amp;TEXT('P&amp;L Acumulado'!$I$1,"mmm/yyyy")</f>
        <v>jan/yyyy a mar/yyyy</v>
      </c>
      <c r="F1011" t="s">
        <v>43</v>
      </c>
      <c r="G1011" t="s">
        <v>220</v>
      </c>
      <c r="H1011" t="s">
        <v>549</v>
      </c>
      <c r="I1011" s="104">
        <f>'P&amp;L Acumulado'!K43</f>
        <v>6.1223798844180388E-2</v>
      </c>
      <c r="J1011" t="s">
        <v>1071</v>
      </c>
      <c r="K1011" t="s">
        <v>918</v>
      </c>
      <c r="L1011">
        <v>43</v>
      </c>
    </row>
    <row r="1012" spans="1:12" ht="18" customHeight="1" x14ac:dyDescent="0.25">
      <c r="A1012" t="s">
        <v>1070</v>
      </c>
      <c r="B1012" s="23">
        <f>'P&amp;L Acumulado'!$G$1</f>
        <v>46053</v>
      </c>
      <c r="C1012" s="23">
        <f>'P&amp;L Acumulado'!$I$1</f>
        <v>46112</v>
      </c>
      <c r="D1012" s="23">
        <f>'P&amp;L Acumulado'!$I$1</f>
        <v>46112</v>
      </c>
      <c r="E1012" t="str">
        <f>TEXT('P&amp;L Acumulado'!$G$1,"mmm/yyyy")&amp;" a "&amp;TEXT('P&amp;L Acumulado'!$I$1,"mmm/yyyy")</f>
        <v>jan/yyyy a mar/yyyy</v>
      </c>
      <c r="F1012" t="s">
        <v>43</v>
      </c>
      <c r="G1012" t="s">
        <v>96</v>
      </c>
      <c r="H1012" t="s">
        <v>5</v>
      </c>
      <c r="I1012" s="429">
        <f>'P&amp;L Acumulado'!L43</f>
        <v>15849289.299999993</v>
      </c>
      <c r="J1012" t="s">
        <v>1071</v>
      </c>
      <c r="K1012" t="s">
        <v>919</v>
      </c>
      <c r="L1012">
        <v>43</v>
      </c>
    </row>
    <row r="1013" spans="1:12" ht="18" customHeight="1" x14ac:dyDescent="0.25">
      <c r="A1013" t="s">
        <v>1070</v>
      </c>
      <c r="B1013" s="23">
        <f>'P&amp;L Acumulado'!$G$1</f>
        <v>46053</v>
      </c>
      <c r="C1013" s="23">
        <f>'P&amp;L Acumulado'!$I$1</f>
        <v>46112</v>
      </c>
      <c r="D1013" s="23">
        <f>'P&amp;L Acumulado'!$I$1</f>
        <v>46112</v>
      </c>
      <c r="E1013" t="str">
        <f>TEXT('P&amp;L Acumulado'!$G$1,"mmm/yyyy")&amp;" a "&amp;TEXT('P&amp;L Acumulado'!$I$1,"mmm/yyyy")</f>
        <v>jan/yyyy a mar/yyyy</v>
      </c>
      <c r="F1013" t="s">
        <v>43</v>
      </c>
      <c r="G1013" t="s">
        <v>96</v>
      </c>
      <c r="H1013" t="s">
        <v>6</v>
      </c>
      <c r="I1013" s="429">
        <f>'P&amp;L Acumulado'!M43</f>
        <v>15409352.008021209</v>
      </c>
      <c r="J1013" t="s">
        <v>1071</v>
      </c>
      <c r="K1013" t="s">
        <v>1203</v>
      </c>
      <c r="L1013">
        <v>43</v>
      </c>
    </row>
    <row r="1014" spans="1:12" ht="18" customHeight="1" x14ac:dyDescent="0.25">
      <c r="A1014" t="s">
        <v>1070</v>
      </c>
      <c r="B1014" s="23">
        <f>'P&amp;L Acumulado'!$G$1</f>
        <v>46053</v>
      </c>
      <c r="C1014" s="23">
        <f>'P&amp;L Acumulado'!$I$1</f>
        <v>46112</v>
      </c>
      <c r="D1014" s="23">
        <f>'P&amp;L Acumulado'!$I$1</f>
        <v>46112</v>
      </c>
      <c r="E1014" t="str">
        <f>TEXT('P&amp;L Acumulado'!$G$1,"mmm/yyyy")&amp;" a "&amp;TEXT('P&amp;L Acumulado'!$I$1,"mmm/yyyy")</f>
        <v>jan/yyyy a mar/yyyy</v>
      </c>
      <c r="F1014" t="s">
        <v>43</v>
      </c>
      <c r="G1014" t="s">
        <v>96</v>
      </c>
      <c r="H1014" t="s">
        <v>549</v>
      </c>
      <c r="I1014" s="104">
        <f>'P&amp;L Acumulado'!N43</f>
        <v>2.8550018959251355E-2</v>
      </c>
      <c r="J1014" t="s">
        <v>1071</v>
      </c>
      <c r="K1014" t="s">
        <v>1204</v>
      </c>
      <c r="L1014">
        <v>43</v>
      </c>
    </row>
    <row r="1015" spans="1:12" ht="18" customHeight="1" x14ac:dyDescent="0.25">
      <c r="A1015" t="s">
        <v>1070</v>
      </c>
      <c r="B1015" s="23">
        <f>'P&amp;L Acumulado'!$G$1</f>
        <v>46053</v>
      </c>
      <c r="C1015" s="23">
        <f>'P&amp;L Acumulado'!$I$1</f>
        <v>46112</v>
      </c>
      <c r="D1015" s="23">
        <f>'P&amp;L Acumulado'!$I$1</f>
        <v>46112</v>
      </c>
      <c r="E1015" t="str">
        <f>TEXT('P&amp;L Acumulado'!$G$1,"mmm/yyyy")&amp;" a "&amp;TEXT('P&amp;L Acumulado'!$I$1,"mmm/yyyy")</f>
        <v>jan/yyyy a mar/yyyy</v>
      </c>
      <c r="F1015" t="s">
        <v>43</v>
      </c>
      <c r="G1015" t="s">
        <v>96</v>
      </c>
      <c r="H1015" t="s">
        <v>557</v>
      </c>
      <c r="I1015" s="429">
        <f>'P&amp;L Acumulado'!O43</f>
        <v>439937.29197878391</v>
      </c>
      <c r="J1015" t="s">
        <v>1071</v>
      </c>
      <c r="K1015" t="s">
        <v>1205</v>
      </c>
      <c r="L1015">
        <v>43</v>
      </c>
    </row>
    <row r="1016" spans="1:12" ht="18" customHeight="1" x14ac:dyDescent="0.25">
      <c r="A1016" t="s">
        <v>1070</v>
      </c>
      <c r="B1016" s="23">
        <f>'P&amp;L Acumulado'!$G$1</f>
        <v>46053</v>
      </c>
      <c r="C1016" s="23">
        <f>'P&amp;L Acumulado'!$I$1</f>
        <v>46112</v>
      </c>
      <c r="D1016" s="23">
        <f>'P&amp;L Acumulado'!$I$1</f>
        <v>46112</v>
      </c>
      <c r="E1016" t="str">
        <f>TEXT('P&amp;L Acumulado'!$G$1,"mmm/yyyy")&amp;" a "&amp;TEXT('P&amp;L Acumulado'!$I$1,"mmm/yyyy")</f>
        <v>jan/yyyy a mar/yyyy</v>
      </c>
      <c r="F1016" t="s">
        <v>46</v>
      </c>
      <c r="G1016" t="s">
        <v>252</v>
      </c>
      <c r="H1016" t="s">
        <v>5</v>
      </c>
      <c r="I1016" s="429">
        <f>'P&amp;L Acumulado'!C44</f>
        <v>0</v>
      </c>
      <c r="J1016" t="s">
        <v>1071</v>
      </c>
      <c r="K1016" t="s">
        <v>920</v>
      </c>
      <c r="L1016">
        <v>44</v>
      </c>
    </row>
    <row r="1017" spans="1:12" ht="18" customHeight="1" x14ac:dyDescent="0.25">
      <c r="A1017" t="s">
        <v>1070</v>
      </c>
      <c r="B1017" s="23">
        <f>'P&amp;L Acumulado'!$G$1</f>
        <v>46053</v>
      </c>
      <c r="C1017" s="23">
        <f>'P&amp;L Acumulado'!$I$1</f>
        <v>46112</v>
      </c>
      <c r="D1017" s="23">
        <f>'P&amp;L Acumulado'!$I$1</f>
        <v>46112</v>
      </c>
      <c r="E1017" t="str">
        <f>TEXT('P&amp;L Acumulado'!$G$1,"mmm/yyyy")&amp;" a "&amp;TEXT('P&amp;L Acumulado'!$I$1,"mmm/yyyy")</f>
        <v>jan/yyyy a mar/yyyy</v>
      </c>
      <c r="F1017" t="s">
        <v>46</v>
      </c>
      <c r="G1017" t="s">
        <v>252</v>
      </c>
      <c r="H1017" t="s">
        <v>6</v>
      </c>
      <c r="I1017" s="429">
        <f>'P&amp;L Acumulado'!D44</f>
        <v>0</v>
      </c>
      <c r="J1017" t="s">
        <v>1071</v>
      </c>
      <c r="K1017" t="s">
        <v>921</v>
      </c>
      <c r="L1017">
        <v>44</v>
      </c>
    </row>
    <row r="1018" spans="1:12" ht="18" customHeight="1" x14ac:dyDescent="0.25">
      <c r="A1018" t="s">
        <v>1070</v>
      </c>
      <c r="B1018" s="23">
        <f>'P&amp;L Acumulado'!$G$1</f>
        <v>46053</v>
      </c>
      <c r="C1018" s="23">
        <f>'P&amp;L Acumulado'!$I$1</f>
        <v>46112</v>
      </c>
      <c r="D1018" s="23">
        <f>'P&amp;L Acumulado'!$I$1</f>
        <v>46112</v>
      </c>
      <c r="E1018" t="str">
        <f>TEXT('P&amp;L Acumulado'!$G$1,"mmm/yyyy")&amp;" a "&amp;TEXT('P&amp;L Acumulado'!$I$1,"mmm/yyyy")</f>
        <v>jan/yyyy a mar/yyyy</v>
      </c>
      <c r="F1018" t="s">
        <v>46</v>
      </c>
      <c r="G1018" t="s">
        <v>252</v>
      </c>
      <c r="H1018" t="s">
        <v>549</v>
      </c>
      <c r="I1018" s="104" t="str">
        <f>'P&amp;L Acumulado'!E44</f>
        <v>-</v>
      </c>
      <c r="J1018" t="s">
        <v>1071</v>
      </c>
      <c r="K1018" t="s">
        <v>922</v>
      </c>
      <c r="L1018">
        <v>44</v>
      </c>
    </row>
    <row r="1019" spans="1:12" ht="18" customHeight="1" x14ac:dyDescent="0.25">
      <c r="A1019" t="s">
        <v>1070</v>
      </c>
      <c r="B1019" s="23">
        <f>'P&amp;L Acumulado'!$G$1</f>
        <v>46053</v>
      </c>
      <c r="C1019" s="23">
        <f>'P&amp;L Acumulado'!$I$1</f>
        <v>46112</v>
      </c>
      <c r="D1019" s="23">
        <f>'P&amp;L Acumulado'!$I$1</f>
        <v>46112</v>
      </c>
      <c r="E1019" t="str">
        <f>TEXT('P&amp;L Acumulado'!$G$1,"mmm/yyyy")&amp;" a "&amp;TEXT('P&amp;L Acumulado'!$I$1,"mmm/yyyy")</f>
        <v>jan/yyyy a mar/yyyy</v>
      </c>
      <c r="F1019" t="s">
        <v>46</v>
      </c>
      <c r="G1019" t="s">
        <v>205</v>
      </c>
      <c r="H1019" t="s">
        <v>5</v>
      </c>
      <c r="I1019" s="429">
        <f>'P&amp;L Acumulado'!F44</f>
        <v>9.5772869866837071E-2</v>
      </c>
      <c r="J1019" t="s">
        <v>1071</v>
      </c>
      <c r="K1019" t="s">
        <v>923</v>
      </c>
      <c r="L1019">
        <v>44</v>
      </c>
    </row>
    <row r="1020" spans="1:12" ht="18" customHeight="1" x14ac:dyDescent="0.25">
      <c r="A1020" t="s">
        <v>1070</v>
      </c>
      <c r="B1020" s="23">
        <f>'P&amp;L Acumulado'!$G$1</f>
        <v>46053</v>
      </c>
      <c r="C1020" s="23">
        <f>'P&amp;L Acumulado'!$I$1</f>
        <v>46112</v>
      </c>
      <c r="D1020" s="23">
        <f>'P&amp;L Acumulado'!$I$1</f>
        <v>46112</v>
      </c>
      <c r="E1020" t="str">
        <f>TEXT('P&amp;L Acumulado'!$G$1,"mmm/yyyy")&amp;" a "&amp;TEXT('P&amp;L Acumulado'!$I$1,"mmm/yyyy")</f>
        <v>jan/yyyy a mar/yyyy</v>
      </c>
      <c r="F1020" t="s">
        <v>46</v>
      </c>
      <c r="G1020" t="s">
        <v>205</v>
      </c>
      <c r="H1020" t="s">
        <v>6</v>
      </c>
      <c r="I1020" s="429">
        <f>'P&amp;L Acumulado'!G44</f>
        <v>9.7618504312951451E-2</v>
      </c>
      <c r="J1020" t="s">
        <v>1071</v>
      </c>
      <c r="K1020" t="s">
        <v>924</v>
      </c>
      <c r="L1020">
        <v>44</v>
      </c>
    </row>
    <row r="1021" spans="1:12" ht="18" customHeight="1" x14ac:dyDescent="0.25">
      <c r="A1021" t="s">
        <v>1070</v>
      </c>
      <c r="B1021" s="23">
        <f>'P&amp;L Acumulado'!$G$1</f>
        <v>46053</v>
      </c>
      <c r="C1021" s="23">
        <f>'P&amp;L Acumulado'!$I$1</f>
        <v>46112</v>
      </c>
      <c r="D1021" s="23">
        <f>'P&amp;L Acumulado'!$I$1</f>
        <v>46112</v>
      </c>
      <c r="E1021" t="str">
        <f>TEXT('P&amp;L Acumulado'!$G$1,"mmm/yyyy")&amp;" a "&amp;TEXT('P&amp;L Acumulado'!$I$1,"mmm/yyyy")</f>
        <v>jan/yyyy a mar/yyyy</v>
      </c>
      <c r="F1021" t="s">
        <v>46</v>
      </c>
      <c r="G1021" t="s">
        <v>205</v>
      </c>
      <c r="H1021" t="s">
        <v>549</v>
      </c>
      <c r="I1021" s="104">
        <f>'P&amp;L Acumulado'!H44</f>
        <v>-1.8456344461143803E-3</v>
      </c>
      <c r="J1021" t="s">
        <v>1071</v>
      </c>
      <c r="K1021" t="s">
        <v>925</v>
      </c>
      <c r="L1021">
        <v>44</v>
      </c>
    </row>
    <row r="1022" spans="1:12" ht="18" customHeight="1" x14ac:dyDescent="0.25">
      <c r="A1022" t="s">
        <v>1070</v>
      </c>
      <c r="B1022" s="23">
        <f>'P&amp;L Acumulado'!$G$1</f>
        <v>46053</v>
      </c>
      <c r="C1022" s="23">
        <f>'P&amp;L Acumulado'!$I$1</f>
        <v>46112</v>
      </c>
      <c r="D1022" s="23">
        <f>'P&amp;L Acumulado'!$I$1</f>
        <v>46112</v>
      </c>
      <c r="E1022" t="str">
        <f>TEXT('P&amp;L Acumulado'!$G$1,"mmm/yyyy")&amp;" a "&amp;TEXT('P&amp;L Acumulado'!$I$1,"mmm/yyyy")</f>
        <v>jan/yyyy a mar/yyyy</v>
      </c>
      <c r="F1022" t="s">
        <v>46</v>
      </c>
      <c r="G1022" t="s">
        <v>220</v>
      </c>
      <c r="H1022" t="s">
        <v>5</v>
      </c>
      <c r="I1022" s="429">
        <f>'P&amp;L Acumulado'!I44</f>
        <v>9.3272028294570528E-2</v>
      </c>
      <c r="J1022" t="s">
        <v>1071</v>
      </c>
      <c r="K1022" t="s">
        <v>926</v>
      </c>
      <c r="L1022">
        <v>44</v>
      </c>
    </row>
    <row r="1023" spans="1:12" ht="18" customHeight="1" x14ac:dyDescent="0.25">
      <c r="A1023" t="s">
        <v>1070</v>
      </c>
      <c r="B1023" s="23">
        <f>'P&amp;L Acumulado'!$G$1</f>
        <v>46053</v>
      </c>
      <c r="C1023" s="23">
        <f>'P&amp;L Acumulado'!$I$1</f>
        <v>46112</v>
      </c>
      <c r="D1023" s="23">
        <f>'P&amp;L Acumulado'!$I$1</f>
        <v>46112</v>
      </c>
      <c r="E1023" t="str">
        <f>TEXT('P&amp;L Acumulado'!$G$1,"mmm/yyyy")&amp;" a "&amp;TEXT('P&amp;L Acumulado'!$I$1,"mmm/yyyy")</f>
        <v>jan/yyyy a mar/yyyy</v>
      </c>
      <c r="F1023" t="s">
        <v>46</v>
      </c>
      <c r="G1023" t="s">
        <v>220</v>
      </c>
      <c r="H1023" t="s">
        <v>6</v>
      </c>
      <c r="I1023" s="429">
        <f>'P&amp;L Acumulado'!J44</f>
        <v>8.8770703112873883E-2</v>
      </c>
      <c r="J1023" t="s">
        <v>1071</v>
      </c>
      <c r="K1023" t="s">
        <v>927</v>
      </c>
      <c r="L1023">
        <v>44</v>
      </c>
    </row>
    <row r="1024" spans="1:12" ht="18" customHeight="1" x14ac:dyDescent="0.25">
      <c r="A1024" t="s">
        <v>1070</v>
      </c>
      <c r="B1024" s="23">
        <f>'P&amp;L Acumulado'!$G$1</f>
        <v>46053</v>
      </c>
      <c r="C1024" s="23">
        <f>'P&amp;L Acumulado'!$I$1</f>
        <v>46112</v>
      </c>
      <c r="D1024" s="23">
        <f>'P&amp;L Acumulado'!$I$1</f>
        <v>46112</v>
      </c>
      <c r="E1024" t="str">
        <f>TEXT('P&amp;L Acumulado'!$G$1,"mmm/yyyy")&amp;" a "&amp;TEXT('P&amp;L Acumulado'!$I$1,"mmm/yyyy")</f>
        <v>jan/yyyy a mar/yyyy</v>
      </c>
      <c r="F1024" t="s">
        <v>46</v>
      </c>
      <c r="G1024" t="s">
        <v>220</v>
      </c>
      <c r="H1024" t="s">
        <v>549</v>
      </c>
      <c r="I1024" s="104">
        <f>'P&amp;L Acumulado'!K44</f>
        <v>4.5013251816966443E-3</v>
      </c>
      <c r="J1024" t="s">
        <v>1071</v>
      </c>
      <c r="K1024" t="s">
        <v>928</v>
      </c>
      <c r="L1024">
        <v>44</v>
      </c>
    </row>
    <row r="1025" spans="1:12" ht="18" customHeight="1" x14ac:dyDescent="0.25">
      <c r="A1025" t="s">
        <v>1070</v>
      </c>
      <c r="B1025" s="23">
        <f>'P&amp;L Acumulado'!$G$1</f>
        <v>46053</v>
      </c>
      <c r="C1025" s="23">
        <f>'P&amp;L Acumulado'!$I$1</f>
        <v>46112</v>
      </c>
      <c r="D1025" s="23">
        <f>'P&amp;L Acumulado'!$I$1</f>
        <v>46112</v>
      </c>
      <c r="E1025" t="str">
        <f>TEXT('P&amp;L Acumulado'!$G$1,"mmm/yyyy")&amp;" a "&amp;TEXT('P&amp;L Acumulado'!$I$1,"mmm/yyyy")</f>
        <v>jan/yyyy a mar/yyyy</v>
      </c>
      <c r="F1025" t="s">
        <v>46</v>
      </c>
      <c r="G1025" t="s">
        <v>96</v>
      </c>
      <c r="H1025" t="s">
        <v>5</v>
      </c>
      <c r="I1025" s="429">
        <f>'P&amp;L Acumulado'!L44</f>
        <v>9.379136658975816E-2</v>
      </c>
      <c r="J1025" t="s">
        <v>1071</v>
      </c>
      <c r="K1025" t="s">
        <v>929</v>
      </c>
      <c r="L1025">
        <v>44</v>
      </c>
    </row>
    <row r="1026" spans="1:12" ht="18" customHeight="1" x14ac:dyDescent="0.25">
      <c r="A1026" t="s">
        <v>1070</v>
      </c>
      <c r="B1026" s="23">
        <f>'P&amp;L Acumulado'!$G$1</f>
        <v>46053</v>
      </c>
      <c r="C1026" s="23">
        <f>'P&amp;L Acumulado'!$I$1</f>
        <v>46112</v>
      </c>
      <c r="D1026" s="23">
        <f>'P&amp;L Acumulado'!$I$1</f>
        <v>46112</v>
      </c>
      <c r="E1026" t="str">
        <f>TEXT('P&amp;L Acumulado'!$G$1,"mmm/yyyy")&amp;" a "&amp;TEXT('P&amp;L Acumulado'!$I$1,"mmm/yyyy")</f>
        <v>jan/yyyy a mar/yyyy</v>
      </c>
      <c r="F1026" t="s">
        <v>46</v>
      </c>
      <c r="G1026" t="s">
        <v>96</v>
      </c>
      <c r="H1026" t="s">
        <v>6</v>
      </c>
      <c r="I1026" s="429" t="e">
        <f>'P&amp;L Acumulado'!M44</f>
        <v>#DIV/0!</v>
      </c>
      <c r="J1026" t="s">
        <v>1071</v>
      </c>
      <c r="K1026" t="s">
        <v>1206</v>
      </c>
      <c r="L1026">
        <v>44</v>
      </c>
    </row>
    <row r="1027" spans="1:12" ht="18" customHeight="1" x14ac:dyDescent="0.25">
      <c r="A1027" t="s">
        <v>1070</v>
      </c>
      <c r="B1027" s="23">
        <f>'P&amp;L Acumulado'!$G$1</f>
        <v>46053</v>
      </c>
      <c r="C1027" s="23">
        <f>'P&amp;L Acumulado'!$I$1</f>
        <v>46112</v>
      </c>
      <c r="D1027" s="23">
        <f>'P&amp;L Acumulado'!$I$1</f>
        <v>46112</v>
      </c>
      <c r="E1027" t="str">
        <f>TEXT('P&amp;L Acumulado'!$G$1,"mmm/yyyy")&amp;" a "&amp;TEXT('P&amp;L Acumulado'!$I$1,"mmm/yyyy")</f>
        <v>jan/yyyy a mar/yyyy</v>
      </c>
      <c r="F1027" t="s">
        <v>46</v>
      </c>
      <c r="G1027" t="s">
        <v>96</v>
      </c>
      <c r="H1027" t="s">
        <v>549</v>
      </c>
      <c r="I1027" s="104" t="str">
        <f>'P&amp;L Acumulado'!N44</f>
        <v>-</v>
      </c>
      <c r="J1027" t="s">
        <v>1071</v>
      </c>
      <c r="K1027" t="s">
        <v>1207</v>
      </c>
      <c r="L1027">
        <v>44</v>
      </c>
    </row>
    <row r="1028" spans="1:12" ht="18" customHeight="1" x14ac:dyDescent="0.25">
      <c r="A1028" t="s">
        <v>1070</v>
      </c>
      <c r="B1028" s="23">
        <f>'P&amp;L Acumulado'!$G$1</f>
        <v>46053</v>
      </c>
      <c r="C1028" s="23">
        <f>'P&amp;L Acumulado'!$I$1</f>
        <v>46112</v>
      </c>
      <c r="D1028" s="23">
        <f>'P&amp;L Acumulado'!$I$1</f>
        <v>46112</v>
      </c>
      <c r="E1028" t="str">
        <f>TEXT('P&amp;L Acumulado'!$G$1,"mmm/yyyy")&amp;" a "&amp;TEXT('P&amp;L Acumulado'!$I$1,"mmm/yyyy")</f>
        <v>jan/yyyy a mar/yyyy</v>
      </c>
      <c r="F1028" t="s">
        <v>46</v>
      </c>
      <c r="G1028" t="s">
        <v>96</v>
      </c>
      <c r="H1028" t="s">
        <v>557</v>
      </c>
      <c r="I1028" s="429">
        <f>'P&amp;L Acumulado'!O44</f>
        <v>0</v>
      </c>
      <c r="J1028" t="s">
        <v>1071</v>
      </c>
      <c r="K1028" t="s">
        <v>1208</v>
      </c>
      <c r="L1028">
        <v>44</v>
      </c>
    </row>
    <row r="1029" spans="1:12" ht="18" customHeight="1" x14ac:dyDescent="0.25">
      <c r="A1029" t="s">
        <v>1070</v>
      </c>
      <c r="B1029" s="23">
        <f>'P&amp;L Acumulado'!$G$1</f>
        <v>46053</v>
      </c>
      <c r="C1029" s="23">
        <f>'P&amp;L Acumulado'!$I$1</f>
        <v>46112</v>
      </c>
      <c r="D1029" s="23">
        <f>'P&amp;L Acumulado'!$I$1</f>
        <v>46112</v>
      </c>
      <c r="E1029" t="str">
        <f>TEXT('P&amp;L Acumulado'!$G$1,"mmm/yyyy")&amp;" a "&amp;TEXT('P&amp;L Acumulado'!$I$1,"mmm/yyyy")</f>
        <v>jan/yyyy a mar/yyyy</v>
      </c>
      <c r="F1029" t="s">
        <v>47</v>
      </c>
      <c r="G1029" t="s">
        <v>252</v>
      </c>
      <c r="H1029" t="s">
        <v>5</v>
      </c>
      <c r="I1029" s="429">
        <f>'P&amp;L Acumulado'!C45</f>
        <v>0</v>
      </c>
      <c r="J1029" t="s">
        <v>1071</v>
      </c>
      <c r="K1029" t="s">
        <v>930</v>
      </c>
      <c r="L1029">
        <v>45</v>
      </c>
    </row>
    <row r="1030" spans="1:12" ht="18" customHeight="1" x14ac:dyDescent="0.25">
      <c r="A1030" t="s">
        <v>1070</v>
      </c>
      <c r="B1030" s="23">
        <f>'P&amp;L Acumulado'!$G$1</f>
        <v>46053</v>
      </c>
      <c r="C1030" s="23">
        <f>'P&amp;L Acumulado'!$I$1</f>
        <v>46112</v>
      </c>
      <c r="D1030" s="23">
        <f>'P&amp;L Acumulado'!$I$1</f>
        <v>46112</v>
      </c>
      <c r="E1030" t="str">
        <f>TEXT('P&amp;L Acumulado'!$G$1,"mmm/yyyy")&amp;" a "&amp;TEXT('P&amp;L Acumulado'!$I$1,"mmm/yyyy")</f>
        <v>jan/yyyy a mar/yyyy</v>
      </c>
      <c r="F1030" t="s">
        <v>47</v>
      </c>
      <c r="G1030" t="s">
        <v>252</v>
      </c>
      <c r="H1030" t="s">
        <v>6</v>
      </c>
      <c r="I1030" s="429">
        <f>'P&amp;L Acumulado'!D45</f>
        <v>0</v>
      </c>
      <c r="J1030" t="s">
        <v>1071</v>
      </c>
      <c r="K1030" t="s">
        <v>931</v>
      </c>
      <c r="L1030">
        <v>45</v>
      </c>
    </row>
    <row r="1031" spans="1:12" ht="18" customHeight="1" x14ac:dyDescent="0.25">
      <c r="A1031" t="s">
        <v>1070</v>
      </c>
      <c r="B1031" s="23">
        <f>'P&amp;L Acumulado'!$G$1</f>
        <v>46053</v>
      </c>
      <c r="C1031" s="23">
        <f>'P&amp;L Acumulado'!$I$1</f>
        <v>46112</v>
      </c>
      <c r="D1031" s="23">
        <f>'P&amp;L Acumulado'!$I$1</f>
        <v>46112</v>
      </c>
      <c r="E1031" t="str">
        <f>TEXT('P&amp;L Acumulado'!$G$1,"mmm/yyyy")&amp;" a "&amp;TEXT('P&amp;L Acumulado'!$I$1,"mmm/yyyy")</f>
        <v>jan/yyyy a mar/yyyy</v>
      </c>
      <c r="F1031" t="s">
        <v>47</v>
      </c>
      <c r="G1031" t="s">
        <v>252</v>
      </c>
      <c r="H1031" t="s">
        <v>549</v>
      </c>
      <c r="I1031" s="104" t="str">
        <f>'P&amp;L Acumulado'!E45</f>
        <v>-</v>
      </c>
      <c r="J1031" t="s">
        <v>1071</v>
      </c>
      <c r="K1031" t="s">
        <v>932</v>
      </c>
      <c r="L1031">
        <v>45</v>
      </c>
    </row>
    <row r="1032" spans="1:12" ht="18" customHeight="1" x14ac:dyDescent="0.25">
      <c r="A1032" t="s">
        <v>1070</v>
      </c>
      <c r="B1032" s="23">
        <f>'P&amp;L Acumulado'!$G$1</f>
        <v>46053</v>
      </c>
      <c r="C1032" s="23">
        <f>'P&amp;L Acumulado'!$I$1</f>
        <v>46112</v>
      </c>
      <c r="D1032" s="23">
        <f>'P&amp;L Acumulado'!$I$1</f>
        <v>46112</v>
      </c>
      <c r="E1032" t="str">
        <f>TEXT('P&amp;L Acumulado'!$G$1,"mmm/yyyy")&amp;" a "&amp;TEXT('P&amp;L Acumulado'!$I$1,"mmm/yyyy")</f>
        <v>jan/yyyy a mar/yyyy</v>
      </c>
      <c r="F1032" t="s">
        <v>47</v>
      </c>
      <c r="G1032" t="s">
        <v>205</v>
      </c>
      <c r="H1032" t="s">
        <v>5</v>
      </c>
      <c r="I1032" s="429">
        <f>'P&amp;L Acumulado'!F45</f>
        <v>7.880579485642826E-2</v>
      </c>
      <c r="J1032" t="s">
        <v>1071</v>
      </c>
      <c r="K1032" t="s">
        <v>933</v>
      </c>
      <c r="L1032">
        <v>45</v>
      </c>
    </row>
    <row r="1033" spans="1:12" ht="18" customHeight="1" x14ac:dyDescent="0.25">
      <c r="A1033" t="s">
        <v>1070</v>
      </c>
      <c r="B1033" s="23">
        <f>'P&amp;L Acumulado'!$G$1</f>
        <v>46053</v>
      </c>
      <c r="C1033" s="23">
        <f>'P&amp;L Acumulado'!$I$1</f>
        <v>46112</v>
      </c>
      <c r="D1033" s="23">
        <f>'P&amp;L Acumulado'!$I$1</f>
        <v>46112</v>
      </c>
      <c r="E1033" t="str">
        <f>TEXT('P&amp;L Acumulado'!$G$1,"mmm/yyyy")&amp;" a "&amp;TEXT('P&amp;L Acumulado'!$I$1,"mmm/yyyy")</f>
        <v>jan/yyyy a mar/yyyy</v>
      </c>
      <c r="F1033" t="s">
        <v>47</v>
      </c>
      <c r="G1033" t="s">
        <v>205</v>
      </c>
      <c r="H1033" t="s">
        <v>6</v>
      </c>
      <c r="I1033" s="429">
        <f>'P&amp;L Acumulado'!G45</f>
        <v>7.9587943465299793E-2</v>
      </c>
      <c r="J1033" t="s">
        <v>1071</v>
      </c>
      <c r="K1033" t="s">
        <v>934</v>
      </c>
      <c r="L1033">
        <v>45</v>
      </c>
    </row>
    <row r="1034" spans="1:12" ht="18" customHeight="1" x14ac:dyDescent="0.25">
      <c r="A1034" t="s">
        <v>1070</v>
      </c>
      <c r="B1034" s="23">
        <f>'P&amp;L Acumulado'!$G$1</f>
        <v>46053</v>
      </c>
      <c r="C1034" s="23">
        <f>'P&amp;L Acumulado'!$I$1</f>
        <v>46112</v>
      </c>
      <c r="D1034" s="23">
        <f>'P&amp;L Acumulado'!$I$1</f>
        <v>46112</v>
      </c>
      <c r="E1034" t="str">
        <f>TEXT('P&amp;L Acumulado'!$G$1,"mmm/yyyy")&amp;" a "&amp;TEXT('P&amp;L Acumulado'!$I$1,"mmm/yyyy")</f>
        <v>jan/yyyy a mar/yyyy</v>
      </c>
      <c r="F1034" t="s">
        <v>47</v>
      </c>
      <c r="G1034" t="s">
        <v>205</v>
      </c>
      <c r="H1034" t="s">
        <v>549</v>
      </c>
      <c r="I1034" s="104">
        <f>'P&amp;L Acumulado'!H45</f>
        <v>-7.8214860887153292E-4</v>
      </c>
      <c r="J1034" t="s">
        <v>1071</v>
      </c>
      <c r="K1034" t="s">
        <v>935</v>
      </c>
      <c r="L1034">
        <v>45</v>
      </c>
    </row>
    <row r="1035" spans="1:12" ht="18" customHeight="1" x14ac:dyDescent="0.25">
      <c r="A1035" t="s">
        <v>1070</v>
      </c>
      <c r="B1035" s="23">
        <f>'P&amp;L Acumulado'!$G$1</f>
        <v>46053</v>
      </c>
      <c r="C1035" s="23">
        <f>'P&amp;L Acumulado'!$I$1</f>
        <v>46112</v>
      </c>
      <c r="D1035" s="23">
        <f>'P&amp;L Acumulado'!$I$1</f>
        <v>46112</v>
      </c>
      <c r="E1035" t="str">
        <f>TEXT('P&amp;L Acumulado'!$G$1,"mmm/yyyy")&amp;" a "&amp;TEXT('P&amp;L Acumulado'!$I$1,"mmm/yyyy")</f>
        <v>jan/yyyy a mar/yyyy</v>
      </c>
      <c r="F1035" t="s">
        <v>47</v>
      </c>
      <c r="G1035" t="s">
        <v>220</v>
      </c>
      <c r="H1035" t="s">
        <v>5</v>
      </c>
      <c r="I1035" s="429">
        <f>'P&amp;L Acumulado'!I45</f>
        <v>8.3735268894803261E-2</v>
      </c>
      <c r="J1035" t="s">
        <v>1071</v>
      </c>
      <c r="K1035" t="s">
        <v>936</v>
      </c>
      <c r="L1035">
        <v>45</v>
      </c>
    </row>
    <row r="1036" spans="1:12" ht="18" customHeight="1" x14ac:dyDescent="0.25">
      <c r="A1036" t="s">
        <v>1070</v>
      </c>
      <c r="B1036" s="23">
        <f>'P&amp;L Acumulado'!$G$1</f>
        <v>46053</v>
      </c>
      <c r="C1036" s="23">
        <f>'P&amp;L Acumulado'!$I$1</f>
        <v>46112</v>
      </c>
      <c r="D1036" s="23">
        <f>'P&amp;L Acumulado'!$I$1</f>
        <v>46112</v>
      </c>
      <c r="E1036" t="str">
        <f>TEXT('P&amp;L Acumulado'!$G$1,"mmm/yyyy")&amp;" a "&amp;TEXT('P&amp;L Acumulado'!$I$1,"mmm/yyyy")</f>
        <v>jan/yyyy a mar/yyyy</v>
      </c>
      <c r="F1036" t="s">
        <v>47</v>
      </c>
      <c r="G1036" t="s">
        <v>220</v>
      </c>
      <c r="H1036" t="s">
        <v>6</v>
      </c>
      <c r="I1036" s="429">
        <f>'P&amp;L Acumulado'!J45</f>
        <v>7.8997431513432775E-2</v>
      </c>
      <c r="J1036" t="s">
        <v>1071</v>
      </c>
      <c r="K1036" t="s">
        <v>937</v>
      </c>
      <c r="L1036">
        <v>45</v>
      </c>
    </row>
    <row r="1037" spans="1:12" ht="18" customHeight="1" x14ac:dyDescent="0.25">
      <c r="A1037" t="s">
        <v>1070</v>
      </c>
      <c r="B1037" s="23">
        <f>'P&amp;L Acumulado'!$G$1</f>
        <v>46053</v>
      </c>
      <c r="C1037" s="23">
        <f>'P&amp;L Acumulado'!$I$1</f>
        <v>46112</v>
      </c>
      <c r="D1037" s="23">
        <f>'P&amp;L Acumulado'!$I$1</f>
        <v>46112</v>
      </c>
      <c r="E1037" t="str">
        <f>TEXT('P&amp;L Acumulado'!$G$1,"mmm/yyyy")&amp;" a "&amp;TEXT('P&amp;L Acumulado'!$I$1,"mmm/yyyy")</f>
        <v>jan/yyyy a mar/yyyy</v>
      </c>
      <c r="F1037" t="s">
        <v>47</v>
      </c>
      <c r="G1037" t="s">
        <v>220</v>
      </c>
      <c r="H1037" t="s">
        <v>549</v>
      </c>
      <c r="I1037" s="104">
        <f>'P&amp;L Acumulado'!K45</f>
        <v>4.7378373813704855E-3</v>
      </c>
      <c r="J1037" t="s">
        <v>1071</v>
      </c>
      <c r="K1037" t="s">
        <v>938</v>
      </c>
      <c r="L1037">
        <v>45</v>
      </c>
    </row>
    <row r="1038" spans="1:12" ht="18" customHeight="1" x14ac:dyDescent="0.25">
      <c r="A1038" t="s">
        <v>1070</v>
      </c>
      <c r="B1038" s="23">
        <f>'P&amp;L Acumulado'!$G$1</f>
        <v>46053</v>
      </c>
      <c r="C1038" s="23">
        <f>'P&amp;L Acumulado'!$I$1</f>
        <v>46112</v>
      </c>
      <c r="D1038" s="23">
        <f>'P&amp;L Acumulado'!$I$1</f>
        <v>46112</v>
      </c>
      <c r="E1038" t="str">
        <f>TEXT('P&amp;L Acumulado'!$G$1,"mmm/yyyy")&amp;" a "&amp;TEXT('P&amp;L Acumulado'!$I$1,"mmm/yyyy")</f>
        <v>jan/yyyy a mar/yyyy</v>
      </c>
      <c r="F1038" t="s">
        <v>47</v>
      </c>
      <c r="G1038" t="s">
        <v>96</v>
      </c>
      <c r="H1038" t="s">
        <v>5</v>
      </c>
      <c r="I1038" s="429">
        <f>'P&amp;L Acumulado'!L45</f>
        <v>8.2711587638200759E-2</v>
      </c>
      <c r="J1038" t="s">
        <v>1071</v>
      </c>
      <c r="K1038" t="s">
        <v>939</v>
      </c>
      <c r="L1038">
        <v>45</v>
      </c>
    </row>
    <row r="1039" spans="1:12" ht="18" customHeight="1" x14ac:dyDescent="0.25">
      <c r="A1039" t="s">
        <v>1070</v>
      </c>
      <c r="B1039" s="23">
        <f>'P&amp;L Acumulado'!$G$1</f>
        <v>46053</v>
      </c>
      <c r="C1039" s="23">
        <f>'P&amp;L Acumulado'!$I$1</f>
        <v>46112</v>
      </c>
      <c r="D1039" s="23">
        <f>'P&amp;L Acumulado'!$I$1</f>
        <v>46112</v>
      </c>
      <c r="E1039" t="str">
        <f>TEXT('P&amp;L Acumulado'!$G$1,"mmm/yyyy")&amp;" a "&amp;TEXT('P&amp;L Acumulado'!$I$1,"mmm/yyyy")</f>
        <v>jan/yyyy a mar/yyyy</v>
      </c>
      <c r="F1039" t="s">
        <v>47</v>
      </c>
      <c r="G1039" t="s">
        <v>96</v>
      </c>
      <c r="H1039" t="s">
        <v>6</v>
      </c>
      <c r="I1039" s="429" t="e">
        <f>'P&amp;L Acumulado'!M45</f>
        <v>#DIV/0!</v>
      </c>
      <c r="J1039" t="s">
        <v>1071</v>
      </c>
      <c r="K1039" t="s">
        <v>1209</v>
      </c>
      <c r="L1039">
        <v>45</v>
      </c>
    </row>
    <row r="1040" spans="1:12" ht="18" customHeight="1" x14ac:dyDescent="0.25">
      <c r="A1040" t="s">
        <v>1070</v>
      </c>
      <c r="B1040" s="23">
        <f>'P&amp;L Acumulado'!$G$1</f>
        <v>46053</v>
      </c>
      <c r="C1040" s="23">
        <f>'P&amp;L Acumulado'!$I$1</f>
        <v>46112</v>
      </c>
      <c r="D1040" s="23">
        <f>'P&amp;L Acumulado'!$I$1</f>
        <v>46112</v>
      </c>
      <c r="E1040" t="str">
        <f>TEXT('P&amp;L Acumulado'!$G$1,"mmm/yyyy")&amp;" a "&amp;TEXT('P&amp;L Acumulado'!$I$1,"mmm/yyyy")</f>
        <v>jan/yyyy a mar/yyyy</v>
      </c>
      <c r="F1040" t="s">
        <v>47</v>
      </c>
      <c r="G1040" t="s">
        <v>96</v>
      </c>
      <c r="H1040" t="s">
        <v>549</v>
      </c>
      <c r="I1040" s="104" t="str">
        <f>'P&amp;L Acumulado'!N45</f>
        <v>-</v>
      </c>
      <c r="J1040" t="s">
        <v>1071</v>
      </c>
      <c r="K1040" t="s">
        <v>1210</v>
      </c>
      <c r="L1040">
        <v>45</v>
      </c>
    </row>
    <row r="1041" spans="1:12" ht="18" customHeight="1" x14ac:dyDescent="0.25">
      <c r="A1041" t="s">
        <v>1070</v>
      </c>
      <c r="B1041" s="23">
        <f>'P&amp;L Acumulado'!$G$1</f>
        <v>46053</v>
      </c>
      <c r="C1041" s="23">
        <f>'P&amp;L Acumulado'!$I$1</f>
        <v>46112</v>
      </c>
      <c r="D1041" s="23">
        <f>'P&amp;L Acumulado'!$I$1</f>
        <v>46112</v>
      </c>
      <c r="E1041" t="str">
        <f>TEXT('P&amp;L Acumulado'!$G$1,"mmm/yyyy")&amp;" a "&amp;TEXT('P&amp;L Acumulado'!$I$1,"mmm/yyyy")</f>
        <v>jan/yyyy a mar/yyyy</v>
      </c>
      <c r="F1041" t="s">
        <v>47</v>
      </c>
      <c r="G1041" t="s">
        <v>96</v>
      </c>
      <c r="H1041" t="s">
        <v>557</v>
      </c>
      <c r="I1041" s="429">
        <f>'P&amp;L Acumulado'!O45</f>
        <v>0</v>
      </c>
      <c r="J1041" t="s">
        <v>1071</v>
      </c>
      <c r="K1041" t="s">
        <v>1211</v>
      </c>
      <c r="L1041">
        <v>45</v>
      </c>
    </row>
    <row r="1042" spans="1:12" ht="18" customHeight="1" x14ac:dyDescent="0.25">
      <c r="A1042" t="s">
        <v>1070</v>
      </c>
      <c r="B1042" s="23">
        <f>'P&amp;L Acumulado'!$G$1</f>
        <v>46053</v>
      </c>
      <c r="C1042" s="23">
        <f>'P&amp;L Acumulado'!$I$1</f>
        <v>46112</v>
      </c>
      <c r="D1042" s="23">
        <f>'P&amp;L Acumulado'!$I$1</f>
        <v>46112</v>
      </c>
      <c r="E1042" t="str">
        <f>TEXT('P&amp;L Acumulado'!$G$1,"mmm/yyyy")&amp;" a "&amp;TEXT('P&amp;L Acumulado'!$I$1,"mmm/yyyy")</f>
        <v>jan/yyyy a mar/yyyy</v>
      </c>
      <c r="F1042" t="s">
        <v>48</v>
      </c>
      <c r="G1042" t="s">
        <v>252</v>
      </c>
      <c r="H1042" t="s">
        <v>5</v>
      </c>
      <c r="I1042" s="429">
        <f>'P&amp;L Acumulado'!C46</f>
        <v>0</v>
      </c>
      <c r="J1042" t="s">
        <v>1071</v>
      </c>
      <c r="K1042" t="s">
        <v>940</v>
      </c>
      <c r="L1042">
        <v>46</v>
      </c>
    </row>
    <row r="1043" spans="1:12" ht="18" customHeight="1" x14ac:dyDescent="0.25">
      <c r="A1043" t="s">
        <v>1070</v>
      </c>
      <c r="B1043" s="23">
        <f>'P&amp;L Acumulado'!$G$1</f>
        <v>46053</v>
      </c>
      <c r="C1043" s="23">
        <f>'P&amp;L Acumulado'!$I$1</f>
        <v>46112</v>
      </c>
      <c r="D1043" s="23">
        <f>'P&amp;L Acumulado'!$I$1</f>
        <v>46112</v>
      </c>
      <c r="E1043" t="str">
        <f>TEXT('P&amp;L Acumulado'!$G$1,"mmm/yyyy")&amp;" a "&amp;TEXT('P&amp;L Acumulado'!$I$1,"mmm/yyyy")</f>
        <v>jan/yyyy a mar/yyyy</v>
      </c>
      <c r="F1043" t="s">
        <v>48</v>
      </c>
      <c r="G1043" t="s">
        <v>252</v>
      </c>
      <c r="H1043" t="s">
        <v>6</v>
      </c>
      <c r="I1043" s="429">
        <f>'P&amp;L Acumulado'!D46</f>
        <v>0</v>
      </c>
      <c r="J1043" t="s">
        <v>1071</v>
      </c>
      <c r="K1043" t="s">
        <v>941</v>
      </c>
      <c r="L1043">
        <v>46</v>
      </c>
    </row>
    <row r="1044" spans="1:12" ht="18" customHeight="1" x14ac:dyDescent="0.25">
      <c r="A1044" t="s">
        <v>1070</v>
      </c>
      <c r="B1044" s="23">
        <f>'P&amp;L Acumulado'!$G$1</f>
        <v>46053</v>
      </c>
      <c r="C1044" s="23">
        <f>'P&amp;L Acumulado'!$I$1</f>
        <v>46112</v>
      </c>
      <c r="D1044" s="23">
        <f>'P&amp;L Acumulado'!$I$1</f>
        <v>46112</v>
      </c>
      <c r="E1044" t="str">
        <f>TEXT('P&amp;L Acumulado'!$G$1,"mmm/yyyy")&amp;" a "&amp;TEXT('P&amp;L Acumulado'!$I$1,"mmm/yyyy")</f>
        <v>jan/yyyy a mar/yyyy</v>
      </c>
      <c r="F1044" t="s">
        <v>48</v>
      </c>
      <c r="G1044" t="s">
        <v>252</v>
      </c>
      <c r="H1044" t="s">
        <v>549</v>
      </c>
      <c r="I1044" s="104" t="str">
        <f>'P&amp;L Acumulado'!E46</f>
        <v>-</v>
      </c>
      <c r="J1044" t="s">
        <v>1071</v>
      </c>
      <c r="K1044" t="s">
        <v>942</v>
      </c>
      <c r="L1044">
        <v>46</v>
      </c>
    </row>
    <row r="1045" spans="1:12" ht="18" customHeight="1" x14ac:dyDescent="0.25">
      <c r="A1045" t="s">
        <v>1070</v>
      </c>
      <c r="B1045" s="23">
        <f>'P&amp;L Acumulado'!$G$1</f>
        <v>46053</v>
      </c>
      <c r="C1045" s="23">
        <f>'P&amp;L Acumulado'!$I$1</f>
        <v>46112</v>
      </c>
      <c r="D1045" s="23">
        <f>'P&amp;L Acumulado'!$I$1</f>
        <v>46112</v>
      </c>
      <c r="E1045" t="str">
        <f>TEXT('P&amp;L Acumulado'!$G$1,"mmm/yyyy")&amp;" a "&amp;TEXT('P&amp;L Acumulado'!$I$1,"mmm/yyyy")</f>
        <v>jan/yyyy a mar/yyyy</v>
      </c>
      <c r="F1045" t="s">
        <v>48</v>
      </c>
      <c r="G1045" t="s">
        <v>205</v>
      </c>
      <c r="H1045" t="s">
        <v>5</v>
      </c>
      <c r="I1045" s="429">
        <f>'P&amp;L Acumulado'!F46</f>
        <v>-0.32528030618026582</v>
      </c>
      <c r="J1045" t="s">
        <v>1071</v>
      </c>
      <c r="K1045" t="s">
        <v>943</v>
      </c>
      <c r="L1045">
        <v>46</v>
      </c>
    </row>
    <row r="1046" spans="1:12" ht="18" customHeight="1" x14ac:dyDescent="0.25">
      <c r="A1046" t="s">
        <v>1070</v>
      </c>
      <c r="B1046" s="23">
        <f>'P&amp;L Acumulado'!$G$1</f>
        <v>46053</v>
      </c>
      <c r="C1046" s="23">
        <f>'P&amp;L Acumulado'!$I$1</f>
        <v>46112</v>
      </c>
      <c r="D1046" s="23">
        <f>'P&amp;L Acumulado'!$I$1</f>
        <v>46112</v>
      </c>
      <c r="E1046" t="str">
        <f>TEXT('P&amp;L Acumulado'!$G$1,"mmm/yyyy")&amp;" a "&amp;TEXT('P&amp;L Acumulado'!$I$1,"mmm/yyyy")</f>
        <v>jan/yyyy a mar/yyyy</v>
      </c>
      <c r="F1046" t="s">
        <v>48</v>
      </c>
      <c r="G1046" t="s">
        <v>205</v>
      </c>
      <c r="H1046" t="s">
        <v>6</v>
      </c>
      <c r="I1046" s="429">
        <f>'P&amp;L Acumulado'!G46</f>
        <v>-0.31482995783708828</v>
      </c>
      <c r="J1046" t="s">
        <v>1071</v>
      </c>
      <c r="K1046" t="s">
        <v>944</v>
      </c>
      <c r="L1046">
        <v>46</v>
      </c>
    </row>
    <row r="1047" spans="1:12" ht="18" customHeight="1" x14ac:dyDescent="0.25">
      <c r="A1047" t="s">
        <v>1070</v>
      </c>
      <c r="B1047" s="23">
        <f>'P&amp;L Acumulado'!$G$1</f>
        <v>46053</v>
      </c>
      <c r="C1047" s="23">
        <f>'P&amp;L Acumulado'!$I$1</f>
        <v>46112</v>
      </c>
      <c r="D1047" s="23">
        <f>'P&amp;L Acumulado'!$I$1</f>
        <v>46112</v>
      </c>
      <c r="E1047" t="str">
        <f>TEXT('P&amp;L Acumulado'!$G$1,"mmm/yyyy")&amp;" a "&amp;TEXT('P&amp;L Acumulado'!$I$1,"mmm/yyyy")</f>
        <v>jan/yyyy a mar/yyyy</v>
      </c>
      <c r="F1047" t="s">
        <v>48</v>
      </c>
      <c r="G1047" t="s">
        <v>205</v>
      </c>
      <c r="H1047" t="s">
        <v>549</v>
      </c>
      <c r="I1047" s="104">
        <f>'P&amp;L Acumulado'!H46</f>
        <v>-1.045034834317754E-2</v>
      </c>
      <c r="J1047" t="s">
        <v>1071</v>
      </c>
      <c r="K1047" t="s">
        <v>945</v>
      </c>
      <c r="L1047">
        <v>46</v>
      </c>
    </row>
    <row r="1048" spans="1:12" ht="18" customHeight="1" x14ac:dyDescent="0.25">
      <c r="A1048" t="s">
        <v>1070</v>
      </c>
      <c r="B1048" s="23">
        <f>'P&amp;L Acumulado'!$G$1</f>
        <v>46053</v>
      </c>
      <c r="C1048" s="23">
        <f>'P&amp;L Acumulado'!$I$1</f>
        <v>46112</v>
      </c>
      <c r="D1048" s="23">
        <f>'P&amp;L Acumulado'!$I$1</f>
        <v>46112</v>
      </c>
      <c r="E1048" t="str">
        <f>TEXT('P&amp;L Acumulado'!$G$1,"mmm/yyyy")&amp;" a "&amp;TEXT('P&amp;L Acumulado'!$I$1,"mmm/yyyy")</f>
        <v>jan/yyyy a mar/yyyy</v>
      </c>
      <c r="F1048" t="s">
        <v>48</v>
      </c>
      <c r="G1048" t="s">
        <v>220</v>
      </c>
      <c r="H1048" t="s">
        <v>5</v>
      </c>
      <c r="I1048" s="429">
        <f>'P&amp;L Acumulado'!I46</f>
        <v>-0.31434715870018026</v>
      </c>
      <c r="J1048" t="s">
        <v>1071</v>
      </c>
      <c r="K1048" t="s">
        <v>946</v>
      </c>
      <c r="L1048">
        <v>46</v>
      </c>
    </row>
    <row r="1049" spans="1:12" ht="18" customHeight="1" x14ac:dyDescent="0.25">
      <c r="A1049" t="s">
        <v>1070</v>
      </c>
      <c r="B1049" s="23">
        <f>'P&amp;L Acumulado'!$G$1</f>
        <v>46053</v>
      </c>
      <c r="C1049" s="23">
        <f>'P&amp;L Acumulado'!$I$1</f>
        <v>46112</v>
      </c>
      <c r="D1049" s="23">
        <f>'P&amp;L Acumulado'!$I$1</f>
        <v>46112</v>
      </c>
      <c r="E1049" t="str">
        <f>TEXT('P&amp;L Acumulado'!$G$1,"mmm/yyyy")&amp;" a "&amp;TEXT('P&amp;L Acumulado'!$I$1,"mmm/yyyy")</f>
        <v>jan/yyyy a mar/yyyy</v>
      </c>
      <c r="F1049" t="s">
        <v>48</v>
      </c>
      <c r="G1049" t="s">
        <v>220</v>
      </c>
      <c r="H1049" t="s">
        <v>6</v>
      </c>
      <c r="I1049" s="429">
        <f>'P&amp;L Acumulado'!J46</f>
        <v>-0.36752943659396836</v>
      </c>
      <c r="J1049" t="s">
        <v>1071</v>
      </c>
      <c r="K1049" t="s">
        <v>947</v>
      </c>
      <c r="L1049">
        <v>46</v>
      </c>
    </row>
    <row r="1050" spans="1:12" ht="18" customHeight="1" x14ac:dyDescent="0.25">
      <c r="A1050" t="s">
        <v>1070</v>
      </c>
      <c r="B1050" s="23">
        <f>'P&amp;L Acumulado'!$G$1</f>
        <v>46053</v>
      </c>
      <c r="C1050" s="23">
        <f>'P&amp;L Acumulado'!$I$1</f>
        <v>46112</v>
      </c>
      <c r="D1050" s="23">
        <f>'P&amp;L Acumulado'!$I$1</f>
        <v>46112</v>
      </c>
      <c r="E1050" t="str">
        <f>TEXT('P&amp;L Acumulado'!$G$1,"mmm/yyyy")&amp;" a "&amp;TEXT('P&amp;L Acumulado'!$I$1,"mmm/yyyy")</f>
        <v>jan/yyyy a mar/yyyy</v>
      </c>
      <c r="F1050" t="s">
        <v>48</v>
      </c>
      <c r="G1050" t="s">
        <v>220</v>
      </c>
      <c r="H1050" t="s">
        <v>549</v>
      </c>
      <c r="I1050" s="104">
        <f>'P&amp;L Acumulado'!K46</f>
        <v>5.3182277893788099E-2</v>
      </c>
      <c r="J1050" t="s">
        <v>1071</v>
      </c>
      <c r="K1050" t="s">
        <v>948</v>
      </c>
      <c r="L1050">
        <v>46</v>
      </c>
    </row>
    <row r="1051" spans="1:12" ht="18" customHeight="1" x14ac:dyDescent="0.25">
      <c r="A1051" t="s">
        <v>1070</v>
      </c>
      <c r="B1051" s="23">
        <f>'P&amp;L Acumulado'!$G$1</f>
        <v>46053</v>
      </c>
      <c r="C1051" s="23">
        <f>'P&amp;L Acumulado'!$I$1</f>
        <v>46112</v>
      </c>
      <c r="D1051" s="23">
        <f>'P&amp;L Acumulado'!$I$1</f>
        <v>46112</v>
      </c>
      <c r="E1051" t="str">
        <f>TEXT('P&amp;L Acumulado'!$G$1,"mmm/yyyy")&amp;" a "&amp;TEXT('P&amp;L Acumulado'!$I$1,"mmm/yyyy")</f>
        <v>jan/yyyy a mar/yyyy</v>
      </c>
      <c r="F1051" t="s">
        <v>48</v>
      </c>
      <c r="G1051" t="s">
        <v>96</v>
      </c>
      <c r="H1051" t="s">
        <v>5</v>
      </c>
      <c r="I1051" s="429">
        <f>'P&amp;L Acumulado'!L46</f>
        <v>-0.31666556213667219</v>
      </c>
      <c r="J1051" t="s">
        <v>1071</v>
      </c>
      <c r="K1051" t="s">
        <v>949</v>
      </c>
      <c r="L1051">
        <v>46</v>
      </c>
    </row>
    <row r="1052" spans="1:12" ht="18" customHeight="1" x14ac:dyDescent="0.25">
      <c r="A1052" t="s">
        <v>1070</v>
      </c>
      <c r="B1052" s="23">
        <f>'P&amp;L Acumulado'!$G$1</f>
        <v>46053</v>
      </c>
      <c r="C1052" s="23">
        <f>'P&amp;L Acumulado'!$I$1</f>
        <v>46112</v>
      </c>
      <c r="D1052" s="23">
        <f>'P&amp;L Acumulado'!$I$1</f>
        <v>46112</v>
      </c>
      <c r="E1052" t="str">
        <f>TEXT('P&amp;L Acumulado'!$G$1,"mmm/yyyy")&amp;" a "&amp;TEXT('P&amp;L Acumulado'!$I$1,"mmm/yyyy")</f>
        <v>jan/yyyy a mar/yyyy</v>
      </c>
      <c r="F1052" t="s">
        <v>48</v>
      </c>
      <c r="G1052" t="s">
        <v>96</v>
      </c>
      <c r="H1052" t="s">
        <v>6</v>
      </c>
      <c r="I1052" s="429">
        <f>'P&amp;L Acumulado'!M46</f>
        <v>-0.35548378918399337</v>
      </c>
      <c r="J1052" t="s">
        <v>1071</v>
      </c>
      <c r="K1052" t="s">
        <v>1212</v>
      </c>
      <c r="L1052">
        <v>46</v>
      </c>
    </row>
    <row r="1053" spans="1:12" ht="18" customHeight="1" x14ac:dyDescent="0.25">
      <c r="A1053" t="s">
        <v>1070</v>
      </c>
      <c r="B1053" s="23">
        <f>'P&amp;L Acumulado'!$G$1</f>
        <v>46053</v>
      </c>
      <c r="C1053" s="23">
        <f>'P&amp;L Acumulado'!$I$1</f>
        <v>46112</v>
      </c>
      <c r="D1053" s="23">
        <f>'P&amp;L Acumulado'!$I$1</f>
        <v>46112</v>
      </c>
      <c r="E1053" t="str">
        <f>TEXT('P&amp;L Acumulado'!$G$1,"mmm/yyyy")&amp;" a "&amp;TEXT('P&amp;L Acumulado'!$I$1,"mmm/yyyy")</f>
        <v>jan/yyyy a mar/yyyy</v>
      </c>
      <c r="F1053" t="s">
        <v>48</v>
      </c>
      <c r="G1053" t="s">
        <v>96</v>
      </c>
      <c r="H1053" t="s">
        <v>549</v>
      </c>
      <c r="I1053" s="104">
        <f>'P&amp;L Acumulado'!N46</f>
        <v>3.8818227047321185E-2</v>
      </c>
      <c r="J1053" t="s">
        <v>1071</v>
      </c>
      <c r="K1053" t="s">
        <v>1213</v>
      </c>
      <c r="L1053">
        <v>46</v>
      </c>
    </row>
    <row r="1054" spans="1:12" ht="18" customHeight="1" x14ac:dyDescent="0.25">
      <c r="A1054" t="s">
        <v>1070</v>
      </c>
      <c r="B1054" s="23">
        <f>'P&amp;L Acumulado'!$G$1</f>
        <v>46053</v>
      </c>
      <c r="C1054" s="23">
        <f>'P&amp;L Acumulado'!$I$1</f>
        <v>46112</v>
      </c>
      <c r="D1054" s="23">
        <f>'P&amp;L Acumulado'!$I$1</f>
        <v>46112</v>
      </c>
      <c r="E1054" t="str">
        <f>TEXT('P&amp;L Acumulado'!$G$1,"mmm/yyyy")&amp;" a "&amp;TEXT('P&amp;L Acumulado'!$I$1,"mmm/yyyy")</f>
        <v>jan/yyyy a mar/yyyy</v>
      </c>
      <c r="F1054" t="s">
        <v>48</v>
      </c>
      <c r="G1054" t="s">
        <v>96</v>
      </c>
      <c r="H1054" t="s">
        <v>557</v>
      </c>
      <c r="I1054" s="429">
        <f>'P&amp;L Acumulado'!O46</f>
        <v>0</v>
      </c>
      <c r="J1054" t="s">
        <v>1071</v>
      </c>
      <c r="K1054" t="s">
        <v>1214</v>
      </c>
      <c r="L1054">
        <v>46</v>
      </c>
    </row>
    <row r="1055" spans="1:12" ht="18" customHeight="1" x14ac:dyDescent="0.25">
      <c r="A1055" t="s">
        <v>1070</v>
      </c>
      <c r="B1055" s="23">
        <f>'P&amp;L Acumulado'!$G$1</f>
        <v>46053</v>
      </c>
      <c r="C1055" s="23">
        <f>'P&amp;L Acumulado'!$I$1</f>
        <v>46112</v>
      </c>
      <c r="D1055" s="23">
        <f>'P&amp;L Acumulado'!$I$1</f>
        <v>46112</v>
      </c>
      <c r="E1055" t="str">
        <f>TEXT('P&amp;L Acumulado'!$G$1,"mmm/yyyy")&amp;" a "&amp;TEXT('P&amp;L Acumulado'!$I$1,"mmm/yyyy")</f>
        <v>jan/yyyy a mar/yyyy</v>
      </c>
      <c r="F1055" t="s">
        <v>49</v>
      </c>
      <c r="G1055" t="s">
        <v>252</v>
      </c>
      <c r="H1055" t="s">
        <v>5</v>
      </c>
      <c r="I1055" s="429">
        <f>'P&amp;L Acumulado'!C47</f>
        <v>0</v>
      </c>
      <c r="J1055" t="s">
        <v>1071</v>
      </c>
      <c r="K1055" t="s">
        <v>950</v>
      </c>
      <c r="L1055">
        <v>47</v>
      </c>
    </row>
    <row r="1056" spans="1:12" ht="18" customHeight="1" x14ac:dyDescent="0.25">
      <c r="A1056" t="s">
        <v>1070</v>
      </c>
      <c r="B1056" s="23">
        <f>'P&amp;L Acumulado'!$G$1</f>
        <v>46053</v>
      </c>
      <c r="C1056" s="23">
        <f>'P&amp;L Acumulado'!$I$1</f>
        <v>46112</v>
      </c>
      <c r="D1056" s="23">
        <f>'P&amp;L Acumulado'!$I$1</f>
        <v>46112</v>
      </c>
      <c r="E1056" t="str">
        <f>TEXT('P&amp;L Acumulado'!$G$1,"mmm/yyyy")&amp;" a "&amp;TEXT('P&amp;L Acumulado'!$I$1,"mmm/yyyy")</f>
        <v>jan/yyyy a mar/yyyy</v>
      </c>
      <c r="F1056" t="s">
        <v>49</v>
      </c>
      <c r="G1056" t="s">
        <v>252</v>
      </c>
      <c r="H1056" t="s">
        <v>6</v>
      </c>
      <c r="I1056" s="429">
        <f>'P&amp;L Acumulado'!D47</f>
        <v>0</v>
      </c>
      <c r="J1056" t="s">
        <v>1071</v>
      </c>
      <c r="K1056" t="s">
        <v>951</v>
      </c>
      <c r="L1056">
        <v>47</v>
      </c>
    </row>
    <row r="1057" spans="1:12" ht="18" customHeight="1" x14ac:dyDescent="0.25">
      <c r="A1057" t="s">
        <v>1070</v>
      </c>
      <c r="B1057" s="23">
        <f>'P&amp;L Acumulado'!$G$1</f>
        <v>46053</v>
      </c>
      <c r="C1057" s="23">
        <f>'P&amp;L Acumulado'!$I$1</f>
        <v>46112</v>
      </c>
      <c r="D1057" s="23">
        <f>'P&amp;L Acumulado'!$I$1</f>
        <v>46112</v>
      </c>
      <c r="E1057" t="str">
        <f>TEXT('P&amp;L Acumulado'!$G$1,"mmm/yyyy")&amp;" a "&amp;TEXT('P&amp;L Acumulado'!$I$1,"mmm/yyyy")</f>
        <v>jan/yyyy a mar/yyyy</v>
      </c>
      <c r="F1057" t="s">
        <v>49</v>
      </c>
      <c r="G1057" t="s">
        <v>252</v>
      </c>
      <c r="H1057" t="s">
        <v>549</v>
      </c>
      <c r="I1057" s="104" t="str">
        <f>'P&amp;L Acumulado'!E47</f>
        <v>-</v>
      </c>
      <c r="J1057" t="s">
        <v>1071</v>
      </c>
      <c r="K1057" t="s">
        <v>952</v>
      </c>
      <c r="L1057">
        <v>47</v>
      </c>
    </row>
    <row r="1058" spans="1:12" ht="18" customHeight="1" x14ac:dyDescent="0.25">
      <c r="A1058" t="s">
        <v>1070</v>
      </c>
      <c r="B1058" s="23">
        <f>'P&amp;L Acumulado'!$G$1</f>
        <v>46053</v>
      </c>
      <c r="C1058" s="23">
        <f>'P&amp;L Acumulado'!$I$1</f>
        <v>46112</v>
      </c>
      <c r="D1058" s="23">
        <f>'P&amp;L Acumulado'!$I$1</f>
        <v>46112</v>
      </c>
      <c r="E1058" t="str">
        <f>TEXT('P&amp;L Acumulado'!$G$1,"mmm/yyyy")&amp;" a "&amp;TEXT('P&amp;L Acumulado'!$I$1,"mmm/yyyy")</f>
        <v>jan/yyyy a mar/yyyy</v>
      </c>
      <c r="F1058" t="s">
        <v>49</v>
      </c>
      <c r="G1058" t="s">
        <v>205</v>
      </c>
      <c r="H1058" t="s">
        <v>5</v>
      </c>
      <c r="I1058" s="429">
        <f>'P&amp;L Acumulado'!F47</f>
        <v>-0.35449328403163743</v>
      </c>
      <c r="J1058" t="s">
        <v>1071</v>
      </c>
      <c r="K1058" t="s">
        <v>953</v>
      </c>
      <c r="L1058">
        <v>47</v>
      </c>
    </row>
    <row r="1059" spans="1:12" ht="18" customHeight="1" x14ac:dyDescent="0.25">
      <c r="A1059" t="s">
        <v>1070</v>
      </c>
      <c r="B1059" s="23">
        <f>'P&amp;L Acumulado'!$G$1</f>
        <v>46053</v>
      </c>
      <c r="C1059" s="23">
        <f>'P&amp;L Acumulado'!$I$1</f>
        <v>46112</v>
      </c>
      <c r="D1059" s="23">
        <f>'P&amp;L Acumulado'!$I$1</f>
        <v>46112</v>
      </c>
      <c r="E1059" t="str">
        <f>TEXT('P&amp;L Acumulado'!$G$1,"mmm/yyyy")&amp;" a "&amp;TEXT('P&amp;L Acumulado'!$I$1,"mmm/yyyy")</f>
        <v>jan/yyyy a mar/yyyy</v>
      </c>
      <c r="F1059" t="s">
        <v>49</v>
      </c>
      <c r="G1059" t="s">
        <v>205</v>
      </c>
      <c r="H1059" t="s">
        <v>6</v>
      </c>
      <c r="I1059" s="429" t="e">
        <f>'P&amp;L Acumulado'!G47</f>
        <v>#REF!</v>
      </c>
      <c r="J1059" t="s">
        <v>1071</v>
      </c>
      <c r="K1059" t="s">
        <v>954</v>
      </c>
      <c r="L1059">
        <v>47</v>
      </c>
    </row>
    <row r="1060" spans="1:12" ht="18" customHeight="1" x14ac:dyDescent="0.25">
      <c r="A1060" t="s">
        <v>1070</v>
      </c>
      <c r="B1060" s="23">
        <f>'P&amp;L Acumulado'!$G$1</f>
        <v>46053</v>
      </c>
      <c r="C1060" s="23">
        <f>'P&amp;L Acumulado'!$I$1</f>
        <v>46112</v>
      </c>
      <c r="D1060" s="23">
        <f>'P&amp;L Acumulado'!$I$1</f>
        <v>46112</v>
      </c>
      <c r="E1060" t="str">
        <f>TEXT('P&amp;L Acumulado'!$G$1,"mmm/yyyy")&amp;" a "&amp;TEXT('P&amp;L Acumulado'!$I$1,"mmm/yyyy")</f>
        <v>jan/yyyy a mar/yyyy</v>
      </c>
      <c r="F1060" t="s">
        <v>49</v>
      </c>
      <c r="G1060" t="s">
        <v>205</v>
      </c>
      <c r="H1060" t="s">
        <v>549</v>
      </c>
      <c r="I1060" s="104" t="str">
        <f>'P&amp;L Acumulado'!H47</f>
        <v>-</v>
      </c>
      <c r="J1060" t="s">
        <v>1071</v>
      </c>
      <c r="K1060" t="s">
        <v>955</v>
      </c>
      <c r="L1060">
        <v>47</v>
      </c>
    </row>
    <row r="1061" spans="1:12" ht="18" customHeight="1" x14ac:dyDescent="0.25">
      <c r="A1061" t="s">
        <v>1070</v>
      </c>
      <c r="B1061" s="23">
        <f>'P&amp;L Acumulado'!$G$1</f>
        <v>46053</v>
      </c>
      <c r="C1061" s="23">
        <f>'P&amp;L Acumulado'!$I$1</f>
        <v>46112</v>
      </c>
      <c r="D1061" s="23">
        <f>'P&amp;L Acumulado'!$I$1</f>
        <v>46112</v>
      </c>
      <c r="E1061" t="str">
        <f>TEXT('P&amp;L Acumulado'!$G$1,"mmm/yyyy")&amp;" a "&amp;TEXT('P&amp;L Acumulado'!$I$1,"mmm/yyyy")</f>
        <v>jan/yyyy a mar/yyyy</v>
      </c>
      <c r="F1061" t="s">
        <v>49</v>
      </c>
      <c r="G1061" t="s">
        <v>220</v>
      </c>
      <c r="H1061" t="s">
        <v>5</v>
      </c>
      <c r="I1061" s="429" t="e">
        <f>'P&amp;L Acumulado'!I47</f>
        <v>#REF!</v>
      </c>
      <c r="J1061" t="s">
        <v>1071</v>
      </c>
      <c r="K1061" t="s">
        <v>956</v>
      </c>
      <c r="L1061">
        <v>47</v>
      </c>
    </row>
    <row r="1062" spans="1:12" ht="18" customHeight="1" x14ac:dyDescent="0.25">
      <c r="A1062" t="s">
        <v>1070</v>
      </c>
      <c r="B1062" s="23">
        <f>'P&amp;L Acumulado'!$G$1</f>
        <v>46053</v>
      </c>
      <c r="C1062" s="23">
        <f>'P&amp;L Acumulado'!$I$1</f>
        <v>46112</v>
      </c>
      <c r="D1062" s="23">
        <f>'P&amp;L Acumulado'!$I$1</f>
        <v>46112</v>
      </c>
      <c r="E1062" t="str">
        <f>TEXT('P&amp;L Acumulado'!$G$1,"mmm/yyyy")&amp;" a "&amp;TEXT('P&amp;L Acumulado'!$I$1,"mmm/yyyy")</f>
        <v>jan/yyyy a mar/yyyy</v>
      </c>
      <c r="F1062" t="s">
        <v>49</v>
      </c>
      <c r="G1062" t="s">
        <v>220</v>
      </c>
      <c r="H1062" t="s">
        <v>6</v>
      </c>
      <c r="I1062" s="429" t="e">
        <f>'P&amp;L Acumulado'!J47</f>
        <v>#REF!</v>
      </c>
      <c r="J1062" t="s">
        <v>1071</v>
      </c>
      <c r="K1062" t="s">
        <v>957</v>
      </c>
      <c r="L1062">
        <v>47</v>
      </c>
    </row>
    <row r="1063" spans="1:12" ht="18" customHeight="1" x14ac:dyDescent="0.25">
      <c r="A1063" t="s">
        <v>1070</v>
      </c>
      <c r="B1063" s="23">
        <f>'P&amp;L Acumulado'!$G$1</f>
        <v>46053</v>
      </c>
      <c r="C1063" s="23">
        <f>'P&amp;L Acumulado'!$I$1</f>
        <v>46112</v>
      </c>
      <c r="D1063" s="23">
        <f>'P&amp;L Acumulado'!$I$1</f>
        <v>46112</v>
      </c>
      <c r="E1063" t="str">
        <f>TEXT('P&amp;L Acumulado'!$G$1,"mmm/yyyy")&amp;" a "&amp;TEXT('P&amp;L Acumulado'!$I$1,"mmm/yyyy")</f>
        <v>jan/yyyy a mar/yyyy</v>
      </c>
      <c r="F1063" t="s">
        <v>49</v>
      </c>
      <c r="G1063" t="s">
        <v>220</v>
      </c>
      <c r="H1063" t="s">
        <v>549</v>
      </c>
      <c r="I1063" s="104" t="str">
        <f>'P&amp;L Acumulado'!K47</f>
        <v>-</v>
      </c>
      <c r="J1063" t="s">
        <v>1071</v>
      </c>
      <c r="K1063" t="s">
        <v>958</v>
      </c>
      <c r="L1063">
        <v>47</v>
      </c>
    </row>
    <row r="1064" spans="1:12" ht="18" customHeight="1" x14ac:dyDescent="0.25">
      <c r="A1064" t="s">
        <v>1070</v>
      </c>
      <c r="B1064" s="23">
        <f>'P&amp;L Acumulado'!$G$1</f>
        <v>46053</v>
      </c>
      <c r="C1064" s="23">
        <f>'P&amp;L Acumulado'!$I$1</f>
        <v>46112</v>
      </c>
      <c r="D1064" s="23">
        <f>'P&amp;L Acumulado'!$I$1</f>
        <v>46112</v>
      </c>
      <c r="E1064" t="str">
        <f>TEXT('P&amp;L Acumulado'!$G$1,"mmm/yyyy")&amp;" a "&amp;TEXT('P&amp;L Acumulado'!$I$1,"mmm/yyyy")</f>
        <v>jan/yyyy a mar/yyyy</v>
      </c>
      <c r="F1064" t="s">
        <v>49</v>
      </c>
      <c r="G1064" t="s">
        <v>96</v>
      </c>
      <c r="H1064" t="s">
        <v>5</v>
      </c>
      <c r="I1064" s="429" t="e">
        <f>'P&amp;L Acumulado'!L47</f>
        <v>#REF!</v>
      </c>
      <c r="J1064" t="s">
        <v>1071</v>
      </c>
      <c r="K1064" t="s">
        <v>959</v>
      </c>
      <c r="L1064">
        <v>47</v>
      </c>
    </row>
    <row r="1065" spans="1:12" ht="18" customHeight="1" x14ac:dyDescent="0.25">
      <c r="A1065" t="s">
        <v>1070</v>
      </c>
      <c r="B1065" s="23">
        <f>'P&amp;L Acumulado'!$G$1</f>
        <v>46053</v>
      </c>
      <c r="C1065" s="23">
        <f>'P&amp;L Acumulado'!$I$1</f>
        <v>46112</v>
      </c>
      <c r="D1065" s="23">
        <f>'P&amp;L Acumulado'!$I$1</f>
        <v>46112</v>
      </c>
      <c r="E1065" t="str">
        <f>TEXT('P&amp;L Acumulado'!$G$1,"mmm/yyyy")&amp;" a "&amp;TEXT('P&amp;L Acumulado'!$I$1,"mmm/yyyy")</f>
        <v>jan/yyyy a mar/yyyy</v>
      </c>
      <c r="F1065" t="s">
        <v>49</v>
      </c>
      <c r="G1065" t="s">
        <v>96</v>
      </c>
      <c r="H1065" t="s">
        <v>6</v>
      </c>
      <c r="I1065" s="429" t="e">
        <f>'P&amp;L Acumulado'!M47</f>
        <v>#REF!</v>
      </c>
      <c r="J1065" t="s">
        <v>1071</v>
      </c>
      <c r="K1065" t="s">
        <v>1215</v>
      </c>
      <c r="L1065">
        <v>47</v>
      </c>
    </row>
    <row r="1066" spans="1:12" ht="18" customHeight="1" x14ac:dyDescent="0.25">
      <c r="A1066" t="s">
        <v>1070</v>
      </c>
      <c r="B1066" s="23">
        <f>'P&amp;L Acumulado'!$G$1</f>
        <v>46053</v>
      </c>
      <c r="C1066" s="23">
        <f>'P&amp;L Acumulado'!$I$1</f>
        <v>46112</v>
      </c>
      <c r="D1066" s="23">
        <f>'P&amp;L Acumulado'!$I$1</f>
        <v>46112</v>
      </c>
      <c r="E1066" t="str">
        <f>TEXT('P&amp;L Acumulado'!$G$1,"mmm/yyyy")&amp;" a "&amp;TEXT('P&amp;L Acumulado'!$I$1,"mmm/yyyy")</f>
        <v>jan/yyyy a mar/yyyy</v>
      </c>
      <c r="F1066" t="s">
        <v>49</v>
      </c>
      <c r="G1066" t="s">
        <v>96</v>
      </c>
      <c r="H1066" t="s">
        <v>549</v>
      </c>
      <c r="I1066" s="104" t="str">
        <f>'P&amp;L Acumulado'!N47</f>
        <v>-</v>
      </c>
      <c r="J1066" t="s">
        <v>1071</v>
      </c>
      <c r="K1066" t="s">
        <v>1216</v>
      </c>
      <c r="L1066">
        <v>47</v>
      </c>
    </row>
    <row r="1067" spans="1:12" ht="18" customHeight="1" x14ac:dyDescent="0.25">
      <c r="A1067" t="s">
        <v>1070</v>
      </c>
      <c r="B1067" s="23">
        <f>'P&amp;L Acumulado'!$G$1</f>
        <v>46053</v>
      </c>
      <c r="C1067" s="23">
        <f>'P&amp;L Acumulado'!$I$1</f>
        <v>46112</v>
      </c>
      <c r="D1067" s="23">
        <f>'P&amp;L Acumulado'!$I$1</f>
        <v>46112</v>
      </c>
      <c r="E1067" t="str">
        <f>TEXT('P&amp;L Acumulado'!$G$1,"mmm/yyyy")&amp;" a "&amp;TEXT('P&amp;L Acumulado'!$I$1,"mmm/yyyy")</f>
        <v>jan/yyyy a mar/yyyy</v>
      </c>
      <c r="F1067" t="s">
        <v>49</v>
      </c>
      <c r="G1067" t="s">
        <v>96</v>
      </c>
      <c r="H1067" t="s">
        <v>557</v>
      </c>
      <c r="I1067" s="429">
        <f>'P&amp;L Acumulado'!O47</f>
        <v>0</v>
      </c>
      <c r="J1067" t="s">
        <v>1071</v>
      </c>
      <c r="K1067" t="s">
        <v>1217</v>
      </c>
      <c r="L1067">
        <v>47</v>
      </c>
    </row>
    <row r="1068" spans="1:12" ht="18" customHeight="1" x14ac:dyDescent="0.25">
      <c r="A1068" t="s">
        <v>1070</v>
      </c>
      <c r="B1068" s="23">
        <f>'P&amp;L Acumulado'!$G$1</f>
        <v>46053</v>
      </c>
      <c r="C1068" s="23">
        <f>'P&amp;L Acumulado'!$I$1</f>
        <v>46112</v>
      </c>
      <c r="D1068" s="23">
        <f>'P&amp;L Acumulado'!$I$1</f>
        <v>46112</v>
      </c>
      <c r="E1068" t="str">
        <f>TEXT('P&amp;L Acumulado'!$G$1,"mmm/yyyy")&amp;" a "&amp;TEXT('P&amp;L Acumulado'!$I$1,"mmm/yyyy")</f>
        <v>jan/yyyy a mar/yyyy</v>
      </c>
      <c r="F1068" t="s">
        <v>50</v>
      </c>
      <c r="G1068" t="s">
        <v>252</v>
      </c>
      <c r="H1068" t="s">
        <v>5</v>
      </c>
      <c r="I1068" s="429">
        <f>'P&amp;L Acumulado'!C48</f>
        <v>0</v>
      </c>
      <c r="J1068" t="s">
        <v>1071</v>
      </c>
      <c r="K1068" t="s">
        <v>960</v>
      </c>
      <c r="L1068">
        <v>48</v>
      </c>
    </row>
    <row r="1069" spans="1:12" ht="18" customHeight="1" x14ac:dyDescent="0.25">
      <c r="A1069" t="s">
        <v>1070</v>
      </c>
      <c r="B1069" s="23">
        <f>'P&amp;L Acumulado'!$G$1</f>
        <v>46053</v>
      </c>
      <c r="C1069" s="23">
        <f>'P&amp;L Acumulado'!$I$1</f>
        <v>46112</v>
      </c>
      <c r="D1069" s="23">
        <f>'P&amp;L Acumulado'!$I$1</f>
        <v>46112</v>
      </c>
      <c r="E1069" t="str">
        <f>TEXT('P&amp;L Acumulado'!$G$1,"mmm/yyyy")&amp;" a "&amp;TEXT('P&amp;L Acumulado'!$I$1,"mmm/yyyy")</f>
        <v>jan/yyyy a mar/yyyy</v>
      </c>
      <c r="F1069" t="s">
        <v>50</v>
      </c>
      <c r="G1069" t="s">
        <v>252</v>
      </c>
      <c r="H1069" t="s">
        <v>6</v>
      </c>
      <c r="I1069" s="429">
        <f>'P&amp;L Acumulado'!D48</f>
        <v>0</v>
      </c>
      <c r="J1069" t="s">
        <v>1071</v>
      </c>
      <c r="K1069" t="s">
        <v>961</v>
      </c>
      <c r="L1069">
        <v>48</v>
      </c>
    </row>
    <row r="1070" spans="1:12" ht="18" customHeight="1" x14ac:dyDescent="0.25">
      <c r="A1070" t="s">
        <v>1070</v>
      </c>
      <c r="B1070" s="23">
        <f>'P&amp;L Acumulado'!$G$1</f>
        <v>46053</v>
      </c>
      <c r="C1070" s="23">
        <f>'P&amp;L Acumulado'!$I$1</f>
        <v>46112</v>
      </c>
      <c r="D1070" s="23">
        <f>'P&amp;L Acumulado'!$I$1</f>
        <v>46112</v>
      </c>
      <c r="E1070" t="str">
        <f>TEXT('P&amp;L Acumulado'!$G$1,"mmm/yyyy")&amp;" a "&amp;TEXT('P&amp;L Acumulado'!$I$1,"mmm/yyyy")</f>
        <v>jan/yyyy a mar/yyyy</v>
      </c>
      <c r="F1070" t="s">
        <v>50</v>
      </c>
      <c r="G1070" t="s">
        <v>252</v>
      </c>
      <c r="H1070" t="s">
        <v>549</v>
      </c>
      <c r="I1070" s="104" t="str">
        <f>'P&amp;L Acumulado'!E48</f>
        <v>-</v>
      </c>
      <c r="J1070" t="s">
        <v>1071</v>
      </c>
      <c r="K1070" t="s">
        <v>962</v>
      </c>
      <c r="L1070">
        <v>48</v>
      </c>
    </row>
    <row r="1071" spans="1:12" ht="18" customHeight="1" x14ac:dyDescent="0.25">
      <c r="A1071" t="s">
        <v>1070</v>
      </c>
      <c r="B1071" s="23">
        <f>'P&amp;L Acumulado'!$G$1</f>
        <v>46053</v>
      </c>
      <c r="C1071" s="23">
        <f>'P&amp;L Acumulado'!$I$1</f>
        <v>46112</v>
      </c>
      <c r="D1071" s="23">
        <f>'P&amp;L Acumulado'!$I$1</f>
        <v>46112</v>
      </c>
      <c r="E1071" t="str">
        <f>TEXT('P&amp;L Acumulado'!$G$1,"mmm/yyyy")&amp;" a "&amp;TEXT('P&amp;L Acumulado'!$I$1,"mmm/yyyy")</f>
        <v>jan/yyyy a mar/yyyy</v>
      </c>
      <c r="F1071" t="s">
        <v>50</v>
      </c>
      <c r="G1071" t="s">
        <v>205</v>
      </c>
      <c r="H1071" t="s">
        <v>5</v>
      </c>
      <c r="I1071" s="429" t="e">
        <f>'P&amp;L Acumulado'!F48</f>
        <v>#DIV/0!</v>
      </c>
      <c r="J1071" t="s">
        <v>1071</v>
      </c>
      <c r="K1071" t="s">
        <v>963</v>
      </c>
      <c r="L1071">
        <v>48</v>
      </c>
    </row>
    <row r="1072" spans="1:12" ht="18" customHeight="1" x14ac:dyDescent="0.25">
      <c r="A1072" t="s">
        <v>1070</v>
      </c>
      <c r="B1072" s="23">
        <f>'P&amp;L Acumulado'!$G$1</f>
        <v>46053</v>
      </c>
      <c r="C1072" s="23">
        <f>'P&amp;L Acumulado'!$I$1</f>
        <v>46112</v>
      </c>
      <c r="D1072" s="23">
        <f>'P&amp;L Acumulado'!$I$1</f>
        <v>46112</v>
      </c>
      <c r="E1072" t="str">
        <f>TEXT('P&amp;L Acumulado'!$G$1,"mmm/yyyy")&amp;" a "&amp;TEXT('P&amp;L Acumulado'!$I$1,"mmm/yyyy")</f>
        <v>jan/yyyy a mar/yyyy</v>
      </c>
      <c r="F1072" t="s">
        <v>50</v>
      </c>
      <c r="G1072" t="s">
        <v>205</v>
      </c>
      <c r="H1072" t="s">
        <v>6</v>
      </c>
      <c r="I1072" s="429" t="e">
        <f>'P&amp;L Acumulado'!G48</f>
        <v>#REF!</v>
      </c>
      <c r="J1072" t="s">
        <v>1071</v>
      </c>
      <c r="K1072" t="s">
        <v>964</v>
      </c>
      <c r="L1072">
        <v>48</v>
      </c>
    </row>
    <row r="1073" spans="1:12" ht="18" customHeight="1" x14ac:dyDescent="0.25">
      <c r="A1073" t="s">
        <v>1070</v>
      </c>
      <c r="B1073" s="23">
        <f>'P&amp;L Acumulado'!$G$1</f>
        <v>46053</v>
      </c>
      <c r="C1073" s="23">
        <f>'P&amp;L Acumulado'!$I$1</f>
        <v>46112</v>
      </c>
      <c r="D1073" s="23">
        <f>'P&amp;L Acumulado'!$I$1</f>
        <v>46112</v>
      </c>
      <c r="E1073" t="str">
        <f>TEXT('P&amp;L Acumulado'!$G$1,"mmm/yyyy")&amp;" a "&amp;TEXT('P&amp;L Acumulado'!$I$1,"mmm/yyyy")</f>
        <v>jan/yyyy a mar/yyyy</v>
      </c>
      <c r="F1073" t="s">
        <v>50</v>
      </c>
      <c r="G1073" t="s">
        <v>205</v>
      </c>
      <c r="H1073" t="s">
        <v>549</v>
      </c>
      <c r="I1073" s="104" t="str">
        <f>'P&amp;L Acumulado'!H48</f>
        <v>-</v>
      </c>
      <c r="J1073" t="s">
        <v>1071</v>
      </c>
      <c r="K1073" t="s">
        <v>965</v>
      </c>
      <c r="L1073">
        <v>48</v>
      </c>
    </row>
    <row r="1074" spans="1:12" ht="18" customHeight="1" x14ac:dyDescent="0.25">
      <c r="A1074" t="s">
        <v>1070</v>
      </c>
      <c r="B1074" s="23">
        <f>'P&amp;L Acumulado'!$G$1</f>
        <v>46053</v>
      </c>
      <c r="C1074" s="23">
        <f>'P&amp;L Acumulado'!$I$1</f>
        <v>46112</v>
      </c>
      <c r="D1074" s="23">
        <f>'P&amp;L Acumulado'!$I$1</f>
        <v>46112</v>
      </c>
      <c r="E1074" t="str">
        <f>TEXT('P&amp;L Acumulado'!$G$1,"mmm/yyyy")&amp;" a "&amp;TEXT('P&amp;L Acumulado'!$I$1,"mmm/yyyy")</f>
        <v>jan/yyyy a mar/yyyy</v>
      </c>
      <c r="F1074" t="s">
        <v>50</v>
      </c>
      <c r="G1074" t="s">
        <v>220</v>
      </c>
      <c r="H1074" t="s">
        <v>5</v>
      </c>
      <c r="I1074" s="429" t="e">
        <f>'P&amp;L Acumulado'!I48</f>
        <v>#REF!</v>
      </c>
      <c r="J1074" t="s">
        <v>1071</v>
      </c>
      <c r="K1074" t="s">
        <v>966</v>
      </c>
      <c r="L1074">
        <v>48</v>
      </c>
    </row>
    <row r="1075" spans="1:12" ht="18" customHeight="1" x14ac:dyDescent="0.25">
      <c r="A1075" t="s">
        <v>1070</v>
      </c>
      <c r="B1075" s="23">
        <f>'P&amp;L Acumulado'!$G$1</f>
        <v>46053</v>
      </c>
      <c r="C1075" s="23">
        <f>'P&amp;L Acumulado'!$I$1</f>
        <v>46112</v>
      </c>
      <c r="D1075" s="23">
        <f>'P&amp;L Acumulado'!$I$1</f>
        <v>46112</v>
      </c>
      <c r="E1075" t="str">
        <f>TEXT('P&amp;L Acumulado'!$G$1,"mmm/yyyy")&amp;" a "&amp;TEXT('P&amp;L Acumulado'!$I$1,"mmm/yyyy")</f>
        <v>jan/yyyy a mar/yyyy</v>
      </c>
      <c r="F1075" t="s">
        <v>50</v>
      </c>
      <c r="G1075" t="s">
        <v>220</v>
      </c>
      <c r="H1075" t="s">
        <v>6</v>
      </c>
      <c r="I1075" s="429" t="e">
        <f>'P&amp;L Acumulado'!J48</f>
        <v>#REF!</v>
      </c>
      <c r="J1075" t="s">
        <v>1071</v>
      </c>
      <c r="K1075" t="s">
        <v>967</v>
      </c>
      <c r="L1075">
        <v>48</v>
      </c>
    </row>
    <row r="1076" spans="1:12" ht="18" customHeight="1" x14ac:dyDescent="0.25">
      <c r="A1076" t="s">
        <v>1070</v>
      </c>
      <c r="B1076" s="23">
        <f>'P&amp;L Acumulado'!$G$1</f>
        <v>46053</v>
      </c>
      <c r="C1076" s="23">
        <f>'P&amp;L Acumulado'!$I$1</f>
        <v>46112</v>
      </c>
      <c r="D1076" s="23">
        <f>'P&amp;L Acumulado'!$I$1</f>
        <v>46112</v>
      </c>
      <c r="E1076" t="str">
        <f>TEXT('P&amp;L Acumulado'!$G$1,"mmm/yyyy")&amp;" a "&amp;TEXT('P&amp;L Acumulado'!$I$1,"mmm/yyyy")</f>
        <v>jan/yyyy a mar/yyyy</v>
      </c>
      <c r="F1076" t="s">
        <v>50</v>
      </c>
      <c r="G1076" t="s">
        <v>220</v>
      </c>
      <c r="H1076" t="s">
        <v>549</v>
      </c>
      <c r="I1076" s="104" t="str">
        <f>'P&amp;L Acumulado'!K48</f>
        <v>-</v>
      </c>
      <c r="J1076" t="s">
        <v>1071</v>
      </c>
      <c r="K1076" t="s">
        <v>968</v>
      </c>
      <c r="L1076">
        <v>48</v>
      </c>
    </row>
    <row r="1077" spans="1:12" ht="18" customHeight="1" x14ac:dyDescent="0.25">
      <c r="A1077" t="s">
        <v>1070</v>
      </c>
      <c r="B1077" s="23">
        <f>'P&amp;L Acumulado'!$G$1</f>
        <v>46053</v>
      </c>
      <c r="C1077" s="23">
        <f>'P&amp;L Acumulado'!$I$1</f>
        <v>46112</v>
      </c>
      <c r="D1077" s="23">
        <f>'P&amp;L Acumulado'!$I$1</f>
        <v>46112</v>
      </c>
      <c r="E1077" t="str">
        <f>TEXT('P&amp;L Acumulado'!$G$1,"mmm/yyyy")&amp;" a "&amp;TEXT('P&amp;L Acumulado'!$I$1,"mmm/yyyy")</f>
        <v>jan/yyyy a mar/yyyy</v>
      </c>
      <c r="F1077" t="s">
        <v>50</v>
      </c>
      <c r="G1077" t="s">
        <v>96</v>
      </c>
      <c r="H1077" t="s">
        <v>5</v>
      </c>
      <c r="I1077" s="429" t="e">
        <f>'P&amp;L Acumulado'!L48</f>
        <v>#REF!</v>
      </c>
      <c r="J1077" t="s">
        <v>1071</v>
      </c>
      <c r="K1077" t="s">
        <v>969</v>
      </c>
      <c r="L1077">
        <v>48</v>
      </c>
    </row>
    <row r="1078" spans="1:12" ht="18" customHeight="1" x14ac:dyDescent="0.25">
      <c r="A1078" t="s">
        <v>1070</v>
      </c>
      <c r="B1078" s="23">
        <f>'P&amp;L Acumulado'!$G$1</f>
        <v>46053</v>
      </c>
      <c r="C1078" s="23">
        <f>'P&amp;L Acumulado'!$I$1</f>
        <v>46112</v>
      </c>
      <c r="D1078" s="23">
        <f>'P&amp;L Acumulado'!$I$1</f>
        <v>46112</v>
      </c>
      <c r="E1078" t="str">
        <f>TEXT('P&amp;L Acumulado'!$G$1,"mmm/yyyy")&amp;" a "&amp;TEXT('P&amp;L Acumulado'!$I$1,"mmm/yyyy")</f>
        <v>jan/yyyy a mar/yyyy</v>
      </c>
      <c r="F1078" t="s">
        <v>50</v>
      </c>
      <c r="G1078" t="s">
        <v>96</v>
      </c>
      <c r="H1078" t="s">
        <v>6</v>
      </c>
      <c r="I1078" s="429" t="e">
        <f>'P&amp;L Acumulado'!M48</f>
        <v>#REF!</v>
      </c>
      <c r="J1078" t="s">
        <v>1071</v>
      </c>
      <c r="K1078" t="s">
        <v>1218</v>
      </c>
      <c r="L1078">
        <v>48</v>
      </c>
    </row>
    <row r="1079" spans="1:12" ht="18" customHeight="1" x14ac:dyDescent="0.25">
      <c r="A1079" t="s">
        <v>1070</v>
      </c>
      <c r="B1079" s="23">
        <f>'P&amp;L Acumulado'!$G$1</f>
        <v>46053</v>
      </c>
      <c r="C1079" s="23">
        <f>'P&amp;L Acumulado'!$I$1</f>
        <v>46112</v>
      </c>
      <c r="D1079" s="23">
        <f>'P&amp;L Acumulado'!$I$1</f>
        <v>46112</v>
      </c>
      <c r="E1079" t="str">
        <f>TEXT('P&amp;L Acumulado'!$G$1,"mmm/yyyy")&amp;" a "&amp;TEXT('P&amp;L Acumulado'!$I$1,"mmm/yyyy")</f>
        <v>jan/yyyy a mar/yyyy</v>
      </c>
      <c r="F1079" t="s">
        <v>50</v>
      </c>
      <c r="G1079" t="s">
        <v>96</v>
      </c>
      <c r="H1079" t="s">
        <v>549</v>
      </c>
      <c r="I1079" s="104" t="str">
        <f>'P&amp;L Acumulado'!N48</f>
        <v>-</v>
      </c>
      <c r="J1079" t="s">
        <v>1071</v>
      </c>
      <c r="K1079" t="s">
        <v>1219</v>
      </c>
      <c r="L1079">
        <v>48</v>
      </c>
    </row>
    <row r="1080" spans="1:12" ht="18" customHeight="1" x14ac:dyDescent="0.25">
      <c r="A1080" t="s">
        <v>1070</v>
      </c>
      <c r="B1080" s="23">
        <f>'P&amp;L Acumulado'!$G$1</f>
        <v>46053</v>
      </c>
      <c r="C1080" s="23">
        <f>'P&amp;L Acumulado'!$I$1</f>
        <v>46112</v>
      </c>
      <c r="D1080" s="23">
        <f>'P&amp;L Acumulado'!$I$1</f>
        <v>46112</v>
      </c>
      <c r="E1080" t="str">
        <f>TEXT('P&amp;L Acumulado'!$G$1,"mmm/yyyy")&amp;" a "&amp;TEXT('P&amp;L Acumulado'!$I$1,"mmm/yyyy")</f>
        <v>jan/yyyy a mar/yyyy</v>
      </c>
      <c r="F1080" t="s">
        <v>50</v>
      </c>
      <c r="G1080" t="s">
        <v>96</v>
      </c>
      <c r="H1080" t="s">
        <v>557</v>
      </c>
      <c r="I1080" s="429">
        <f>'P&amp;L Acumulado'!O48</f>
        <v>0</v>
      </c>
      <c r="J1080" t="s">
        <v>1071</v>
      </c>
      <c r="K1080" t="s">
        <v>1220</v>
      </c>
      <c r="L1080">
        <v>48</v>
      </c>
    </row>
    <row r="1081" spans="1:12" ht="18" customHeight="1" x14ac:dyDescent="0.25">
      <c r="A1081" t="s">
        <v>1070</v>
      </c>
      <c r="B1081" s="23">
        <f>'P&amp;L Acumulado'!$G$1</f>
        <v>46053</v>
      </c>
      <c r="C1081" s="23">
        <f>'P&amp;L Acumulado'!$I$1</f>
        <v>46112</v>
      </c>
      <c r="D1081" s="23">
        <f>'P&amp;L Acumulado'!$I$1</f>
        <v>46112</v>
      </c>
      <c r="E1081" t="str">
        <f>TEXT('P&amp;L Acumulado'!$G$1,"mmm/yyyy")&amp;" a "&amp;TEXT('P&amp;L Acumulado'!$I$1,"mmm/yyyy")</f>
        <v>jan/yyyy a mar/yyyy</v>
      </c>
      <c r="F1081" t="s">
        <v>51</v>
      </c>
      <c r="G1081" t="s">
        <v>252</v>
      </c>
      <c r="H1081" t="s">
        <v>5</v>
      </c>
      <c r="I1081" s="429" t="e">
        <f>'P&amp;L Acumulado'!C49</f>
        <v>#DIV/0!</v>
      </c>
      <c r="J1081" t="s">
        <v>1071</v>
      </c>
      <c r="K1081" t="s">
        <v>970</v>
      </c>
      <c r="L1081">
        <v>49</v>
      </c>
    </row>
    <row r="1082" spans="1:12" ht="18" customHeight="1" x14ac:dyDescent="0.25">
      <c r="A1082" t="s">
        <v>1070</v>
      </c>
      <c r="B1082" s="23">
        <f>'P&amp;L Acumulado'!$G$1</f>
        <v>46053</v>
      </c>
      <c r="C1082" s="23">
        <f>'P&amp;L Acumulado'!$I$1</f>
        <v>46112</v>
      </c>
      <c r="D1082" s="23">
        <f>'P&amp;L Acumulado'!$I$1</f>
        <v>46112</v>
      </c>
      <c r="E1082" t="str">
        <f>TEXT('P&amp;L Acumulado'!$G$1,"mmm/yyyy")&amp;" a "&amp;TEXT('P&amp;L Acumulado'!$I$1,"mmm/yyyy")</f>
        <v>jan/yyyy a mar/yyyy</v>
      </c>
      <c r="F1082" t="s">
        <v>51</v>
      </c>
      <c r="G1082" t="s">
        <v>252</v>
      </c>
      <c r="H1082" t="s">
        <v>6</v>
      </c>
      <c r="I1082" s="429" t="e">
        <f>'P&amp;L Acumulado'!D49</f>
        <v>#DIV/0!</v>
      </c>
      <c r="J1082" t="s">
        <v>1071</v>
      </c>
      <c r="K1082" t="s">
        <v>971</v>
      </c>
      <c r="L1082">
        <v>49</v>
      </c>
    </row>
    <row r="1083" spans="1:12" ht="18" customHeight="1" x14ac:dyDescent="0.25">
      <c r="A1083" t="s">
        <v>1070</v>
      </c>
      <c r="B1083" s="23">
        <f>'P&amp;L Acumulado'!$G$1</f>
        <v>46053</v>
      </c>
      <c r="C1083" s="23">
        <f>'P&amp;L Acumulado'!$I$1</f>
        <v>46112</v>
      </c>
      <c r="D1083" s="23">
        <f>'P&amp;L Acumulado'!$I$1</f>
        <v>46112</v>
      </c>
      <c r="E1083" t="str">
        <f>TEXT('P&amp;L Acumulado'!$G$1,"mmm/yyyy")&amp;" a "&amp;TEXT('P&amp;L Acumulado'!$I$1,"mmm/yyyy")</f>
        <v>jan/yyyy a mar/yyyy</v>
      </c>
      <c r="F1083" t="s">
        <v>51</v>
      </c>
      <c r="G1083" t="s">
        <v>252</v>
      </c>
      <c r="H1083" t="s">
        <v>549</v>
      </c>
      <c r="I1083" s="104" t="str">
        <f>'P&amp;L Acumulado'!E49</f>
        <v>-</v>
      </c>
      <c r="J1083" t="s">
        <v>1071</v>
      </c>
      <c r="K1083" t="s">
        <v>972</v>
      </c>
      <c r="L1083">
        <v>49</v>
      </c>
    </row>
    <row r="1084" spans="1:12" ht="18" customHeight="1" x14ac:dyDescent="0.25">
      <c r="A1084" t="s">
        <v>1070</v>
      </c>
      <c r="B1084" s="23">
        <f>'P&amp;L Acumulado'!$G$1</f>
        <v>46053</v>
      </c>
      <c r="C1084" s="23">
        <f>'P&amp;L Acumulado'!$I$1</f>
        <v>46112</v>
      </c>
      <c r="D1084" s="23">
        <f>'P&amp;L Acumulado'!$I$1</f>
        <v>46112</v>
      </c>
      <c r="E1084" t="str">
        <f>TEXT('P&amp;L Acumulado'!$G$1,"mmm/yyyy")&amp;" a "&amp;TEXT('P&amp;L Acumulado'!$I$1,"mmm/yyyy")</f>
        <v>jan/yyyy a mar/yyyy</v>
      </c>
      <c r="F1084" t="s">
        <v>51</v>
      </c>
      <c r="G1084" t="s">
        <v>205</v>
      </c>
      <c r="H1084" t="s">
        <v>5</v>
      </c>
      <c r="I1084" s="429">
        <f>'P&amp;L Acumulado'!F49</f>
        <v>410236335.31000078</v>
      </c>
      <c r="J1084" t="s">
        <v>1071</v>
      </c>
      <c r="K1084" t="s">
        <v>973</v>
      </c>
      <c r="L1084">
        <v>49</v>
      </c>
    </row>
    <row r="1085" spans="1:12" ht="18" customHeight="1" x14ac:dyDescent="0.25">
      <c r="A1085" t="s">
        <v>1070</v>
      </c>
      <c r="B1085" s="23">
        <f>'P&amp;L Acumulado'!$G$1</f>
        <v>46053</v>
      </c>
      <c r="C1085" s="23">
        <f>'P&amp;L Acumulado'!$I$1</f>
        <v>46112</v>
      </c>
      <c r="D1085" s="23">
        <f>'P&amp;L Acumulado'!$I$1</f>
        <v>46112</v>
      </c>
      <c r="E1085" t="str">
        <f>TEXT('P&amp;L Acumulado'!$G$1,"mmm/yyyy")&amp;" a "&amp;TEXT('P&amp;L Acumulado'!$I$1,"mmm/yyyy")</f>
        <v>jan/yyyy a mar/yyyy</v>
      </c>
      <c r="F1085" t="s">
        <v>51</v>
      </c>
      <c r="G1085" t="s">
        <v>205</v>
      </c>
      <c r="H1085" t="s">
        <v>6</v>
      </c>
      <c r="I1085" s="429">
        <f>'P&amp;L Acumulado'!G49</f>
        <v>412126423.06822944</v>
      </c>
      <c r="J1085" t="s">
        <v>1071</v>
      </c>
      <c r="K1085" t="s">
        <v>974</v>
      </c>
      <c r="L1085">
        <v>49</v>
      </c>
    </row>
    <row r="1086" spans="1:12" ht="18" customHeight="1" x14ac:dyDescent="0.25">
      <c r="A1086" t="s">
        <v>1070</v>
      </c>
      <c r="B1086" s="23">
        <f>'P&amp;L Acumulado'!$G$1</f>
        <v>46053</v>
      </c>
      <c r="C1086" s="23">
        <f>'P&amp;L Acumulado'!$I$1</f>
        <v>46112</v>
      </c>
      <c r="D1086" s="23">
        <f>'P&amp;L Acumulado'!$I$1</f>
        <v>46112</v>
      </c>
      <c r="E1086" t="str">
        <f>TEXT('P&amp;L Acumulado'!$G$1,"mmm/yyyy")&amp;" a "&amp;TEXT('P&amp;L Acumulado'!$I$1,"mmm/yyyy")</f>
        <v>jan/yyyy a mar/yyyy</v>
      </c>
      <c r="F1086" t="s">
        <v>51</v>
      </c>
      <c r="G1086" t="s">
        <v>205</v>
      </c>
      <c r="H1086" t="s">
        <v>549</v>
      </c>
      <c r="I1086" s="104">
        <f>'P&amp;L Acumulado'!H49</f>
        <v>-4.5861843658486778E-3</v>
      </c>
      <c r="J1086" t="s">
        <v>1071</v>
      </c>
      <c r="K1086" t="s">
        <v>975</v>
      </c>
      <c r="L1086">
        <v>49</v>
      </c>
    </row>
    <row r="1087" spans="1:12" ht="18" customHeight="1" x14ac:dyDescent="0.25">
      <c r="A1087" t="s">
        <v>1070</v>
      </c>
      <c r="B1087" s="23">
        <f>'P&amp;L Acumulado'!$G$1</f>
        <v>46053</v>
      </c>
      <c r="C1087" s="23">
        <f>'P&amp;L Acumulado'!$I$1</f>
        <v>46112</v>
      </c>
      <c r="D1087" s="23">
        <f>'P&amp;L Acumulado'!$I$1</f>
        <v>46112</v>
      </c>
      <c r="E1087" t="str">
        <f>TEXT('P&amp;L Acumulado'!$G$1,"mmm/yyyy")&amp;" a "&amp;TEXT('P&amp;L Acumulado'!$I$1,"mmm/yyyy")</f>
        <v>jan/yyyy a mar/yyyy</v>
      </c>
      <c r="F1087" t="s">
        <v>51</v>
      </c>
      <c r="G1087" t="s">
        <v>220</v>
      </c>
      <c r="H1087" t="s">
        <v>5</v>
      </c>
      <c r="I1087" s="429">
        <f>'P&amp;L Acumulado'!I49</f>
        <v>1565231469.21</v>
      </c>
      <c r="J1087" t="s">
        <v>1071</v>
      </c>
      <c r="K1087" t="s">
        <v>976</v>
      </c>
      <c r="L1087">
        <v>49</v>
      </c>
    </row>
    <row r="1088" spans="1:12" ht="18" customHeight="1" x14ac:dyDescent="0.25">
      <c r="A1088" t="s">
        <v>1070</v>
      </c>
      <c r="B1088" s="23">
        <f>'P&amp;L Acumulado'!$G$1</f>
        <v>46053</v>
      </c>
      <c r="C1088" s="23">
        <f>'P&amp;L Acumulado'!$I$1</f>
        <v>46112</v>
      </c>
      <c r="D1088" s="23">
        <f>'P&amp;L Acumulado'!$I$1</f>
        <v>46112</v>
      </c>
      <c r="E1088" t="str">
        <f>TEXT('P&amp;L Acumulado'!$G$1,"mmm/yyyy")&amp;" a "&amp;TEXT('P&amp;L Acumulado'!$I$1,"mmm/yyyy")</f>
        <v>jan/yyyy a mar/yyyy</v>
      </c>
      <c r="F1088" t="s">
        <v>51</v>
      </c>
      <c r="G1088" t="s">
        <v>220</v>
      </c>
      <c r="H1088" t="s">
        <v>6</v>
      </c>
      <c r="I1088" s="429">
        <f>'P&amp;L Acumulado'!J49</f>
        <v>1529552131.8887649</v>
      </c>
      <c r="J1088" t="s">
        <v>1071</v>
      </c>
      <c r="K1088" t="s">
        <v>977</v>
      </c>
      <c r="L1088">
        <v>49</v>
      </c>
    </row>
    <row r="1089" spans="1:12" ht="18" customHeight="1" x14ac:dyDescent="0.25">
      <c r="A1089" t="s">
        <v>1070</v>
      </c>
      <c r="B1089" s="23">
        <f>'P&amp;L Acumulado'!$G$1</f>
        <v>46053</v>
      </c>
      <c r="C1089" s="23">
        <f>'P&amp;L Acumulado'!$I$1</f>
        <v>46112</v>
      </c>
      <c r="D1089" s="23">
        <f>'P&amp;L Acumulado'!$I$1</f>
        <v>46112</v>
      </c>
      <c r="E1089" t="str">
        <f>TEXT('P&amp;L Acumulado'!$G$1,"mmm/yyyy")&amp;" a "&amp;TEXT('P&amp;L Acumulado'!$I$1,"mmm/yyyy")</f>
        <v>jan/yyyy a mar/yyyy</v>
      </c>
      <c r="F1089" t="s">
        <v>51</v>
      </c>
      <c r="G1089" t="s">
        <v>220</v>
      </c>
      <c r="H1089" t="s">
        <v>549</v>
      </c>
      <c r="I1089" s="104">
        <f>'P&amp;L Acumulado'!K49</f>
        <v>2.332665659272215E-2</v>
      </c>
      <c r="J1089" t="s">
        <v>1071</v>
      </c>
      <c r="K1089" t="s">
        <v>978</v>
      </c>
      <c r="L1089">
        <v>49</v>
      </c>
    </row>
    <row r="1090" spans="1:12" ht="18" customHeight="1" x14ac:dyDescent="0.25">
      <c r="A1090" t="s">
        <v>1070</v>
      </c>
      <c r="B1090" s="23">
        <f>'P&amp;L Acumulado'!$G$1</f>
        <v>46053</v>
      </c>
      <c r="C1090" s="23">
        <f>'P&amp;L Acumulado'!$I$1</f>
        <v>46112</v>
      </c>
      <c r="D1090" s="23">
        <f>'P&amp;L Acumulado'!$I$1</f>
        <v>46112</v>
      </c>
      <c r="E1090" t="str">
        <f>TEXT('P&amp;L Acumulado'!$G$1,"mmm/yyyy")&amp;" a "&amp;TEXT('P&amp;L Acumulado'!$I$1,"mmm/yyyy")</f>
        <v>jan/yyyy a mar/yyyy</v>
      </c>
      <c r="F1090" t="s">
        <v>51</v>
      </c>
      <c r="G1090" t="s">
        <v>96</v>
      </c>
      <c r="H1090" t="s">
        <v>5</v>
      </c>
      <c r="I1090" s="429">
        <f>'P&amp;L Acumulado'!L49</f>
        <v>1975467804.5200009</v>
      </c>
      <c r="J1090" t="s">
        <v>1071</v>
      </c>
      <c r="K1090" t="s">
        <v>979</v>
      </c>
      <c r="L1090">
        <v>49</v>
      </c>
    </row>
    <row r="1091" spans="1:12" ht="18" customHeight="1" x14ac:dyDescent="0.25">
      <c r="A1091" t="s">
        <v>1070</v>
      </c>
      <c r="B1091" s="23">
        <f>'P&amp;L Acumulado'!$G$1</f>
        <v>46053</v>
      </c>
      <c r="C1091" s="23">
        <f>'P&amp;L Acumulado'!$I$1</f>
        <v>46112</v>
      </c>
      <c r="D1091" s="23">
        <f>'P&amp;L Acumulado'!$I$1</f>
        <v>46112</v>
      </c>
      <c r="E1091" t="str">
        <f>TEXT('P&amp;L Acumulado'!$G$1,"mmm/yyyy")&amp;" a "&amp;TEXT('P&amp;L Acumulado'!$I$1,"mmm/yyyy")</f>
        <v>jan/yyyy a mar/yyyy</v>
      </c>
      <c r="F1091" t="s">
        <v>51</v>
      </c>
      <c r="G1091" t="s">
        <v>96</v>
      </c>
      <c r="H1091" t="s">
        <v>6</v>
      </c>
      <c r="I1091" s="429" t="e">
        <f>'P&amp;L Acumulado'!M49</f>
        <v>#DIV/0!</v>
      </c>
      <c r="J1091" t="s">
        <v>1071</v>
      </c>
      <c r="K1091" t="s">
        <v>1221</v>
      </c>
      <c r="L1091">
        <v>49</v>
      </c>
    </row>
    <row r="1092" spans="1:12" ht="18" customHeight="1" x14ac:dyDescent="0.25">
      <c r="A1092" t="s">
        <v>1070</v>
      </c>
      <c r="B1092" s="23">
        <f>'P&amp;L Acumulado'!$G$1</f>
        <v>46053</v>
      </c>
      <c r="C1092" s="23">
        <f>'P&amp;L Acumulado'!$I$1</f>
        <v>46112</v>
      </c>
      <c r="D1092" s="23">
        <f>'P&amp;L Acumulado'!$I$1</f>
        <v>46112</v>
      </c>
      <c r="E1092" t="str">
        <f>TEXT('P&amp;L Acumulado'!$G$1,"mmm/yyyy")&amp;" a "&amp;TEXT('P&amp;L Acumulado'!$I$1,"mmm/yyyy")</f>
        <v>jan/yyyy a mar/yyyy</v>
      </c>
      <c r="F1092" t="s">
        <v>51</v>
      </c>
      <c r="G1092" t="s">
        <v>96</v>
      </c>
      <c r="H1092" t="s">
        <v>549</v>
      </c>
      <c r="I1092" s="104" t="str">
        <f>'P&amp;L Acumulado'!N49</f>
        <v>-</v>
      </c>
      <c r="J1092" t="s">
        <v>1071</v>
      </c>
      <c r="K1092" t="s">
        <v>1222</v>
      </c>
      <c r="L1092">
        <v>49</v>
      </c>
    </row>
    <row r="1093" spans="1:12" ht="18" customHeight="1" x14ac:dyDescent="0.25">
      <c r="A1093" t="s">
        <v>1070</v>
      </c>
      <c r="B1093" s="23">
        <f>'P&amp;L Acumulado'!$G$1</f>
        <v>46053</v>
      </c>
      <c r="C1093" s="23">
        <f>'P&amp;L Acumulado'!$I$1</f>
        <v>46112</v>
      </c>
      <c r="D1093" s="23">
        <f>'P&amp;L Acumulado'!$I$1</f>
        <v>46112</v>
      </c>
      <c r="E1093" t="str">
        <f>TEXT('P&amp;L Acumulado'!$G$1,"mmm/yyyy")&amp;" a "&amp;TEXT('P&amp;L Acumulado'!$I$1,"mmm/yyyy")</f>
        <v>jan/yyyy a mar/yyyy</v>
      </c>
      <c r="F1093" t="s">
        <v>51</v>
      </c>
      <c r="G1093" t="s">
        <v>96</v>
      </c>
      <c r="H1093" t="s">
        <v>557</v>
      </c>
      <c r="I1093" s="429" t="e">
        <f>'P&amp;L Acumulado'!O49</f>
        <v>#DIV/0!</v>
      </c>
      <c r="J1093" t="s">
        <v>1071</v>
      </c>
      <c r="K1093" t="s">
        <v>1223</v>
      </c>
      <c r="L1093">
        <v>49</v>
      </c>
    </row>
    <row r="1094" spans="1:12" ht="18" customHeight="1" x14ac:dyDescent="0.25">
      <c r="A1094" t="s">
        <v>1070</v>
      </c>
      <c r="B1094" s="23">
        <f>'P&amp;L Acumulado'!$G$1</f>
        <v>46053</v>
      </c>
      <c r="C1094" s="23">
        <f>'P&amp;L Acumulado'!$I$1</f>
        <v>46112</v>
      </c>
      <c r="D1094" s="23">
        <f>'P&amp;L Acumulado'!$I$1</f>
        <v>46112</v>
      </c>
      <c r="E1094" t="str">
        <f>TEXT('P&amp;L Acumulado'!$G$1,"mmm/yyyy")&amp;" a "&amp;TEXT('P&amp;L Acumulado'!$I$1,"mmm/yyyy")</f>
        <v>jan/yyyy a mar/yyyy</v>
      </c>
      <c r="F1094" t="s">
        <v>52</v>
      </c>
      <c r="G1094" t="s">
        <v>252</v>
      </c>
      <c r="H1094" t="s">
        <v>5</v>
      </c>
      <c r="I1094" s="429">
        <f>'P&amp;L Acumulado'!C50</f>
        <v>0</v>
      </c>
      <c r="J1094" t="s">
        <v>1071</v>
      </c>
      <c r="K1094" t="s">
        <v>980</v>
      </c>
      <c r="L1094">
        <v>50</v>
      </c>
    </row>
    <row r="1095" spans="1:12" ht="18" customHeight="1" x14ac:dyDescent="0.25">
      <c r="A1095" t="s">
        <v>1070</v>
      </c>
      <c r="B1095" s="23">
        <f>'P&amp;L Acumulado'!$G$1</f>
        <v>46053</v>
      </c>
      <c r="C1095" s="23">
        <f>'P&amp;L Acumulado'!$I$1</f>
        <v>46112</v>
      </c>
      <c r="D1095" s="23">
        <f>'P&amp;L Acumulado'!$I$1</f>
        <v>46112</v>
      </c>
      <c r="E1095" t="str">
        <f>TEXT('P&amp;L Acumulado'!$G$1,"mmm/yyyy")&amp;" a "&amp;TEXT('P&amp;L Acumulado'!$I$1,"mmm/yyyy")</f>
        <v>jan/yyyy a mar/yyyy</v>
      </c>
      <c r="F1095" t="s">
        <v>52</v>
      </c>
      <c r="G1095" t="s">
        <v>252</v>
      </c>
      <c r="H1095" t="s">
        <v>6</v>
      </c>
      <c r="I1095" s="429">
        <f>'P&amp;L Acumulado'!D50</f>
        <v>0</v>
      </c>
      <c r="J1095" t="s">
        <v>1071</v>
      </c>
      <c r="K1095" t="s">
        <v>981</v>
      </c>
      <c r="L1095">
        <v>50</v>
      </c>
    </row>
    <row r="1096" spans="1:12" ht="18" customHeight="1" x14ac:dyDescent="0.25">
      <c r="A1096" t="s">
        <v>1070</v>
      </c>
      <c r="B1096" s="23">
        <f>'P&amp;L Acumulado'!$G$1</f>
        <v>46053</v>
      </c>
      <c r="C1096" s="23">
        <f>'P&amp;L Acumulado'!$I$1</f>
        <v>46112</v>
      </c>
      <c r="D1096" s="23">
        <f>'P&amp;L Acumulado'!$I$1</f>
        <v>46112</v>
      </c>
      <c r="E1096" t="str">
        <f>TEXT('P&amp;L Acumulado'!$G$1,"mmm/yyyy")&amp;" a "&amp;TEXT('P&amp;L Acumulado'!$I$1,"mmm/yyyy")</f>
        <v>jan/yyyy a mar/yyyy</v>
      </c>
      <c r="F1096" t="s">
        <v>52</v>
      </c>
      <c r="G1096" t="s">
        <v>252</v>
      </c>
      <c r="H1096" t="s">
        <v>549</v>
      </c>
      <c r="I1096" s="104">
        <f>'P&amp;L Acumulado'!E50</f>
        <v>0</v>
      </c>
      <c r="J1096" t="s">
        <v>1071</v>
      </c>
      <c r="K1096" t="s">
        <v>982</v>
      </c>
      <c r="L1096">
        <v>50</v>
      </c>
    </row>
    <row r="1097" spans="1:12" ht="18" customHeight="1" x14ac:dyDescent="0.25">
      <c r="A1097" t="s">
        <v>1070</v>
      </c>
      <c r="B1097" s="23">
        <f>'P&amp;L Acumulado'!$G$1</f>
        <v>46053</v>
      </c>
      <c r="C1097" s="23">
        <f>'P&amp;L Acumulado'!$I$1</f>
        <v>46112</v>
      </c>
      <c r="D1097" s="23">
        <f>'P&amp;L Acumulado'!$I$1</f>
        <v>46112</v>
      </c>
      <c r="E1097" t="str">
        <f>TEXT('P&amp;L Acumulado'!$G$1,"mmm/yyyy")&amp;" a "&amp;TEXT('P&amp;L Acumulado'!$I$1,"mmm/yyyy")</f>
        <v>jan/yyyy a mar/yyyy</v>
      </c>
      <c r="F1097" t="s">
        <v>52</v>
      </c>
      <c r="G1097" t="s">
        <v>205</v>
      </c>
      <c r="H1097" t="s">
        <v>5</v>
      </c>
      <c r="I1097" s="429">
        <f>'P&amp;L Acumulado'!F50</f>
        <v>409081004.13499981</v>
      </c>
      <c r="J1097" t="s">
        <v>1071</v>
      </c>
      <c r="K1097" t="s">
        <v>983</v>
      </c>
      <c r="L1097">
        <v>50</v>
      </c>
    </row>
    <row r="1098" spans="1:12" ht="18" customHeight="1" x14ac:dyDescent="0.25">
      <c r="A1098" t="s">
        <v>1070</v>
      </c>
      <c r="B1098" s="23">
        <f>'P&amp;L Acumulado'!$G$1</f>
        <v>46053</v>
      </c>
      <c r="C1098" s="23">
        <f>'P&amp;L Acumulado'!$I$1</f>
        <v>46112</v>
      </c>
      <c r="D1098" s="23">
        <f>'P&amp;L Acumulado'!$I$1</f>
        <v>46112</v>
      </c>
      <c r="E1098" t="str">
        <f>TEXT('P&amp;L Acumulado'!$G$1,"mmm/yyyy")&amp;" a "&amp;TEXT('P&amp;L Acumulado'!$I$1,"mmm/yyyy")</f>
        <v>jan/yyyy a mar/yyyy</v>
      </c>
      <c r="F1098" t="s">
        <v>52</v>
      </c>
      <c r="G1098" t="s">
        <v>205</v>
      </c>
      <c r="H1098" t="s">
        <v>6</v>
      </c>
      <c r="I1098" s="429">
        <f>'P&amp;L Acumulado'!G50</f>
        <v>410522792.85929441</v>
      </c>
      <c r="J1098" t="s">
        <v>1071</v>
      </c>
      <c r="K1098" t="s">
        <v>984</v>
      </c>
      <c r="L1098">
        <v>50</v>
      </c>
    </row>
    <row r="1099" spans="1:12" ht="18" customHeight="1" x14ac:dyDescent="0.25">
      <c r="A1099" t="s">
        <v>1070</v>
      </c>
      <c r="B1099" s="23">
        <f>'P&amp;L Acumulado'!$G$1</f>
        <v>46053</v>
      </c>
      <c r="C1099" s="23">
        <f>'P&amp;L Acumulado'!$I$1</f>
        <v>46112</v>
      </c>
      <c r="D1099" s="23">
        <f>'P&amp;L Acumulado'!$I$1</f>
        <v>46112</v>
      </c>
      <c r="E1099" t="str">
        <f>TEXT('P&amp;L Acumulado'!$G$1,"mmm/yyyy")&amp;" a "&amp;TEXT('P&amp;L Acumulado'!$I$1,"mmm/yyyy")</f>
        <v>jan/yyyy a mar/yyyy</v>
      </c>
      <c r="F1099" t="s">
        <v>52</v>
      </c>
      <c r="G1099" t="s">
        <v>205</v>
      </c>
      <c r="H1099" t="s">
        <v>549</v>
      </c>
      <c r="I1099" s="104">
        <f>'P&amp;L Acumulado'!H50</f>
        <v>-3.5120795955141393E-3</v>
      </c>
      <c r="J1099" t="s">
        <v>1071</v>
      </c>
      <c r="K1099" t="s">
        <v>985</v>
      </c>
      <c r="L1099">
        <v>50</v>
      </c>
    </row>
    <row r="1100" spans="1:12" ht="18" customHeight="1" x14ac:dyDescent="0.25">
      <c r="A1100" t="s">
        <v>1070</v>
      </c>
      <c r="B1100" s="23">
        <f>'P&amp;L Acumulado'!$G$1</f>
        <v>46053</v>
      </c>
      <c r="C1100" s="23">
        <f>'P&amp;L Acumulado'!$I$1</f>
        <v>46112</v>
      </c>
      <c r="D1100" s="23">
        <f>'P&amp;L Acumulado'!$I$1</f>
        <v>46112</v>
      </c>
      <c r="E1100" t="str">
        <f>TEXT('P&amp;L Acumulado'!$G$1,"mmm/yyyy")&amp;" a "&amp;TEXT('P&amp;L Acumulado'!$I$1,"mmm/yyyy")</f>
        <v>jan/yyyy a mar/yyyy</v>
      </c>
      <c r="F1100" t="s">
        <v>52</v>
      </c>
      <c r="G1100" t="s">
        <v>220</v>
      </c>
      <c r="H1100" t="s">
        <v>5</v>
      </c>
      <c r="I1100" s="429">
        <f>'P&amp;L Acumulado'!I50</f>
        <v>1540794783.6900005</v>
      </c>
      <c r="J1100" t="s">
        <v>1071</v>
      </c>
      <c r="K1100" t="s">
        <v>986</v>
      </c>
      <c r="L1100">
        <v>50</v>
      </c>
    </row>
    <row r="1101" spans="1:12" ht="18" customHeight="1" x14ac:dyDescent="0.25">
      <c r="A1101" t="s">
        <v>1070</v>
      </c>
      <c r="B1101" s="23">
        <f>'P&amp;L Acumulado'!$G$1</f>
        <v>46053</v>
      </c>
      <c r="C1101" s="23">
        <f>'P&amp;L Acumulado'!$I$1</f>
        <v>46112</v>
      </c>
      <c r="D1101" s="23">
        <f>'P&amp;L Acumulado'!$I$1</f>
        <v>46112</v>
      </c>
      <c r="E1101" t="str">
        <f>TEXT('P&amp;L Acumulado'!$G$1,"mmm/yyyy")&amp;" a "&amp;TEXT('P&amp;L Acumulado'!$I$1,"mmm/yyyy")</f>
        <v>jan/yyyy a mar/yyyy</v>
      </c>
      <c r="F1101" t="s">
        <v>52</v>
      </c>
      <c r="G1101" t="s">
        <v>220</v>
      </c>
      <c r="H1101" t="s">
        <v>6</v>
      </c>
      <c r="I1101" s="429">
        <f>'P&amp;L Acumulado'!J50</f>
        <v>1502022721.5101881</v>
      </c>
      <c r="J1101" t="s">
        <v>1071</v>
      </c>
      <c r="K1101" t="s">
        <v>987</v>
      </c>
      <c r="L1101">
        <v>50</v>
      </c>
    </row>
    <row r="1102" spans="1:12" ht="18" customHeight="1" x14ac:dyDescent="0.25">
      <c r="A1102" t="s">
        <v>1070</v>
      </c>
      <c r="B1102" s="23">
        <f>'P&amp;L Acumulado'!$G$1</f>
        <v>46053</v>
      </c>
      <c r="C1102" s="23">
        <f>'P&amp;L Acumulado'!$I$1</f>
        <v>46112</v>
      </c>
      <c r="D1102" s="23">
        <f>'P&amp;L Acumulado'!$I$1</f>
        <v>46112</v>
      </c>
      <c r="E1102" t="str">
        <f>TEXT('P&amp;L Acumulado'!$G$1,"mmm/yyyy")&amp;" a "&amp;TEXT('P&amp;L Acumulado'!$I$1,"mmm/yyyy")</f>
        <v>jan/yyyy a mar/yyyy</v>
      </c>
      <c r="F1102" t="s">
        <v>52</v>
      </c>
      <c r="G1102" t="s">
        <v>220</v>
      </c>
      <c r="H1102" t="s">
        <v>549</v>
      </c>
      <c r="I1102" s="104">
        <f>'P&amp;L Acumulado'!K50</f>
        <v>2.5813232799054786E-2</v>
      </c>
      <c r="J1102" t="s">
        <v>1071</v>
      </c>
      <c r="K1102" t="s">
        <v>988</v>
      </c>
      <c r="L1102">
        <v>50</v>
      </c>
    </row>
    <row r="1103" spans="1:12" ht="18" customHeight="1" x14ac:dyDescent="0.25">
      <c r="A1103" t="s">
        <v>1070</v>
      </c>
      <c r="B1103" s="23">
        <f>'P&amp;L Acumulado'!$G$1</f>
        <v>46053</v>
      </c>
      <c r="C1103" s="23">
        <f>'P&amp;L Acumulado'!$I$1</f>
        <v>46112</v>
      </c>
      <c r="D1103" s="23">
        <f>'P&amp;L Acumulado'!$I$1</f>
        <v>46112</v>
      </c>
      <c r="E1103" t="str">
        <f>TEXT('P&amp;L Acumulado'!$G$1,"mmm/yyyy")&amp;" a "&amp;TEXT('P&amp;L Acumulado'!$I$1,"mmm/yyyy")</f>
        <v>jan/yyyy a mar/yyyy</v>
      </c>
      <c r="F1103" t="s">
        <v>52</v>
      </c>
      <c r="G1103" t="s">
        <v>96</v>
      </c>
      <c r="H1103" t="s">
        <v>5</v>
      </c>
      <c r="I1103" s="429">
        <f>'P&amp;L Acumulado'!L50</f>
        <v>1949875787.8250003</v>
      </c>
      <c r="J1103" t="s">
        <v>1071</v>
      </c>
      <c r="K1103" t="s">
        <v>989</v>
      </c>
      <c r="L1103">
        <v>50</v>
      </c>
    </row>
    <row r="1104" spans="1:12" ht="18" customHeight="1" x14ac:dyDescent="0.25">
      <c r="A1104" t="s">
        <v>1070</v>
      </c>
      <c r="B1104" s="23">
        <f>'P&amp;L Acumulado'!$G$1</f>
        <v>46053</v>
      </c>
      <c r="C1104" s="23">
        <f>'P&amp;L Acumulado'!$I$1</f>
        <v>46112</v>
      </c>
      <c r="D1104" s="23">
        <f>'P&amp;L Acumulado'!$I$1</f>
        <v>46112</v>
      </c>
      <c r="E1104" t="str">
        <f>TEXT('P&amp;L Acumulado'!$G$1,"mmm/yyyy")&amp;" a "&amp;TEXT('P&amp;L Acumulado'!$I$1,"mmm/yyyy")</f>
        <v>jan/yyyy a mar/yyyy</v>
      </c>
      <c r="F1104" t="s">
        <v>52</v>
      </c>
      <c r="G1104" t="s">
        <v>96</v>
      </c>
      <c r="H1104" t="s">
        <v>6</v>
      </c>
      <c r="I1104" s="429">
        <f>'P&amp;L Acumulado'!M50</f>
        <v>1912545514.3694825</v>
      </c>
      <c r="J1104" t="s">
        <v>1071</v>
      </c>
      <c r="K1104" t="s">
        <v>1224</v>
      </c>
      <c r="L1104">
        <v>50</v>
      </c>
    </row>
    <row r="1105" spans="1:12" ht="18" customHeight="1" x14ac:dyDescent="0.25">
      <c r="A1105" t="s">
        <v>1070</v>
      </c>
      <c r="B1105" s="23">
        <f>'P&amp;L Acumulado'!$G$1</f>
        <v>46053</v>
      </c>
      <c r="C1105" s="23">
        <f>'P&amp;L Acumulado'!$I$1</f>
        <v>46112</v>
      </c>
      <c r="D1105" s="23">
        <f>'P&amp;L Acumulado'!$I$1</f>
        <v>46112</v>
      </c>
      <c r="E1105" t="str">
        <f>TEXT('P&amp;L Acumulado'!$G$1,"mmm/yyyy")&amp;" a "&amp;TEXT('P&amp;L Acumulado'!$I$1,"mmm/yyyy")</f>
        <v>jan/yyyy a mar/yyyy</v>
      </c>
      <c r="F1105" t="s">
        <v>52</v>
      </c>
      <c r="G1105" t="s">
        <v>96</v>
      </c>
      <c r="H1105" t="s">
        <v>549</v>
      </c>
      <c r="I1105" s="104">
        <f>'P&amp;L Acumulado'!N50</f>
        <v>1.9518632720133988E-2</v>
      </c>
      <c r="J1105" t="s">
        <v>1071</v>
      </c>
      <c r="K1105" t="s">
        <v>1225</v>
      </c>
      <c r="L1105">
        <v>50</v>
      </c>
    </row>
    <row r="1106" spans="1:12" ht="18" customHeight="1" x14ac:dyDescent="0.25">
      <c r="A1106" t="s">
        <v>1070</v>
      </c>
      <c r="B1106" s="23">
        <f>'P&amp;L Acumulado'!$G$1</f>
        <v>46053</v>
      </c>
      <c r="C1106" s="23">
        <f>'P&amp;L Acumulado'!$I$1</f>
        <v>46112</v>
      </c>
      <c r="D1106" s="23">
        <f>'P&amp;L Acumulado'!$I$1</f>
        <v>46112</v>
      </c>
      <c r="E1106" t="str">
        <f>TEXT('P&amp;L Acumulado'!$G$1,"mmm/yyyy")&amp;" a "&amp;TEXT('P&amp;L Acumulado'!$I$1,"mmm/yyyy")</f>
        <v>jan/yyyy a mar/yyyy</v>
      </c>
      <c r="F1106" t="s">
        <v>52</v>
      </c>
      <c r="G1106" t="s">
        <v>96</v>
      </c>
      <c r="H1106" t="s">
        <v>557</v>
      </c>
      <c r="I1106" s="429">
        <f>'P&amp;L Acumulado'!O50</f>
        <v>-37330273.455517769</v>
      </c>
      <c r="J1106" t="s">
        <v>1071</v>
      </c>
      <c r="K1106" t="s">
        <v>1226</v>
      </c>
      <c r="L1106">
        <v>50</v>
      </c>
    </row>
    <row r="1107" spans="1:12" ht="18" customHeight="1" x14ac:dyDescent="0.25">
      <c r="A1107" t="s">
        <v>1070</v>
      </c>
      <c r="B1107" s="23">
        <f>'P&amp;L Acumulado'!$G$1</f>
        <v>46053</v>
      </c>
      <c r="C1107" s="23">
        <f>'P&amp;L Acumulado'!$I$1</f>
        <v>46112</v>
      </c>
      <c r="D1107" s="23">
        <f>'P&amp;L Acumulado'!$I$1</f>
        <v>46112</v>
      </c>
      <c r="E1107" t="str">
        <f>TEXT('P&amp;L Acumulado'!$G$1,"mmm/yyyy")&amp;" a "&amp;TEXT('P&amp;L Acumulado'!$I$1,"mmm/yyyy")</f>
        <v>jan/yyyy a mar/yyyy</v>
      </c>
      <c r="F1107" t="s">
        <v>53</v>
      </c>
      <c r="G1107" t="s">
        <v>252</v>
      </c>
      <c r="H1107" t="s">
        <v>5</v>
      </c>
      <c r="I1107" s="429">
        <f>'P&amp;L Acumulado'!C52</f>
        <v>1.9026331842685359E-2</v>
      </c>
      <c r="J1107" t="s">
        <v>1071</v>
      </c>
      <c r="K1107" t="s">
        <v>990</v>
      </c>
      <c r="L1107">
        <v>52</v>
      </c>
    </row>
    <row r="1108" spans="1:12" ht="18" customHeight="1" x14ac:dyDescent="0.25">
      <c r="A1108" t="s">
        <v>1070</v>
      </c>
      <c r="B1108" s="23">
        <f>'P&amp;L Acumulado'!$G$1</f>
        <v>46053</v>
      </c>
      <c r="C1108" s="23">
        <f>'P&amp;L Acumulado'!$I$1</f>
        <v>46112</v>
      </c>
      <c r="D1108" s="23">
        <f>'P&amp;L Acumulado'!$I$1</f>
        <v>46112</v>
      </c>
      <c r="E1108" t="str">
        <f>TEXT('P&amp;L Acumulado'!$G$1,"mmm/yyyy")&amp;" a "&amp;TEXT('P&amp;L Acumulado'!$I$1,"mmm/yyyy")</f>
        <v>jan/yyyy a mar/yyyy</v>
      </c>
      <c r="F1108" t="s">
        <v>53</v>
      </c>
      <c r="G1108" t="s">
        <v>252</v>
      </c>
      <c r="H1108" t="s">
        <v>6</v>
      </c>
      <c r="I1108" s="429">
        <f>'P&amp;L Acumulado'!D52</f>
        <v>1.8722930033500899E-2</v>
      </c>
      <c r="J1108" t="s">
        <v>1071</v>
      </c>
      <c r="K1108" t="s">
        <v>991</v>
      </c>
      <c r="L1108">
        <v>52</v>
      </c>
    </row>
    <row r="1109" spans="1:12" ht="18" customHeight="1" x14ac:dyDescent="0.25">
      <c r="A1109" t="s">
        <v>1070</v>
      </c>
      <c r="B1109" s="23">
        <f>'P&amp;L Acumulado'!$G$1</f>
        <v>46053</v>
      </c>
      <c r="C1109" s="23">
        <f>'P&amp;L Acumulado'!$I$1</f>
        <v>46112</v>
      </c>
      <c r="D1109" s="23">
        <f>'P&amp;L Acumulado'!$I$1</f>
        <v>46112</v>
      </c>
      <c r="E1109" t="str">
        <f>TEXT('P&amp;L Acumulado'!$G$1,"mmm/yyyy")&amp;" a "&amp;TEXT('P&amp;L Acumulado'!$I$1,"mmm/yyyy")</f>
        <v>jan/yyyy a mar/yyyy</v>
      </c>
      <c r="F1109" t="s">
        <v>53</v>
      </c>
      <c r="G1109" t="s">
        <v>252</v>
      </c>
      <c r="H1109" t="s">
        <v>549</v>
      </c>
      <c r="I1109" s="104">
        <f>'P&amp;L Acumulado'!E52</f>
        <v>1.6204825240578421E-2</v>
      </c>
      <c r="J1109" t="s">
        <v>1071</v>
      </c>
      <c r="K1109" t="s">
        <v>992</v>
      </c>
      <c r="L1109">
        <v>52</v>
      </c>
    </row>
    <row r="1110" spans="1:12" ht="18" customHeight="1" x14ac:dyDescent="0.25">
      <c r="A1110" t="s">
        <v>1070</v>
      </c>
      <c r="B1110" s="23">
        <f>'P&amp;L Acumulado'!$G$1</f>
        <v>46053</v>
      </c>
      <c r="C1110" s="23">
        <f>'P&amp;L Acumulado'!$I$1</f>
        <v>46112</v>
      </c>
      <c r="D1110" s="23">
        <f>'P&amp;L Acumulado'!$I$1</f>
        <v>46112</v>
      </c>
      <c r="E1110" t="str">
        <f>TEXT('P&amp;L Acumulado'!$G$1,"mmm/yyyy")&amp;" a "&amp;TEXT('P&amp;L Acumulado'!$I$1,"mmm/yyyy")</f>
        <v>jan/yyyy a mar/yyyy</v>
      </c>
      <c r="F1110" t="s">
        <v>53</v>
      </c>
      <c r="G1110" t="s">
        <v>205</v>
      </c>
      <c r="H1110" t="s">
        <v>5</v>
      </c>
      <c r="I1110" s="429">
        <f>'P&amp;L Acumulado'!F52</f>
        <v>0</v>
      </c>
      <c r="J1110" t="s">
        <v>1071</v>
      </c>
      <c r="K1110" t="s">
        <v>993</v>
      </c>
      <c r="L1110">
        <v>52</v>
      </c>
    </row>
    <row r="1111" spans="1:12" ht="18" customHeight="1" x14ac:dyDescent="0.25">
      <c r="A1111" t="s">
        <v>1070</v>
      </c>
      <c r="B1111" s="23">
        <f>'P&amp;L Acumulado'!$G$1</f>
        <v>46053</v>
      </c>
      <c r="C1111" s="23">
        <f>'P&amp;L Acumulado'!$I$1</f>
        <v>46112</v>
      </c>
      <c r="D1111" s="23">
        <f>'P&amp;L Acumulado'!$I$1</f>
        <v>46112</v>
      </c>
      <c r="E1111" t="str">
        <f>TEXT('P&amp;L Acumulado'!$G$1,"mmm/yyyy")&amp;" a "&amp;TEXT('P&amp;L Acumulado'!$I$1,"mmm/yyyy")</f>
        <v>jan/yyyy a mar/yyyy</v>
      </c>
      <c r="F1111" t="s">
        <v>53</v>
      </c>
      <c r="G1111" t="s">
        <v>205</v>
      </c>
      <c r="H1111" t="s">
        <v>6</v>
      </c>
      <c r="I1111" s="429">
        <f>'P&amp;L Acumulado'!G52</f>
        <v>0</v>
      </c>
      <c r="J1111" t="s">
        <v>1071</v>
      </c>
      <c r="K1111" t="s">
        <v>994</v>
      </c>
      <c r="L1111">
        <v>52</v>
      </c>
    </row>
    <row r="1112" spans="1:12" ht="18" customHeight="1" x14ac:dyDescent="0.25">
      <c r="A1112" t="s">
        <v>1070</v>
      </c>
      <c r="B1112" s="23">
        <f>'P&amp;L Acumulado'!$G$1</f>
        <v>46053</v>
      </c>
      <c r="C1112" s="23">
        <f>'P&amp;L Acumulado'!$I$1</f>
        <v>46112</v>
      </c>
      <c r="D1112" s="23">
        <f>'P&amp;L Acumulado'!$I$1</f>
        <v>46112</v>
      </c>
      <c r="E1112" t="str">
        <f>TEXT('P&amp;L Acumulado'!$G$1,"mmm/yyyy")&amp;" a "&amp;TEXT('P&amp;L Acumulado'!$I$1,"mmm/yyyy")</f>
        <v>jan/yyyy a mar/yyyy</v>
      </c>
      <c r="F1112" t="s">
        <v>53</v>
      </c>
      <c r="G1112" t="s">
        <v>205</v>
      </c>
      <c r="H1112" t="s">
        <v>549</v>
      </c>
      <c r="I1112" s="104">
        <f>'P&amp;L Acumulado'!H52</f>
        <v>0</v>
      </c>
      <c r="J1112" t="s">
        <v>1071</v>
      </c>
      <c r="K1112" t="s">
        <v>995</v>
      </c>
      <c r="L1112">
        <v>52</v>
      </c>
    </row>
    <row r="1113" spans="1:12" ht="18" customHeight="1" x14ac:dyDescent="0.25">
      <c r="A1113" t="s">
        <v>1070</v>
      </c>
      <c r="B1113" s="23">
        <f>'P&amp;L Acumulado'!$G$1</f>
        <v>46053</v>
      </c>
      <c r="C1113" s="23">
        <f>'P&amp;L Acumulado'!$I$1</f>
        <v>46112</v>
      </c>
      <c r="D1113" s="23">
        <f>'P&amp;L Acumulado'!$I$1</f>
        <v>46112</v>
      </c>
      <c r="E1113" t="str">
        <f>TEXT('P&amp;L Acumulado'!$G$1,"mmm/yyyy")&amp;" a "&amp;TEXT('P&amp;L Acumulado'!$I$1,"mmm/yyyy")</f>
        <v>jan/yyyy a mar/yyyy</v>
      </c>
      <c r="F1113" t="s">
        <v>53</v>
      </c>
      <c r="G1113" t="s">
        <v>220</v>
      </c>
      <c r="H1113" t="s">
        <v>5</v>
      </c>
      <c r="I1113" s="429">
        <f>'P&amp;L Acumulado'!I52</f>
        <v>0</v>
      </c>
      <c r="J1113" t="s">
        <v>1071</v>
      </c>
      <c r="K1113" t="s">
        <v>996</v>
      </c>
      <c r="L1113">
        <v>52</v>
      </c>
    </row>
    <row r="1114" spans="1:12" ht="18" customHeight="1" x14ac:dyDescent="0.25">
      <c r="A1114" t="s">
        <v>1070</v>
      </c>
      <c r="B1114" s="23">
        <f>'P&amp;L Acumulado'!$G$1</f>
        <v>46053</v>
      </c>
      <c r="C1114" s="23">
        <f>'P&amp;L Acumulado'!$I$1</f>
        <v>46112</v>
      </c>
      <c r="D1114" s="23">
        <f>'P&amp;L Acumulado'!$I$1</f>
        <v>46112</v>
      </c>
      <c r="E1114" t="str">
        <f>TEXT('P&amp;L Acumulado'!$G$1,"mmm/yyyy")&amp;" a "&amp;TEXT('P&amp;L Acumulado'!$I$1,"mmm/yyyy")</f>
        <v>jan/yyyy a mar/yyyy</v>
      </c>
      <c r="F1114" t="s">
        <v>53</v>
      </c>
      <c r="G1114" t="s">
        <v>220</v>
      </c>
      <c r="H1114" t="s">
        <v>6</v>
      </c>
      <c r="I1114" s="429">
        <f>'P&amp;L Acumulado'!J52</f>
        <v>0</v>
      </c>
      <c r="J1114" t="s">
        <v>1071</v>
      </c>
      <c r="K1114" t="s">
        <v>997</v>
      </c>
      <c r="L1114">
        <v>52</v>
      </c>
    </row>
    <row r="1115" spans="1:12" ht="18" customHeight="1" x14ac:dyDescent="0.25">
      <c r="A1115" t="s">
        <v>1070</v>
      </c>
      <c r="B1115" s="23">
        <f>'P&amp;L Acumulado'!$G$1</f>
        <v>46053</v>
      </c>
      <c r="C1115" s="23">
        <f>'P&amp;L Acumulado'!$I$1</f>
        <v>46112</v>
      </c>
      <c r="D1115" s="23">
        <f>'P&amp;L Acumulado'!$I$1</f>
        <v>46112</v>
      </c>
      <c r="E1115" t="str">
        <f>TEXT('P&amp;L Acumulado'!$G$1,"mmm/yyyy")&amp;" a "&amp;TEXT('P&amp;L Acumulado'!$I$1,"mmm/yyyy")</f>
        <v>jan/yyyy a mar/yyyy</v>
      </c>
      <c r="F1115" t="s">
        <v>53</v>
      </c>
      <c r="G1115" t="s">
        <v>220</v>
      </c>
      <c r="H1115" t="s">
        <v>549</v>
      </c>
      <c r="I1115" s="104">
        <f>'P&amp;L Acumulado'!K52</f>
        <v>0</v>
      </c>
      <c r="J1115" t="s">
        <v>1071</v>
      </c>
      <c r="K1115" t="s">
        <v>998</v>
      </c>
      <c r="L1115">
        <v>52</v>
      </c>
    </row>
    <row r="1116" spans="1:12" ht="18" customHeight="1" x14ac:dyDescent="0.25">
      <c r="A1116" t="s">
        <v>1070</v>
      </c>
      <c r="B1116" s="23">
        <f>'P&amp;L Acumulado'!$G$1</f>
        <v>46053</v>
      </c>
      <c r="C1116" s="23">
        <f>'P&amp;L Acumulado'!$I$1</f>
        <v>46112</v>
      </c>
      <c r="D1116" s="23">
        <f>'P&amp;L Acumulado'!$I$1</f>
        <v>46112</v>
      </c>
      <c r="E1116" t="str">
        <f>TEXT('P&amp;L Acumulado'!$G$1,"mmm/yyyy")&amp;" a "&amp;TEXT('P&amp;L Acumulado'!$I$1,"mmm/yyyy")</f>
        <v>jan/yyyy a mar/yyyy</v>
      </c>
      <c r="F1116" t="s">
        <v>53</v>
      </c>
      <c r="G1116" t="s">
        <v>96</v>
      </c>
      <c r="H1116" t="s">
        <v>5</v>
      </c>
      <c r="I1116" s="429">
        <f>'P&amp;L Acumulado'!L52</f>
        <v>0</v>
      </c>
      <c r="J1116" t="s">
        <v>1071</v>
      </c>
      <c r="K1116" t="s">
        <v>999</v>
      </c>
      <c r="L1116">
        <v>52</v>
      </c>
    </row>
    <row r="1117" spans="1:12" ht="18" customHeight="1" x14ac:dyDescent="0.25">
      <c r="A1117" t="s">
        <v>1070</v>
      </c>
      <c r="B1117" s="23">
        <f>'P&amp;L Acumulado'!$G$1</f>
        <v>46053</v>
      </c>
      <c r="C1117" s="23">
        <f>'P&amp;L Acumulado'!$I$1</f>
        <v>46112</v>
      </c>
      <c r="D1117" s="23">
        <f>'P&amp;L Acumulado'!$I$1</f>
        <v>46112</v>
      </c>
      <c r="E1117" t="str">
        <f>TEXT('P&amp;L Acumulado'!$G$1,"mmm/yyyy")&amp;" a "&amp;TEXT('P&amp;L Acumulado'!$I$1,"mmm/yyyy")</f>
        <v>jan/yyyy a mar/yyyy</v>
      </c>
      <c r="F1117" t="s">
        <v>53</v>
      </c>
      <c r="G1117" t="s">
        <v>96</v>
      </c>
      <c r="H1117" t="s">
        <v>6</v>
      </c>
      <c r="I1117" s="429">
        <f>'P&amp;L Acumulado'!M52</f>
        <v>0</v>
      </c>
      <c r="J1117" t="s">
        <v>1071</v>
      </c>
      <c r="K1117" t="s">
        <v>1227</v>
      </c>
      <c r="L1117">
        <v>52</v>
      </c>
    </row>
    <row r="1118" spans="1:12" ht="18" customHeight="1" x14ac:dyDescent="0.25">
      <c r="A1118" t="s">
        <v>1070</v>
      </c>
      <c r="B1118" s="23">
        <f>'P&amp;L Acumulado'!$G$1</f>
        <v>46053</v>
      </c>
      <c r="C1118" s="23">
        <f>'P&amp;L Acumulado'!$I$1</f>
        <v>46112</v>
      </c>
      <c r="D1118" s="23">
        <f>'P&amp;L Acumulado'!$I$1</f>
        <v>46112</v>
      </c>
      <c r="E1118" t="str">
        <f>TEXT('P&amp;L Acumulado'!$G$1,"mmm/yyyy")&amp;" a "&amp;TEXT('P&amp;L Acumulado'!$I$1,"mmm/yyyy")</f>
        <v>jan/yyyy a mar/yyyy</v>
      </c>
      <c r="F1118" t="s">
        <v>53</v>
      </c>
      <c r="G1118" t="s">
        <v>96</v>
      </c>
      <c r="H1118" t="s">
        <v>549</v>
      </c>
      <c r="I1118" s="104">
        <f>'P&amp;L Acumulado'!N52</f>
        <v>0</v>
      </c>
      <c r="J1118" t="s">
        <v>1071</v>
      </c>
      <c r="K1118" t="s">
        <v>1228</v>
      </c>
      <c r="L1118">
        <v>52</v>
      </c>
    </row>
    <row r="1119" spans="1:12" ht="18" customHeight="1" x14ac:dyDescent="0.25">
      <c r="A1119" t="s">
        <v>1070</v>
      </c>
      <c r="B1119" s="23">
        <f>'P&amp;L Acumulado'!$G$1</f>
        <v>46053</v>
      </c>
      <c r="C1119" s="23">
        <f>'P&amp;L Acumulado'!$I$1</f>
        <v>46112</v>
      </c>
      <c r="D1119" s="23">
        <f>'P&amp;L Acumulado'!$I$1</f>
        <v>46112</v>
      </c>
      <c r="E1119" t="str">
        <f>TEXT('P&amp;L Acumulado'!$G$1,"mmm/yyyy")&amp;" a "&amp;TEXT('P&amp;L Acumulado'!$I$1,"mmm/yyyy")</f>
        <v>jan/yyyy a mar/yyyy</v>
      </c>
      <c r="F1119" t="s">
        <v>53</v>
      </c>
      <c r="G1119" t="s">
        <v>96</v>
      </c>
      <c r="H1119" t="s">
        <v>557</v>
      </c>
      <c r="I1119" s="429">
        <f>'P&amp;L Acumulado'!O52</f>
        <v>0</v>
      </c>
      <c r="J1119" t="s">
        <v>1071</v>
      </c>
      <c r="K1119" t="s">
        <v>1229</v>
      </c>
      <c r="L1119">
        <v>52</v>
      </c>
    </row>
    <row r="1120" spans="1:12" ht="18" customHeight="1" x14ac:dyDescent="0.25">
      <c r="A1120" t="s">
        <v>1070</v>
      </c>
      <c r="B1120" s="23">
        <f>'P&amp;L Acumulado'!$G$1</f>
        <v>46053</v>
      </c>
      <c r="C1120" s="23">
        <f>'P&amp;L Acumulado'!$I$1</f>
        <v>46112</v>
      </c>
      <c r="D1120" s="23">
        <f>'P&amp;L Acumulado'!$I$1</f>
        <v>46112</v>
      </c>
      <c r="E1120" t="str">
        <f>TEXT('P&amp;L Acumulado'!$G$1,"mmm/yyyy")&amp;" a "&amp;TEXT('P&amp;L Acumulado'!$I$1,"mmm/yyyy")</f>
        <v>jan/yyyy a mar/yyyy</v>
      </c>
      <c r="F1120" t="s">
        <v>54</v>
      </c>
      <c r="G1120" t="s">
        <v>252</v>
      </c>
      <c r="H1120" t="s">
        <v>5</v>
      </c>
      <c r="I1120" s="429">
        <f>'P&amp;L Acumulado'!C53</f>
        <v>1.913468625214057E-2</v>
      </c>
      <c r="J1120" t="s">
        <v>1071</v>
      </c>
      <c r="K1120" t="s">
        <v>1000</v>
      </c>
      <c r="L1120">
        <v>53</v>
      </c>
    </row>
    <row r="1121" spans="1:12" ht="18" customHeight="1" x14ac:dyDescent="0.25">
      <c r="A1121" t="s">
        <v>1070</v>
      </c>
      <c r="B1121" s="23">
        <f>'P&amp;L Acumulado'!$G$1</f>
        <v>46053</v>
      </c>
      <c r="C1121" s="23">
        <f>'P&amp;L Acumulado'!$I$1</f>
        <v>46112</v>
      </c>
      <c r="D1121" s="23">
        <f>'P&amp;L Acumulado'!$I$1</f>
        <v>46112</v>
      </c>
      <c r="E1121" t="str">
        <f>TEXT('P&amp;L Acumulado'!$G$1,"mmm/yyyy")&amp;" a "&amp;TEXT('P&amp;L Acumulado'!$I$1,"mmm/yyyy")</f>
        <v>jan/yyyy a mar/yyyy</v>
      </c>
      <c r="F1121" t="s">
        <v>54</v>
      </c>
      <c r="G1121" t="s">
        <v>252</v>
      </c>
      <c r="H1121" t="s">
        <v>6</v>
      </c>
      <c r="I1121" s="429">
        <f>'P&amp;L Acumulado'!D53</f>
        <v>1.8785389948185072E-2</v>
      </c>
      <c r="J1121" t="s">
        <v>1071</v>
      </c>
      <c r="K1121" t="s">
        <v>1001</v>
      </c>
      <c r="L1121">
        <v>53</v>
      </c>
    </row>
    <row r="1122" spans="1:12" ht="18" customHeight="1" x14ac:dyDescent="0.25">
      <c r="A1122" t="s">
        <v>1070</v>
      </c>
      <c r="B1122" s="23">
        <f>'P&amp;L Acumulado'!$G$1</f>
        <v>46053</v>
      </c>
      <c r="C1122" s="23">
        <f>'P&amp;L Acumulado'!$I$1</f>
        <v>46112</v>
      </c>
      <c r="D1122" s="23">
        <f>'P&amp;L Acumulado'!$I$1</f>
        <v>46112</v>
      </c>
      <c r="E1122" t="str">
        <f>TEXT('P&amp;L Acumulado'!$G$1,"mmm/yyyy")&amp;" a "&amp;TEXT('P&amp;L Acumulado'!$I$1,"mmm/yyyy")</f>
        <v>jan/yyyy a mar/yyyy</v>
      </c>
      <c r="F1122" t="s">
        <v>54</v>
      </c>
      <c r="G1122" t="s">
        <v>252</v>
      </c>
      <c r="H1122" t="s">
        <v>549</v>
      </c>
      <c r="I1122" s="104">
        <f>'P&amp;L Acumulado'!E53</f>
        <v>1.8594040630455441E-2</v>
      </c>
      <c r="J1122" t="s">
        <v>1071</v>
      </c>
      <c r="K1122" t="s">
        <v>1002</v>
      </c>
      <c r="L1122">
        <v>53</v>
      </c>
    </row>
    <row r="1123" spans="1:12" ht="18" customHeight="1" x14ac:dyDescent="0.25">
      <c r="A1123" t="s">
        <v>1070</v>
      </c>
      <c r="B1123" s="23">
        <f>'P&amp;L Acumulado'!$G$1</f>
        <v>46053</v>
      </c>
      <c r="C1123" s="23">
        <f>'P&amp;L Acumulado'!$I$1</f>
        <v>46112</v>
      </c>
      <c r="D1123" s="23">
        <f>'P&amp;L Acumulado'!$I$1</f>
        <v>46112</v>
      </c>
      <c r="E1123" t="str">
        <f>TEXT('P&amp;L Acumulado'!$G$1,"mmm/yyyy")&amp;" a "&amp;TEXT('P&amp;L Acumulado'!$I$1,"mmm/yyyy")</f>
        <v>jan/yyyy a mar/yyyy</v>
      </c>
      <c r="F1123" t="s">
        <v>54</v>
      </c>
      <c r="G1123" t="s">
        <v>205</v>
      </c>
      <c r="H1123" t="s">
        <v>5</v>
      </c>
      <c r="I1123" s="429">
        <f>'P&amp;L Acumulado'!F53</f>
        <v>0</v>
      </c>
      <c r="J1123" t="s">
        <v>1071</v>
      </c>
      <c r="K1123" t="s">
        <v>1003</v>
      </c>
      <c r="L1123">
        <v>53</v>
      </c>
    </row>
    <row r="1124" spans="1:12" ht="18" customHeight="1" x14ac:dyDescent="0.25">
      <c r="A1124" t="s">
        <v>1070</v>
      </c>
      <c r="B1124" s="23">
        <f>'P&amp;L Acumulado'!$G$1</f>
        <v>46053</v>
      </c>
      <c r="C1124" s="23">
        <f>'P&amp;L Acumulado'!$I$1</f>
        <v>46112</v>
      </c>
      <c r="D1124" s="23">
        <f>'P&amp;L Acumulado'!$I$1</f>
        <v>46112</v>
      </c>
      <c r="E1124" t="str">
        <f>TEXT('P&amp;L Acumulado'!$G$1,"mmm/yyyy")&amp;" a "&amp;TEXT('P&amp;L Acumulado'!$I$1,"mmm/yyyy")</f>
        <v>jan/yyyy a mar/yyyy</v>
      </c>
      <c r="F1124" t="s">
        <v>54</v>
      </c>
      <c r="G1124" t="s">
        <v>205</v>
      </c>
      <c r="H1124" t="s">
        <v>6</v>
      </c>
      <c r="I1124" s="429">
        <f>'P&amp;L Acumulado'!G53</f>
        <v>0</v>
      </c>
      <c r="J1124" t="s">
        <v>1071</v>
      </c>
      <c r="K1124" t="s">
        <v>1004</v>
      </c>
      <c r="L1124">
        <v>53</v>
      </c>
    </row>
    <row r="1125" spans="1:12" ht="18" customHeight="1" x14ac:dyDescent="0.25">
      <c r="A1125" t="s">
        <v>1070</v>
      </c>
      <c r="B1125" s="23">
        <f>'P&amp;L Acumulado'!$G$1</f>
        <v>46053</v>
      </c>
      <c r="C1125" s="23">
        <f>'P&amp;L Acumulado'!$I$1</f>
        <v>46112</v>
      </c>
      <c r="D1125" s="23">
        <f>'P&amp;L Acumulado'!$I$1</f>
        <v>46112</v>
      </c>
      <c r="E1125" t="str">
        <f>TEXT('P&amp;L Acumulado'!$G$1,"mmm/yyyy")&amp;" a "&amp;TEXT('P&amp;L Acumulado'!$I$1,"mmm/yyyy")</f>
        <v>jan/yyyy a mar/yyyy</v>
      </c>
      <c r="F1125" t="s">
        <v>54</v>
      </c>
      <c r="G1125" t="s">
        <v>205</v>
      </c>
      <c r="H1125" t="s">
        <v>549</v>
      </c>
      <c r="I1125" s="104">
        <f>'P&amp;L Acumulado'!H53</f>
        <v>0</v>
      </c>
      <c r="J1125" t="s">
        <v>1071</v>
      </c>
      <c r="K1125" t="s">
        <v>1005</v>
      </c>
      <c r="L1125">
        <v>53</v>
      </c>
    </row>
    <row r="1126" spans="1:12" ht="18" customHeight="1" x14ac:dyDescent="0.25">
      <c r="A1126" t="s">
        <v>1070</v>
      </c>
      <c r="B1126" s="23">
        <f>'P&amp;L Acumulado'!$G$1</f>
        <v>46053</v>
      </c>
      <c r="C1126" s="23">
        <f>'P&amp;L Acumulado'!$I$1</f>
        <v>46112</v>
      </c>
      <c r="D1126" s="23">
        <f>'P&amp;L Acumulado'!$I$1</f>
        <v>46112</v>
      </c>
      <c r="E1126" t="str">
        <f>TEXT('P&amp;L Acumulado'!$G$1,"mmm/yyyy")&amp;" a "&amp;TEXT('P&amp;L Acumulado'!$I$1,"mmm/yyyy")</f>
        <v>jan/yyyy a mar/yyyy</v>
      </c>
      <c r="F1126" t="s">
        <v>54</v>
      </c>
      <c r="G1126" t="s">
        <v>220</v>
      </c>
      <c r="H1126" t="s">
        <v>5</v>
      </c>
      <c r="I1126" s="429">
        <f>'P&amp;L Acumulado'!I53</f>
        <v>0</v>
      </c>
      <c r="J1126" t="s">
        <v>1071</v>
      </c>
      <c r="K1126" t="s">
        <v>1006</v>
      </c>
      <c r="L1126">
        <v>53</v>
      </c>
    </row>
    <row r="1127" spans="1:12" ht="18" customHeight="1" x14ac:dyDescent="0.25">
      <c r="A1127" t="s">
        <v>1070</v>
      </c>
      <c r="B1127" s="23">
        <f>'P&amp;L Acumulado'!$G$1</f>
        <v>46053</v>
      </c>
      <c r="C1127" s="23">
        <f>'P&amp;L Acumulado'!$I$1</f>
        <v>46112</v>
      </c>
      <c r="D1127" s="23">
        <f>'P&amp;L Acumulado'!$I$1</f>
        <v>46112</v>
      </c>
      <c r="E1127" t="str">
        <f>TEXT('P&amp;L Acumulado'!$G$1,"mmm/yyyy")&amp;" a "&amp;TEXT('P&amp;L Acumulado'!$I$1,"mmm/yyyy")</f>
        <v>jan/yyyy a mar/yyyy</v>
      </c>
      <c r="F1127" t="s">
        <v>54</v>
      </c>
      <c r="G1127" t="s">
        <v>220</v>
      </c>
      <c r="H1127" t="s">
        <v>6</v>
      </c>
      <c r="I1127" s="429">
        <f>'P&amp;L Acumulado'!J53</f>
        <v>0</v>
      </c>
      <c r="J1127" t="s">
        <v>1071</v>
      </c>
      <c r="K1127" t="s">
        <v>1007</v>
      </c>
      <c r="L1127">
        <v>53</v>
      </c>
    </row>
    <row r="1128" spans="1:12" ht="18" customHeight="1" x14ac:dyDescent="0.25">
      <c r="A1128" t="s">
        <v>1070</v>
      </c>
      <c r="B1128" s="23">
        <f>'P&amp;L Acumulado'!$G$1</f>
        <v>46053</v>
      </c>
      <c r="C1128" s="23">
        <f>'P&amp;L Acumulado'!$I$1</f>
        <v>46112</v>
      </c>
      <c r="D1128" s="23">
        <f>'P&amp;L Acumulado'!$I$1</f>
        <v>46112</v>
      </c>
      <c r="E1128" t="str">
        <f>TEXT('P&amp;L Acumulado'!$G$1,"mmm/yyyy")&amp;" a "&amp;TEXT('P&amp;L Acumulado'!$I$1,"mmm/yyyy")</f>
        <v>jan/yyyy a mar/yyyy</v>
      </c>
      <c r="F1128" t="s">
        <v>54</v>
      </c>
      <c r="G1128" t="s">
        <v>220</v>
      </c>
      <c r="H1128" t="s">
        <v>549</v>
      </c>
      <c r="I1128" s="104">
        <f>'P&amp;L Acumulado'!K53</f>
        <v>0</v>
      </c>
      <c r="J1128" t="s">
        <v>1071</v>
      </c>
      <c r="K1128" t="s">
        <v>1008</v>
      </c>
      <c r="L1128">
        <v>53</v>
      </c>
    </row>
    <row r="1129" spans="1:12" ht="18" customHeight="1" x14ac:dyDescent="0.25">
      <c r="A1129" t="s">
        <v>1070</v>
      </c>
      <c r="B1129" s="23">
        <f>'P&amp;L Acumulado'!$G$1</f>
        <v>46053</v>
      </c>
      <c r="C1129" s="23">
        <f>'P&amp;L Acumulado'!$I$1</f>
        <v>46112</v>
      </c>
      <c r="D1129" s="23">
        <f>'P&amp;L Acumulado'!$I$1</f>
        <v>46112</v>
      </c>
      <c r="E1129" t="str">
        <f>TEXT('P&amp;L Acumulado'!$G$1,"mmm/yyyy")&amp;" a "&amp;TEXT('P&amp;L Acumulado'!$I$1,"mmm/yyyy")</f>
        <v>jan/yyyy a mar/yyyy</v>
      </c>
      <c r="F1129" t="s">
        <v>54</v>
      </c>
      <c r="G1129" t="s">
        <v>96</v>
      </c>
      <c r="H1129" t="s">
        <v>5</v>
      </c>
      <c r="I1129" s="429">
        <f>'P&amp;L Acumulado'!L53</f>
        <v>0</v>
      </c>
      <c r="J1129" t="s">
        <v>1071</v>
      </c>
      <c r="K1129" t="s">
        <v>1009</v>
      </c>
      <c r="L1129">
        <v>53</v>
      </c>
    </row>
    <row r="1130" spans="1:12" ht="18" customHeight="1" x14ac:dyDescent="0.25">
      <c r="A1130" t="s">
        <v>1070</v>
      </c>
      <c r="B1130" s="23">
        <f>'P&amp;L Acumulado'!$G$1</f>
        <v>46053</v>
      </c>
      <c r="C1130" s="23">
        <f>'P&amp;L Acumulado'!$I$1</f>
        <v>46112</v>
      </c>
      <c r="D1130" s="23">
        <f>'P&amp;L Acumulado'!$I$1</f>
        <v>46112</v>
      </c>
      <c r="E1130" t="str">
        <f>TEXT('P&amp;L Acumulado'!$G$1,"mmm/yyyy")&amp;" a "&amp;TEXT('P&amp;L Acumulado'!$I$1,"mmm/yyyy")</f>
        <v>jan/yyyy a mar/yyyy</v>
      </c>
      <c r="F1130" t="s">
        <v>54</v>
      </c>
      <c r="G1130" t="s">
        <v>96</v>
      </c>
      <c r="H1130" t="s">
        <v>6</v>
      </c>
      <c r="I1130" s="429">
        <f>'P&amp;L Acumulado'!M53</f>
        <v>0</v>
      </c>
      <c r="J1130" t="s">
        <v>1071</v>
      </c>
      <c r="K1130" t="s">
        <v>1230</v>
      </c>
      <c r="L1130">
        <v>53</v>
      </c>
    </row>
    <row r="1131" spans="1:12" ht="18" customHeight="1" x14ac:dyDescent="0.25">
      <c r="A1131" t="s">
        <v>1070</v>
      </c>
      <c r="B1131" s="23">
        <f>'P&amp;L Acumulado'!$G$1</f>
        <v>46053</v>
      </c>
      <c r="C1131" s="23">
        <f>'P&amp;L Acumulado'!$I$1</f>
        <v>46112</v>
      </c>
      <c r="D1131" s="23">
        <f>'P&amp;L Acumulado'!$I$1</f>
        <v>46112</v>
      </c>
      <c r="E1131" t="str">
        <f>TEXT('P&amp;L Acumulado'!$G$1,"mmm/yyyy")&amp;" a "&amp;TEXT('P&amp;L Acumulado'!$I$1,"mmm/yyyy")</f>
        <v>jan/yyyy a mar/yyyy</v>
      </c>
      <c r="F1131" t="s">
        <v>54</v>
      </c>
      <c r="G1131" t="s">
        <v>96</v>
      </c>
      <c r="H1131" t="s">
        <v>549</v>
      </c>
      <c r="I1131" s="104">
        <f>'P&amp;L Acumulado'!N53</f>
        <v>0</v>
      </c>
      <c r="J1131" t="s">
        <v>1071</v>
      </c>
      <c r="K1131" t="s">
        <v>1231</v>
      </c>
      <c r="L1131">
        <v>53</v>
      </c>
    </row>
    <row r="1132" spans="1:12" ht="18" customHeight="1" x14ac:dyDescent="0.25">
      <c r="A1132" t="s">
        <v>1070</v>
      </c>
      <c r="B1132" s="23">
        <f>'P&amp;L Acumulado'!$G$1</f>
        <v>46053</v>
      </c>
      <c r="C1132" s="23">
        <f>'P&amp;L Acumulado'!$I$1</f>
        <v>46112</v>
      </c>
      <c r="D1132" s="23">
        <f>'P&amp;L Acumulado'!$I$1</f>
        <v>46112</v>
      </c>
      <c r="E1132" t="str">
        <f>TEXT('P&amp;L Acumulado'!$G$1,"mmm/yyyy")&amp;" a "&amp;TEXT('P&amp;L Acumulado'!$I$1,"mmm/yyyy")</f>
        <v>jan/yyyy a mar/yyyy</v>
      </c>
      <c r="F1132" t="s">
        <v>54</v>
      </c>
      <c r="G1132" t="s">
        <v>96</v>
      </c>
      <c r="H1132" t="s">
        <v>557</v>
      </c>
      <c r="I1132" s="429">
        <f>'P&amp;L Acumulado'!O53</f>
        <v>0</v>
      </c>
      <c r="J1132" t="s">
        <v>1071</v>
      </c>
      <c r="K1132" t="s">
        <v>1232</v>
      </c>
      <c r="L1132">
        <v>53</v>
      </c>
    </row>
    <row r="1133" spans="1:12" ht="18" customHeight="1" x14ac:dyDescent="0.25">
      <c r="A1133" t="s">
        <v>1070</v>
      </c>
      <c r="B1133" s="23">
        <f>'P&amp;L Acumulado'!$G$1</f>
        <v>46053</v>
      </c>
      <c r="C1133" s="23">
        <f>'P&amp;L Acumulado'!$I$1</f>
        <v>46112</v>
      </c>
      <c r="D1133" s="23">
        <f>'P&amp;L Acumulado'!$I$1</f>
        <v>46112</v>
      </c>
      <c r="E1133" t="str">
        <f>TEXT('P&amp;L Acumulado'!$G$1,"mmm/yyyy")&amp;" a "&amp;TEXT('P&amp;L Acumulado'!$I$1,"mmm/yyyy")</f>
        <v>jan/yyyy a mar/yyyy</v>
      </c>
      <c r="F1133" t="s">
        <v>55</v>
      </c>
      <c r="G1133" t="s">
        <v>252</v>
      </c>
      <c r="H1133" t="s">
        <v>5</v>
      </c>
      <c r="I1133" s="429">
        <f>'P&amp;L Acumulado'!C55</f>
        <v>0.21616784330954689</v>
      </c>
      <c r="J1133" t="s">
        <v>1071</v>
      </c>
      <c r="K1133" t="s">
        <v>1010</v>
      </c>
      <c r="L1133">
        <v>55</v>
      </c>
    </row>
    <row r="1134" spans="1:12" ht="18" customHeight="1" x14ac:dyDescent="0.25">
      <c r="A1134" t="s">
        <v>1070</v>
      </c>
      <c r="B1134" s="23">
        <f>'P&amp;L Acumulado'!$G$1</f>
        <v>46053</v>
      </c>
      <c r="C1134" s="23">
        <f>'P&amp;L Acumulado'!$I$1</f>
        <v>46112</v>
      </c>
      <c r="D1134" s="23">
        <f>'P&amp;L Acumulado'!$I$1</f>
        <v>46112</v>
      </c>
      <c r="E1134" t="str">
        <f>TEXT('P&amp;L Acumulado'!$G$1,"mmm/yyyy")&amp;" a "&amp;TEXT('P&amp;L Acumulado'!$I$1,"mmm/yyyy")</f>
        <v>jan/yyyy a mar/yyyy</v>
      </c>
      <c r="F1134" t="s">
        <v>55</v>
      </c>
      <c r="G1134" t="s">
        <v>252</v>
      </c>
      <c r="H1134" t="s">
        <v>6</v>
      </c>
      <c r="I1134" s="429">
        <f>'P&amp;L Acumulado'!D55</f>
        <v>0.21770121365760359</v>
      </c>
      <c r="J1134" t="s">
        <v>1071</v>
      </c>
      <c r="K1134" t="s">
        <v>1011</v>
      </c>
      <c r="L1134">
        <v>55</v>
      </c>
    </row>
    <row r="1135" spans="1:12" ht="18" customHeight="1" x14ac:dyDescent="0.25">
      <c r="A1135" t="s">
        <v>1070</v>
      </c>
      <c r="B1135" s="23">
        <f>'P&amp;L Acumulado'!$G$1</f>
        <v>46053</v>
      </c>
      <c r="C1135" s="23">
        <f>'P&amp;L Acumulado'!$I$1</f>
        <v>46112</v>
      </c>
      <c r="D1135" s="23">
        <f>'P&amp;L Acumulado'!$I$1</f>
        <v>46112</v>
      </c>
      <c r="E1135" t="str">
        <f>TEXT('P&amp;L Acumulado'!$G$1,"mmm/yyyy")&amp;" a "&amp;TEXT('P&amp;L Acumulado'!$I$1,"mmm/yyyy")</f>
        <v>jan/yyyy a mar/yyyy</v>
      </c>
      <c r="F1135" t="s">
        <v>55</v>
      </c>
      <c r="G1135" t="s">
        <v>252</v>
      </c>
      <c r="H1135" t="s">
        <v>549</v>
      </c>
      <c r="I1135" s="104">
        <f>'P&amp;L Acumulado'!E55</f>
        <v>-7.0434625618043256E-3</v>
      </c>
      <c r="J1135" t="s">
        <v>1071</v>
      </c>
      <c r="K1135" t="s">
        <v>1012</v>
      </c>
      <c r="L1135">
        <v>55</v>
      </c>
    </row>
    <row r="1136" spans="1:12" ht="18" customHeight="1" x14ac:dyDescent="0.25">
      <c r="A1136" t="s">
        <v>1070</v>
      </c>
      <c r="B1136" s="23">
        <f>'P&amp;L Acumulado'!$G$1</f>
        <v>46053</v>
      </c>
      <c r="C1136" s="23">
        <f>'P&amp;L Acumulado'!$I$1</f>
        <v>46112</v>
      </c>
      <c r="D1136" s="23">
        <f>'P&amp;L Acumulado'!$I$1</f>
        <v>46112</v>
      </c>
      <c r="E1136" t="str">
        <f>TEXT('P&amp;L Acumulado'!$G$1,"mmm/yyyy")&amp;" a "&amp;TEXT('P&amp;L Acumulado'!$I$1,"mmm/yyyy")</f>
        <v>jan/yyyy a mar/yyyy</v>
      </c>
      <c r="F1136" t="s">
        <v>55</v>
      </c>
      <c r="G1136" t="s">
        <v>205</v>
      </c>
      <c r="H1136" t="s">
        <v>5</v>
      </c>
      <c r="I1136" s="429">
        <f>'P&amp;L Acumulado'!F55</f>
        <v>0</v>
      </c>
      <c r="J1136" t="s">
        <v>1071</v>
      </c>
      <c r="K1136" t="s">
        <v>1013</v>
      </c>
      <c r="L1136">
        <v>55</v>
      </c>
    </row>
    <row r="1137" spans="1:12" ht="18" customHeight="1" x14ac:dyDescent="0.25">
      <c r="A1137" t="s">
        <v>1070</v>
      </c>
      <c r="B1137" s="23">
        <f>'P&amp;L Acumulado'!$G$1</f>
        <v>46053</v>
      </c>
      <c r="C1137" s="23">
        <f>'P&amp;L Acumulado'!$I$1</f>
        <v>46112</v>
      </c>
      <c r="D1137" s="23">
        <f>'P&amp;L Acumulado'!$I$1</f>
        <v>46112</v>
      </c>
      <c r="E1137" t="str">
        <f>TEXT('P&amp;L Acumulado'!$G$1,"mmm/yyyy")&amp;" a "&amp;TEXT('P&amp;L Acumulado'!$I$1,"mmm/yyyy")</f>
        <v>jan/yyyy a mar/yyyy</v>
      </c>
      <c r="F1137" t="s">
        <v>55</v>
      </c>
      <c r="G1137" t="s">
        <v>205</v>
      </c>
      <c r="H1137" t="s">
        <v>6</v>
      </c>
      <c r="I1137" s="429">
        <f>'P&amp;L Acumulado'!G55</f>
        <v>0</v>
      </c>
      <c r="J1137" t="s">
        <v>1071</v>
      </c>
      <c r="K1137" t="s">
        <v>1014</v>
      </c>
      <c r="L1137">
        <v>55</v>
      </c>
    </row>
    <row r="1138" spans="1:12" ht="18" customHeight="1" x14ac:dyDescent="0.25">
      <c r="A1138" t="s">
        <v>1070</v>
      </c>
      <c r="B1138" s="23">
        <f>'P&amp;L Acumulado'!$G$1</f>
        <v>46053</v>
      </c>
      <c r="C1138" s="23">
        <f>'P&amp;L Acumulado'!$I$1</f>
        <v>46112</v>
      </c>
      <c r="D1138" s="23">
        <f>'P&amp;L Acumulado'!$I$1</f>
        <v>46112</v>
      </c>
      <c r="E1138" t="str">
        <f>TEXT('P&amp;L Acumulado'!$G$1,"mmm/yyyy")&amp;" a "&amp;TEXT('P&amp;L Acumulado'!$I$1,"mmm/yyyy")</f>
        <v>jan/yyyy a mar/yyyy</v>
      </c>
      <c r="F1138" t="s">
        <v>55</v>
      </c>
      <c r="G1138" t="s">
        <v>205</v>
      </c>
      <c r="H1138" t="s">
        <v>549</v>
      </c>
      <c r="I1138" s="104">
        <f>'P&amp;L Acumulado'!H55</f>
        <v>0</v>
      </c>
      <c r="J1138" t="s">
        <v>1071</v>
      </c>
      <c r="K1138" t="s">
        <v>1015</v>
      </c>
      <c r="L1138">
        <v>55</v>
      </c>
    </row>
    <row r="1139" spans="1:12" ht="18" customHeight="1" x14ac:dyDescent="0.25">
      <c r="A1139" t="s">
        <v>1070</v>
      </c>
      <c r="B1139" s="23">
        <f>'P&amp;L Acumulado'!$G$1</f>
        <v>46053</v>
      </c>
      <c r="C1139" s="23">
        <f>'P&amp;L Acumulado'!$I$1</f>
        <v>46112</v>
      </c>
      <c r="D1139" s="23">
        <f>'P&amp;L Acumulado'!$I$1</f>
        <v>46112</v>
      </c>
      <c r="E1139" t="str">
        <f>TEXT('P&amp;L Acumulado'!$G$1,"mmm/yyyy")&amp;" a "&amp;TEXT('P&amp;L Acumulado'!$I$1,"mmm/yyyy")</f>
        <v>jan/yyyy a mar/yyyy</v>
      </c>
      <c r="F1139" t="s">
        <v>55</v>
      </c>
      <c r="G1139" t="s">
        <v>220</v>
      </c>
      <c r="H1139" t="s">
        <v>5</v>
      </c>
      <c r="I1139" s="429">
        <f>'P&amp;L Acumulado'!I55</f>
        <v>0</v>
      </c>
      <c r="J1139" t="s">
        <v>1071</v>
      </c>
      <c r="K1139" t="s">
        <v>1016</v>
      </c>
      <c r="L1139">
        <v>55</v>
      </c>
    </row>
    <row r="1140" spans="1:12" ht="18" customHeight="1" x14ac:dyDescent="0.25">
      <c r="A1140" t="s">
        <v>1070</v>
      </c>
      <c r="B1140" s="23">
        <f>'P&amp;L Acumulado'!$G$1</f>
        <v>46053</v>
      </c>
      <c r="C1140" s="23">
        <f>'P&amp;L Acumulado'!$I$1</f>
        <v>46112</v>
      </c>
      <c r="D1140" s="23">
        <f>'P&amp;L Acumulado'!$I$1</f>
        <v>46112</v>
      </c>
      <c r="E1140" t="str">
        <f>TEXT('P&amp;L Acumulado'!$G$1,"mmm/yyyy")&amp;" a "&amp;TEXT('P&amp;L Acumulado'!$I$1,"mmm/yyyy")</f>
        <v>jan/yyyy a mar/yyyy</v>
      </c>
      <c r="F1140" t="s">
        <v>55</v>
      </c>
      <c r="G1140" t="s">
        <v>220</v>
      </c>
      <c r="H1140" t="s">
        <v>6</v>
      </c>
      <c r="I1140" s="429">
        <f>'P&amp;L Acumulado'!J55</f>
        <v>0</v>
      </c>
      <c r="J1140" t="s">
        <v>1071</v>
      </c>
      <c r="K1140" t="s">
        <v>1017</v>
      </c>
      <c r="L1140">
        <v>55</v>
      </c>
    </row>
    <row r="1141" spans="1:12" ht="18" customHeight="1" x14ac:dyDescent="0.25">
      <c r="A1141" t="s">
        <v>1070</v>
      </c>
      <c r="B1141" s="23">
        <f>'P&amp;L Acumulado'!$G$1</f>
        <v>46053</v>
      </c>
      <c r="C1141" s="23">
        <f>'P&amp;L Acumulado'!$I$1</f>
        <v>46112</v>
      </c>
      <c r="D1141" s="23">
        <f>'P&amp;L Acumulado'!$I$1</f>
        <v>46112</v>
      </c>
      <c r="E1141" t="str">
        <f>TEXT('P&amp;L Acumulado'!$G$1,"mmm/yyyy")&amp;" a "&amp;TEXT('P&amp;L Acumulado'!$I$1,"mmm/yyyy")</f>
        <v>jan/yyyy a mar/yyyy</v>
      </c>
      <c r="F1141" t="s">
        <v>55</v>
      </c>
      <c r="G1141" t="s">
        <v>220</v>
      </c>
      <c r="H1141" t="s">
        <v>549</v>
      </c>
      <c r="I1141" s="104">
        <f>'P&amp;L Acumulado'!K55</f>
        <v>0</v>
      </c>
      <c r="J1141" t="s">
        <v>1071</v>
      </c>
      <c r="K1141" t="s">
        <v>1018</v>
      </c>
      <c r="L1141">
        <v>55</v>
      </c>
    </row>
    <row r="1142" spans="1:12" ht="18" customHeight="1" x14ac:dyDescent="0.25">
      <c r="A1142" t="s">
        <v>1070</v>
      </c>
      <c r="B1142" s="23">
        <f>'P&amp;L Acumulado'!$G$1</f>
        <v>46053</v>
      </c>
      <c r="C1142" s="23">
        <f>'P&amp;L Acumulado'!$I$1</f>
        <v>46112</v>
      </c>
      <c r="D1142" s="23">
        <f>'P&amp;L Acumulado'!$I$1</f>
        <v>46112</v>
      </c>
      <c r="E1142" t="str">
        <f>TEXT('P&amp;L Acumulado'!$G$1,"mmm/yyyy")&amp;" a "&amp;TEXT('P&amp;L Acumulado'!$I$1,"mmm/yyyy")</f>
        <v>jan/yyyy a mar/yyyy</v>
      </c>
      <c r="F1142" t="s">
        <v>55</v>
      </c>
      <c r="G1142" t="s">
        <v>96</v>
      </c>
      <c r="H1142" t="s">
        <v>5</v>
      </c>
      <c r="I1142" s="429">
        <f>'P&amp;L Acumulado'!L55</f>
        <v>0</v>
      </c>
      <c r="J1142" t="s">
        <v>1071</v>
      </c>
      <c r="K1142" t="s">
        <v>1019</v>
      </c>
      <c r="L1142">
        <v>55</v>
      </c>
    </row>
    <row r="1143" spans="1:12" ht="18" customHeight="1" x14ac:dyDescent="0.25">
      <c r="A1143" t="s">
        <v>1070</v>
      </c>
      <c r="B1143" s="23">
        <f>'P&amp;L Acumulado'!$G$1</f>
        <v>46053</v>
      </c>
      <c r="C1143" s="23">
        <f>'P&amp;L Acumulado'!$I$1</f>
        <v>46112</v>
      </c>
      <c r="D1143" s="23">
        <f>'P&amp;L Acumulado'!$I$1</f>
        <v>46112</v>
      </c>
      <c r="E1143" t="str">
        <f>TEXT('P&amp;L Acumulado'!$G$1,"mmm/yyyy")&amp;" a "&amp;TEXT('P&amp;L Acumulado'!$I$1,"mmm/yyyy")</f>
        <v>jan/yyyy a mar/yyyy</v>
      </c>
      <c r="F1143" t="s">
        <v>55</v>
      </c>
      <c r="G1143" t="s">
        <v>96</v>
      </c>
      <c r="H1143" t="s">
        <v>6</v>
      </c>
      <c r="I1143" s="429">
        <f>'P&amp;L Acumulado'!M55</f>
        <v>0</v>
      </c>
      <c r="J1143" t="s">
        <v>1071</v>
      </c>
      <c r="K1143" t="s">
        <v>1233</v>
      </c>
      <c r="L1143">
        <v>55</v>
      </c>
    </row>
    <row r="1144" spans="1:12" ht="18" customHeight="1" x14ac:dyDescent="0.25">
      <c r="A1144" t="s">
        <v>1070</v>
      </c>
      <c r="B1144" s="23">
        <f>'P&amp;L Acumulado'!$G$1</f>
        <v>46053</v>
      </c>
      <c r="C1144" s="23">
        <f>'P&amp;L Acumulado'!$I$1</f>
        <v>46112</v>
      </c>
      <c r="D1144" s="23">
        <f>'P&amp;L Acumulado'!$I$1</f>
        <v>46112</v>
      </c>
      <c r="E1144" t="str">
        <f>TEXT('P&amp;L Acumulado'!$G$1,"mmm/yyyy")&amp;" a "&amp;TEXT('P&amp;L Acumulado'!$I$1,"mmm/yyyy")</f>
        <v>jan/yyyy a mar/yyyy</v>
      </c>
      <c r="F1144" t="s">
        <v>55</v>
      </c>
      <c r="G1144" t="s">
        <v>96</v>
      </c>
      <c r="H1144" t="s">
        <v>549</v>
      </c>
      <c r="I1144" s="104">
        <f>'P&amp;L Acumulado'!N55</f>
        <v>0</v>
      </c>
      <c r="J1144" t="s">
        <v>1071</v>
      </c>
      <c r="K1144" t="s">
        <v>1234</v>
      </c>
      <c r="L1144">
        <v>55</v>
      </c>
    </row>
    <row r="1145" spans="1:12" ht="18" customHeight="1" x14ac:dyDescent="0.25">
      <c r="A1145" t="s">
        <v>1070</v>
      </c>
      <c r="B1145" s="23">
        <f>'P&amp;L Acumulado'!$G$1</f>
        <v>46053</v>
      </c>
      <c r="C1145" s="23">
        <f>'P&amp;L Acumulado'!$I$1</f>
        <v>46112</v>
      </c>
      <c r="D1145" s="23">
        <f>'P&amp;L Acumulado'!$I$1</f>
        <v>46112</v>
      </c>
      <c r="E1145" t="str">
        <f>TEXT('P&amp;L Acumulado'!$G$1,"mmm/yyyy")&amp;" a "&amp;TEXT('P&amp;L Acumulado'!$I$1,"mmm/yyyy")</f>
        <v>jan/yyyy a mar/yyyy</v>
      </c>
      <c r="F1145" t="s">
        <v>55</v>
      </c>
      <c r="G1145" t="s">
        <v>96</v>
      </c>
      <c r="H1145" t="s">
        <v>557</v>
      </c>
      <c r="I1145" s="429">
        <f>'P&amp;L Acumulado'!O55</f>
        <v>0</v>
      </c>
      <c r="J1145" t="s">
        <v>1071</v>
      </c>
      <c r="K1145" t="s">
        <v>1235</v>
      </c>
      <c r="L1145">
        <v>55</v>
      </c>
    </row>
    <row r="1146" spans="1:12" ht="18" customHeight="1" x14ac:dyDescent="0.25">
      <c r="A1146" t="s">
        <v>1070</v>
      </c>
      <c r="B1146" s="23">
        <f>'P&amp;L Acumulado'!$G$1</f>
        <v>46053</v>
      </c>
      <c r="C1146" s="23">
        <f>'P&amp;L Acumulado'!$I$1</f>
        <v>46112</v>
      </c>
      <c r="D1146" s="23">
        <f>'P&amp;L Acumulado'!$I$1</f>
        <v>46112</v>
      </c>
      <c r="E1146" t="str">
        <f>TEXT('P&amp;L Acumulado'!$G$1,"mmm/yyyy")&amp;" a "&amp;TEXT('P&amp;L Acumulado'!$I$1,"mmm/yyyy")</f>
        <v>jan/yyyy a mar/yyyy</v>
      </c>
      <c r="F1146" t="s">
        <v>56</v>
      </c>
      <c r="G1146" t="s">
        <v>252</v>
      </c>
      <c r="H1146" t="s">
        <v>5</v>
      </c>
      <c r="I1146" s="429">
        <f>'P&amp;L Acumulado'!C56</f>
        <v>42965667.043961354</v>
      </c>
      <c r="J1146" t="s">
        <v>1071</v>
      </c>
      <c r="K1146" t="s">
        <v>1020</v>
      </c>
      <c r="L1146">
        <v>56</v>
      </c>
    </row>
    <row r="1147" spans="1:12" ht="18" customHeight="1" x14ac:dyDescent="0.25">
      <c r="A1147" t="s">
        <v>1070</v>
      </c>
      <c r="B1147" s="23">
        <f>'P&amp;L Acumulado'!$G$1</f>
        <v>46053</v>
      </c>
      <c r="C1147" s="23">
        <f>'P&amp;L Acumulado'!$I$1</f>
        <v>46112</v>
      </c>
      <c r="D1147" s="23">
        <f>'P&amp;L Acumulado'!$I$1</f>
        <v>46112</v>
      </c>
      <c r="E1147" t="str">
        <f>TEXT('P&amp;L Acumulado'!$G$1,"mmm/yyyy")&amp;" a "&amp;TEXT('P&amp;L Acumulado'!$I$1,"mmm/yyyy")</f>
        <v>jan/yyyy a mar/yyyy</v>
      </c>
      <c r="F1147" t="s">
        <v>56</v>
      </c>
      <c r="G1147" t="s">
        <v>252</v>
      </c>
      <c r="H1147" t="s">
        <v>6</v>
      </c>
      <c r="I1147" s="429">
        <f>'P&amp;L Acumulado'!D56</f>
        <v>43078624.990452737</v>
      </c>
      <c r="J1147" t="s">
        <v>1071</v>
      </c>
      <c r="K1147" t="s">
        <v>1021</v>
      </c>
      <c r="L1147">
        <v>56</v>
      </c>
    </row>
    <row r="1148" spans="1:12" ht="18" customHeight="1" x14ac:dyDescent="0.25">
      <c r="A1148" t="s">
        <v>1070</v>
      </c>
      <c r="B1148" s="23">
        <f>'P&amp;L Acumulado'!$G$1</f>
        <v>46053</v>
      </c>
      <c r="C1148" s="23">
        <f>'P&amp;L Acumulado'!$I$1</f>
        <v>46112</v>
      </c>
      <c r="D1148" s="23">
        <f>'P&amp;L Acumulado'!$I$1</f>
        <v>46112</v>
      </c>
      <c r="E1148" t="str">
        <f>TEXT('P&amp;L Acumulado'!$G$1,"mmm/yyyy")&amp;" a "&amp;TEXT('P&amp;L Acumulado'!$I$1,"mmm/yyyy")</f>
        <v>jan/yyyy a mar/yyyy</v>
      </c>
      <c r="F1148" t="s">
        <v>56</v>
      </c>
      <c r="G1148" t="s">
        <v>252</v>
      </c>
      <c r="H1148" t="s">
        <v>549</v>
      </c>
      <c r="I1148" s="104">
        <f>'P&amp;L Acumulado'!E56</f>
        <v>-2.622134446408686E-3</v>
      </c>
      <c r="J1148" t="s">
        <v>1071</v>
      </c>
      <c r="K1148" t="s">
        <v>1022</v>
      </c>
      <c r="L1148">
        <v>56</v>
      </c>
    </row>
    <row r="1149" spans="1:12" ht="18" customHeight="1" x14ac:dyDescent="0.25">
      <c r="A1149" t="s">
        <v>1070</v>
      </c>
      <c r="B1149" s="23">
        <f>'P&amp;L Acumulado'!$G$1</f>
        <v>46053</v>
      </c>
      <c r="C1149" s="23">
        <f>'P&amp;L Acumulado'!$I$1</f>
        <v>46112</v>
      </c>
      <c r="D1149" s="23">
        <f>'P&amp;L Acumulado'!$I$1</f>
        <v>46112</v>
      </c>
      <c r="E1149" t="str">
        <f>TEXT('P&amp;L Acumulado'!$G$1,"mmm/yyyy")&amp;" a "&amp;TEXT('P&amp;L Acumulado'!$I$1,"mmm/yyyy")</f>
        <v>jan/yyyy a mar/yyyy</v>
      </c>
      <c r="F1149" t="s">
        <v>56</v>
      </c>
      <c r="G1149" t="s">
        <v>205</v>
      </c>
      <c r="H1149" t="s">
        <v>5</v>
      </c>
      <c r="I1149" s="429">
        <f>'P&amp;L Acumulado'!F56</f>
        <v>0</v>
      </c>
      <c r="J1149" t="s">
        <v>1071</v>
      </c>
      <c r="K1149" t="s">
        <v>1023</v>
      </c>
      <c r="L1149">
        <v>56</v>
      </c>
    </row>
    <row r="1150" spans="1:12" ht="18" customHeight="1" x14ac:dyDescent="0.25">
      <c r="A1150" t="s">
        <v>1070</v>
      </c>
      <c r="B1150" s="23">
        <f>'P&amp;L Acumulado'!$G$1</f>
        <v>46053</v>
      </c>
      <c r="C1150" s="23">
        <f>'P&amp;L Acumulado'!$I$1</f>
        <v>46112</v>
      </c>
      <c r="D1150" s="23">
        <f>'P&amp;L Acumulado'!$I$1</f>
        <v>46112</v>
      </c>
      <c r="E1150" t="str">
        <f>TEXT('P&amp;L Acumulado'!$G$1,"mmm/yyyy")&amp;" a "&amp;TEXT('P&amp;L Acumulado'!$I$1,"mmm/yyyy")</f>
        <v>jan/yyyy a mar/yyyy</v>
      </c>
      <c r="F1150" t="s">
        <v>56</v>
      </c>
      <c r="G1150" t="s">
        <v>205</v>
      </c>
      <c r="H1150" t="s">
        <v>6</v>
      </c>
      <c r="I1150" s="429">
        <f>'P&amp;L Acumulado'!G56</f>
        <v>0</v>
      </c>
      <c r="J1150" t="s">
        <v>1071</v>
      </c>
      <c r="K1150" t="s">
        <v>1024</v>
      </c>
      <c r="L1150">
        <v>56</v>
      </c>
    </row>
    <row r="1151" spans="1:12" ht="18" customHeight="1" x14ac:dyDescent="0.25">
      <c r="A1151" t="s">
        <v>1070</v>
      </c>
      <c r="B1151" s="23">
        <f>'P&amp;L Acumulado'!$G$1</f>
        <v>46053</v>
      </c>
      <c r="C1151" s="23">
        <f>'P&amp;L Acumulado'!$I$1</f>
        <v>46112</v>
      </c>
      <c r="D1151" s="23">
        <f>'P&amp;L Acumulado'!$I$1</f>
        <v>46112</v>
      </c>
      <c r="E1151" t="str">
        <f>TEXT('P&amp;L Acumulado'!$G$1,"mmm/yyyy")&amp;" a "&amp;TEXT('P&amp;L Acumulado'!$I$1,"mmm/yyyy")</f>
        <v>jan/yyyy a mar/yyyy</v>
      </c>
      <c r="F1151" t="s">
        <v>56</v>
      </c>
      <c r="G1151" t="s">
        <v>205</v>
      </c>
      <c r="H1151" t="s">
        <v>549</v>
      </c>
      <c r="I1151" s="104">
        <f>'P&amp;L Acumulado'!H56</f>
        <v>0</v>
      </c>
      <c r="J1151" t="s">
        <v>1071</v>
      </c>
      <c r="K1151" t="s">
        <v>1025</v>
      </c>
      <c r="L1151">
        <v>56</v>
      </c>
    </row>
    <row r="1152" spans="1:12" ht="18" customHeight="1" x14ac:dyDescent="0.25">
      <c r="A1152" t="s">
        <v>1070</v>
      </c>
      <c r="B1152" s="23">
        <f>'P&amp;L Acumulado'!$G$1</f>
        <v>46053</v>
      </c>
      <c r="C1152" s="23">
        <f>'P&amp;L Acumulado'!$I$1</f>
        <v>46112</v>
      </c>
      <c r="D1152" s="23">
        <f>'P&amp;L Acumulado'!$I$1</f>
        <v>46112</v>
      </c>
      <c r="E1152" t="str">
        <f>TEXT('P&amp;L Acumulado'!$G$1,"mmm/yyyy")&amp;" a "&amp;TEXT('P&amp;L Acumulado'!$I$1,"mmm/yyyy")</f>
        <v>jan/yyyy a mar/yyyy</v>
      </c>
      <c r="F1152" t="s">
        <v>56</v>
      </c>
      <c r="G1152" t="s">
        <v>220</v>
      </c>
      <c r="H1152" t="s">
        <v>5</v>
      </c>
      <c r="I1152" s="429">
        <f>'P&amp;L Acumulado'!I56</f>
        <v>0</v>
      </c>
      <c r="J1152" t="s">
        <v>1071</v>
      </c>
      <c r="K1152" t="s">
        <v>1026</v>
      </c>
      <c r="L1152">
        <v>56</v>
      </c>
    </row>
    <row r="1153" spans="1:12" ht="18" customHeight="1" x14ac:dyDescent="0.25">
      <c r="A1153" t="s">
        <v>1070</v>
      </c>
      <c r="B1153" s="23">
        <f>'P&amp;L Acumulado'!$G$1</f>
        <v>46053</v>
      </c>
      <c r="C1153" s="23">
        <f>'P&amp;L Acumulado'!$I$1</f>
        <v>46112</v>
      </c>
      <c r="D1153" s="23">
        <f>'P&amp;L Acumulado'!$I$1</f>
        <v>46112</v>
      </c>
      <c r="E1153" t="str">
        <f>TEXT('P&amp;L Acumulado'!$G$1,"mmm/yyyy")&amp;" a "&amp;TEXT('P&amp;L Acumulado'!$I$1,"mmm/yyyy")</f>
        <v>jan/yyyy a mar/yyyy</v>
      </c>
      <c r="F1153" t="s">
        <v>56</v>
      </c>
      <c r="G1153" t="s">
        <v>220</v>
      </c>
      <c r="H1153" t="s">
        <v>6</v>
      </c>
      <c r="I1153" s="429">
        <f>'P&amp;L Acumulado'!J56</f>
        <v>0</v>
      </c>
      <c r="J1153" t="s">
        <v>1071</v>
      </c>
      <c r="K1153" t="s">
        <v>1027</v>
      </c>
      <c r="L1153">
        <v>56</v>
      </c>
    </row>
    <row r="1154" spans="1:12" ht="18" customHeight="1" x14ac:dyDescent="0.25">
      <c r="A1154" t="s">
        <v>1070</v>
      </c>
      <c r="B1154" s="23">
        <f>'P&amp;L Acumulado'!$G$1</f>
        <v>46053</v>
      </c>
      <c r="C1154" s="23">
        <f>'P&amp;L Acumulado'!$I$1</f>
        <v>46112</v>
      </c>
      <c r="D1154" s="23">
        <f>'P&amp;L Acumulado'!$I$1</f>
        <v>46112</v>
      </c>
      <c r="E1154" t="str">
        <f>TEXT('P&amp;L Acumulado'!$G$1,"mmm/yyyy")&amp;" a "&amp;TEXT('P&amp;L Acumulado'!$I$1,"mmm/yyyy")</f>
        <v>jan/yyyy a mar/yyyy</v>
      </c>
      <c r="F1154" t="s">
        <v>56</v>
      </c>
      <c r="G1154" t="s">
        <v>220</v>
      </c>
      <c r="H1154" t="s">
        <v>549</v>
      </c>
      <c r="I1154" s="104">
        <f>'P&amp;L Acumulado'!K56</f>
        <v>0</v>
      </c>
      <c r="J1154" t="s">
        <v>1071</v>
      </c>
      <c r="K1154" t="s">
        <v>1028</v>
      </c>
      <c r="L1154">
        <v>56</v>
      </c>
    </row>
    <row r="1155" spans="1:12" ht="18" customHeight="1" x14ac:dyDescent="0.25">
      <c r="A1155" t="s">
        <v>1070</v>
      </c>
      <c r="B1155" s="23">
        <f>'P&amp;L Acumulado'!$G$1</f>
        <v>46053</v>
      </c>
      <c r="C1155" s="23">
        <f>'P&amp;L Acumulado'!$I$1</f>
        <v>46112</v>
      </c>
      <c r="D1155" s="23">
        <f>'P&amp;L Acumulado'!$I$1</f>
        <v>46112</v>
      </c>
      <c r="E1155" t="str">
        <f>TEXT('P&amp;L Acumulado'!$G$1,"mmm/yyyy")&amp;" a "&amp;TEXT('P&amp;L Acumulado'!$I$1,"mmm/yyyy")</f>
        <v>jan/yyyy a mar/yyyy</v>
      </c>
      <c r="F1155" t="s">
        <v>56</v>
      </c>
      <c r="G1155" t="s">
        <v>96</v>
      </c>
      <c r="H1155" t="s">
        <v>5</v>
      </c>
      <c r="I1155" s="429">
        <f>'P&amp;L Acumulado'!L56</f>
        <v>0</v>
      </c>
      <c r="J1155" t="s">
        <v>1071</v>
      </c>
      <c r="K1155" t="s">
        <v>1029</v>
      </c>
      <c r="L1155">
        <v>56</v>
      </c>
    </row>
    <row r="1156" spans="1:12" ht="18" customHeight="1" x14ac:dyDescent="0.25">
      <c r="A1156" t="s">
        <v>1070</v>
      </c>
      <c r="B1156" s="23">
        <f>'P&amp;L Acumulado'!$G$1</f>
        <v>46053</v>
      </c>
      <c r="C1156" s="23">
        <f>'P&amp;L Acumulado'!$I$1</f>
        <v>46112</v>
      </c>
      <c r="D1156" s="23">
        <f>'P&amp;L Acumulado'!$I$1</f>
        <v>46112</v>
      </c>
      <c r="E1156" t="str">
        <f>TEXT('P&amp;L Acumulado'!$G$1,"mmm/yyyy")&amp;" a "&amp;TEXT('P&amp;L Acumulado'!$I$1,"mmm/yyyy")</f>
        <v>jan/yyyy a mar/yyyy</v>
      </c>
      <c r="F1156" t="s">
        <v>56</v>
      </c>
      <c r="G1156" t="s">
        <v>96</v>
      </c>
      <c r="H1156" t="s">
        <v>6</v>
      </c>
      <c r="I1156" s="429">
        <f>'P&amp;L Acumulado'!M56</f>
        <v>0</v>
      </c>
      <c r="J1156" t="s">
        <v>1071</v>
      </c>
      <c r="K1156" t="s">
        <v>1236</v>
      </c>
      <c r="L1156">
        <v>56</v>
      </c>
    </row>
    <row r="1157" spans="1:12" ht="18" customHeight="1" x14ac:dyDescent="0.25">
      <c r="A1157" t="s">
        <v>1070</v>
      </c>
      <c r="B1157" s="23">
        <f>'P&amp;L Acumulado'!$G$1</f>
        <v>46053</v>
      </c>
      <c r="C1157" s="23">
        <f>'P&amp;L Acumulado'!$I$1</f>
        <v>46112</v>
      </c>
      <c r="D1157" s="23">
        <f>'P&amp;L Acumulado'!$I$1</f>
        <v>46112</v>
      </c>
      <c r="E1157" t="str">
        <f>TEXT('P&amp;L Acumulado'!$G$1,"mmm/yyyy")&amp;" a "&amp;TEXT('P&amp;L Acumulado'!$I$1,"mmm/yyyy")</f>
        <v>jan/yyyy a mar/yyyy</v>
      </c>
      <c r="F1157" t="s">
        <v>56</v>
      </c>
      <c r="G1157" t="s">
        <v>96</v>
      </c>
      <c r="H1157" t="s">
        <v>549</v>
      </c>
      <c r="I1157" s="104">
        <f>'P&amp;L Acumulado'!N56</f>
        <v>0</v>
      </c>
      <c r="J1157" t="s">
        <v>1071</v>
      </c>
      <c r="K1157" t="s">
        <v>1237</v>
      </c>
      <c r="L1157">
        <v>56</v>
      </c>
    </row>
    <row r="1158" spans="1:12" ht="18" customHeight="1" x14ac:dyDescent="0.25">
      <c r="A1158" t="s">
        <v>1070</v>
      </c>
      <c r="B1158" s="23">
        <f>'P&amp;L Acumulado'!$G$1</f>
        <v>46053</v>
      </c>
      <c r="C1158" s="23">
        <f>'P&amp;L Acumulado'!$I$1</f>
        <v>46112</v>
      </c>
      <c r="D1158" s="23">
        <f>'P&amp;L Acumulado'!$I$1</f>
        <v>46112</v>
      </c>
      <c r="E1158" t="str">
        <f>TEXT('P&amp;L Acumulado'!$G$1,"mmm/yyyy")&amp;" a "&amp;TEXT('P&amp;L Acumulado'!$I$1,"mmm/yyyy")</f>
        <v>jan/yyyy a mar/yyyy</v>
      </c>
      <c r="F1158" t="s">
        <v>56</v>
      </c>
      <c r="G1158" t="s">
        <v>96</v>
      </c>
      <c r="H1158" t="s">
        <v>557</v>
      </c>
      <c r="I1158" s="429">
        <f>'P&amp;L Acumulado'!O56</f>
        <v>0</v>
      </c>
      <c r="J1158" t="s">
        <v>1071</v>
      </c>
      <c r="K1158" t="s">
        <v>1238</v>
      </c>
      <c r="L1158">
        <v>56</v>
      </c>
    </row>
    <row r="1159" spans="1:12" ht="18" customHeight="1" x14ac:dyDescent="0.25">
      <c r="A1159" t="s">
        <v>1070</v>
      </c>
      <c r="B1159" s="23">
        <f>'P&amp;L Acumulado'!$G$1</f>
        <v>46053</v>
      </c>
      <c r="C1159" s="23">
        <f>'P&amp;L Acumulado'!$I$1</f>
        <v>46112</v>
      </c>
      <c r="D1159" s="23">
        <f>'P&amp;L Acumulado'!$I$1</f>
        <v>46112</v>
      </c>
      <c r="E1159" t="str">
        <f>TEXT('P&amp;L Acumulado'!$G$1,"mmm/yyyy")&amp;" a "&amp;TEXT('P&amp;L Acumulado'!$I$1,"mmm/yyyy")</f>
        <v>jan/yyyy a mar/yyyy</v>
      </c>
      <c r="F1159" t="s">
        <v>57</v>
      </c>
      <c r="G1159" t="s">
        <v>252</v>
      </c>
      <c r="H1159" t="s">
        <v>5</v>
      </c>
      <c r="I1159" s="429">
        <f>'P&amp;L Acumulado'!C58</f>
        <v>0</v>
      </c>
      <c r="J1159" t="s">
        <v>1071</v>
      </c>
      <c r="K1159" t="s">
        <v>1030</v>
      </c>
      <c r="L1159">
        <v>58</v>
      </c>
    </row>
    <row r="1160" spans="1:12" ht="18" customHeight="1" x14ac:dyDescent="0.25">
      <c r="A1160" t="s">
        <v>1070</v>
      </c>
      <c r="B1160" s="23">
        <f>'P&amp;L Acumulado'!$G$1</f>
        <v>46053</v>
      </c>
      <c r="C1160" s="23">
        <f>'P&amp;L Acumulado'!$I$1</f>
        <v>46112</v>
      </c>
      <c r="D1160" s="23">
        <f>'P&amp;L Acumulado'!$I$1</f>
        <v>46112</v>
      </c>
      <c r="E1160" t="str">
        <f>TEXT('P&amp;L Acumulado'!$G$1,"mmm/yyyy")&amp;" a "&amp;TEXT('P&amp;L Acumulado'!$I$1,"mmm/yyyy")</f>
        <v>jan/yyyy a mar/yyyy</v>
      </c>
      <c r="F1160" t="s">
        <v>57</v>
      </c>
      <c r="G1160" t="s">
        <v>252</v>
      </c>
      <c r="H1160" t="s">
        <v>6</v>
      </c>
      <c r="I1160" s="429">
        <f>'P&amp;L Acumulado'!D58</f>
        <v>0</v>
      </c>
      <c r="J1160" t="s">
        <v>1071</v>
      </c>
      <c r="K1160" t="s">
        <v>1031</v>
      </c>
      <c r="L1160">
        <v>58</v>
      </c>
    </row>
    <row r="1161" spans="1:12" ht="18" customHeight="1" x14ac:dyDescent="0.25">
      <c r="A1161" t="s">
        <v>1070</v>
      </c>
      <c r="B1161" s="23">
        <f>'P&amp;L Acumulado'!$G$1</f>
        <v>46053</v>
      </c>
      <c r="C1161" s="23">
        <f>'P&amp;L Acumulado'!$I$1</f>
        <v>46112</v>
      </c>
      <c r="D1161" s="23">
        <f>'P&amp;L Acumulado'!$I$1</f>
        <v>46112</v>
      </c>
      <c r="E1161" t="str">
        <f>TEXT('P&amp;L Acumulado'!$G$1,"mmm/yyyy")&amp;" a "&amp;TEXT('P&amp;L Acumulado'!$I$1,"mmm/yyyy")</f>
        <v>jan/yyyy a mar/yyyy</v>
      </c>
      <c r="F1161" t="s">
        <v>57</v>
      </c>
      <c r="G1161" t="s">
        <v>252</v>
      </c>
      <c r="H1161" t="s">
        <v>549</v>
      </c>
      <c r="I1161" s="104">
        <f>'P&amp;L Acumulado'!E58</f>
        <v>0</v>
      </c>
      <c r="J1161" t="s">
        <v>1071</v>
      </c>
      <c r="K1161" t="s">
        <v>1032</v>
      </c>
      <c r="L1161">
        <v>58</v>
      </c>
    </row>
    <row r="1162" spans="1:12" ht="18" customHeight="1" x14ac:dyDescent="0.25">
      <c r="A1162" t="s">
        <v>1070</v>
      </c>
      <c r="B1162" s="23">
        <f>'P&amp;L Acumulado'!$G$1</f>
        <v>46053</v>
      </c>
      <c r="C1162" s="23">
        <f>'P&amp;L Acumulado'!$I$1</f>
        <v>46112</v>
      </c>
      <c r="D1162" s="23">
        <f>'P&amp;L Acumulado'!$I$1</f>
        <v>46112</v>
      </c>
      <c r="E1162" t="str">
        <f>TEXT('P&amp;L Acumulado'!$G$1,"mmm/yyyy")&amp;" a "&amp;TEXT('P&amp;L Acumulado'!$I$1,"mmm/yyyy")</f>
        <v>jan/yyyy a mar/yyyy</v>
      </c>
      <c r="F1162" t="s">
        <v>57</v>
      </c>
      <c r="G1162" t="s">
        <v>205</v>
      </c>
      <c r="H1162" t="s">
        <v>5</v>
      </c>
      <c r="I1162" s="429">
        <f>'P&amp;L Acumulado'!F58</f>
        <v>0</v>
      </c>
      <c r="J1162" t="s">
        <v>1071</v>
      </c>
      <c r="K1162" t="s">
        <v>1033</v>
      </c>
      <c r="L1162">
        <v>58</v>
      </c>
    </row>
    <row r="1163" spans="1:12" ht="18" customHeight="1" x14ac:dyDescent="0.25">
      <c r="A1163" t="s">
        <v>1070</v>
      </c>
      <c r="B1163" s="23">
        <f>'P&amp;L Acumulado'!$G$1</f>
        <v>46053</v>
      </c>
      <c r="C1163" s="23">
        <f>'P&amp;L Acumulado'!$I$1</f>
        <v>46112</v>
      </c>
      <c r="D1163" s="23">
        <f>'P&amp;L Acumulado'!$I$1</f>
        <v>46112</v>
      </c>
      <c r="E1163" t="str">
        <f>TEXT('P&amp;L Acumulado'!$G$1,"mmm/yyyy")&amp;" a "&amp;TEXT('P&amp;L Acumulado'!$I$1,"mmm/yyyy")</f>
        <v>jan/yyyy a mar/yyyy</v>
      </c>
      <c r="F1163" t="s">
        <v>57</v>
      </c>
      <c r="G1163" t="s">
        <v>205</v>
      </c>
      <c r="H1163" t="s">
        <v>6</v>
      </c>
      <c r="I1163" s="429">
        <f>'P&amp;L Acumulado'!G58</f>
        <v>0</v>
      </c>
      <c r="J1163" t="s">
        <v>1071</v>
      </c>
      <c r="K1163" t="s">
        <v>1034</v>
      </c>
      <c r="L1163">
        <v>58</v>
      </c>
    </row>
    <row r="1164" spans="1:12" ht="18" customHeight="1" x14ac:dyDescent="0.25">
      <c r="A1164" t="s">
        <v>1070</v>
      </c>
      <c r="B1164" s="23">
        <f>'P&amp;L Acumulado'!$G$1</f>
        <v>46053</v>
      </c>
      <c r="C1164" s="23">
        <f>'P&amp;L Acumulado'!$I$1</f>
        <v>46112</v>
      </c>
      <c r="D1164" s="23">
        <f>'P&amp;L Acumulado'!$I$1</f>
        <v>46112</v>
      </c>
      <c r="E1164" t="str">
        <f>TEXT('P&amp;L Acumulado'!$G$1,"mmm/yyyy")&amp;" a "&amp;TEXT('P&amp;L Acumulado'!$I$1,"mmm/yyyy")</f>
        <v>jan/yyyy a mar/yyyy</v>
      </c>
      <c r="F1164" t="s">
        <v>57</v>
      </c>
      <c r="G1164" t="s">
        <v>205</v>
      </c>
      <c r="H1164" t="s">
        <v>549</v>
      </c>
      <c r="I1164" s="104">
        <f>'P&amp;L Acumulado'!H58</f>
        <v>0</v>
      </c>
      <c r="J1164" t="s">
        <v>1071</v>
      </c>
      <c r="K1164" t="s">
        <v>1035</v>
      </c>
      <c r="L1164">
        <v>58</v>
      </c>
    </row>
    <row r="1165" spans="1:12" ht="18" customHeight="1" x14ac:dyDescent="0.25">
      <c r="A1165" t="s">
        <v>1070</v>
      </c>
      <c r="B1165" s="23">
        <f>'P&amp;L Acumulado'!$G$1</f>
        <v>46053</v>
      </c>
      <c r="C1165" s="23">
        <f>'P&amp;L Acumulado'!$I$1</f>
        <v>46112</v>
      </c>
      <c r="D1165" s="23">
        <f>'P&amp;L Acumulado'!$I$1</f>
        <v>46112</v>
      </c>
      <c r="E1165" t="str">
        <f>TEXT('P&amp;L Acumulado'!$G$1,"mmm/yyyy")&amp;" a "&amp;TEXT('P&amp;L Acumulado'!$I$1,"mmm/yyyy")</f>
        <v>jan/yyyy a mar/yyyy</v>
      </c>
      <c r="F1165" t="s">
        <v>57</v>
      </c>
      <c r="G1165" t="s">
        <v>220</v>
      </c>
      <c r="H1165" t="s">
        <v>5</v>
      </c>
      <c r="I1165" s="429">
        <f>'P&amp;L Acumulado'!I58</f>
        <v>0</v>
      </c>
      <c r="J1165" t="s">
        <v>1071</v>
      </c>
      <c r="K1165" t="s">
        <v>1036</v>
      </c>
      <c r="L1165">
        <v>58</v>
      </c>
    </row>
    <row r="1166" spans="1:12" ht="18" customHeight="1" x14ac:dyDescent="0.25">
      <c r="A1166" t="s">
        <v>1070</v>
      </c>
      <c r="B1166" s="23">
        <f>'P&amp;L Acumulado'!$G$1</f>
        <v>46053</v>
      </c>
      <c r="C1166" s="23">
        <f>'P&amp;L Acumulado'!$I$1</f>
        <v>46112</v>
      </c>
      <c r="D1166" s="23">
        <f>'P&amp;L Acumulado'!$I$1</f>
        <v>46112</v>
      </c>
      <c r="E1166" t="str">
        <f>TEXT('P&amp;L Acumulado'!$G$1,"mmm/yyyy")&amp;" a "&amp;TEXT('P&amp;L Acumulado'!$I$1,"mmm/yyyy")</f>
        <v>jan/yyyy a mar/yyyy</v>
      </c>
      <c r="F1166" t="s">
        <v>57</v>
      </c>
      <c r="G1166" t="s">
        <v>220</v>
      </c>
      <c r="H1166" t="s">
        <v>6</v>
      </c>
      <c r="I1166" s="429">
        <f>'P&amp;L Acumulado'!J58</f>
        <v>0</v>
      </c>
      <c r="J1166" t="s">
        <v>1071</v>
      </c>
      <c r="K1166" t="s">
        <v>1037</v>
      </c>
      <c r="L1166">
        <v>58</v>
      </c>
    </row>
    <row r="1167" spans="1:12" ht="18" customHeight="1" x14ac:dyDescent="0.25">
      <c r="A1167" t="s">
        <v>1070</v>
      </c>
      <c r="B1167" s="23">
        <f>'P&amp;L Acumulado'!$G$1</f>
        <v>46053</v>
      </c>
      <c r="C1167" s="23">
        <f>'P&amp;L Acumulado'!$I$1</f>
        <v>46112</v>
      </c>
      <c r="D1167" s="23">
        <f>'P&amp;L Acumulado'!$I$1</f>
        <v>46112</v>
      </c>
      <c r="E1167" t="str">
        <f>TEXT('P&amp;L Acumulado'!$G$1,"mmm/yyyy")&amp;" a "&amp;TEXT('P&amp;L Acumulado'!$I$1,"mmm/yyyy")</f>
        <v>jan/yyyy a mar/yyyy</v>
      </c>
      <c r="F1167" t="s">
        <v>57</v>
      </c>
      <c r="G1167" t="s">
        <v>220</v>
      </c>
      <c r="H1167" t="s">
        <v>549</v>
      </c>
      <c r="I1167" s="104">
        <f>'P&amp;L Acumulado'!K58</f>
        <v>0</v>
      </c>
      <c r="J1167" t="s">
        <v>1071</v>
      </c>
      <c r="K1167" t="s">
        <v>1038</v>
      </c>
      <c r="L1167">
        <v>58</v>
      </c>
    </row>
    <row r="1168" spans="1:12" ht="18" customHeight="1" x14ac:dyDescent="0.25">
      <c r="A1168" t="s">
        <v>1070</v>
      </c>
      <c r="B1168" s="23">
        <f>'P&amp;L Acumulado'!$G$1</f>
        <v>46053</v>
      </c>
      <c r="C1168" s="23">
        <f>'P&amp;L Acumulado'!$I$1</f>
        <v>46112</v>
      </c>
      <c r="D1168" s="23">
        <f>'P&amp;L Acumulado'!$I$1</f>
        <v>46112</v>
      </c>
      <c r="E1168" t="str">
        <f>TEXT('P&amp;L Acumulado'!$G$1,"mmm/yyyy")&amp;" a "&amp;TEXT('P&amp;L Acumulado'!$I$1,"mmm/yyyy")</f>
        <v>jan/yyyy a mar/yyyy</v>
      </c>
      <c r="F1168" t="s">
        <v>57</v>
      </c>
      <c r="G1168" t="s">
        <v>96</v>
      </c>
      <c r="H1168" t="s">
        <v>5</v>
      </c>
      <c r="I1168" s="429">
        <f>'P&amp;L Acumulado'!L58</f>
        <v>0</v>
      </c>
      <c r="J1168" t="s">
        <v>1071</v>
      </c>
      <c r="K1168" t="s">
        <v>1039</v>
      </c>
      <c r="L1168">
        <v>58</v>
      </c>
    </row>
    <row r="1169" spans="1:12" ht="18" customHeight="1" x14ac:dyDescent="0.25">
      <c r="A1169" t="s">
        <v>1070</v>
      </c>
      <c r="B1169" s="23">
        <f>'P&amp;L Acumulado'!$G$1</f>
        <v>46053</v>
      </c>
      <c r="C1169" s="23">
        <f>'P&amp;L Acumulado'!$I$1</f>
        <v>46112</v>
      </c>
      <c r="D1169" s="23">
        <f>'P&amp;L Acumulado'!$I$1</f>
        <v>46112</v>
      </c>
      <c r="E1169" t="str">
        <f>TEXT('P&amp;L Acumulado'!$G$1,"mmm/yyyy")&amp;" a "&amp;TEXT('P&amp;L Acumulado'!$I$1,"mmm/yyyy")</f>
        <v>jan/yyyy a mar/yyyy</v>
      </c>
      <c r="F1169" t="s">
        <v>57</v>
      </c>
      <c r="G1169" t="s">
        <v>96</v>
      </c>
      <c r="H1169" t="s">
        <v>6</v>
      </c>
      <c r="I1169" s="429">
        <f>'P&amp;L Acumulado'!M58</f>
        <v>0</v>
      </c>
      <c r="J1169" t="s">
        <v>1071</v>
      </c>
      <c r="K1169" t="s">
        <v>1239</v>
      </c>
      <c r="L1169">
        <v>58</v>
      </c>
    </row>
    <row r="1170" spans="1:12" ht="18" customHeight="1" x14ac:dyDescent="0.25">
      <c r="A1170" t="s">
        <v>1070</v>
      </c>
      <c r="B1170" s="23">
        <f>'P&amp;L Acumulado'!$G$1</f>
        <v>46053</v>
      </c>
      <c r="C1170" s="23">
        <f>'P&amp;L Acumulado'!$I$1</f>
        <v>46112</v>
      </c>
      <c r="D1170" s="23">
        <f>'P&amp;L Acumulado'!$I$1</f>
        <v>46112</v>
      </c>
      <c r="E1170" t="str">
        <f>TEXT('P&amp;L Acumulado'!$G$1,"mmm/yyyy")&amp;" a "&amp;TEXT('P&amp;L Acumulado'!$I$1,"mmm/yyyy")</f>
        <v>jan/yyyy a mar/yyyy</v>
      </c>
      <c r="F1170" t="s">
        <v>57</v>
      </c>
      <c r="G1170" t="s">
        <v>96</v>
      </c>
      <c r="H1170" t="s">
        <v>549</v>
      </c>
      <c r="I1170" s="104">
        <f>'P&amp;L Acumulado'!N58</f>
        <v>0</v>
      </c>
      <c r="J1170" t="s">
        <v>1071</v>
      </c>
      <c r="K1170" t="s">
        <v>1240</v>
      </c>
      <c r="L1170">
        <v>58</v>
      </c>
    </row>
    <row r="1171" spans="1:12" ht="18" customHeight="1" x14ac:dyDescent="0.25">
      <c r="A1171" t="s">
        <v>1070</v>
      </c>
      <c r="B1171" s="23">
        <f>'P&amp;L Acumulado'!$G$1</f>
        <v>46053</v>
      </c>
      <c r="C1171" s="23">
        <f>'P&amp;L Acumulado'!$I$1</f>
        <v>46112</v>
      </c>
      <c r="D1171" s="23">
        <f>'P&amp;L Acumulado'!$I$1</f>
        <v>46112</v>
      </c>
      <c r="E1171" t="str">
        <f>TEXT('P&amp;L Acumulado'!$G$1,"mmm/yyyy")&amp;" a "&amp;TEXT('P&amp;L Acumulado'!$I$1,"mmm/yyyy")</f>
        <v>jan/yyyy a mar/yyyy</v>
      </c>
      <c r="F1171" t="s">
        <v>57</v>
      </c>
      <c r="G1171" t="s">
        <v>96</v>
      </c>
      <c r="H1171" t="s">
        <v>557</v>
      </c>
      <c r="I1171" s="429">
        <f>'P&amp;L Acumulado'!O58</f>
        <v>0</v>
      </c>
      <c r="J1171" t="s">
        <v>1071</v>
      </c>
      <c r="K1171" t="s">
        <v>1241</v>
      </c>
      <c r="L1171">
        <v>58</v>
      </c>
    </row>
    <row r="1172" spans="1:12" ht="18" customHeight="1" x14ac:dyDescent="0.25">
      <c r="A1172" t="s">
        <v>1070</v>
      </c>
      <c r="B1172" s="23">
        <f>'P&amp;L Acumulado'!$G$1</f>
        <v>46053</v>
      </c>
      <c r="C1172" s="23">
        <f>'P&amp;L Acumulado'!$I$1</f>
        <v>46112</v>
      </c>
      <c r="D1172" s="23">
        <f>'P&amp;L Acumulado'!$I$1</f>
        <v>46112</v>
      </c>
      <c r="E1172" t="str">
        <f>TEXT('P&amp;L Acumulado'!$G$1,"mmm/yyyy")&amp;" a "&amp;TEXT('P&amp;L Acumulado'!$I$1,"mmm/yyyy")</f>
        <v>jan/yyyy a mar/yyyy</v>
      </c>
      <c r="F1172" t="s">
        <v>58</v>
      </c>
      <c r="G1172" t="s">
        <v>252</v>
      </c>
      <c r="H1172" t="s">
        <v>5</v>
      </c>
      <c r="I1172" s="429">
        <f>'P&amp;L Acumulado'!C59</f>
        <v>0</v>
      </c>
      <c r="J1172" t="s">
        <v>1071</v>
      </c>
      <c r="K1172" t="s">
        <v>1040</v>
      </c>
      <c r="L1172">
        <v>59</v>
      </c>
    </row>
    <row r="1173" spans="1:12" ht="18" customHeight="1" x14ac:dyDescent="0.25">
      <c r="A1173" t="s">
        <v>1070</v>
      </c>
      <c r="B1173" s="23">
        <f>'P&amp;L Acumulado'!$G$1</f>
        <v>46053</v>
      </c>
      <c r="C1173" s="23">
        <f>'P&amp;L Acumulado'!$I$1</f>
        <v>46112</v>
      </c>
      <c r="D1173" s="23">
        <f>'P&amp;L Acumulado'!$I$1</f>
        <v>46112</v>
      </c>
      <c r="E1173" t="str">
        <f>TEXT('P&amp;L Acumulado'!$G$1,"mmm/yyyy")&amp;" a "&amp;TEXT('P&amp;L Acumulado'!$I$1,"mmm/yyyy")</f>
        <v>jan/yyyy a mar/yyyy</v>
      </c>
      <c r="F1173" t="s">
        <v>58</v>
      </c>
      <c r="G1173" t="s">
        <v>252</v>
      </c>
      <c r="H1173" t="s">
        <v>6</v>
      </c>
      <c r="I1173" s="429">
        <f>'P&amp;L Acumulado'!D59</f>
        <v>0</v>
      </c>
      <c r="J1173" t="s">
        <v>1071</v>
      </c>
      <c r="K1173" t="s">
        <v>1041</v>
      </c>
      <c r="L1173">
        <v>59</v>
      </c>
    </row>
    <row r="1174" spans="1:12" ht="18" customHeight="1" x14ac:dyDescent="0.25">
      <c r="A1174" t="s">
        <v>1070</v>
      </c>
      <c r="B1174" s="23">
        <f>'P&amp;L Acumulado'!$G$1</f>
        <v>46053</v>
      </c>
      <c r="C1174" s="23">
        <f>'P&amp;L Acumulado'!$I$1</f>
        <v>46112</v>
      </c>
      <c r="D1174" s="23">
        <f>'P&amp;L Acumulado'!$I$1</f>
        <v>46112</v>
      </c>
      <c r="E1174" t="str">
        <f>TEXT('P&amp;L Acumulado'!$G$1,"mmm/yyyy")&amp;" a "&amp;TEXT('P&amp;L Acumulado'!$I$1,"mmm/yyyy")</f>
        <v>jan/yyyy a mar/yyyy</v>
      </c>
      <c r="F1174" t="s">
        <v>58</v>
      </c>
      <c r="G1174" t="s">
        <v>252</v>
      </c>
      <c r="H1174" t="s">
        <v>549</v>
      </c>
      <c r="I1174" s="104">
        <f>'P&amp;L Acumulado'!E59</f>
        <v>0</v>
      </c>
      <c r="J1174" t="s">
        <v>1071</v>
      </c>
      <c r="K1174" t="s">
        <v>1042</v>
      </c>
      <c r="L1174">
        <v>59</v>
      </c>
    </row>
    <row r="1175" spans="1:12" ht="18" customHeight="1" x14ac:dyDescent="0.25">
      <c r="A1175" t="s">
        <v>1070</v>
      </c>
      <c r="B1175" s="23">
        <f>'P&amp;L Acumulado'!$G$1</f>
        <v>46053</v>
      </c>
      <c r="C1175" s="23">
        <f>'P&amp;L Acumulado'!$I$1</f>
        <v>46112</v>
      </c>
      <c r="D1175" s="23">
        <f>'P&amp;L Acumulado'!$I$1</f>
        <v>46112</v>
      </c>
      <c r="E1175" t="str">
        <f>TEXT('P&amp;L Acumulado'!$G$1,"mmm/yyyy")&amp;" a "&amp;TEXT('P&amp;L Acumulado'!$I$1,"mmm/yyyy")</f>
        <v>jan/yyyy a mar/yyyy</v>
      </c>
      <c r="F1175" t="s">
        <v>58</v>
      </c>
      <c r="G1175" t="s">
        <v>205</v>
      </c>
      <c r="H1175" t="s">
        <v>5</v>
      </c>
      <c r="I1175" s="429">
        <f>'P&amp;L Acumulado'!F59</f>
        <v>0</v>
      </c>
      <c r="J1175" t="s">
        <v>1071</v>
      </c>
      <c r="K1175" t="s">
        <v>1043</v>
      </c>
      <c r="L1175">
        <v>59</v>
      </c>
    </row>
    <row r="1176" spans="1:12" ht="18" customHeight="1" x14ac:dyDescent="0.25">
      <c r="A1176" t="s">
        <v>1070</v>
      </c>
      <c r="B1176" s="23">
        <f>'P&amp;L Acumulado'!$G$1</f>
        <v>46053</v>
      </c>
      <c r="C1176" s="23">
        <f>'P&amp;L Acumulado'!$I$1</f>
        <v>46112</v>
      </c>
      <c r="D1176" s="23">
        <f>'P&amp;L Acumulado'!$I$1</f>
        <v>46112</v>
      </c>
      <c r="E1176" t="str">
        <f>TEXT('P&amp;L Acumulado'!$G$1,"mmm/yyyy")&amp;" a "&amp;TEXT('P&amp;L Acumulado'!$I$1,"mmm/yyyy")</f>
        <v>jan/yyyy a mar/yyyy</v>
      </c>
      <c r="F1176" t="s">
        <v>58</v>
      </c>
      <c r="G1176" t="s">
        <v>205</v>
      </c>
      <c r="H1176" t="s">
        <v>6</v>
      </c>
      <c r="I1176" s="429">
        <f>'P&amp;L Acumulado'!G59</f>
        <v>0</v>
      </c>
      <c r="J1176" t="s">
        <v>1071</v>
      </c>
      <c r="K1176" t="s">
        <v>1044</v>
      </c>
      <c r="L1176">
        <v>59</v>
      </c>
    </row>
    <row r="1177" spans="1:12" ht="18" customHeight="1" x14ac:dyDescent="0.25">
      <c r="A1177" t="s">
        <v>1070</v>
      </c>
      <c r="B1177" s="23">
        <f>'P&amp;L Acumulado'!$G$1</f>
        <v>46053</v>
      </c>
      <c r="C1177" s="23">
        <f>'P&amp;L Acumulado'!$I$1</f>
        <v>46112</v>
      </c>
      <c r="D1177" s="23">
        <f>'P&amp;L Acumulado'!$I$1</f>
        <v>46112</v>
      </c>
      <c r="E1177" t="str">
        <f>TEXT('P&amp;L Acumulado'!$G$1,"mmm/yyyy")&amp;" a "&amp;TEXT('P&amp;L Acumulado'!$I$1,"mmm/yyyy")</f>
        <v>jan/yyyy a mar/yyyy</v>
      </c>
      <c r="F1177" t="s">
        <v>58</v>
      </c>
      <c r="G1177" t="s">
        <v>205</v>
      </c>
      <c r="H1177" t="s">
        <v>549</v>
      </c>
      <c r="I1177" s="104">
        <f>'P&amp;L Acumulado'!H59</f>
        <v>0</v>
      </c>
      <c r="J1177" t="s">
        <v>1071</v>
      </c>
      <c r="K1177" t="s">
        <v>1045</v>
      </c>
      <c r="L1177">
        <v>59</v>
      </c>
    </row>
    <row r="1178" spans="1:12" ht="18" customHeight="1" x14ac:dyDescent="0.25">
      <c r="A1178" t="s">
        <v>1070</v>
      </c>
      <c r="B1178" s="23">
        <f>'P&amp;L Acumulado'!$G$1</f>
        <v>46053</v>
      </c>
      <c r="C1178" s="23">
        <f>'P&amp;L Acumulado'!$I$1</f>
        <v>46112</v>
      </c>
      <c r="D1178" s="23">
        <f>'P&amp;L Acumulado'!$I$1</f>
        <v>46112</v>
      </c>
      <c r="E1178" t="str">
        <f>TEXT('P&amp;L Acumulado'!$G$1,"mmm/yyyy")&amp;" a "&amp;TEXT('P&amp;L Acumulado'!$I$1,"mmm/yyyy")</f>
        <v>jan/yyyy a mar/yyyy</v>
      </c>
      <c r="F1178" t="s">
        <v>58</v>
      </c>
      <c r="G1178" t="s">
        <v>220</v>
      </c>
      <c r="H1178" t="s">
        <v>5</v>
      </c>
      <c r="I1178" s="429">
        <f>'P&amp;L Acumulado'!I59</f>
        <v>0</v>
      </c>
      <c r="J1178" t="s">
        <v>1071</v>
      </c>
      <c r="K1178" t="s">
        <v>1046</v>
      </c>
      <c r="L1178">
        <v>59</v>
      </c>
    </row>
    <row r="1179" spans="1:12" ht="18" customHeight="1" x14ac:dyDescent="0.25">
      <c r="A1179" t="s">
        <v>1070</v>
      </c>
      <c r="B1179" s="23">
        <f>'P&amp;L Acumulado'!$G$1</f>
        <v>46053</v>
      </c>
      <c r="C1179" s="23">
        <f>'P&amp;L Acumulado'!$I$1</f>
        <v>46112</v>
      </c>
      <c r="D1179" s="23">
        <f>'P&amp;L Acumulado'!$I$1</f>
        <v>46112</v>
      </c>
      <c r="E1179" t="str">
        <f>TEXT('P&amp;L Acumulado'!$G$1,"mmm/yyyy")&amp;" a "&amp;TEXT('P&amp;L Acumulado'!$I$1,"mmm/yyyy")</f>
        <v>jan/yyyy a mar/yyyy</v>
      </c>
      <c r="F1179" t="s">
        <v>58</v>
      </c>
      <c r="G1179" t="s">
        <v>220</v>
      </c>
      <c r="H1179" t="s">
        <v>6</v>
      </c>
      <c r="I1179" s="429">
        <f>'P&amp;L Acumulado'!J59</f>
        <v>0</v>
      </c>
      <c r="J1179" t="s">
        <v>1071</v>
      </c>
      <c r="K1179" t="s">
        <v>1047</v>
      </c>
      <c r="L1179">
        <v>59</v>
      </c>
    </row>
    <row r="1180" spans="1:12" ht="18" customHeight="1" x14ac:dyDescent="0.25">
      <c r="A1180" t="s">
        <v>1070</v>
      </c>
      <c r="B1180" s="23">
        <f>'P&amp;L Acumulado'!$G$1</f>
        <v>46053</v>
      </c>
      <c r="C1180" s="23">
        <f>'P&amp;L Acumulado'!$I$1</f>
        <v>46112</v>
      </c>
      <c r="D1180" s="23">
        <f>'P&amp;L Acumulado'!$I$1</f>
        <v>46112</v>
      </c>
      <c r="E1180" t="str">
        <f>TEXT('P&amp;L Acumulado'!$G$1,"mmm/yyyy")&amp;" a "&amp;TEXT('P&amp;L Acumulado'!$I$1,"mmm/yyyy")</f>
        <v>jan/yyyy a mar/yyyy</v>
      </c>
      <c r="F1180" t="s">
        <v>58</v>
      </c>
      <c r="G1180" t="s">
        <v>220</v>
      </c>
      <c r="H1180" t="s">
        <v>549</v>
      </c>
      <c r="I1180" s="104">
        <f>'P&amp;L Acumulado'!K59</f>
        <v>0</v>
      </c>
      <c r="J1180" t="s">
        <v>1071</v>
      </c>
      <c r="K1180" t="s">
        <v>1048</v>
      </c>
      <c r="L1180">
        <v>59</v>
      </c>
    </row>
    <row r="1181" spans="1:12" ht="18" customHeight="1" x14ac:dyDescent="0.25">
      <c r="A1181" t="s">
        <v>1070</v>
      </c>
      <c r="B1181" s="23">
        <f>'P&amp;L Acumulado'!$G$1</f>
        <v>46053</v>
      </c>
      <c r="C1181" s="23">
        <f>'P&amp;L Acumulado'!$I$1</f>
        <v>46112</v>
      </c>
      <c r="D1181" s="23">
        <f>'P&amp;L Acumulado'!$I$1</f>
        <v>46112</v>
      </c>
      <c r="E1181" t="str">
        <f>TEXT('P&amp;L Acumulado'!$G$1,"mmm/yyyy")&amp;" a "&amp;TEXT('P&amp;L Acumulado'!$I$1,"mmm/yyyy")</f>
        <v>jan/yyyy a mar/yyyy</v>
      </c>
      <c r="F1181" t="s">
        <v>58</v>
      </c>
      <c r="G1181" t="s">
        <v>96</v>
      </c>
      <c r="H1181" t="s">
        <v>5</v>
      </c>
      <c r="I1181" s="429">
        <f>'P&amp;L Acumulado'!L59</f>
        <v>0</v>
      </c>
      <c r="J1181" t="s">
        <v>1071</v>
      </c>
      <c r="K1181" t="s">
        <v>1049</v>
      </c>
      <c r="L1181">
        <v>59</v>
      </c>
    </row>
    <row r="1182" spans="1:12" ht="18" customHeight="1" x14ac:dyDescent="0.25">
      <c r="A1182" t="s">
        <v>1070</v>
      </c>
      <c r="B1182" s="23">
        <f>'P&amp;L Acumulado'!$G$1</f>
        <v>46053</v>
      </c>
      <c r="C1182" s="23">
        <f>'P&amp;L Acumulado'!$I$1</f>
        <v>46112</v>
      </c>
      <c r="D1182" s="23">
        <f>'P&amp;L Acumulado'!$I$1</f>
        <v>46112</v>
      </c>
      <c r="E1182" t="str">
        <f>TEXT('P&amp;L Acumulado'!$G$1,"mmm/yyyy")&amp;" a "&amp;TEXT('P&amp;L Acumulado'!$I$1,"mmm/yyyy")</f>
        <v>jan/yyyy a mar/yyyy</v>
      </c>
      <c r="F1182" t="s">
        <v>58</v>
      </c>
      <c r="G1182" t="s">
        <v>96</v>
      </c>
      <c r="H1182" t="s">
        <v>6</v>
      </c>
      <c r="I1182" s="429">
        <f>'P&amp;L Acumulado'!M59</f>
        <v>0</v>
      </c>
      <c r="J1182" t="s">
        <v>1071</v>
      </c>
      <c r="K1182" t="s">
        <v>1242</v>
      </c>
      <c r="L1182">
        <v>59</v>
      </c>
    </row>
    <row r="1183" spans="1:12" ht="18" customHeight="1" x14ac:dyDescent="0.25">
      <c r="A1183" t="s">
        <v>1070</v>
      </c>
      <c r="B1183" s="23">
        <f>'P&amp;L Acumulado'!$G$1</f>
        <v>46053</v>
      </c>
      <c r="C1183" s="23">
        <f>'P&amp;L Acumulado'!$I$1</f>
        <v>46112</v>
      </c>
      <c r="D1183" s="23">
        <f>'P&amp;L Acumulado'!$I$1</f>
        <v>46112</v>
      </c>
      <c r="E1183" t="str">
        <f>TEXT('P&amp;L Acumulado'!$G$1,"mmm/yyyy")&amp;" a "&amp;TEXT('P&amp;L Acumulado'!$I$1,"mmm/yyyy")</f>
        <v>jan/yyyy a mar/yyyy</v>
      </c>
      <c r="F1183" t="s">
        <v>58</v>
      </c>
      <c r="G1183" t="s">
        <v>96</v>
      </c>
      <c r="H1183" t="s">
        <v>549</v>
      </c>
      <c r="I1183" s="104">
        <f>'P&amp;L Acumulado'!N59</f>
        <v>0</v>
      </c>
      <c r="J1183" t="s">
        <v>1071</v>
      </c>
      <c r="K1183" t="s">
        <v>1243</v>
      </c>
      <c r="L1183">
        <v>59</v>
      </c>
    </row>
    <row r="1184" spans="1:12" ht="18" customHeight="1" x14ac:dyDescent="0.25">
      <c r="A1184" t="s">
        <v>1070</v>
      </c>
      <c r="B1184" s="23">
        <f>'P&amp;L Acumulado'!$G$1</f>
        <v>46053</v>
      </c>
      <c r="C1184" s="23">
        <f>'P&amp;L Acumulado'!$I$1</f>
        <v>46112</v>
      </c>
      <c r="D1184" s="23">
        <f>'P&amp;L Acumulado'!$I$1</f>
        <v>46112</v>
      </c>
      <c r="E1184" t="str">
        <f>TEXT('P&amp;L Acumulado'!$G$1,"mmm/yyyy")&amp;" a "&amp;TEXT('P&amp;L Acumulado'!$I$1,"mmm/yyyy")</f>
        <v>jan/yyyy a mar/yyyy</v>
      </c>
      <c r="F1184" t="s">
        <v>58</v>
      </c>
      <c r="G1184" t="s">
        <v>96</v>
      </c>
      <c r="H1184" t="s">
        <v>557</v>
      </c>
      <c r="I1184" s="429">
        <f>'P&amp;L Acumulado'!O59</f>
        <v>0</v>
      </c>
      <c r="J1184" t="s">
        <v>1071</v>
      </c>
      <c r="K1184" t="s">
        <v>1244</v>
      </c>
      <c r="L1184">
        <v>59</v>
      </c>
    </row>
    <row r="1185" spans="1:12" ht="18" customHeight="1" x14ac:dyDescent="0.25">
      <c r="A1185" t="s">
        <v>1070</v>
      </c>
      <c r="B1185" s="23">
        <f>'P&amp;L Acumulado'!$G$1</f>
        <v>46053</v>
      </c>
      <c r="C1185" s="23">
        <f>'P&amp;L Acumulado'!$I$1</f>
        <v>46112</v>
      </c>
      <c r="D1185" s="23">
        <f>'P&amp;L Acumulado'!$I$1</f>
        <v>46112</v>
      </c>
      <c r="E1185" t="str">
        <f>TEXT('P&amp;L Acumulado'!$G$1,"mmm/yyyy")&amp;" a "&amp;TEXT('P&amp;L Acumulado'!$I$1,"mmm/yyyy")</f>
        <v>jan/yyyy a mar/yyyy</v>
      </c>
      <c r="F1185" t="s">
        <v>46</v>
      </c>
      <c r="G1185" t="s">
        <v>252</v>
      </c>
      <c r="H1185" t="s">
        <v>5</v>
      </c>
      <c r="I1185" s="429">
        <f>'P&amp;L Acumulado'!C60</f>
        <v>0</v>
      </c>
      <c r="J1185" t="s">
        <v>1071</v>
      </c>
      <c r="K1185" t="s">
        <v>1245</v>
      </c>
      <c r="L1185">
        <v>60</v>
      </c>
    </row>
    <row r="1186" spans="1:12" ht="18" customHeight="1" x14ac:dyDescent="0.25">
      <c r="A1186" t="s">
        <v>1070</v>
      </c>
      <c r="B1186" s="23">
        <f>'P&amp;L Acumulado'!$G$1</f>
        <v>46053</v>
      </c>
      <c r="C1186" s="23">
        <f>'P&amp;L Acumulado'!$I$1</f>
        <v>46112</v>
      </c>
      <c r="D1186" s="23">
        <f>'P&amp;L Acumulado'!$I$1</f>
        <v>46112</v>
      </c>
      <c r="E1186" t="str">
        <f>TEXT('P&amp;L Acumulado'!$G$1,"mmm/yyyy")&amp;" a "&amp;TEXT('P&amp;L Acumulado'!$I$1,"mmm/yyyy")</f>
        <v>jan/yyyy a mar/yyyy</v>
      </c>
      <c r="F1186" t="s">
        <v>46</v>
      </c>
      <c r="G1186" t="s">
        <v>252</v>
      </c>
      <c r="H1186" t="s">
        <v>6</v>
      </c>
      <c r="I1186" s="429" t="e">
        <f>'P&amp;L Acumulado'!D60</f>
        <v>#DIV/0!</v>
      </c>
      <c r="J1186" t="s">
        <v>1071</v>
      </c>
      <c r="K1186" t="s">
        <v>1246</v>
      </c>
      <c r="L1186">
        <v>60</v>
      </c>
    </row>
    <row r="1187" spans="1:12" ht="18" customHeight="1" x14ac:dyDescent="0.25">
      <c r="A1187" t="s">
        <v>1070</v>
      </c>
      <c r="B1187" s="23">
        <f>'P&amp;L Acumulado'!$G$1</f>
        <v>46053</v>
      </c>
      <c r="C1187" s="23">
        <f>'P&amp;L Acumulado'!$I$1</f>
        <v>46112</v>
      </c>
      <c r="D1187" s="23">
        <f>'P&amp;L Acumulado'!$I$1</f>
        <v>46112</v>
      </c>
      <c r="E1187" t="str">
        <f>TEXT('P&amp;L Acumulado'!$G$1,"mmm/yyyy")&amp;" a "&amp;TEXT('P&amp;L Acumulado'!$I$1,"mmm/yyyy")</f>
        <v>jan/yyyy a mar/yyyy</v>
      </c>
      <c r="F1187" t="s">
        <v>46</v>
      </c>
      <c r="G1187" t="s">
        <v>252</v>
      </c>
      <c r="H1187" t="s">
        <v>549</v>
      </c>
      <c r="I1187" s="104" t="e">
        <f>'P&amp;L Acumulado'!E60</f>
        <v>#VALUE!</v>
      </c>
      <c r="J1187" t="s">
        <v>1071</v>
      </c>
      <c r="K1187" t="s">
        <v>1247</v>
      </c>
      <c r="L1187">
        <v>60</v>
      </c>
    </row>
    <row r="1188" spans="1:12" ht="18" customHeight="1" x14ac:dyDescent="0.25">
      <c r="A1188" t="s">
        <v>1070</v>
      </c>
      <c r="B1188" s="23">
        <f>'P&amp;L Acumulado'!$G$1</f>
        <v>46053</v>
      </c>
      <c r="C1188" s="23">
        <f>'P&amp;L Acumulado'!$I$1</f>
        <v>46112</v>
      </c>
      <c r="D1188" s="23">
        <f>'P&amp;L Acumulado'!$I$1</f>
        <v>46112</v>
      </c>
      <c r="E1188" t="str">
        <f>TEXT('P&amp;L Acumulado'!$G$1,"mmm/yyyy")&amp;" a "&amp;TEXT('P&amp;L Acumulado'!$I$1,"mmm/yyyy")</f>
        <v>jan/yyyy a mar/yyyy</v>
      </c>
      <c r="F1188" t="s">
        <v>46</v>
      </c>
      <c r="G1188" t="s">
        <v>205</v>
      </c>
      <c r="H1188" t="s">
        <v>5</v>
      </c>
      <c r="I1188" s="429">
        <f>'P&amp;L Acumulado'!F60</f>
        <v>9.5784007629438117E-2</v>
      </c>
      <c r="J1188" t="s">
        <v>1071</v>
      </c>
      <c r="K1188" t="s">
        <v>1248</v>
      </c>
      <c r="L1188">
        <v>60</v>
      </c>
    </row>
    <row r="1189" spans="1:12" ht="18" customHeight="1" x14ac:dyDescent="0.25">
      <c r="A1189" t="s">
        <v>1070</v>
      </c>
      <c r="B1189" s="23">
        <f>'P&amp;L Acumulado'!$G$1</f>
        <v>46053</v>
      </c>
      <c r="C1189" s="23">
        <f>'P&amp;L Acumulado'!$I$1</f>
        <v>46112</v>
      </c>
      <c r="D1189" s="23">
        <f>'P&amp;L Acumulado'!$I$1</f>
        <v>46112</v>
      </c>
      <c r="E1189" t="str">
        <f>TEXT('P&amp;L Acumulado'!$G$1,"mmm/yyyy")&amp;" a "&amp;TEXT('P&amp;L Acumulado'!$I$1,"mmm/yyyy")</f>
        <v>jan/yyyy a mar/yyyy</v>
      </c>
      <c r="F1189" t="s">
        <v>46</v>
      </c>
      <c r="G1189" t="s">
        <v>205</v>
      </c>
      <c r="H1189" t="s">
        <v>6</v>
      </c>
      <c r="I1189" s="429">
        <f>'P&amp;L Acumulado'!G60</f>
        <v>9.7645561593590002E-2</v>
      </c>
      <c r="J1189" t="s">
        <v>1071</v>
      </c>
      <c r="K1189" t="s">
        <v>1249</v>
      </c>
      <c r="L1189">
        <v>60</v>
      </c>
    </row>
    <row r="1190" spans="1:12" ht="18" customHeight="1" x14ac:dyDescent="0.25">
      <c r="A1190" t="s">
        <v>1070</v>
      </c>
      <c r="B1190" s="23">
        <f>'P&amp;L Acumulado'!$G$1</f>
        <v>46053</v>
      </c>
      <c r="C1190" s="23">
        <f>'P&amp;L Acumulado'!$I$1</f>
        <v>46112</v>
      </c>
      <c r="D1190" s="23">
        <f>'P&amp;L Acumulado'!$I$1</f>
        <v>46112</v>
      </c>
      <c r="E1190" t="str">
        <f>TEXT('P&amp;L Acumulado'!$G$1,"mmm/yyyy")&amp;" a "&amp;TEXT('P&amp;L Acumulado'!$I$1,"mmm/yyyy")</f>
        <v>jan/yyyy a mar/yyyy</v>
      </c>
      <c r="F1190" t="s">
        <v>46</v>
      </c>
      <c r="G1190" t="s">
        <v>205</v>
      </c>
      <c r="H1190" t="s">
        <v>549</v>
      </c>
      <c r="I1190" s="104">
        <f>'P&amp;L Acumulado'!H60</f>
        <v>-0.18615539641518852</v>
      </c>
      <c r="J1190" t="s">
        <v>1071</v>
      </c>
      <c r="K1190" t="s">
        <v>1250</v>
      </c>
      <c r="L1190">
        <v>60</v>
      </c>
    </row>
    <row r="1191" spans="1:12" ht="18" customHeight="1" x14ac:dyDescent="0.25">
      <c r="A1191" t="s">
        <v>1070</v>
      </c>
      <c r="B1191" s="23">
        <f>'P&amp;L Acumulado'!$G$1</f>
        <v>46053</v>
      </c>
      <c r="C1191" s="23">
        <f>'P&amp;L Acumulado'!$I$1</f>
        <v>46112</v>
      </c>
      <c r="D1191" s="23">
        <f>'P&amp;L Acumulado'!$I$1</f>
        <v>46112</v>
      </c>
      <c r="E1191" t="str">
        <f>TEXT('P&amp;L Acumulado'!$G$1,"mmm/yyyy")&amp;" a "&amp;TEXT('P&amp;L Acumulado'!$I$1,"mmm/yyyy")</f>
        <v>jan/yyyy a mar/yyyy</v>
      </c>
      <c r="F1191" t="s">
        <v>46</v>
      </c>
      <c r="G1191" t="s">
        <v>220</v>
      </c>
      <c r="H1191" t="s">
        <v>5</v>
      </c>
      <c r="I1191" s="429">
        <f>'P&amp;L Acumulado'!I60</f>
        <v>9.3472594047418422E-2</v>
      </c>
      <c r="J1191" t="s">
        <v>1071</v>
      </c>
      <c r="K1191" t="s">
        <v>1251</v>
      </c>
      <c r="L1191">
        <v>60</v>
      </c>
    </row>
    <row r="1192" spans="1:12" ht="18" customHeight="1" x14ac:dyDescent="0.25">
      <c r="A1192" t="s">
        <v>1070</v>
      </c>
      <c r="B1192" s="23">
        <f>'P&amp;L Acumulado'!$G$1</f>
        <v>46053</v>
      </c>
      <c r="C1192" s="23">
        <f>'P&amp;L Acumulado'!$I$1</f>
        <v>46112</v>
      </c>
      <c r="D1192" s="23">
        <f>'P&amp;L Acumulado'!$I$1</f>
        <v>46112</v>
      </c>
      <c r="E1192" t="str">
        <f>TEXT('P&amp;L Acumulado'!$G$1,"mmm/yyyy")&amp;" a "&amp;TEXT('P&amp;L Acumulado'!$I$1,"mmm/yyyy")</f>
        <v>jan/yyyy a mar/yyyy</v>
      </c>
      <c r="F1192" t="s">
        <v>46</v>
      </c>
      <c r="G1192" t="s">
        <v>220</v>
      </c>
      <c r="H1192" t="s">
        <v>6</v>
      </c>
      <c r="I1192" s="429">
        <f>'P&amp;L Acumulado'!J60</f>
        <v>8.8911349685385402E-2</v>
      </c>
      <c r="J1192" t="s">
        <v>1071</v>
      </c>
      <c r="K1192" t="s">
        <v>1252</v>
      </c>
      <c r="L1192">
        <v>60</v>
      </c>
    </row>
    <row r="1193" spans="1:12" ht="18" customHeight="1" x14ac:dyDescent="0.25">
      <c r="A1193" t="s">
        <v>1070</v>
      </c>
      <c r="B1193" s="23">
        <f>'P&amp;L Acumulado'!$G$1</f>
        <v>46053</v>
      </c>
      <c r="C1193" s="23">
        <f>'P&amp;L Acumulado'!$I$1</f>
        <v>46112</v>
      </c>
      <c r="D1193" s="23">
        <f>'P&amp;L Acumulado'!$I$1</f>
        <v>46112</v>
      </c>
      <c r="E1193" t="str">
        <f>TEXT('P&amp;L Acumulado'!$G$1,"mmm/yyyy")&amp;" a "&amp;TEXT('P&amp;L Acumulado'!$I$1,"mmm/yyyy")</f>
        <v>jan/yyyy a mar/yyyy</v>
      </c>
      <c r="F1193" t="s">
        <v>46</v>
      </c>
      <c r="G1193" t="s">
        <v>220</v>
      </c>
      <c r="H1193" t="s">
        <v>549</v>
      </c>
      <c r="I1193" s="104">
        <f>'P&amp;L Acumulado'!K60</f>
        <v>0.45612443620330206</v>
      </c>
      <c r="J1193" t="s">
        <v>1071</v>
      </c>
      <c r="K1193" t="s">
        <v>1253</v>
      </c>
      <c r="L1193">
        <v>60</v>
      </c>
    </row>
    <row r="1194" spans="1:12" ht="18" customHeight="1" x14ac:dyDescent="0.25">
      <c r="A1194" t="s">
        <v>1070</v>
      </c>
      <c r="B1194" s="23">
        <f>'P&amp;L Acumulado'!$G$1</f>
        <v>46053</v>
      </c>
      <c r="C1194" s="23">
        <f>'P&amp;L Acumulado'!$I$1</f>
        <v>46112</v>
      </c>
      <c r="D1194" s="23">
        <f>'P&amp;L Acumulado'!$I$1</f>
        <v>46112</v>
      </c>
      <c r="E1194" t="str">
        <f>TEXT('P&amp;L Acumulado'!$G$1,"mmm/yyyy")&amp;" a "&amp;TEXT('P&amp;L Acumulado'!$I$1,"mmm/yyyy")</f>
        <v>jan/yyyy a mar/yyyy</v>
      </c>
      <c r="F1194" t="s">
        <v>46</v>
      </c>
      <c r="G1194" t="s">
        <v>96</v>
      </c>
      <c r="H1194" t="s">
        <v>5</v>
      </c>
      <c r="I1194" s="429">
        <f>'P&amp;L Acumulado'!L60</f>
        <v>9.3953367871981802E-2</v>
      </c>
      <c r="J1194" t="s">
        <v>1071</v>
      </c>
      <c r="K1194" t="s">
        <v>1254</v>
      </c>
      <c r="L1194">
        <v>60</v>
      </c>
    </row>
    <row r="1195" spans="1:12" ht="18" customHeight="1" x14ac:dyDescent="0.25">
      <c r="A1195" t="s">
        <v>1070</v>
      </c>
      <c r="B1195" s="23">
        <f>'P&amp;L Acumulado'!$G$1</f>
        <v>46053</v>
      </c>
      <c r="C1195" s="23">
        <f>'P&amp;L Acumulado'!$I$1</f>
        <v>46112</v>
      </c>
      <c r="D1195" s="23">
        <f>'P&amp;L Acumulado'!$I$1</f>
        <v>46112</v>
      </c>
      <c r="E1195" t="str">
        <f>TEXT('P&amp;L Acumulado'!$G$1,"mmm/yyyy")&amp;" a "&amp;TEXT('P&amp;L Acumulado'!$I$1,"mmm/yyyy")</f>
        <v>jan/yyyy a mar/yyyy</v>
      </c>
      <c r="F1195" t="s">
        <v>46</v>
      </c>
      <c r="G1195" t="s">
        <v>96</v>
      </c>
      <c r="H1195" t="s">
        <v>6</v>
      </c>
      <c r="I1195" s="429">
        <f>'P&amp;L Acumulado'!M60</f>
        <v>9.0767117279416207E-2</v>
      </c>
      <c r="J1195" t="s">
        <v>1071</v>
      </c>
      <c r="K1195" t="s">
        <v>1255</v>
      </c>
      <c r="L1195">
        <v>60</v>
      </c>
    </row>
    <row r="1196" spans="1:12" ht="18" customHeight="1" x14ac:dyDescent="0.25">
      <c r="A1196" t="s">
        <v>1070</v>
      </c>
      <c r="B1196" s="23">
        <f>'P&amp;L Acumulado'!$G$1</f>
        <v>46053</v>
      </c>
      <c r="C1196" s="23">
        <f>'P&amp;L Acumulado'!$I$1</f>
        <v>46112</v>
      </c>
      <c r="D1196" s="23">
        <f>'P&amp;L Acumulado'!$I$1</f>
        <v>46112</v>
      </c>
      <c r="E1196" t="str">
        <f>TEXT('P&amp;L Acumulado'!$G$1,"mmm/yyyy")&amp;" a "&amp;TEXT('P&amp;L Acumulado'!$I$1,"mmm/yyyy")</f>
        <v>jan/yyyy a mar/yyyy</v>
      </c>
      <c r="F1196" t="s">
        <v>46</v>
      </c>
      <c r="G1196" t="s">
        <v>96</v>
      </c>
      <c r="H1196" t="s">
        <v>549</v>
      </c>
      <c r="I1196" s="104">
        <f>'P&amp;L Acumulado'!N60</f>
        <v>0.31862505925655954</v>
      </c>
      <c r="J1196" t="s">
        <v>1071</v>
      </c>
      <c r="K1196" t="s">
        <v>1256</v>
      </c>
      <c r="L1196">
        <v>60</v>
      </c>
    </row>
    <row r="1197" spans="1:12" ht="18" customHeight="1" x14ac:dyDescent="0.25">
      <c r="A1197" t="s">
        <v>1070</v>
      </c>
      <c r="B1197" s="23">
        <f>'P&amp;L Acumulado'!$G$1</f>
        <v>46053</v>
      </c>
      <c r="C1197" s="23">
        <f>'P&amp;L Acumulado'!$I$1</f>
        <v>46112</v>
      </c>
      <c r="D1197" s="23">
        <f>'P&amp;L Acumulado'!$I$1</f>
        <v>46112</v>
      </c>
      <c r="E1197" t="str">
        <f>TEXT('P&amp;L Acumulado'!$G$1,"mmm/yyyy")&amp;" a "&amp;TEXT('P&amp;L Acumulado'!$I$1,"mmm/yyyy")</f>
        <v>jan/yyyy a mar/yyyy</v>
      </c>
      <c r="F1197" t="s">
        <v>46</v>
      </c>
      <c r="G1197" t="s">
        <v>96</v>
      </c>
      <c r="H1197" t="s">
        <v>557</v>
      </c>
      <c r="I1197" s="429">
        <f>'P&amp;L Acumulado'!O60</f>
        <v>0</v>
      </c>
      <c r="J1197" t="s">
        <v>1071</v>
      </c>
      <c r="K1197" t="s">
        <v>1257</v>
      </c>
      <c r="L1197">
        <v>60</v>
      </c>
    </row>
    <row r="1198" spans="1:12" ht="18" customHeight="1" x14ac:dyDescent="0.25">
      <c r="A1198" t="s">
        <v>1070</v>
      </c>
      <c r="B1198" s="23">
        <f>'P&amp;L Acumulado'!$G$1</f>
        <v>46053</v>
      </c>
      <c r="C1198" s="23">
        <f>'P&amp;L Acumulado'!$I$1</f>
        <v>46112</v>
      </c>
      <c r="D1198" s="23">
        <f>'P&amp;L Acumulado'!$I$1</f>
        <v>46112</v>
      </c>
      <c r="E1198" t="str">
        <f>TEXT('P&amp;L Acumulado'!$G$1,"mmm/yyyy")&amp;" a "&amp;TEXT('P&amp;L Acumulado'!$I$1,"mmm/yyyy")</f>
        <v>jan/yyyy a mar/yyyy</v>
      </c>
      <c r="F1198" t="s">
        <v>47</v>
      </c>
      <c r="G1198" t="s">
        <v>252</v>
      </c>
      <c r="H1198" t="s">
        <v>5</v>
      </c>
      <c r="I1198" s="429">
        <f>'P&amp;L Acumulado'!C61</f>
        <v>0</v>
      </c>
      <c r="J1198" t="s">
        <v>1071</v>
      </c>
      <c r="K1198" t="s">
        <v>1050</v>
      </c>
      <c r="L1198">
        <v>61</v>
      </c>
    </row>
    <row r="1199" spans="1:12" ht="18" customHeight="1" x14ac:dyDescent="0.25">
      <c r="A1199" t="s">
        <v>1070</v>
      </c>
      <c r="B1199" s="23">
        <f>'P&amp;L Acumulado'!$G$1</f>
        <v>46053</v>
      </c>
      <c r="C1199" s="23">
        <f>'P&amp;L Acumulado'!$I$1</f>
        <v>46112</v>
      </c>
      <c r="D1199" s="23">
        <f>'P&amp;L Acumulado'!$I$1</f>
        <v>46112</v>
      </c>
      <c r="E1199" t="str">
        <f>TEXT('P&amp;L Acumulado'!$G$1,"mmm/yyyy")&amp;" a "&amp;TEXT('P&amp;L Acumulado'!$I$1,"mmm/yyyy")</f>
        <v>jan/yyyy a mar/yyyy</v>
      </c>
      <c r="F1199" t="s">
        <v>47</v>
      </c>
      <c r="G1199" t="s">
        <v>252</v>
      </c>
      <c r="H1199" t="s">
        <v>6</v>
      </c>
      <c r="I1199" s="429" t="e">
        <f>'P&amp;L Acumulado'!D61</f>
        <v>#DIV/0!</v>
      </c>
      <c r="J1199" t="s">
        <v>1071</v>
      </c>
      <c r="K1199" t="s">
        <v>1051</v>
      </c>
      <c r="L1199">
        <v>61</v>
      </c>
    </row>
    <row r="1200" spans="1:12" ht="18" customHeight="1" x14ac:dyDescent="0.25">
      <c r="A1200" t="s">
        <v>1070</v>
      </c>
      <c r="B1200" s="23">
        <f>'P&amp;L Acumulado'!$G$1</f>
        <v>46053</v>
      </c>
      <c r="C1200" s="23">
        <f>'P&amp;L Acumulado'!$I$1</f>
        <v>46112</v>
      </c>
      <c r="D1200" s="23">
        <f>'P&amp;L Acumulado'!$I$1</f>
        <v>46112</v>
      </c>
      <c r="E1200" t="str">
        <f>TEXT('P&amp;L Acumulado'!$G$1,"mmm/yyyy")&amp;" a "&amp;TEXT('P&amp;L Acumulado'!$I$1,"mmm/yyyy")</f>
        <v>jan/yyyy a mar/yyyy</v>
      </c>
      <c r="F1200" t="s">
        <v>47</v>
      </c>
      <c r="G1200" t="s">
        <v>252</v>
      </c>
      <c r="H1200" t="s">
        <v>549</v>
      </c>
      <c r="I1200" s="104" t="e">
        <f>'P&amp;L Acumulado'!E61</f>
        <v>#VALUE!</v>
      </c>
      <c r="J1200" t="s">
        <v>1071</v>
      </c>
      <c r="K1200" t="s">
        <v>1052</v>
      </c>
      <c r="L1200">
        <v>61</v>
      </c>
    </row>
    <row r="1201" spans="1:12" ht="18" customHeight="1" x14ac:dyDescent="0.25">
      <c r="A1201" t="s">
        <v>1070</v>
      </c>
      <c r="B1201" s="23">
        <f>'P&amp;L Acumulado'!$G$1</f>
        <v>46053</v>
      </c>
      <c r="C1201" s="23">
        <f>'P&amp;L Acumulado'!$I$1</f>
        <v>46112</v>
      </c>
      <c r="D1201" s="23">
        <f>'P&amp;L Acumulado'!$I$1</f>
        <v>46112</v>
      </c>
      <c r="E1201" t="str">
        <f>TEXT('P&amp;L Acumulado'!$G$1,"mmm/yyyy")&amp;" a "&amp;TEXT('P&amp;L Acumulado'!$I$1,"mmm/yyyy")</f>
        <v>jan/yyyy a mar/yyyy</v>
      </c>
      <c r="F1201" t="s">
        <v>47</v>
      </c>
      <c r="G1201" t="s">
        <v>205</v>
      </c>
      <c r="H1201" t="s">
        <v>5</v>
      </c>
      <c r="I1201" s="429">
        <f>'P&amp;L Acumulado'!F61</f>
        <v>7.8814959458427966E-2</v>
      </c>
      <c r="J1201" t="s">
        <v>1071</v>
      </c>
      <c r="K1201" t="s">
        <v>1053</v>
      </c>
      <c r="L1201">
        <v>61</v>
      </c>
    </row>
    <row r="1202" spans="1:12" ht="18" customHeight="1" x14ac:dyDescent="0.25">
      <c r="A1202" t="s">
        <v>1070</v>
      </c>
      <c r="B1202" s="23">
        <f>'P&amp;L Acumulado'!$G$1</f>
        <v>46053</v>
      </c>
      <c r="C1202" s="23">
        <f>'P&amp;L Acumulado'!$I$1</f>
        <v>46112</v>
      </c>
      <c r="D1202" s="23">
        <f>'P&amp;L Acumulado'!$I$1</f>
        <v>46112</v>
      </c>
      <c r="E1202" t="str">
        <f>TEXT('P&amp;L Acumulado'!$G$1,"mmm/yyyy")&amp;" a "&amp;TEXT('P&amp;L Acumulado'!$I$1,"mmm/yyyy")</f>
        <v>jan/yyyy a mar/yyyy</v>
      </c>
      <c r="F1202" t="s">
        <v>47</v>
      </c>
      <c r="G1202" t="s">
        <v>205</v>
      </c>
      <c r="H1202" t="s">
        <v>6</v>
      </c>
      <c r="I1202" s="429">
        <f>'P&amp;L Acumulado'!G61</f>
        <v>7.9610003148931935E-2</v>
      </c>
      <c r="J1202" t="s">
        <v>1071</v>
      </c>
      <c r="K1202" t="s">
        <v>1054</v>
      </c>
      <c r="L1202">
        <v>61</v>
      </c>
    </row>
    <row r="1203" spans="1:12" ht="18" customHeight="1" x14ac:dyDescent="0.25">
      <c r="A1203" t="s">
        <v>1070</v>
      </c>
      <c r="B1203" s="23">
        <f>'P&amp;L Acumulado'!$G$1</f>
        <v>46053</v>
      </c>
      <c r="C1203" s="23">
        <f>'P&amp;L Acumulado'!$I$1</f>
        <v>46112</v>
      </c>
      <c r="D1203" s="23">
        <f>'P&amp;L Acumulado'!$I$1</f>
        <v>46112</v>
      </c>
      <c r="E1203" t="str">
        <f>TEXT('P&amp;L Acumulado'!$G$1,"mmm/yyyy")&amp;" a "&amp;TEXT('P&amp;L Acumulado'!$I$1,"mmm/yyyy")</f>
        <v>jan/yyyy a mar/yyyy</v>
      </c>
      <c r="F1203" t="s">
        <v>47</v>
      </c>
      <c r="G1203" t="s">
        <v>205</v>
      </c>
      <c r="H1203" t="s">
        <v>549</v>
      </c>
      <c r="I1203" s="104">
        <f>'P&amp;L Acumulado'!H61</f>
        <v>-7.9504369050396873E-2</v>
      </c>
      <c r="J1203" t="s">
        <v>1071</v>
      </c>
      <c r="K1203" t="s">
        <v>1055</v>
      </c>
      <c r="L1203">
        <v>61</v>
      </c>
    </row>
    <row r="1204" spans="1:12" ht="18" customHeight="1" x14ac:dyDescent="0.25">
      <c r="A1204" t="s">
        <v>1070</v>
      </c>
      <c r="B1204" s="23">
        <f>'P&amp;L Acumulado'!$G$1</f>
        <v>46053</v>
      </c>
      <c r="C1204" s="23">
        <f>'P&amp;L Acumulado'!$I$1</f>
        <v>46112</v>
      </c>
      <c r="D1204" s="23">
        <f>'P&amp;L Acumulado'!$I$1</f>
        <v>46112</v>
      </c>
      <c r="E1204" t="str">
        <f>TEXT('P&amp;L Acumulado'!$G$1,"mmm/yyyy")&amp;" a "&amp;TEXT('P&amp;L Acumulado'!$I$1,"mmm/yyyy")</f>
        <v>jan/yyyy a mar/yyyy</v>
      </c>
      <c r="F1204" t="s">
        <v>47</v>
      </c>
      <c r="G1204" t="s">
        <v>220</v>
      </c>
      <c r="H1204" t="s">
        <v>5</v>
      </c>
      <c r="I1204" s="429">
        <f>'P&amp;L Acumulado'!I61</f>
        <v>8.3915327456334343E-2</v>
      </c>
      <c r="J1204" t="s">
        <v>1071</v>
      </c>
      <c r="K1204" t="s">
        <v>1056</v>
      </c>
      <c r="L1204">
        <v>61</v>
      </c>
    </row>
    <row r="1205" spans="1:12" ht="18" customHeight="1" x14ac:dyDescent="0.25">
      <c r="A1205" t="s">
        <v>1070</v>
      </c>
      <c r="B1205" s="23">
        <f>'P&amp;L Acumulado'!$G$1</f>
        <v>46053</v>
      </c>
      <c r="C1205" s="23">
        <f>'P&amp;L Acumulado'!$I$1</f>
        <v>46112</v>
      </c>
      <c r="D1205" s="23">
        <f>'P&amp;L Acumulado'!$I$1</f>
        <v>46112</v>
      </c>
      <c r="E1205" t="str">
        <f>TEXT('P&amp;L Acumulado'!$G$1,"mmm/yyyy")&amp;" a "&amp;TEXT('P&amp;L Acumulado'!$I$1,"mmm/yyyy")</f>
        <v>jan/yyyy a mar/yyyy</v>
      </c>
      <c r="F1205" t="s">
        <v>47</v>
      </c>
      <c r="G1205" t="s">
        <v>220</v>
      </c>
      <c r="H1205" t="s">
        <v>6</v>
      </c>
      <c r="I1205" s="429">
        <f>'P&amp;L Acumulado'!J61</f>
        <v>7.9122593504832681E-2</v>
      </c>
      <c r="J1205" t="s">
        <v>1071</v>
      </c>
      <c r="K1205" t="s">
        <v>1057</v>
      </c>
      <c r="L1205">
        <v>61</v>
      </c>
    </row>
    <row r="1206" spans="1:12" ht="18" customHeight="1" x14ac:dyDescent="0.25">
      <c r="A1206" t="s">
        <v>1070</v>
      </c>
      <c r="B1206" s="23">
        <f>'P&amp;L Acumulado'!$G$1</f>
        <v>46053</v>
      </c>
      <c r="C1206" s="23">
        <f>'P&amp;L Acumulado'!$I$1</f>
        <v>46112</v>
      </c>
      <c r="D1206" s="23">
        <f>'P&amp;L Acumulado'!$I$1</f>
        <v>46112</v>
      </c>
      <c r="E1206" t="str">
        <f>TEXT('P&amp;L Acumulado'!$G$1,"mmm/yyyy")&amp;" a "&amp;TEXT('P&amp;L Acumulado'!$I$1,"mmm/yyyy")</f>
        <v>jan/yyyy a mar/yyyy</v>
      </c>
      <c r="F1206" t="s">
        <v>47</v>
      </c>
      <c r="G1206" t="s">
        <v>220</v>
      </c>
      <c r="H1206" t="s">
        <v>549</v>
      </c>
      <c r="I1206" s="104">
        <f>'P&amp;L Acumulado'!K61</f>
        <v>0.47927339515016626</v>
      </c>
      <c r="J1206" t="s">
        <v>1071</v>
      </c>
      <c r="K1206" t="s">
        <v>1058</v>
      </c>
      <c r="L1206">
        <v>61</v>
      </c>
    </row>
    <row r="1207" spans="1:12" ht="18" customHeight="1" x14ac:dyDescent="0.25">
      <c r="A1207" t="s">
        <v>1070</v>
      </c>
      <c r="B1207" s="23">
        <f>'P&amp;L Acumulado'!$G$1</f>
        <v>46053</v>
      </c>
      <c r="C1207" s="23">
        <f>'P&amp;L Acumulado'!$I$1</f>
        <v>46112</v>
      </c>
      <c r="D1207" s="23">
        <f>'P&amp;L Acumulado'!$I$1</f>
        <v>46112</v>
      </c>
      <c r="E1207" t="str">
        <f>TEXT('P&amp;L Acumulado'!$G$1,"mmm/yyyy")&amp;" a "&amp;TEXT('P&amp;L Acumulado'!$I$1,"mmm/yyyy")</f>
        <v>jan/yyyy a mar/yyyy</v>
      </c>
      <c r="F1207" t="s">
        <v>47</v>
      </c>
      <c r="G1207" t="s">
        <v>96</v>
      </c>
      <c r="H1207" t="s">
        <v>5</v>
      </c>
      <c r="I1207" s="429">
        <f>'P&amp;L Acumulado'!L61</f>
        <v>8.2854451355186043E-2</v>
      </c>
      <c r="J1207" t="s">
        <v>1071</v>
      </c>
      <c r="K1207" t="s">
        <v>1059</v>
      </c>
      <c r="L1207">
        <v>61</v>
      </c>
    </row>
    <row r="1208" spans="1:12" ht="18" customHeight="1" x14ac:dyDescent="0.25">
      <c r="A1208" t="s">
        <v>1070</v>
      </c>
      <c r="B1208" s="23">
        <f>'P&amp;L Acumulado'!$G$1</f>
        <v>46053</v>
      </c>
      <c r="C1208" s="23">
        <f>'P&amp;L Acumulado'!$I$1</f>
        <v>46112</v>
      </c>
      <c r="D1208" s="23">
        <f>'P&amp;L Acumulado'!$I$1</f>
        <v>46112</v>
      </c>
      <c r="E1208" t="str">
        <f>TEXT('P&amp;L Acumulado'!$G$1,"mmm/yyyy")&amp;" a "&amp;TEXT('P&amp;L Acumulado'!$I$1,"mmm/yyyy")</f>
        <v>jan/yyyy a mar/yyyy</v>
      </c>
      <c r="F1208" t="s">
        <v>47</v>
      </c>
      <c r="G1208" t="s">
        <v>96</v>
      </c>
      <c r="H1208" t="s">
        <v>6</v>
      </c>
      <c r="I1208" s="429">
        <f>'P&amp;L Acumulado'!M61</f>
        <v>7.9226153967075164E-2</v>
      </c>
      <c r="J1208" t="s">
        <v>1071</v>
      </c>
      <c r="K1208" t="s">
        <v>1258</v>
      </c>
      <c r="L1208">
        <v>61</v>
      </c>
    </row>
    <row r="1209" spans="1:12" ht="18" customHeight="1" x14ac:dyDescent="0.25">
      <c r="A1209" t="s">
        <v>1070</v>
      </c>
      <c r="B1209" s="23">
        <f>'P&amp;L Acumulado'!$G$1</f>
        <v>46053</v>
      </c>
      <c r="C1209" s="23">
        <f>'P&amp;L Acumulado'!$I$1</f>
        <v>46112</v>
      </c>
      <c r="D1209" s="23">
        <f>'P&amp;L Acumulado'!$I$1</f>
        <v>46112</v>
      </c>
      <c r="E1209" t="str">
        <f>TEXT('P&amp;L Acumulado'!$G$1,"mmm/yyyy")&amp;" a "&amp;TEXT('P&amp;L Acumulado'!$I$1,"mmm/yyyy")</f>
        <v>jan/yyyy a mar/yyyy</v>
      </c>
      <c r="F1209" t="s">
        <v>47</v>
      </c>
      <c r="G1209" t="s">
        <v>96</v>
      </c>
      <c r="H1209" t="s">
        <v>549</v>
      </c>
      <c r="I1209" s="104">
        <f>'P&amp;L Acumulado'!N61</f>
        <v>0.36282973881108793</v>
      </c>
      <c r="J1209" t="s">
        <v>1071</v>
      </c>
      <c r="K1209" t="s">
        <v>1259</v>
      </c>
      <c r="L1209">
        <v>61</v>
      </c>
    </row>
    <row r="1210" spans="1:12" ht="18" customHeight="1" x14ac:dyDescent="0.25">
      <c r="A1210" t="s">
        <v>1070</v>
      </c>
      <c r="B1210" s="23">
        <f>'P&amp;L Acumulado'!$G$1</f>
        <v>46053</v>
      </c>
      <c r="C1210" s="23">
        <f>'P&amp;L Acumulado'!$I$1</f>
        <v>46112</v>
      </c>
      <c r="D1210" s="23">
        <f>'P&amp;L Acumulado'!$I$1</f>
        <v>46112</v>
      </c>
      <c r="E1210" t="str">
        <f>TEXT('P&amp;L Acumulado'!$G$1,"mmm/yyyy")&amp;" a "&amp;TEXT('P&amp;L Acumulado'!$I$1,"mmm/yyyy")</f>
        <v>jan/yyyy a mar/yyyy</v>
      </c>
      <c r="F1210" t="s">
        <v>47</v>
      </c>
      <c r="G1210" t="s">
        <v>96</v>
      </c>
      <c r="H1210" t="s">
        <v>557</v>
      </c>
      <c r="I1210" s="429">
        <f>'P&amp;L Acumulado'!O61</f>
        <v>0</v>
      </c>
      <c r="J1210" t="s">
        <v>1071</v>
      </c>
      <c r="K1210" t="s">
        <v>1260</v>
      </c>
      <c r="L1210">
        <v>61</v>
      </c>
    </row>
    <row r="1211" spans="1:12" ht="18" customHeight="1" x14ac:dyDescent="0.25">
      <c r="A1211" t="s">
        <v>1070</v>
      </c>
      <c r="B1211" s="23">
        <f>'P&amp;L Acumulado'!$G$1</f>
        <v>46053</v>
      </c>
      <c r="C1211" s="23">
        <f>'P&amp;L Acumulado'!$I$1</f>
        <v>46112</v>
      </c>
      <c r="D1211" s="23">
        <f>'P&amp;L Acumulado'!$I$1</f>
        <v>46112</v>
      </c>
      <c r="E1211" t="str">
        <f>TEXT('P&amp;L Acumulado'!$G$1,"mmm/yyyy")&amp;" a "&amp;TEXT('P&amp;L Acumulado'!$I$1,"mmm/yyyy")</f>
        <v>jan/yyyy a mar/yyyy</v>
      </c>
      <c r="F1211" t="s">
        <v>48</v>
      </c>
      <c r="G1211" t="s">
        <v>252</v>
      </c>
      <c r="H1211" t="s">
        <v>5</v>
      </c>
      <c r="I1211" s="429" t="e">
        <f>'P&amp;L Acumulado'!C62</f>
        <v>#DIV/0!</v>
      </c>
      <c r="J1211" t="s">
        <v>1071</v>
      </c>
      <c r="K1211" t="s">
        <v>1261</v>
      </c>
      <c r="L1211">
        <v>62</v>
      </c>
    </row>
    <row r="1212" spans="1:12" ht="18" customHeight="1" x14ac:dyDescent="0.25">
      <c r="A1212" t="s">
        <v>1070</v>
      </c>
      <c r="B1212" s="23">
        <f>'P&amp;L Acumulado'!$G$1</f>
        <v>46053</v>
      </c>
      <c r="C1212" s="23">
        <f>'P&amp;L Acumulado'!$I$1</f>
        <v>46112</v>
      </c>
      <c r="D1212" s="23">
        <f>'P&amp;L Acumulado'!$I$1</f>
        <v>46112</v>
      </c>
      <c r="E1212" t="str">
        <f>TEXT('P&amp;L Acumulado'!$G$1,"mmm/yyyy")&amp;" a "&amp;TEXT('P&amp;L Acumulado'!$I$1,"mmm/yyyy")</f>
        <v>jan/yyyy a mar/yyyy</v>
      </c>
      <c r="F1212" t="s">
        <v>48</v>
      </c>
      <c r="G1212" t="s">
        <v>252</v>
      </c>
      <c r="H1212" t="s">
        <v>6</v>
      </c>
      <c r="I1212" s="429" t="e">
        <f>'P&amp;L Acumulado'!D62</f>
        <v>#DIV/0!</v>
      </c>
      <c r="J1212" t="s">
        <v>1071</v>
      </c>
      <c r="K1212" t="s">
        <v>1262</v>
      </c>
      <c r="L1212">
        <v>62</v>
      </c>
    </row>
    <row r="1213" spans="1:12" ht="18" customHeight="1" x14ac:dyDescent="0.25">
      <c r="A1213" t="s">
        <v>1070</v>
      </c>
      <c r="B1213" s="23">
        <f>'P&amp;L Acumulado'!$G$1</f>
        <v>46053</v>
      </c>
      <c r="C1213" s="23">
        <f>'P&amp;L Acumulado'!$I$1</f>
        <v>46112</v>
      </c>
      <c r="D1213" s="23">
        <f>'P&amp;L Acumulado'!$I$1</f>
        <v>46112</v>
      </c>
      <c r="E1213" t="str">
        <f>TEXT('P&amp;L Acumulado'!$G$1,"mmm/yyyy")&amp;" a "&amp;TEXT('P&amp;L Acumulado'!$I$1,"mmm/yyyy")</f>
        <v>jan/yyyy a mar/yyyy</v>
      </c>
      <c r="F1213" t="s">
        <v>48</v>
      </c>
      <c r="G1213" t="s">
        <v>252</v>
      </c>
      <c r="H1213" t="s">
        <v>549</v>
      </c>
      <c r="I1213" s="104" t="e">
        <f>'P&amp;L Acumulado'!E62</f>
        <v>#VALUE!</v>
      </c>
      <c r="J1213" t="s">
        <v>1071</v>
      </c>
      <c r="K1213" t="s">
        <v>1263</v>
      </c>
      <c r="L1213">
        <v>62</v>
      </c>
    </row>
    <row r="1214" spans="1:12" ht="18" customHeight="1" x14ac:dyDescent="0.25">
      <c r="A1214" t="s">
        <v>1070</v>
      </c>
      <c r="B1214" s="23">
        <f>'P&amp;L Acumulado'!$G$1</f>
        <v>46053</v>
      </c>
      <c r="C1214" s="23">
        <f>'P&amp;L Acumulado'!$I$1</f>
        <v>46112</v>
      </c>
      <c r="D1214" s="23">
        <f>'P&amp;L Acumulado'!$I$1</f>
        <v>46112</v>
      </c>
      <c r="E1214" t="str">
        <f>TEXT('P&amp;L Acumulado'!$G$1,"mmm/yyyy")&amp;" a "&amp;TEXT('P&amp;L Acumulado'!$I$1,"mmm/yyyy")</f>
        <v>jan/yyyy a mar/yyyy</v>
      </c>
      <c r="F1214" t="s">
        <v>48</v>
      </c>
      <c r="G1214" t="s">
        <v>205</v>
      </c>
      <c r="H1214" t="s">
        <v>5</v>
      </c>
      <c r="I1214" s="429">
        <f>'P&amp;L Acumulado'!F62</f>
        <v>-0.32528030618026582</v>
      </c>
      <c r="J1214" t="s">
        <v>1071</v>
      </c>
      <c r="K1214" t="s">
        <v>1264</v>
      </c>
      <c r="L1214">
        <v>62</v>
      </c>
    </row>
    <row r="1215" spans="1:12" ht="18" customHeight="1" x14ac:dyDescent="0.25">
      <c r="A1215" t="s">
        <v>1070</v>
      </c>
      <c r="B1215" s="23">
        <f>'P&amp;L Acumulado'!$G$1</f>
        <v>46053</v>
      </c>
      <c r="C1215" s="23">
        <f>'P&amp;L Acumulado'!$I$1</f>
        <v>46112</v>
      </c>
      <c r="D1215" s="23">
        <f>'P&amp;L Acumulado'!$I$1</f>
        <v>46112</v>
      </c>
      <c r="E1215" t="str">
        <f>TEXT('P&amp;L Acumulado'!$G$1,"mmm/yyyy")&amp;" a "&amp;TEXT('P&amp;L Acumulado'!$I$1,"mmm/yyyy")</f>
        <v>jan/yyyy a mar/yyyy</v>
      </c>
      <c r="F1215" t="s">
        <v>48</v>
      </c>
      <c r="G1215" t="s">
        <v>205</v>
      </c>
      <c r="H1215" t="s">
        <v>6</v>
      </c>
      <c r="I1215" s="429">
        <f>'P&amp;L Acumulado'!G62</f>
        <v>-0.31482995783708828</v>
      </c>
      <c r="J1215" t="s">
        <v>1071</v>
      </c>
      <c r="K1215" t="s">
        <v>1265</v>
      </c>
      <c r="L1215">
        <v>62</v>
      </c>
    </row>
    <row r="1216" spans="1:12" ht="18" customHeight="1" x14ac:dyDescent="0.25">
      <c r="A1216" t="s">
        <v>1070</v>
      </c>
      <c r="B1216" s="23">
        <f>'P&amp;L Acumulado'!$G$1</f>
        <v>46053</v>
      </c>
      <c r="C1216" s="23">
        <f>'P&amp;L Acumulado'!$I$1</f>
        <v>46112</v>
      </c>
      <c r="D1216" s="23">
        <f>'P&amp;L Acumulado'!$I$1</f>
        <v>46112</v>
      </c>
      <c r="E1216" t="str">
        <f>TEXT('P&amp;L Acumulado'!$G$1,"mmm/yyyy")&amp;" a "&amp;TEXT('P&amp;L Acumulado'!$I$1,"mmm/yyyy")</f>
        <v>jan/yyyy a mar/yyyy</v>
      </c>
      <c r="F1216" t="s">
        <v>48</v>
      </c>
      <c r="G1216" t="s">
        <v>205</v>
      </c>
      <c r="H1216" t="s">
        <v>549</v>
      </c>
      <c r="I1216" s="104">
        <f>'P&amp;L Acumulado'!H62</f>
        <v>-1.045034834317754</v>
      </c>
      <c r="J1216" t="s">
        <v>1071</v>
      </c>
      <c r="K1216" t="s">
        <v>1266</v>
      </c>
      <c r="L1216">
        <v>62</v>
      </c>
    </row>
    <row r="1217" spans="1:12" ht="18" customHeight="1" x14ac:dyDescent="0.25">
      <c r="A1217" t="s">
        <v>1070</v>
      </c>
      <c r="B1217" s="23">
        <f>'P&amp;L Acumulado'!$G$1</f>
        <v>46053</v>
      </c>
      <c r="C1217" s="23">
        <f>'P&amp;L Acumulado'!$I$1</f>
        <v>46112</v>
      </c>
      <c r="D1217" s="23">
        <f>'P&amp;L Acumulado'!$I$1</f>
        <v>46112</v>
      </c>
      <c r="E1217" t="str">
        <f>TEXT('P&amp;L Acumulado'!$G$1,"mmm/yyyy")&amp;" a "&amp;TEXT('P&amp;L Acumulado'!$I$1,"mmm/yyyy")</f>
        <v>jan/yyyy a mar/yyyy</v>
      </c>
      <c r="F1217" t="s">
        <v>48</v>
      </c>
      <c r="G1217" t="s">
        <v>220</v>
      </c>
      <c r="H1217" t="s">
        <v>5</v>
      </c>
      <c r="I1217" s="429">
        <f>'P&amp;L Acumulado'!I62</f>
        <v>-0.31434715870018026</v>
      </c>
      <c r="J1217" t="s">
        <v>1071</v>
      </c>
      <c r="K1217" t="s">
        <v>1267</v>
      </c>
      <c r="L1217">
        <v>62</v>
      </c>
    </row>
    <row r="1218" spans="1:12" ht="18" customHeight="1" x14ac:dyDescent="0.25">
      <c r="A1218" t="s">
        <v>1070</v>
      </c>
      <c r="B1218" s="23">
        <f>'P&amp;L Acumulado'!$G$1</f>
        <v>46053</v>
      </c>
      <c r="C1218" s="23">
        <f>'P&amp;L Acumulado'!$I$1</f>
        <v>46112</v>
      </c>
      <c r="D1218" s="23">
        <f>'P&amp;L Acumulado'!$I$1</f>
        <v>46112</v>
      </c>
      <c r="E1218" t="str">
        <f>TEXT('P&amp;L Acumulado'!$G$1,"mmm/yyyy")&amp;" a "&amp;TEXT('P&amp;L Acumulado'!$I$1,"mmm/yyyy")</f>
        <v>jan/yyyy a mar/yyyy</v>
      </c>
      <c r="F1218" t="s">
        <v>48</v>
      </c>
      <c r="G1218" t="s">
        <v>220</v>
      </c>
      <c r="H1218" t="s">
        <v>6</v>
      </c>
      <c r="I1218" s="429">
        <f>'P&amp;L Acumulado'!J62</f>
        <v>-0.36752943659396836</v>
      </c>
      <c r="J1218" t="s">
        <v>1071</v>
      </c>
      <c r="K1218" t="s">
        <v>1268</v>
      </c>
      <c r="L1218">
        <v>62</v>
      </c>
    </row>
    <row r="1219" spans="1:12" ht="18" customHeight="1" x14ac:dyDescent="0.25">
      <c r="A1219" t="s">
        <v>1070</v>
      </c>
      <c r="B1219" s="23">
        <f>'P&amp;L Acumulado'!$G$1</f>
        <v>46053</v>
      </c>
      <c r="C1219" s="23">
        <f>'P&amp;L Acumulado'!$I$1</f>
        <v>46112</v>
      </c>
      <c r="D1219" s="23">
        <f>'P&amp;L Acumulado'!$I$1</f>
        <v>46112</v>
      </c>
      <c r="E1219" t="str">
        <f>TEXT('P&amp;L Acumulado'!$G$1,"mmm/yyyy")&amp;" a "&amp;TEXT('P&amp;L Acumulado'!$I$1,"mmm/yyyy")</f>
        <v>jan/yyyy a mar/yyyy</v>
      </c>
      <c r="F1219" t="s">
        <v>48</v>
      </c>
      <c r="G1219" t="s">
        <v>220</v>
      </c>
      <c r="H1219" t="s">
        <v>549</v>
      </c>
      <c r="I1219" s="104">
        <f>'P&amp;L Acumulado'!K62</f>
        <v>5.3182277893788097</v>
      </c>
      <c r="J1219" t="s">
        <v>1071</v>
      </c>
      <c r="K1219" t="s">
        <v>1269</v>
      </c>
      <c r="L1219">
        <v>62</v>
      </c>
    </row>
    <row r="1220" spans="1:12" ht="18" customHeight="1" x14ac:dyDescent="0.25">
      <c r="A1220" t="s">
        <v>1070</v>
      </c>
      <c r="B1220" s="23">
        <f>'P&amp;L Acumulado'!$G$1</f>
        <v>46053</v>
      </c>
      <c r="C1220" s="23">
        <f>'P&amp;L Acumulado'!$I$1</f>
        <v>46112</v>
      </c>
      <c r="D1220" s="23">
        <f>'P&amp;L Acumulado'!$I$1</f>
        <v>46112</v>
      </c>
      <c r="E1220" t="str">
        <f>TEXT('P&amp;L Acumulado'!$G$1,"mmm/yyyy")&amp;" a "&amp;TEXT('P&amp;L Acumulado'!$I$1,"mmm/yyyy")</f>
        <v>jan/yyyy a mar/yyyy</v>
      </c>
      <c r="F1220" t="s">
        <v>48</v>
      </c>
      <c r="G1220" t="s">
        <v>96</v>
      </c>
      <c r="H1220" t="s">
        <v>5</v>
      </c>
      <c r="I1220" s="429">
        <f>'P&amp;L Acumulado'!L62</f>
        <v>-0.31666556213667219</v>
      </c>
      <c r="J1220" t="s">
        <v>1071</v>
      </c>
      <c r="K1220" t="s">
        <v>1270</v>
      </c>
      <c r="L1220">
        <v>62</v>
      </c>
    </row>
    <row r="1221" spans="1:12" ht="18" customHeight="1" x14ac:dyDescent="0.25">
      <c r="A1221" t="s">
        <v>1070</v>
      </c>
      <c r="B1221" s="23">
        <f>'P&amp;L Acumulado'!$G$1</f>
        <v>46053</v>
      </c>
      <c r="C1221" s="23">
        <f>'P&amp;L Acumulado'!$I$1</f>
        <v>46112</v>
      </c>
      <c r="D1221" s="23">
        <f>'P&amp;L Acumulado'!$I$1</f>
        <v>46112</v>
      </c>
      <c r="E1221" t="str">
        <f>TEXT('P&amp;L Acumulado'!$G$1,"mmm/yyyy")&amp;" a "&amp;TEXT('P&amp;L Acumulado'!$I$1,"mmm/yyyy")</f>
        <v>jan/yyyy a mar/yyyy</v>
      </c>
      <c r="F1221" t="s">
        <v>48</v>
      </c>
      <c r="G1221" t="s">
        <v>96</v>
      </c>
      <c r="H1221" t="s">
        <v>6</v>
      </c>
      <c r="I1221" s="429">
        <f>'P&amp;L Acumulado'!M62</f>
        <v>-0.35548378918399337</v>
      </c>
      <c r="J1221" t="s">
        <v>1071</v>
      </c>
      <c r="K1221" t="s">
        <v>1271</v>
      </c>
      <c r="L1221">
        <v>62</v>
      </c>
    </row>
    <row r="1222" spans="1:12" ht="18" customHeight="1" x14ac:dyDescent="0.25">
      <c r="A1222" t="s">
        <v>1070</v>
      </c>
      <c r="B1222" s="23">
        <f>'P&amp;L Acumulado'!$G$1</f>
        <v>46053</v>
      </c>
      <c r="C1222" s="23">
        <f>'P&amp;L Acumulado'!$I$1</f>
        <v>46112</v>
      </c>
      <c r="D1222" s="23">
        <f>'P&amp;L Acumulado'!$I$1</f>
        <v>46112</v>
      </c>
      <c r="E1222" t="str">
        <f>TEXT('P&amp;L Acumulado'!$G$1,"mmm/yyyy")&amp;" a "&amp;TEXT('P&amp;L Acumulado'!$I$1,"mmm/yyyy")</f>
        <v>jan/yyyy a mar/yyyy</v>
      </c>
      <c r="F1222" t="s">
        <v>48</v>
      </c>
      <c r="G1222" t="s">
        <v>96</v>
      </c>
      <c r="H1222" t="s">
        <v>549</v>
      </c>
      <c r="I1222" s="104">
        <f>'P&amp;L Acumulado'!N62</f>
        <v>3.8818227047321185</v>
      </c>
      <c r="J1222" t="s">
        <v>1071</v>
      </c>
      <c r="K1222" t="s">
        <v>1272</v>
      </c>
      <c r="L1222">
        <v>62</v>
      </c>
    </row>
    <row r="1223" spans="1:12" ht="18" customHeight="1" x14ac:dyDescent="0.25">
      <c r="A1223" t="s">
        <v>1070</v>
      </c>
      <c r="B1223" s="23">
        <f>'P&amp;L Acumulado'!$G$1</f>
        <v>46053</v>
      </c>
      <c r="C1223" s="23">
        <f>'P&amp;L Acumulado'!$I$1</f>
        <v>46112</v>
      </c>
      <c r="D1223" s="23">
        <f>'P&amp;L Acumulado'!$I$1</f>
        <v>46112</v>
      </c>
      <c r="E1223" t="str">
        <f>TEXT('P&amp;L Acumulado'!$G$1,"mmm/yyyy")&amp;" a "&amp;TEXT('P&amp;L Acumulado'!$I$1,"mmm/yyyy")</f>
        <v>jan/yyyy a mar/yyyy</v>
      </c>
      <c r="F1223" t="s">
        <v>48</v>
      </c>
      <c r="G1223" t="s">
        <v>96</v>
      </c>
      <c r="H1223" t="s">
        <v>557</v>
      </c>
      <c r="I1223" s="429">
        <f>'P&amp;L Acumulado'!O62</f>
        <v>0</v>
      </c>
      <c r="J1223" t="s">
        <v>1071</v>
      </c>
      <c r="K1223" t="s">
        <v>1273</v>
      </c>
      <c r="L1223">
        <v>62</v>
      </c>
    </row>
    <row r="1224" spans="1:12" ht="18" customHeight="1" x14ac:dyDescent="0.25">
      <c r="A1224" t="s">
        <v>1070</v>
      </c>
      <c r="B1224" s="23">
        <f>'P&amp;L Acumulado'!$G$1</f>
        <v>46053</v>
      </c>
      <c r="C1224" s="23">
        <f>'P&amp;L Acumulado'!$I$1</f>
        <v>46112</v>
      </c>
      <c r="D1224" s="23">
        <f>'P&amp;L Acumulado'!$I$1</f>
        <v>46112</v>
      </c>
      <c r="E1224" t="str">
        <f>TEXT('P&amp;L Acumulado'!$G$1,"mmm/yyyy")&amp;" a "&amp;TEXT('P&amp;L Acumulado'!$I$1,"mmm/yyyy")</f>
        <v>jan/yyyy a mar/yyyy</v>
      </c>
      <c r="F1224" t="s">
        <v>49</v>
      </c>
      <c r="G1224" t="s">
        <v>252</v>
      </c>
      <c r="H1224" t="s">
        <v>5</v>
      </c>
      <c r="I1224" s="429" t="e">
        <f>'P&amp;L Acumulado'!C63</f>
        <v>#DIV/0!</v>
      </c>
      <c r="J1224" t="s">
        <v>1071</v>
      </c>
      <c r="K1224" t="s">
        <v>1060</v>
      </c>
      <c r="L1224">
        <v>63</v>
      </c>
    </row>
    <row r="1225" spans="1:12" ht="18" customHeight="1" x14ac:dyDescent="0.25">
      <c r="A1225" t="s">
        <v>1070</v>
      </c>
      <c r="B1225" s="23">
        <f>'P&amp;L Acumulado'!$G$1</f>
        <v>46053</v>
      </c>
      <c r="C1225" s="23">
        <f>'P&amp;L Acumulado'!$I$1</f>
        <v>46112</v>
      </c>
      <c r="D1225" s="23">
        <f>'P&amp;L Acumulado'!$I$1</f>
        <v>46112</v>
      </c>
      <c r="E1225" t="str">
        <f>TEXT('P&amp;L Acumulado'!$G$1,"mmm/yyyy")&amp;" a "&amp;TEXT('P&amp;L Acumulado'!$I$1,"mmm/yyyy")</f>
        <v>jan/yyyy a mar/yyyy</v>
      </c>
      <c r="F1225" t="s">
        <v>49</v>
      </c>
      <c r="G1225" t="s">
        <v>252</v>
      </c>
      <c r="H1225" t="s">
        <v>6</v>
      </c>
      <c r="I1225" s="429" t="e">
        <f>'P&amp;L Acumulado'!D63</f>
        <v>#DIV/0!</v>
      </c>
      <c r="J1225" t="s">
        <v>1071</v>
      </c>
      <c r="K1225" t="s">
        <v>1061</v>
      </c>
      <c r="L1225">
        <v>63</v>
      </c>
    </row>
    <row r="1226" spans="1:12" ht="18" customHeight="1" x14ac:dyDescent="0.25">
      <c r="A1226" t="s">
        <v>1070</v>
      </c>
      <c r="B1226" s="23">
        <f>'P&amp;L Acumulado'!$G$1</f>
        <v>46053</v>
      </c>
      <c r="C1226" s="23">
        <f>'P&amp;L Acumulado'!$I$1</f>
        <v>46112</v>
      </c>
      <c r="D1226" s="23">
        <f>'P&amp;L Acumulado'!$I$1</f>
        <v>46112</v>
      </c>
      <c r="E1226" t="str">
        <f>TEXT('P&amp;L Acumulado'!$G$1,"mmm/yyyy")&amp;" a "&amp;TEXT('P&amp;L Acumulado'!$I$1,"mmm/yyyy")</f>
        <v>jan/yyyy a mar/yyyy</v>
      </c>
      <c r="F1226" t="s">
        <v>49</v>
      </c>
      <c r="G1226" t="s">
        <v>252</v>
      </c>
      <c r="H1226" t="s">
        <v>549</v>
      </c>
      <c r="I1226" s="104" t="e">
        <f>'P&amp;L Acumulado'!E63</f>
        <v>#VALUE!</v>
      </c>
      <c r="J1226" t="s">
        <v>1071</v>
      </c>
      <c r="K1226" t="s">
        <v>1062</v>
      </c>
      <c r="L1226">
        <v>63</v>
      </c>
    </row>
    <row r="1227" spans="1:12" ht="18" customHeight="1" x14ac:dyDescent="0.25">
      <c r="A1227" t="s">
        <v>1070</v>
      </c>
      <c r="B1227" s="23">
        <f>'P&amp;L Acumulado'!$G$1</f>
        <v>46053</v>
      </c>
      <c r="C1227" s="23">
        <f>'P&amp;L Acumulado'!$I$1</f>
        <v>46112</v>
      </c>
      <c r="D1227" s="23">
        <f>'P&amp;L Acumulado'!$I$1</f>
        <v>46112</v>
      </c>
      <c r="E1227" t="str">
        <f>TEXT('P&amp;L Acumulado'!$G$1,"mmm/yyyy")&amp;" a "&amp;TEXT('P&amp;L Acumulado'!$I$1,"mmm/yyyy")</f>
        <v>jan/yyyy a mar/yyyy</v>
      </c>
      <c r="F1227" t="s">
        <v>49</v>
      </c>
      <c r="G1227" t="s">
        <v>205</v>
      </c>
      <c r="H1227" t="s">
        <v>5</v>
      </c>
      <c r="I1227" s="429">
        <f>'P&amp;L Acumulado'!F63</f>
        <v>-0.35449328403163743</v>
      </c>
      <c r="J1227" t="s">
        <v>1071</v>
      </c>
      <c r="K1227" t="s">
        <v>1063</v>
      </c>
      <c r="L1227">
        <v>63</v>
      </c>
    </row>
    <row r="1228" spans="1:12" ht="18" customHeight="1" x14ac:dyDescent="0.25">
      <c r="A1228" t="s">
        <v>1070</v>
      </c>
      <c r="B1228" s="23">
        <f>'P&amp;L Acumulado'!$G$1</f>
        <v>46053</v>
      </c>
      <c r="C1228" s="23">
        <f>'P&amp;L Acumulado'!$I$1</f>
        <v>46112</v>
      </c>
      <c r="D1228" s="23">
        <f>'P&amp;L Acumulado'!$I$1</f>
        <v>46112</v>
      </c>
      <c r="E1228" t="str">
        <f>TEXT('P&amp;L Acumulado'!$G$1,"mmm/yyyy")&amp;" a "&amp;TEXT('P&amp;L Acumulado'!$I$1,"mmm/yyyy")</f>
        <v>jan/yyyy a mar/yyyy</v>
      </c>
      <c r="F1228" t="s">
        <v>49</v>
      </c>
      <c r="G1228" t="s">
        <v>205</v>
      </c>
      <c r="H1228" t="s">
        <v>6</v>
      </c>
      <c r="I1228" s="429">
        <f>'P&amp;L Acumulado'!G63</f>
        <v>-0.34393952635680597</v>
      </c>
      <c r="J1228" t="s">
        <v>1071</v>
      </c>
      <c r="K1228" t="s">
        <v>1064</v>
      </c>
      <c r="L1228">
        <v>63</v>
      </c>
    </row>
    <row r="1229" spans="1:12" ht="18" customHeight="1" x14ac:dyDescent="0.25">
      <c r="A1229" t="s">
        <v>1070</v>
      </c>
      <c r="B1229" s="23">
        <f>'P&amp;L Acumulado'!$G$1</f>
        <v>46053</v>
      </c>
      <c r="C1229" s="23">
        <f>'P&amp;L Acumulado'!$I$1</f>
        <v>46112</v>
      </c>
      <c r="D1229" s="23">
        <f>'P&amp;L Acumulado'!$I$1</f>
        <v>46112</v>
      </c>
      <c r="E1229" t="str">
        <f>TEXT('P&amp;L Acumulado'!$G$1,"mmm/yyyy")&amp;" a "&amp;TEXT('P&amp;L Acumulado'!$I$1,"mmm/yyyy")</f>
        <v>jan/yyyy a mar/yyyy</v>
      </c>
      <c r="F1229" t="s">
        <v>49</v>
      </c>
      <c r="G1229" t="s">
        <v>205</v>
      </c>
      <c r="H1229" t="s">
        <v>549</v>
      </c>
      <c r="I1229" s="104">
        <f>'P&amp;L Acumulado'!H63</f>
        <v>-1.0553757674831465</v>
      </c>
      <c r="J1229" t="s">
        <v>1071</v>
      </c>
      <c r="K1229" t="s">
        <v>1065</v>
      </c>
      <c r="L1229">
        <v>63</v>
      </c>
    </row>
    <row r="1230" spans="1:12" ht="18" customHeight="1" x14ac:dyDescent="0.25">
      <c r="A1230" t="s">
        <v>1070</v>
      </c>
      <c r="B1230" s="23">
        <f>'P&amp;L Acumulado'!$G$1</f>
        <v>46053</v>
      </c>
      <c r="C1230" s="23">
        <f>'P&amp;L Acumulado'!$I$1</f>
        <v>46112</v>
      </c>
      <c r="D1230" s="23">
        <f>'P&amp;L Acumulado'!$I$1</f>
        <v>46112</v>
      </c>
      <c r="E1230" t="str">
        <f>TEXT('P&amp;L Acumulado'!$G$1,"mmm/yyyy")&amp;" a "&amp;TEXT('P&amp;L Acumulado'!$I$1,"mmm/yyyy")</f>
        <v>jan/yyyy a mar/yyyy</v>
      </c>
      <c r="F1230" t="s">
        <v>49</v>
      </c>
      <c r="G1230" t="s">
        <v>220</v>
      </c>
      <c r="H1230" t="s">
        <v>5</v>
      </c>
      <c r="I1230" s="429">
        <f>'P&amp;L Acumulado'!I63</f>
        <v>-0.34226902110758833</v>
      </c>
      <c r="J1230" t="s">
        <v>1071</v>
      </c>
      <c r="K1230" t="s">
        <v>1066</v>
      </c>
      <c r="L1230">
        <v>63</v>
      </c>
    </row>
    <row r="1231" spans="1:12" ht="18" customHeight="1" x14ac:dyDescent="0.25">
      <c r="A1231" t="s">
        <v>1070</v>
      </c>
      <c r="B1231" s="23">
        <f>'P&amp;L Acumulado'!$G$1</f>
        <v>46053</v>
      </c>
      <c r="C1231" s="23">
        <f>'P&amp;L Acumulado'!$I$1</f>
        <v>46112</v>
      </c>
      <c r="D1231" s="23">
        <f>'P&amp;L Acumulado'!$I$1</f>
        <v>46112</v>
      </c>
      <c r="E1231" t="str">
        <f>TEXT('P&amp;L Acumulado'!$G$1,"mmm/yyyy")&amp;" a "&amp;TEXT('P&amp;L Acumulado'!$I$1,"mmm/yyyy")</f>
        <v>jan/yyyy a mar/yyyy</v>
      </c>
      <c r="F1231" t="s">
        <v>49</v>
      </c>
      <c r="G1231" t="s">
        <v>220</v>
      </c>
      <c r="H1231" t="s">
        <v>6</v>
      </c>
      <c r="I1231" s="429">
        <f>'P&amp;L Acumulado'!J63</f>
        <v>-0.39810935734097558</v>
      </c>
      <c r="J1231" t="s">
        <v>1071</v>
      </c>
      <c r="K1231" t="s">
        <v>1067</v>
      </c>
      <c r="L1231">
        <v>63</v>
      </c>
    </row>
    <row r="1232" spans="1:12" ht="18" customHeight="1" x14ac:dyDescent="0.25">
      <c r="A1232" t="s">
        <v>1070</v>
      </c>
      <c r="B1232" s="23">
        <f>'P&amp;L Acumulado'!$G$1</f>
        <v>46053</v>
      </c>
      <c r="C1232" s="23">
        <f>'P&amp;L Acumulado'!$I$1</f>
        <v>46112</v>
      </c>
      <c r="D1232" s="23">
        <f>'P&amp;L Acumulado'!$I$1</f>
        <v>46112</v>
      </c>
      <c r="E1232" t="str">
        <f>TEXT('P&amp;L Acumulado'!$G$1,"mmm/yyyy")&amp;" a "&amp;TEXT('P&amp;L Acumulado'!$I$1,"mmm/yyyy")</f>
        <v>jan/yyyy a mar/yyyy</v>
      </c>
      <c r="F1232" t="s">
        <v>49</v>
      </c>
      <c r="G1232" t="s">
        <v>220</v>
      </c>
      <c r="H1232" t="s">
        <v>549</v>
      </c>
      <c r="I1232" s="104">
        <f>'P&amp;L Acumulado'!K63</f>
        <v>5.5840336233387244</v>
      </c>
      <c r="J1232" t="s">
        <v>1071</v>
      </c>
      <c r="K1232" t="s">
        <v>1068</v>
      </c>
      <c r="L1232">
        <v>63</v>
      </c>
    </row>
    <row r="1233" spans="1:12" ht="18" customHeight="1" x14ac:dyDescent="0.25">
      <c r="A1233" t="s">
        <v>1070</v>
      </c>
      <c r="B1233" s="23">
        <f>'P&amp;L Acumulado'!$G$1</f>
        <v>46053</v>
      </c>
      <c r="C1233" s="23">
        <f>'P&amp;L Acumulado'!$I$1</f>
        <v>46112</v>
      </c>
      <c r="D1233" s="23">
        <f>'P&amp;L Acumulado'!$I$1</f>
        <v>46112</v>
      </c>
      <c r="E1233" t="str">
        <f>TEXT('P&amp;L Acumulado'!$G$1,"mmm/yyyy")&amp;" a "&amp;TEXT('P&amp;L Acumulado'!$I$1,"mmm/yyyy")</f>
        <v>jan/yyyy a mar/yyyy</v>
      </c>
      <c r="F1233" t="s">
        <v>49</v>
      </c>
      <c r="G1233" t="s">
        <v>96</v>
      </c>
      <c r="H1233" t="s">
        <v>5</v>
      </c>
      <c r="I1233" s="429">
        <f>'P&amp;L Acumulado'!L63</f>
        <v>-0.34486120905925716</v>
      </c>
      <c r="J1233" t="s">
        <v>1071</v>
      </c>
      <c r="K1233" t="s">
        <v>1069</v>
      </c>
      <c r="L1233">
        <v>63</v>
      </c>
    </row>
    <row r="1234" spans="1:12" ht="18" customHeight="1" x14ac:dyDescent="0.25">
      <c r="A1234" t="s">
        <v>1070</v>
      </c>
      <c r="B1234" s="23">
        <f>'P&amp;L Acumulado'!$G$1</f>
        <v>46053</v>
      </c>
      <c r="C1234" s="23">
        <f>'P&amp;L Acumulado'!$I$1</f>
        <v>46112</v>
      </c>
      <c r="D1234" s="23">
        <f>'P&amp;L Acumulado'!$I$1</f>
        <v>46112</v>
      </c>
      <c r="E1234" t="str">
        <f>TEXT('P&amp;L Acumulado'!$G$1,"mmm/yyyy")&amp;" a "&amp;TEXT('P&amp;L Acumulado'!$I$1,"mmm/yyyy")</f>
        <v>jan/yyyy a mar/yyyy</v>
      </c>
      <c r="F1234" t="s">
        <v>49</v>
      </c>
      <c r="G1234" t="s">
        <v>96</v>
      </c>
      <c r="H1234" t="s">
        <v>6</v>
      </c>
      <c r="I1234" s="429">
        <f>'P&amp;L Acumulado'!M63</f>
        <v>-0.38572762796366067</v>
      </c>
      <c r="J1234" t="s">
        <v>1071</v>
      </c>
      <c r="K1234" t="s">
        <v>1274</v>
      </c>
      <c r="L1234">
        <v>63</v>
      </c>
    </row>
    <row r="1235" spans="1:12" ht="18" customHeight="1" x14ac:dyDescent="0.25">
      <c r="A1235" t="s">
        <v>1070</v>
      </c>
      <c r="B1235" s="23">
        <f>'P&amp;L Acumulado'!$G$1</f>
        <v>46053</v>
      </c>
      <c r="C1235" s="23">
        <f>'P&amp;L Acumulado'!$I$1</f>
        <v>46112</v>
      </c>
      <c r="D1235" s="23">
        <f>'P&amp;L Acumulado'!$I$1</f>
        <v>46112</v>
      </c>
      <c r="E1235" t="str">
        <f>TEXT('P&amp;L Acumulado'!$G$1,"mmm/yyyy")&amp;" a "&amp;TEXT('P&amp;L Acumulado'!$I$1,"mmm/yyyy")</f>
        <v>jan/yyyy a mar/yyyy</v>
      </c>
      <c r="F1235" t="s">
        <v>49</v>
      </c>
      <c r="G1235" t="s">
        <v>96</v>
      </c>
      <c r="H1235" t="s">
        <v>549</v>
      </c>
      <c r="I1235" s="104">
        <f>'P&amp;L Acumulado'!N63</f>
        <v>4.086641890440351</v>
      </c>
      <c r="J1235" t="s">
        <v>1071</v>
      </c>
      <c r="K1235" t="s">
        <v>1275</v>
      </c>
      <c r="L1235">
        <v>63</v>
      </c>
    </row>
    <row r="1236" spans="1:12" ht="18" customHeight="1" x14ac:dyDescent="0.25">
      <c r="A1236" t="s">
        <v>1070</v>
      </c>
      <c r="B1236" s="23">
        <f>'P&amp;L Acumulado'!$G$1</f>
        <v>46053</v>
      </c>
      <c r="C1236" s="23">
        <f>'P&amp;L Acumulado'!$I$1</f>
        <v>46112</v>
      </c>
      <c r="D1236" s="23">
        <f>'P&amp;L Acumulado'!$I$1</f>
        <v>46112</v>
      </c>
      <c r="E1236" t="str">
        <f>TEXT('P&amp;L Acumulado'!$G$1,"mmm/yyyy")&amp;" a "&amp;TEXT('P&amp;L Acumulado'!$I$1,"mmm/yyyy")</f>
        <v>jan/yyyy a mar/yyyy</v>
      </c>
      <c r="F1236" t="s">
        <v>49</v>
      </c>
      <c r="G1236" t="s">
        <v>96</v>
      </c>
      <c r="H1236" t="s">
        <v>557</v>
      </c>
      <c r="I1236" s="429">
        <f>'P&amp;L Acumulado'!O63</f>
        <v>0</v>
      </c>
      <c r="J1236" t="s">
        <v>1071</v>
      </c>
      <c r="K1236" t="s">
        <v>1276</v>
      </c>
      <c r="L1236">
        <v>63</v>
      </c>
    </row>
    <row r="1237" spans="1:12" ht="18" customHeight="1" x14ac:dyDescent="0.25">
      <c r="A1237" t="s">
        <v>1070</v>
      </c>
      <c r="B1237" s="23">
        <f>'P&amp;L Acumulado'!$G$1</f>
        <v>46053</v>
      </c>
      <c r="C1237" s="23">
        <f>'P&amp;L Acumulado'!$I$1</f>
        <v>46112</v>
      </c>
      <c r="D1237" s="23">
        <f>'P&amp;L Acumulado'!$I$1</f>
        <v>46112</v>
      </c>
      <c r="E1237" t="str">
        <f>TEXT('P&amp;L Acumulado'!$G$1,"mmm/yyyy")&amp;" a "&amp;TEXT('P&amp;L Acumulado'!$I$1,"mmm/yyyy")</f>
        <v>jan/yyyy a mar/yyyy</v>
      </c>
      <c r="F1237" t="s">
        <v>50</v>
      </c>
      <c r="G1237" t="s">
        <v>252</v>
      </c>
      <c r="H1237" t="s">
        <v>5</v>
      </c>
      <c r="I1237" s="429" t="e">
        <f>'P&amp;L Acumulado'!C64</f>
        <v>#DIV/0!</v>
      </c>
      <c r="J1237" t="s">
        <v>1071</v>
      </c>
      <c r="K1237" t="s">
        <v>1277</v>
      </c>
      <c r="L1237">
        <v>64</v>
      </c>
    </row>
    <row r="1238" spans="1:12" ht="18" customHeight="1" x14ac:dyDescent="0.25">
      <c r="A1238" t="s">
        <v>1070</v>
      </c>
      <c r="B1238" s="23">
        <f>'P&amp;L Acumulado'!$G$1</f>
        <v>46053</v>
      </c>
      <c r="C1238" s="23">
        <f>'P&amp;L Acumulado'!$I$1</f>
        <v>46112</v>
      </c>
      <c r="D1238" s="23">
        <f>'P&amp;L Acumulado'!$I$1</f>
        <v>46112</v>
      </c>
      <c r="E1238" t="str">
        <f>TEXT('P&amp;L Acumulado'!$G$1,"mmm/yyyy")&amp;" a "&amp;TEXT('P&amp;L Acumulado'!$I$1,"mmm/yyyy")</f>
        <v>jan/yyyy a mar/yyyy</v>
      </c>
      <c r="F1238" t="s">
        <v>50</v>
      </c>
      <c r="G1238" t="s">
        <v>252</v>
      </c>
      <c r="H1238" t="s">
        <v>6</v>
      </c>
      <c r="I1238" s="429" t="e">
        <f>'P&amp;L Acumulado'!D64</f>
        <v>#DIV/0!</v>
      </c>
      <c r="J1238" t="s">
        <v>1071</v>
      </c>
      <c r="K1238" t="s">
        <v>1278</v>
      </c>
      <c r="L1238">
        <v>64</v>
      </c>
    </row>
    <row r="1239" spans="1:12" ht="18" customHeight="1" x14ac:dyDescent="0.25">
      <c r="A1239" t="s">
        <v>1070</v>
      </c>
      <c r="B1239" s="23">
        <f>'P&amp;L Acumulado'!$G$1</f>
        <v>46053</v>
      </c>
      <c r="C1239" s="23">
        <f>'P&amp;L Acumulado'!$I$1</f>
        <v>46112</v>
      </c>
      <c r="D1239" s="23">
        <f>'P&amp;L Acumulado'!$I$1</f>
        <v>46112</v>
      </c>
      <c r="E1239" t="str">
        <f>TEXT('P&amp;L Acumulado'!$G$1,"mmm/yyyy")&amp;" a "&amp;TEXT('P&amp;L Acumulado'!$I$1,"mmm/yyyy")</f>
        <v>jan/yyyy a mar/yyyy</v>
      </c>
      <c r="F1239" t="s">
        <v>50</v>
      </c>
      <c r="G1239" t="s">
        <v>252</v>
      </c>
      <c r="H1239" t="s">
        <v>549</v>
      </c>
      <c r="I1239" s="104" t="e">
        <f>'P&amp;L Acumulado'!E64</f>
        <v>#VALUE!</v>
      </c>
      <c r="J1239" t="s">
        <v>1071</v>
      </c>
      <c r="K1239" t="s">
        <v>1279</v>
      </c>
      <c r="L1239">
        <v>64</v>
      </c>
    </row>
    <row r="1240" spans="1:12" ht="18" customHeight="1" x14ac:dyDescent="0.25">
      <c r="A1240" t="s">
        <v>1070</v>
      </c>
      <c r="B1240" s="23">
        <f>'P&amp;L Acumulado'!$G$1</f>
        <v>46053</v>
      </c>
      <c r="C1240" s="23">
        <f>'P&amp;L Acumulado'!$I$1</f>
        <v>46112</v>
      </c>
      <c r="D1240" s="23">
        <f>'P&amp;L Acumulado'!$I$1</f>
        <v>46112</v>
      </c>
      <c r="E1240" t="str">
        <f>TEXT('P&amp;L Acumulado'!$G$1,"mmm/yyyy")&amp;" a "&amp;TEXT('P&amp;L Acumulado'!$I$1,"mmm/yyyy")</f>
        <v>jan/yyyy a mar/yyyy</v>
      </c>
      <c r="F1240" t="s">
        <v>50</v>
      </c>
      <c r="G1240" t="s">
        <v>205</v>
      </c>
      <c r="H1240" t="s">
        <v>5</v>
      </c>
      <c r="I1240" s="429">
        <f>'P&amp;L Acumulado'!F64</f>
        <v>0.29542982525567119</v>
      </c>
      <c r="J1240" t="s">
        <v>1071</v>
      </c>
      <c r="K1240" t="s">
        <v>1280</v>
      </c>
      <c r="L1240">
        <v>64</v>
      </c>
    </row>
    <row r="1241" spans="1:12" ht="18" customHeight="1" x14ac:dyDescent="0.25">
      <c r="A1241" t="s">
        <v>1070</v>
      </c>
      <c r="B1241" s="23">
        <f>'P&amp;L Acumulado'!$G$1</f>
        <v>46053</v>
      </c>
      <c r="C1241" s="23">
        <f>'P&amp;L Acumulado'!$I$1</f>
        <v>46112</v>
      </c>
      <c r="D1241" s="23">
        <f>'P&amp;L Acumulado'!$I$1</f>
        <v>46112</v>
      </c>
      <c r="E1241" t="str">
        <f>TEXT('P&amp;L Acumulado'!$G$1,"mmm/yyyy")&amp;" a "&amp;TEXT('P&amp;L Acumulado'!$I$1,"mmm/yyyy")</f>
        <v>jan/yyyy a mar/yyyy</v>
      </c>
      <c r="F1241" t="s">
        <v>50</v>
      </c>
      <c r="G1241" t="s">
        <v>205</v>
      </c>
      <c r="H1241" t="s">
        <v>6</v>
      </c>
      <c r="I1241" s="429">
        <f>'P&amp;L Acumulado'!G64</f>
        <v>0.30787450210448591</v>
      </c>
      <c r="J1241" t="s">
        <v>1071</v>
      </c>
      <c r="K1241" t="s">
        <v>1281</v>
      </c>
      <c r="L1241">
        <v>64</v>
      </c>
    </row>
    <row r="1242" spans="1:12" ht="18" customHeight="1" x14ac:dyDescent="0.25">
      <c r="A1242" t="s">
        <v>1070</v>
      </c>
      <c r="B1242" s="23">
        <f>'P&amp;L Acumulado'!$G$1</f>
        <v>46053</v>
      </c>
      <c r="C1242" s="23">
        <f>'P&amp;L Acumulado'!$I$1</f>
        <v>46112</v>
      </c>
      <c r="D1242" s="23">
        <f>'P&amp;L Acumulado'!$I$1</f>
        <v>46112</v>
      </c>
      <c r="E1242" t="str">
        <f>TEXT('P&amp;L Acumulado'!$G$1,"mmm/yyyy")&amp;" a "&amp;TEXT('P&amp;L Acumulado'!$I$1,"mmm/yyyy")</f>
        <v>jan/yyyy a mar/yyyy</v>
      </c>
      <c r="F1242" t="s">
        <v>50</v>
      </c>
      <c r="G1242" t="s">
        <v>205</v>
      </c>
      <c r="H1242" t="s">
        <v>549</v>
      </c>
      <c r="I1242" s="104">
        <f>'P&amp;L Acumulado'!H64</f>
        <v>-1.2444676848814729</v>
      </c>
      <c r="J1242" t="s">
        <v>1071</v>
      </c>
      <c r="K1242" t="s">
        <v>1282</v>
      </c>
      <c r="L1242">
        <v>64</v>
      </c>
    </row>
    <row r="1243" spans="1:12" ht="18" customHeight="1" x14ac:dyDescent="0.25">
      <c r="A1243" t="s">
        <v>1070</v>
      </c>
      <c r="B1243" s="23">
        <f>'P&amp;L Acumulado'!$G$1</f>
        <v>46053</v>
      </c>
      <c r="C1243" s="23">
        <f>'P&amp;L Acumulado'!$I$1</f>
        <v>46112</v>
      </c>
      <c r="D1243" s="23">
        <f>'P&amp;L Acumulado'!$I$1</f>
        <v>46112</v>
      </c>
      <c r="E1243" t="str">
        <f>TEXT('P&amp;L Acumulado'!$G$1,"mmm/yyyy")&amp;" a "&amp;TEXT('P&amp;L Acumulado'!$I$1,"mmm/yyyy")</f>
        <v>jan/yyyy a mar/yyyy</v>
      </c>
      <c r="F1243" t="s">
        <v>50</v>
      </c>
      <c r="G1243" t="s">
        <v>220</v>
      </c>
      <c r="H1243" t="s">
        <v>5</v>
      </c>
      <c r="I1243" s="429">
        <f>'P&amp;L Acumulado'!I64</f>
        <v>0.29921373475452484</v>
      </c>
      <c r="J1243" t="s">
        <v>1071</v>
      </c>
      <c r="K1243" t="s">
        <v>1283</v>
      </c>
      <c r="L1243">
        <v>64</v>
      </c>
    </row>
    <row r="1244" spans="1:12" ht="18" customHeight="1" x14ac:dyDescent="0.25">
      <c r="A1244" t="s">
        <v>1070</v>
      </c>
      <c r="B1244" s="23">
        <f>'P&amp;L Acumulado'!$G$1</f>
        <v>46053</v>
      </c>
      <c r="C1244" s="23">
        <f>'P&amp;L Acumulado'!$I$1</f>
        <v>46112</v>
      </c>
      <c r="D1244" s="23">
        <f>'P&amp;L Acumulado'!$I$1</f>
        <v>46112</v>
      </c>
      <c r="E1244" t="str">
        <f>TEXT('P&amp;L Acumulado'!$G$1,"mmm/yyyy")&amp;" a "&amp;TEXT('P&amp;L Acumulado'!$I$1,"mmm/yyyy")</f>
        <v>jan/yyyy a mar/yyyy</v>
      </c>
      <c r="F1244" t="s">
        <v>50</v>
      </c>
      <c r="G1244" t="s">
        <v>220</v>
      </c>
      <c r="H1244" t="s">
        <v>6</v>
      </c>
      <c r="I1244" s="429">
        <f>'P&amp;L Acumulado'!J64</f>
        <v>0.2814947849340767</v>
      </c>
      <c r="J1244" t="s">
        <v>1071</v>
      </c>
      <c r="K1244" t="s">
        <v>1284</v>
      </c>
      <c r="L1244">
        <v>64</v>
      </c>
    </row>
    <row r="1245" spans="1:12" ht="18" customHeight="1" x14ac:dyDescent="0.25">
      <c r="A1245" t="s">
        <v>1070</v>
      </c>
      <c r="B1245" s="23">
        <f>'P&amp;L Acumulado'!$G$1</f>
        <v>46053</v>
      </c>
      <c r="C1245" s="23">
        <f>'P&amp;L Acumulado'!$I$1</f>
        <v>46112</v>
      </c>
      <c r="D1245" s="23">
        <f>'P&amp;L Acumulado'!$I$1</f>
        <v>46112</v>
      </c>
      <c r="E1245" t="str">
        <f>TEXT('P&amp;L Acumulado'!$G$1,"mmm/yyyy")&amp;" a "&amp;TEXT('P&amp;L Acumulado'!$I$1,"mmm/yyyy")</f>
        <v>jan/yyyy a mar/yyyy</v>
      </c>
      <c r="F1245" t="s">
        <v>50</v>
      </c>
      <c r="G1245" t="s">
        <v>220</v>
      </c>
      <c r="H1245" t="s">
        <v>549</v>
      </c>
      <c r="I1245" s="104">
        <f>'P&amp;L Acumulado'!K64</f>
        <v>1.7718949820448138</v>
      </c>
      <c r="J1245" t="s">
        <v>1071</v>
      </c>
      <c r="K1245" t="s">
        <v>1285</v>
      </c>
      <c r="L1245">
        <v>64</v>
      </c>
    </row>
    <row r="1246" spans="1:12" ht="18" customHeight="1" x14ac:dyDescent="0.25">
      <c r="A1246" t="s">
        <v>1070</v>
      </c>
      <c r="B1246" s="23">
        <f>'P&amp;L Acumulado'!$G$1</f>
        <v>46053</v>
      </c>
      <c r="C1246" s="23">
        <f>'P&amp;L Acumulado'!$I$1</f>
        <v>46112</v>
      </c>
      <c r="D1246" s="23">
        <f>'P&amp;L Acumulado'!$I$1</f>
        <v>46112</v>
      </c>
      <c r="E1246" t="str">
        <f>TEXT('P&amp;L Acumulado'!$G$1,"mmm/yyyy")&amp;" a "&amp;TEXT('P&amp;L Acumulado'!$I$1,"mmm/yyyy")</f>
        <v>jan/yyyy a mar/yyyy</v>
      </c>
      <c r="F1246" t="s">
        <v>50</v>
      </c>
      <c r="G1246" t="s">
        <v>96</v>
      </c>
      <c r="H1246" t="s">
        <v>5</v>
      </c>
      <c r="I1246" s="429">
        <f>'P&amp;L Acumulado'!L64</f>
        <v>0.2984266819069869</v>
      </c>
      <c r="J1246" t="s">
        <v>1071</v>
      </c>
      <c r="K1246" t="s">
        <v>1286</v>
      </c>
      <c r="L1246">
        <v>64</v>
      </c>
    </row>
    <row r="1247" spans="1:12" ht="18" customHeight="1" x14ac:dyDescent="0.25">
      <c r="A1247" t="s">
        <v>1070</v>
      </c>
      <c r="B1247" s="23">
        <f>'P&amp;L Acumulado'!$G$1</f>
        <v>46053</v>
      </c>
      <c r="C1247" s="23">
        <f>'P&amp;L Acumulado'!$I$1</f>
        <v>46112</v>
      </c>
      <c r="D1247" s="23">
        <f>'P&amp;L Acumulado'!$I$1</f>
        <v>46112</v>
      </c>
      <c r="E1247" t="str">
        <f>TEXT('P&amp;L Acumulado'!$G$1,"mmm/yyyy")&amp;" a "&amp;TEXT('P&amp;L Acumulado'!$I$1,"mmm/yyyy")</f>
        <v>jan/yyyy a mar/yyyy</v>
      </c>
      <c r="F1247" t="s">
        <v>50</v>
      </c>
      <c r="G1247" t="s">
        <v>96</v>
      </c>
      <c r="H1247" t="s">
        <v>6</v>
      </c>
      <c r="I1247" s="429">
        <f>'P&amp;L Acumulado'!M64</f>
        <v>0.28716281292278056</v>
      </c>
      <c r="J1247" t="s">
        <v>1071</v>
      </c>
      <c r="K1247" t="s">
        <v>1287</v>
      </c>
      <c r="L1247">
        <v>64</v>
      </c>
    </row>
    <row r="1248" spans="1:12" ht="18" customHeight="1" x14ac:dyDescent="0.25">
      <c r="A1248" t="s">
        <v>1070</v>
      </c>
      <c r="B1248" s="23">
        <f>'P&amp;L Acumulado'!$G$1</f>
        <v>46053</v>
      </c>
      <c r="C1248" s="23">
        <f>'P&amp;L Acumulado'!$I$1</f>
        <v>46112</v>
      </c>
      <c r="D1248" s="23">
        <f>'P&amp;L Acumulado'!$I$1</f>
        <v>46112</v>
      </c>
      <c r="E1248" t="str">
        <f>TEXT('P&amp;L Acumulado'!$G$1,"mmm/yyyy")&amp;" a "&amp;TEXT('P&amp;L Acumulado'!$I$1,"mmm/yyyy")</f>
        <v>jan/yyyy a mar/yyyy</v>
      </c>
      <c r="F1248" t="s">
        <v>50</v>
      </c>
      <c r="G1248" t="s">
        <v>96</v>
      </c>
      <c r="H1248" t="s">
        <v>549</v>
      </c>
      <c r="I1248" s="104">
        <f>'P&amp;L Acumulado'!N64</f>
        <v>1.1263868984206338</v>
      </c>
      <c r="J1248" t="s">
        <v>1071</v>
      </c>
      <c r="K1248" t="s">
        <v>1288</v>
      </c>
      <c r="L1248">
        <v>64</v>
      </c>
    </row>
    <row r="1249" spans="1:12" ht="18" customHeight="1" x14ac:dyDescent="0.25">
      <c r="A1249" t="s">
        <v>1070</v>
      </c>
      <c r="B1249" s="23">
        <f>'P&amp;L Acumulado'!$G$1</f>
        <v>46053</v>
      </c>
      <c r="C1249" s="23">
        <f>'P&amp;L Acumulado'!$I$1</f>
        <v>46112</v>
      </c>
      <c r="D1249" s="23">
        <f>'P&amp;L Acumulado'!$I$1</f>
        <v>46112</v>
      </c>
      <c r="E1249" t="str">
        <f>TEXT('P&amp;L Acumulado'!$G$1,"mmm/yyyy")&amp;" a "&amp;TEXT('P&amp;L Acumulado'!$I$1,"mmm/yyyy")</f>
        <v>jan/yyyy a mar/yyyy</v>
      </c>
      <c r="F1249" t="s">
        <v>50</v>
      </c>
      <c r="G1249" t="s">
        <v>96</v>
      </c>
      <c r="H1249" t="s">
        <v>557</v>
      </c>
      <c r="I1249" s="429">
        <f>'P&amp;L Acumulado'!O64</f>
        <v>0</v>
      </c>
      <c r="J1249" t="s">
        <v>1071</v>
      </c>
      <c r="K1249" t="s">
        <v>1289</v>
      </c>
      <c r="L1249">
        <v>64</v>
      </c>
    </row>
    <row r="1250" spans="1:12" ht="18" customHeight="1" x14ac:dyDescent="0.25">
      <c r="A1250" t="s">
        <v>1070</v>
      </c>
      <c r="B1250" s="23">
        <f>'P&amp;L Acumulado'!$G$1</f>
        <v>46053</v>
      </c>
      <c r="C1250" s="23">
        <f>'P&amp;L Acumulado'!$I$1</f>
        <v>46112</v>
      </c>
      <c r="D1250" s="23">
        <f>'P&amp;L Acumulado'!$I$1</f>
        <v>46112</v>
      </c>
      <c r="E1250" t="str">
        <f>TEXT('P&amp;L Acumulado'!$G$1,"mmm/yyyy")&amp;" a "&amp;TEXT('P&amp;L Acumulado'!$I$1,"mmm/yyyy")</f>
        <v>jan/yyyy a mar/yyyy</v>
      </c>
      <c r="F1250" t="s">
        <v>51</v>
      </c>
      <c r="G1250" t="s">
        <v>252</v>
      </c>
      <c r="H1250" t="s">
        <v>5</v>
      </c>
      <c r="I1250" s="429">
        <f>'P&amp;L Acumulado'!C65</f>
        <v>410188633.03666633</v>
      </c>
      <c r="J1250" t="s">
        <v>1071</v>
      </c>
      <c r="K1250" t="s">
        <v>1290</v>
      </c>
      <c r="L1250">
        <v>65</v>
      </c>
    </row>
    <row r="1251" spans="1:12" ht="18" customHeight="1" x14ac:dyDescent="0.25">
      <c r="A1251" t="s">
        <v>1070</v>
      </c>
      <c r="B1251" s="23">
        <f>'P&amp;L Acumulado'!$G$1</f>
        <v>46053</v>
      </c>
      <c r="C1251" s="23">
        <f>'P&amp;L Acumulado'!$I$1</f>
        <v>46112</v>
      </c>
      <c r="D1251" s="23">
        <f>'P&amp;L Acumulado'!$I$1</f>
        <v>46112</v>
      </c>
      <c r="E1251" t="str">
        <f>TEXT('P&amp;L Acumulado'!$G$1,"mmm/yyyy")&amp;" a "&amp;TEXT('P&amp;L Acumulado'!$I$1,"mmm/yyyy")</f>
        <v>jan/yyyy a mar/yyyy</v>
      </c>
      <c r="F1251" t="s">
        <v>51</v>
      </c>
      <c r="G1251" t="s">
        <v>252</v>
      </c>
      <c r="H1251" t="s">
        <v>6</v>
      </c>
      <c r="I1251" s="429" t="e">
        <f>'P&amp;L Acumulado'!D65</f>
        <v>#DIV/0!</v>
      </c>
      <c r="J1251" t="s">
        <v>1071</v>
      </c>
      <c r="K1251" t="s">
        <v>1291</v>
      </c>
      <c r="L1251">
        <v>65</v>
      </c>
    </row>
    <row r="1252" spans="1:12" ht="18" customHeight="1" x14ac:dyDescent="0.25">
      <c r="A1252" t="s">
        <v>1070</v>
      </c>
      <c r="B1252" s="23">
        <f>'P&amp;L Acumulado'!$G$1</f>
        <v>46053</v>
      </c>
      <c r="C1252" s="23">
        <f>'P&amp;L Acumulado'!$I$1</f>
        <v>46112</v>
      </c>
      <c r="D1252" s="23">
        <f>'P&amp;L Acumulado'!$I$1</f>
        <v>46112</v>
      </c>
      <c r="E1252" t="str">
        <f>TEXT('P&amp;L Acumulado'!$G$1,"mmm/yyyy")&amp;" a "&amp;TEXT('P&amp;L Acumulado'!$I$1,"mmm/yyyy")</f>
        <v>jan/yyyy a mar/yyyy</v>
      </c>
      <c r="F1252" t="s">
        <v>51</v>
      </c>
      <c r="G1252" t="s">
        <v>252</v>
      </c>
      <c r="H1252" t="s">
        <v>549</v>
      </c>
      <c r="I1252" s="104" t="str">
        <f>'P&amp;L Acumulado'!E65</f>
        <v>-</v>
      </c>
      <c r="J1252" t="s">
        <v>1071</v>
      </c>
      <c r="K1252" t="s">
        <v>1292</v>
      </c>
      <c r="L1252">
        <v>65</v>
      </c>
    </row>
    <row r="1253" spans="1:12" ht="18" customHeight="1" x14ac:dyDescent="0.25">
      <c r="A1253" t="s">
        <v>1070</v>
      </c>
      <c r="B1253" s="23">
        <f>'P&amp;L Acumulado'!$G$1</f>
        <v>46053</v>
      </c>
      <c r="C1253" s="23">
        <f>'P&amp;L Acumulado'!$I$1</f>
        <v>46112</v>
      </c>
      <c r="D1253" s="23">
        <f>'P&amp;L Acumulado'!$I$1</f>
        <v>46112</v>
      </c>
      <c r="E1253" t="str">
        <f>TEXT('P&amp;L Acumulado'!$G$1,"mmm/yyyy")&amp;" a "&amp;TEXT('P&amp;L Acumulado'!$I$1,"mmm/yyyy")</f>
        <v>jan/yyyy a mar/yyyy</v>
      </c>
      <c r="F1253" t="s">
        <v>51</v>
      </c>
      <c r="G1253" t="s">
        <v>205</v>
      </c>
      <c r="H1253" t="s">
        <v>5</v>
      </c>
      <c r="I1253" s="429">
        <f>'P&amp;L Acumulado'!F65</f>
        <v>410188633.03666633</v>
      </c>
      <c r="J1253" t="s">
        <v>1071</v>
      </c>
      <c r="K1253" t="s">
        <v>1293</v>
      </c>
      <c r="L1253">
        <v>65</v>
      </c>
    </row>
    <row r="1254" spans="1:12" ht="18" customHeight="1" x14ac:dyDescent="0.25">
      <c r="A1254" t="s">
        <v>1070</v>
      </c>
      <c r="B1254" s="23">
        <f>'P&amp;L Acumulado'!$G$1</f>
        <v>46053</v>
      </c>
      <c r="C1254" s="23">
        <f>'P&amp;L Acumulado'!$I$1</f>
        <v>46112</v>
      </c>
      <c r="D1254" s="23">
        <f>'P&amp;L Acumulado'!$I$1</f>
        <v>46112</v>
      </c>
      <c r="E1254" t="str">
        <f>TEXT('P&amp;L Acumulado'!$G$1,"mmm/yyyy")&amp;" a "&amp;TEXT('P&amp;L Acumulado'!$I$1,"mmm/yyyy")</f>
        <v>jan/yyyy a mar/yyyy</v>
      </c>
      <c r="F1254" t="s">
        <v>51</v>
      </c>
      <c r="G1254" t="s">
        <v>205</v>
      </c>
      <c r="H1254" t="s">
        <v>6</v>
      </c>
      <c r="I1254" s="429">
        <f>'P&amp;L Acumulado'!G65</f>
        <v>412012224.12149256</v>
      </c>
      <c r="J1254" t="s">
        <v>1071</v>
      </c>
      <c r="K1254" t="s">
        <v>1294</v>
      </c>
      <c r="L1254">
        <v>65</v>
      </c>
    </row>
    <row r="1255" spans="1:12" ht="18" customHeight="1" x14ac:dyDescent="0.25">
      <c r="A1255" t="s">
        <v>1070</v>
      </c>
      <c r="B1255" s="23">
        <f>'P&amp;L Acumulado'!$G$1</f>
        <v>46053</v>
      </c>
      <c r="C1255" s="23">
        <f>'P&amp;L Acumulado'!$I$1</f>
        <v>46112</v>
      </c>
      <c r="D1255" s="23">
        <f>'P&amp;L Acumulado'!$I$1</f>
        <v>46112</v>
      </c>
      <c r="E1255" t="str">
        <f>TEXT('P&amp;L Acumulado'!$G$1,"mmm/yyyy")&amp;" a "&amp;TEXT('P&amp;L Acumulado'!$I$1,"mmm/yyyy")</f>
        <v>jan/yyyy a mar/yyyy</v>
      </c>
      <c r="F1255" t="s">
        <v>51</v>
      </c>
      <c r="G1255" t="s">
        <v>205</v>
      </c>
      <c r="H1255" t="s">
        <v>549</v>
      </c>
      <c r="I1255" s="104">
        <f>'P&amp;L Acumulado'!H65</f>
        <v>-4.4260606313673012E-3</v>
      </c>
      <c r="J1255" t="s">
        <v>1071</v>
      </c>
      <c r="K1255" t="s">
        <v>1295</v>
      </c>
      <c r="L1255">
        <v>65</v>
      </c>
    </row>
    <row r="1256" spans="1:12" ht="18" customHeight="1" x14ac:dyDescent="0.25">
      <c r="A1256" t="s">
        <v>1070</v>
      </c>
      <c r="B1256" s="23">
        <f>'P&amp;L Acumulado'!$G$1</f>
        <v>46053</v>
      </c>
      <c r="C1256" s="23">
        <f>'P&amp;L Acumulado'!$I$1</f>
        <v>46112</v>
      </c>
      <c r="D1256" s="23">
        <f>'P&amp;L Acumulado'!$I$1</f>
        <v>46112</v>
      </c>
      <c r="E1256" t="str">
        <f>TEXT('P&amp;L Acumulado'!$G$1,"mmm/yyyy")&amp;" a "&amp;TEXT('P&amp;L Acumulado'!$I$1,"mmm/yyyy")</f>
        <v>jan/yyyy a mar/yyyy</v>
      </c>
      <c r="F1256" t="s">
        <v>51</v>
      </c>
      <c r="G1256" t="s">
        <v>220</v>
      </c>
      <c r="H1256" t="s">
        <v>5</v>
      </c>
      <c r="I1256" s="429">
        <f>'P&amp;L Acumulado'!I65</f>
        <v>1561872925.1233337</v>
      </c>
      <c r="J1256" t="s">
        <v>1071</v>
      </c>
      <c r="K1256" t="s">
        <v>1296</v>
      </c>
      <c r="L1256">
        <v>65</v>
      </c>
    </row>
    <row r="1257" spans="1:12" ht="18" customHeight="1" x14ac:dyDescent="0.25">
      <c r="A1257" t="s">
        <v>1070</v>
      </c>
      <c r="B1257" s="23">
        <f>'P&amp;L Acumulado'!$G$1</f>
        <v>46053</v>
      </c>
      <c r="C1257" s="23">
        <f>'P&amp;L Acumulado'!$I$1</f>
        <v>46112</v>
      </c>
      <c r="D1257" s="23">
        <f>'P&amp;L Acumulado'!$I$1</f>
        <v>46112</v>
      </c>
      <c r="E1257" t="str">
        <f>TEXT('P&amp;L Acumulado'!$G$1,"mmm/yyyy")&amp;" a "&amp;TEXT('P&amp;L Acumulado'!$I$1,"mmm/yyyy")</f>
        <v>jan/yyyy a mar/yyyy</v>
      </c>
      <c r="F1257" t="s">
        <v>51</v>
      </c>
      <c r="G1257" t="s">
        <v>220</v>
      </c>
      <c r="H1257" t="s">
        <v>6</v>
      </c>
      <c r="I1257" s="429">
        <f>'P&amp;L Acumulado'!J65</f>
        <v>1527132572.793227</v>
      </c>
      <c r="J1257" t="s">
        <v>1071</v>
      </c>
      <c r="K1257" t="s">
        <v>1297</v>
      </c>
      <c r="L1257">
        <v>65</v>
      </c>
    </row>
    <row r="1258" spans="1:12" ht="18" customHeight="1" x14ac:dyDescent="0.25">
      <c r="A1258" t="s">
        <v>1070</v>
      </c>
      <c r="B1258" s="23">
        <f>'P&amp;L Acumulado'!$G$1</f>
        <v>46053</v>
      </c>
      <c r="C1258" s="23">
        <f>'P&amp;L Acumulado'!$I$1</f>
        <v>46112</v>
      </c>
      <c r="D1258" s="23">
        <f>'P&amp;L Acumulado'!$I$1</f>
        <v>46112</v>
      </c>
      <c r="E1258" t="str">
        <f>TEXT('P&amp;L Acumulado'!$G$1,"mmm/yyyy")&amp;" a "&amp;TEXT('P&amp;L Acumulado'!$I$1,"mmm/yyyy")</f>
        <v>jan/yyyy a mar/yyyy</v>
      </c>
      <c r="F1258" t="s">
        <v>51</v>
      </c>
      <c r="G1258" t="s">
        <v>220</v>
      </c>
      <c r="H1258" t="s">
        <v>549</v>
      </c>
      <c r="I1258" s="104">
        <f>'P&amp;L Acumulado'!K65</f>
        <v>2.2748746866530611E-2</v>
      </c>
      <c r="J1258" t="s">
        <v>1071</v>
      </c>
      <c r="K1258" t="s">
        <v>1298</v>
      </c>
      <c r="L1258">
        <v>65</v>
      </c>
    </row>
    <row r="1259" spans="1:12" ht="18" customHeight="1" x14ac:dyDescent="0.25">
      <c r="A1259" t="s">
        <v>1070</v>
      </c>
      <c r="B1259" s="23">
        <f>'P&amp;L Acumulado'!$G$1</f>
        <v>46053</v>
      </c>
      <c r="C1259" s="23">
        <f>'P&amp;L Acumulado'!$I$1</f>
        <v>46112</v>
      </c>
      <c r="D1259" s="23">
        <f>'P&amp;L Acumulado'!$I$1</f>
        <v>46112</v>
      </c>
      <c r="E1259" t="str">
        <f>TEXT('P&amp;L Acumulado'!$G$1,"mmm/yyyy")&amp;" a "&amp;TEXT('P&amp;L Acumulado'!$I$1,"mmm/yyyy")</f>
        <v>jan/yyyy a mar/yyyy</v>
      </c>
      <c r="F1259" t="s">
        <v>51</v>
      </c>
      <c r="G1259" t="s">
        <v>96</v>
      </c>
      <c r="H1259" t="s">
        <v>5</v>
      </c>
      <c r="I1259" s="429">
        <f>'P&amp;L Acumulado'!L65</f>
        <v>1972061558.1600001</v>
      </c>
      <c r="J1259" t="s">
        <v>1071</v>
      </c>
      <c r="K1259" t="s">
        <v>1299</v>
      </c>
      <c r="L1259">
        <v>65</v>
      </c>
    </row>
    <row r="1260" spans="1:12" ht="18" customHeight="1" x14ac:dyDescent="0.25">
      <c r="A1260" t="s">
        <v>1070</v>
      </c>
      <c r="B1260" s="23">
        <f>'P&amp;L Acumulado'!$G$1</f>
        <v>46053</v>
      </c>
      <c r="C1260" s="23">
        <f>'P&amp;L Acumulado'!$I$1</f>
        <v>46112</v>
      </c>
      <c r="D1260" s="23">
        <f>'P&amp;L Acumulado'!$I$1</f>
        <v>46112</v>
      </c>
      <c r="E1260" t="str">
        <f>TEXT('P&amp;L Acumulado'!$G$1,"mmm/yyyy")&amp;" a "&amp;TEXT('P&amp;L Acumulado'!$I$1,"mmm/yyyy")</f>
        <v>jan/yyyy a mar/yyyy</v>
      </c>
      <c r="F1260" t="s">
        <v>51</v>
      </c>
      <c r="G1260" t="s">
        <v>96</v>
      </c>
      <c r="H1260" t="s">
        <v>6</v>
      </c>
      <c r="I1260" s="429">
        <f>'P&amp;L Acumulado'!M65</f>
        <v>1939144796.9147196</v>
      </c>
      <c r="J1260" t="s">
        <v>1071</v>
      </c>
      <c r="K1260" t="s">
        <v>1300</v>
      </c>
      <c r="L1260">
        <v>65</v>
      </c>
    </row>
    <row r="1261" spans="1:12" ht="18" customHeight="1" x14ac:dyDescent="0.25">
      <c r="A1261" t="s">
        <v>1070</v>
      </c>
      <c r="B1261" s="23">
        <f>'P&amp;L Acumulado'!$G$1</f>
        <v>46053</v>
      </c>
      <c r="C1261" s="23">
        <f>'P&amp;L Acumulado'!$I$1</f>
        <v>46112</v>
      </c>
      <c r="D1261" s="23">
        <f>'P&amp;L Acumulado'!$I$1</f>
        <v>46112</v>
      </c>
      <c r="E1261" t="str">
        <f>TEXT('P&amp;L Acumulado'!$G$1,"mmm/yyyy")&amp;" a "&amp;TEXT('P&amp;L Acumulado'!$I$1,"mmm/yyyy")</f>
        <v>jan/yyyy a mar/yyyy</v>
      </c>
      <c r="F1261" t="s">
        <v>51</v>
      </c>
      <c r="G1261" t="s">
        <v>96</v>
      </c>
      <c r="H1261" t="s">
        <v>549</v>
      </c>
      <c r="I1261" s="104">
        <f>'P&amp;L Acumulado'!N65</f>
        <v>1.697488568035399E-2</v>
      </c>
      <c r="J1261" t="s">
        <v>1071</v>
      </c>
      <c r="K1261" t="s">
        <v>1301</v>
      </c>
      <c r="L1261">
        <v>65</v>
      </c>
    </row>
    <row r="1262" spans="1:12" ht="18" customHeight="1" x14ac:dyDescent="0.25">
      <c r="A1262" t="s">
        <v>1070</v>
      </c>
      <c r="B1262" s="23">
        <f>'P&amp;L Acumulado'!$G$1</f>
        <v>46053</v>
      </c>
      <c r="C1262" s="23">
        <f>'P&amp;L Acumulado'!$I$1</f>
        <v>46112</v>
      </c>
      <c r="D1262" s="23">
        <f>'P&amp;L Acumulado'!$I$1</f>
        <v>46112</v>
      </c>
      <c r="E1262" t="str">
        <f>TEXT('P&amp;L Acumulado'!$G$1,"mmm/yyyy")&amp;" a "&amp;TEXT('P&amp;L Acumulado'!$I$1,"mmm/yyyy")</f>
        <v>jan/yyyy a mar/yyyy</v>
      </c>
      <c r="F1262" t="s">
        <v>51</v>
      </c>
      <c r="G1262" t="s">
        <v>96</v>
      </c>
      <c r="H1262" t="s">
        <v>557</v>
      </c>
      <c r="I1262" s="429">
        <f>'P&amp;L Acumulado'!O65</f>
        <v>0</v>
      </c>
      <c r="J1262" t="s">
        <v>1071</v>
      </c>
      <c r="K1262" t="s">
        <v>1302</v>
      </c>
      <c r="L1262">
        <v>65</v>
      </c>
    </row>
    <row r="1263" spans="1:12" ht="18" customHeight="1" x14ac:dyDescent="0.25">
      <c r="A1263" t="s">
        <v>1070</v>
      </c>
      <c r="B1263" s="23">
        <f>'P&amp;L Acumulado'!$G$1</f>
        <v>46053</v>
      </c>
      <c r="C1263" s="23">
        <f>'P&amp;L Acumulado'!$I$1</f>
        <v>46112</v>
      </c>
      <c r="D1263" s="23">
        <f>'P&amp;L Acumulado'!$I$1</f>
        <v>46112</v>
      </c>
      <c r="E1263" t="str">
        <f>TEXT('P&amp;L Acumulado'!$G$1,"mmm/yyyy")&amp;" a "&amp;TEXT('P&amp;L Acumulado'!$I$1,"mmm/yyyy")</f>
        <v>jan/yyyy a mar/yyyy</v>
      </c>
      <c r="F1263" t="s">
        <v>52</v>
      </c>
      <c r="G1263" t="s">
        <v>252</v>
      </c>
      <c r="H1263" t="s">
        <v>5</v>
      </c>
      <c r="I1263" s="429">
        <f>'P&amp;L Acumulado'!C66</f>
        <v>407676669.78333348</v>
      </c>
      <c r="J1263" t="s">
        <v>1071</v>
      </c>
      <c r="K1263" t="s">
        <v>1303</v>
      </c>
      <c r="L1263">
        <v>66</v>
      </c>
    </row>
    <row r="1264" spans="1:12" ht="18" customHeight="1" x14ac:dyDescent="0.25">
      <c r="A1264" t="s">
        <v>1070</v>
      </c>
      <c r="B1264" s="23">
        <f>'P&amp;L Acumulado'!$G$1</f>
        <v>46053</v>
      </c>
      <c r="C1264" s="23">
        <f>'P&amp;L Acumulado'!$I$1</f>
        <v>46112</v>
      </c>
      <c r="D1264" s="23">
        <f>'P&amp;L Acumulado'!$I$1</f>
        <v>46112</v>
      </c>
      <c r="E1264" t="str">
        <f>TEXT('P&amp;L Acumulado'!$G$1,"mmm/yyyy")&amp;" a "&amp;TEXT('P&amp;L Acumulado'!$I$1,"mmm/yyyy")</f>
        <v>jan/yyyy a mar/yyyy</v>
      </c>
      <c r="F1264" t="s">
        <v>52</v>
      </c>
      <c r="G1264" t="s">
        <v>252</v>
      </c>
      <c r="H1264" t="s">
        <v>6</v>
      </c>
      <c r="I1264" s="429" t="e">
        <f>'P&amp;L Acumulado'!D66</f>
        <v>#DIV/0!</v>
      </c>
      <c r="J1264" t="s">
        <v>1071</v>
      </c>
      <c r="K1264" t="s">
        <v>1304</v>
      </c>
      <c r="L1264">
        <v>66</v>
      </c>
    </row>
    <row r="1265" spans="1:12" ht="18" customHeight="1" x14ac:dyDescent="0.25">
      <c r="A1265" t="s">
        <v>1070</v>
      </c>
      <c r="B1265" s="23">
        <f>'P&amp;L Acumulado'!$G$1</f>
        <v>46053</v>
      </c>
      <c r="C1265" s="23">
        <f>'P&amp;L Acumulado'!$I$1</f>
        <v>46112</v>
      </c>
      <c r="D1265" s="23">
        <f>'P&amp;L Acumulado'!$I$1</f>
        <v>46112</v>
      </c>
      <c r="E1265" t="str">
        <f>TEXT('P&amp;L Acumulado'!$G$1,"mmm/yyyy")&amp;" a "&amp;TEXT('P&amp;L Acumulado'!$I$1,"mmm/yyyy")</f>
        <v>jan/yyyy a mar/yyyy</v>
      </c>
      <c r="F1265" t="s">
        <v>52</v>
      </c>
      <c r="G1265" t="s">
        <v>252</v>
      </c>
      <c r="H1265" t="s">
        <v>549</v>
      </c>
      <c r="I1265" s="104" t="str">
        <f>'P&amp;L Acumulado'!E66</f>
        <v>-</v>
      </c>
      <c r="J1265" t="s">
        <v>1071</v>
      </c>
      <c r="K1265" t="s">
        <v>1305</v>
      </c>
      <c r="L1265">
        <v>66</v>
      </c>
    </row>
    <row r="1266" spans="1:12" ht="18" customHeight="1" x14ac:dyDescent="0.25">
      <c r="A1266" t="s">
        <v>1070</v>
      </c>
      <c r="B1266" s="23">
        <f>'P&amp;L Acumulado'!$G$1</f>
        <v>46053</v>
      </c>
      <c r="C1266" s="23">
        <f>'P&amp;L Acumulado'!$I$1</f>
        <v>46112</v>
      </c>
      <c r="D1266" s="23">
        <f>'P&amp;L Acumulado'!$I$1</f>
        <v>46112</v>
      </c>
      <c r="E1266" t="str">
        <f>TEXT('P&amp;L Acumulado'!$G$1,"mmm/yyyy")&amp;" a "&amp;TEXT('P&amp;L Acumulado'!$I$1,"mmm/yyyy")</f>
        <v>jan/yyyy a mar/yyyy</v>
      </c>
      <c r="F1266" t="s">
        <v>52</v>
      </c>
      <c r="G1266" t="s">
        <v>205</v>
      </c>
      <c r="H1266" t="s">
        <v>5</v>
      </c>
      <c r="I1266" s="429">
        <f>'P&amp;L Acumulado'!F66</f>
        <v>407676669.78333348</v>
      </c>
      <c r="J1266" t="s">
        <v>1071</v>
      </c>
      <c r="K1266" t="s">
        <v>1306</v>
      </c>
      <c r="L1266">
        <v>66</v>
      </c>
    </row>
    <row r="1267" spans="1:12" ht="18" customHeight="1" x14ac:dyDescent="0.25">
      <c r="A1267" t="s">
        <v>1070</v>
      </c>
      <c r="B1267" s="23">
        <f>'P&amp;L Acumulado'!$G$1</f>
        <v>46053</v>
      </c>
      <c r="C1267" s="23">
        <f>'P&amp;L Acumulado'!$I$1</f>
        <v>46112</v>
      </c>
      <c r="D1267" s="23">
        <f>'P&amp;L Acumulado'!$I$1</f>
        <v>46112</v>
      </c>
      <c r="E1267" t="str">
        <f>TEXT('P&amp;L Acumulado'!$G$1,"mmm/yyyy")&amp;" a "&amp;TEXT('P&amp;L Acumulado'!$I$1,"mmm/yyyy")</f>
        <v>jan/yyyy a mar/yyyy</v>
      </c>
      <c r="F1267" t="s">
        <v>52</v>
      </c>
      <c r="G1267" t="s">
        <v>205</v>
      </c>
      <c r="H1267" t="s">
        <v>6</v>
      </c>
      <c r="I1267" s="429">
        <f>'P&amp;L Acumulado'!G66</f>
        <v>410408516.69011259</v>
      </c>
      <c r="J1267" t="s">
        <v>1071</v>
      </c>
      <c r="K1267" t="s">
        <v>1307</v>
      </c>
      <c r="L1267">
        <v>66</v>
      </c>
    </row>
    <row r="1268" spans="1:12" ht="18" customHeight="1" x14ac:dyDescent="0.25">
      <c r="A1268" t="s">
        <v>1070</v>
      </c>
      <c r="B1268" s="23">
        <f>'P&amp;L Acumulado'!$G$1</f>
        <v>46053</v>
      </c>
      <c r="C1268" s="23">
        <f>'P&amp;L Acumulado'!$I$1</f>
        <v>46112</v>
      </c>
      <c r="D1268" s="23">
        <f>'P&amp;L Acumulado'!$I$1</f>
        <v>46112</v>
      </c>
      <c r="E1268" t="str">
        <f>TEXT('P&amp;L Acumulado'!$G$1,"mmm/yyyy")&amp;" a "&amp;TEXT('P&amp;L Acumulado'!$I$1,"mmm/yyyy")</f>
        <v>jan/yyyy a mar/yyyy</v>
      </c>
      <c r="F1268" t="s">
        <v>52</v>
      </c>
      <c r="G1268" t="s">
        <v>205</v>
      </c>
      <c r="H1268" t="s">
        <v>549</v>
      </c>
      <c r="I1268" s="104">
        <f>'P&amp;L Acumulado'!H66</f>
        <v>-6.6564089088868572E-3</v>
      </c>
      <c r="J1268" t="s">
        <v>1071</v>
      </c>
      <c r="K1268" t="s">
        <v>1308</v>
      </c>
      <c r="L1268">
        <v>66</v>
      </c>
    </row>
    <row r="1269" spans="1:12" ht="18" customHeight="1" x14ac:dyDescent="0.25">
      <c r="A1269" t="s">
        <v>1070</v>
      </c>
      <c r="B1269" s="23">
        <f>'P&amp;L Acumulado'!$G$1</f>
        <v>46053</v>
      </c>
      <c r="C1269" s="23">
        <f>'P&amp;L Acumulado'!$I$1</f>
        <v>46112</v>
      </c>
      <c r="D1269" s="23">
        <f>'P&amp;L Acumulado'!$I$1</f>
        <v>46112</v>
      </c>
      <c r="E1269" t="str">
        <f>TEXT('P&amp;L Acumulado'!$G$1,"mmm/yyyy")&amp;" a "&amp;TEXT('P&amp;L Acumulado'!$I$1,"mmm/yyyy")</f>
        <v>jan/yyyy a mar/yyyy</v>
      </c>
      <c r="F1269" t="s">
        <v>52</v>
      </c>
      <c r="G1269" t="s">
        <v>220</v>
      </c>
      <c r="H1269" t="s">
        <v>5</v>
      </c>
      <c r="I1269" s="429">
        <f>'P&amp;L Acumulado'!I66</f>
        <v>1539889735.2300007</v>
      </c>
      <c r="J1269" t="s">
        <v>1071</v>
      </c>
      <c r="K1269" t="s">
        <v>1309</v>
      </c>
      <c r="L1269">
        <v>66</v>
      </c>
    </row>
    <row r="1270" spans="1:12" ht="18" customHeight="1" x14ac:dyDescent="0.25">
      <c r="A1270" t="s">
        <v>1070</v>
      </c>
      <c r="B1270" s="23">
        <f>'P&amp;L Acumulado'!$G$1</f>
        <v>46053</v>
      </c>
      <c r="C1270" s="23">
        <f>'P&amp;L Acumulado'!$I$1</f>
        <v>46112</v>
      </c>
      <c r="D1270" s="23">
        <f>'P&amp;L Acumulado'!$I$1</f>
        <v>46112</v>
      </c>
      <c r="E1270" t="str">
        <f>TEXT('P&amp;L Acumulado'!$G$1,"mmm/yyyy")&amp;" a "&amp;TEXT('P&amp;L Acumulado'!$I$1,"mmm/yyyy")</f>
        <v>jan/yyyy a mar/yyyy</v>
      </c>
      <c r="F1270" t="s">
        <v>52</v>
      </c>
      <c r="G1270" t="s">
        <v>220</v>
      </c>
      <c r="H1270" t="s">
        <v>6</v>
      </c>
      <c r="I1270" s="429">
        <f>'P&amp;L Acumulado'!J66</f>
        <v>1499684485.000946</v>
      </c>
      <c r="J1270" t="s">
        <v>1071</v>
      </c>
      <c r="K1270" t="s">
        <v>1310</v>
      </c>
      <c r="L1270">
        <v>66</v>
      </c>
    </row>
    <row r="1271" spans="1:12" ht="18" customHeight="1" x14ac:dyDescent="0.25">
      <c r="A1271" t="s">
        <v>1070</v>
      </c>
      <c r="B1271" s="23">
        <f>'P&amp;L Acumulado'!$G$1</f>
        <v>46053</v>
      </c>
      <c r="C1271" s="23">
        <f>'P&amp;L Acumulado'!$I$1</f>
        <v>46112</v>
      </c>
      <c r="D1271" s="23">
        <f>'P&amp;L Acumulado'!$I$1</f>
        <v>46112</v>
      </c>
      <c r="E1271" t="str">
        <f>TEXT('P&amp;L Acumulado'!$G$1,"mmm/yyyy")&amp;" a "&amp;TEXT('P&amp;L Acumulado'!$I$1,"mmm/yyyy")</f>
        <v>jan/yyyy a mar/yyyy</v>
      </c>
      <c r="F1271" t="s">
        <v>52</v>
      </c>
      <c r="G1271" t="s">
        <v>220</v>
      </c>
      <c r="H1271" t="s">
        <v>549</v>
      </c>
      <c r="I1271" s="104">
        <f>'P&amp;L Acumulado'!K66</f>
        <v>2.680913927640538E-2</v>
      </c>
      <c r="J1271" t="s">
        <v>1071</v>
      </c>
      <c r="K1271" t="s">
        <v>1311</v>
      </c>
      <c r="L1271">
        <v>66</v>
      </c>
    </row>
    <row r="1272" spans="1:12" ht="18" customHeight="1" x14ac:dyDescent="0.25">
      <c r="A1272" t="s">
        <v>1070</v>
      </c>
      <c r="B1272" s="23">
        <f>'P&amp;L Acumulado'!$G$1</f>
        <v>46053</v>
      </c>
      <c r="C1272" s="23">
        <f>'P&amp;L Acumulado'!$I$1</f>
        <v>46112</v>
      </c>
      <c r="D1272" s="23">
        <f>'P&amp;L Acumulado'!$I$1</f>
        <v>46112</v>
      </c>
      <c r="E1272" t="str">
        <f>TEXT('P&amp;L Acumulado'!$G$1,"mmm/yyyy")&amp;" a "&amp;TEXT('P&amp;L Acumulado'!$I$1,"mmm/yyyy")</f>
        <v>jan/yyyy a mar/yyyy</v>
      </c>
      <c r="F1272" t="s">
        <v>52</v>
      </c>
      <c r="G1272" t="s">
        <v>96</v>
      </c>
      <c r="H1272" t="s">
        <v>5</v>
      </c>
      <c r="I1272" s="429">
        <f>'P&amp;L Acumulado'!L66</f>
        <v>1947566405.0133343</v>
      </c>
      <c r="J1272" t="s">
        <v>1071</v>
      </c>
      <c r="K1272" t="s">
        <v>1312</v>
      </c>
      <c r="L1272">
        <v>66</v>
      </c>
    </row>
    <row r="1273" spans="1:12" ht="18" customHeight="1" x14ac:dyDescent="0.25">
      <c r="A1273" t="s">
        <v>1070</v>
      </c>
      <c r="B1273" s="23">
        <f>'P&amp;L Acumulado'!$G$1</f>
        <v>46053</v>
      </c>
      <c r="C1273" s="23">
        <f>'P&amp;L Acumulado'!$I$1</f>
        <v>46112</v>
      </c>
      <c r="D1273" s="23">
        <f>'P&amp;L Acumulado'!$I$1</f>
        <v>46112</v>
      </c>
      <c r="E1273" t="str">
        <f>TEXT('P&amp;L Acumulado'!$G$1,"mmm/yyyy")&amp;" a "&amp;TEXT('P&amp;L Acumulado'!$I$1,"mmm/yyyy")</f>
        <v>jan/yyyy a mar/yyyy</v>
      </c>
      <c r="F1273" t="s">
        <v>52</v>
      </c>
      <c r="G1273" t="s">
        <v>96</v>
      </c>
      <c r="H1273" t="s">
        <v>6</v>
      </c>
      <c r="I1273" s="429">
        <f>'P&amp;L Acumulado'!M66</f>
        <v>1910093001.6910586</v>
      </c>
      <c r="J1273" t="s">
        <v>1071</v>
      </c>
      <c r="K1273" t="s">
        <v>1313</v>
      </c>
      <c r="L1273">
        <v>66</v>
      </c>
    </row>
    <row r="1274" spans="1:12" ht="18" customHeight="1" x14ac:dyDescent="0.25">
      <c r="A1274" t="s">
        <v>1070</v>
      </c>
      <c r="B1274" s="23">
        <f>'P&amp;L Acumulado'!$G$1</f>
        <v>46053</v>
      </c>
      <c r="C1274" s="23">
        <f>'P&amp;L Acumulado'!$I$1</f>
        <v>46112</v>
      </c>
      <c r="D1274" s="23">
        <f>'P&amp;L Acumulado'!$I$1</f>
        <v>46112</v>
      </c>
      <c r="E1274" t="str">
        <f>TEXT('P&amp;L Acumulado'!$G$1,"mmm/yyyy")&amp;" a "&amp;TEXT('P&amp;L Acumulado'!$I$1,"mmm/yyyy")</f>
        <v>jan/yyyy a mar/yyyy</v>
      </c>
      <c r="F1274" t="s">
        <v>52</v>
      </c>
      <c r="G1274" t="s">
        <v>96</v>
      </c>
      <c r="H1274" t="s">
        <v>549</v>
      </c>
      <c r="I1274" s="104">
        <f>'P&amp;L Acumulado'!N66</f>
        <v>1.9618627621324825E-2</v>
      </c>
      <c r="J1274" t="s">
        <v>1071</v>
      </c>
      <c r="K1274" t="s">
        <v>1314</v>
      </c>
      <c r="L1274">
        <v>66</v>
      </c>
    </row>
    <row r="1275" spans="1:12" ht="18" customHeight="1" x14ac:dyDescent="0.25">
      <c r="A1275" t="s">
        <v>1070</v>
      </c>
      <c r="B1275" s="23">
        <f>'P&amp;L Acumulado'!$G$1</f>
        <v>46053</v>
      </c>
      <c r="C1275" s="23">
        <f>'P&amp;L Acumulado'!$I$1</f>
        <v>46112</v>
      </c>
      <c r="D1275" s="23">
        <f>'P&amp;L Acumulado'!$I$1</f>
        <v>46112</v>
      </c>
      <c r="E1275" t="str">
        <f>TEXT('P&amp;L Acumulado'!$G$1,"mmm/yyyy")&amp;" a "&amp;TEXT('P&amp;L Acumulado'!$I$1,"mmm/yyyy")</f>
        <v>jan/yyyy a mar/yyyy</v>
      </c>
      <c r="F1275" t="s">
        <v>52</v>
      </c>
      <c r="G1275" t="s">
        <v>96</v>
      </c>
      <c r="H1275" t="s">
        <v>557</v>
      </c>
      <c r="I1275" s="429">
        <f>'P&amp;L Acumulado'!O66</f>
        <v>0</v>
      </c>
      <c r="J1275" t="s">
        <v>1071</v>
      </c>
      <c r="K1275" t="s">
        <v>1315</v>
      </c>
      <c r="L1275">
        <v>66</v>
      </c>
    </row>
    <row r="1276" spans="1:12" ht="18" customHeight="1" x14ac:dyDescent="0.25">
      <c r="A1276" t="s">
        <v>1070</v>
      </c>
      <c r="B1276" s="23">
        <f>'P&amp;L Acumulado'!$G$1</f>
        <v>46053</v>
      </c>
      <c r="C1276" s="23">
        <f>'P&amp;L Acumulado'!$I$1</f>
        <v>46112</v>
      </c>
      <c r="D1276" s="23">
        <f>'P&amp;L Acumulado'!$I$1</f>
        <v>46112</v>
      </c>
      <c r="E1276" t="str">
        <f>TEXT('P&amp;L Acumulado'!$G$1,"mmm/yyyy")&amp;" a "&amp;TEXT('P&amp;L Acumulado'!$I$1,"mmm/yyyy")</f>
        <v>jan/yyyy a mar/yyyy</v>
      </c>
      <c r="F1276" t="s">
        <v>241</v>
      </c>
      <c r="G1276" t="s">
        <v>252</v>
      </c>
      <c r="H1276" t="s">
        <v>5</v>
      </c>
      <c r="I1276" s="429">
        <f>'P&amp;L Acumulado'!C67</f>
        <v>0</v>
      </c>
      <c r="J1276" t="s">
        <v>1071</v>
      </c>
      <c r="K1276" t="s">
        <v>1316</v>
      </c>
      <c r="L1276">
        <v>67</v>
      </c>
    </row>
    <row r="1277" spans="1:12" ht="18" customHeight="1" x14ac:dyDescent="0.25">
      <c r="A1277" t="s">
        <v>1070</v>
      </c>
      <c r="B1277" s="23">
        <f>'P&amp;L Acumulado'!$G$1</f>
        <v>46053</v>
      </c>
      <c r="C1277" s="23">
        <f>'P&amp;L Acumulado'!$I$1</f>
        <v>46112</v>
      </c>
      <c r="D1277" s="23">
        <f>'P&amp;L Acumulado'!$I$1</f>
        <v>46112</v>
      </c>
      <c r="E1277" t="str">
        <f>TEXT('P&amp;L Acumulado'!$G$1,"mmm/yyyy")&amp;" a "&amp;TEXT('P&amp;L Acumulado'!$I$1,"mmm/yyyy")</f>
        <v>jan/yyyy a mar/yyyy</v>
      </c>
      <c r="F1277" t="s">
        <v>241</v>
      </c>
      <c r="G1277" t="s">
        <v>252</v>
      </c>
      <c r="H1277" t="s">
        <v>6</v>
      </c>
      <c r="I1277" s="429">
        <f>'P&amp;L Acumulado'!D67</f>
        <v>0</v>
      </c>
      <c r="J1277" t="s">
        <v>1071</v>
      </c>
      <c r="K1277" t="s">
        <v>1317</v>
      </c>
      <c r="L1277">
        <v>67</v>
      </c>
    </row>
    <row r="1278" spans="1:12" ht="18" customHeight="1" x14ac:dyDescent="0.25">
      <c r="A1278" t="s">
        <v>1070</v>
      </c>
      <c r="B1278" s="23">
        <f>'P&amp;L Acumulado'!$G$1</f>
        <v>46053</v>
      </c>
      <c r="C1278" s="23">
        <f>'P&amp;L Acumulado'!$I$1</f>
        <v>46112</v>
      </c>
      <c r="D1278" s="23">
        <f>'P&amp;L Acumulado'!$I$1</f>
        <v>46112</v>
      </c>
      <c r="E1278" t="str">
        <f>TEXT('P&amp;L Acumulado'!$G$1,"mmm/yyyy")&amp;" a "&amp;TEXT('P&amp;L Acumulado'!$I$1,"mmm/yyyy")</f>
        <v>jan/yyyy a mar/yyyy</v>
      </c>
      <c r="F1278" t="s">
        <v>241</v>
      </c>
      <c r="G1278" t="s">
        <v>252</v>
      </c>
      <c r="H1278" t="s">
        <v>549</v>
      </c>
      <c r="I1278" s="104">
        <f>'P&amp;L Acumulado'!E67</f>
        <v>0</v>
      </c>
      <c r="J1278" t="s">
        <v>1071</v>
      </c>
      <c r="K1278" t="s">
        <v>1318</v>
      </c>
      <c r="L1278">
        <v>67</v>
      </c>
    </row>
    <row r="1279" spans="1:12" ht="18" customHeight="1" x14ac:dyDescent="0.25">
      <c r="A1279" t="s">
        <v>1070</v>
      </c>
      <c r="B1279" s="23">
        <f>'P&amp;L Acumulado'!$G$1</f>
        <v>46053</v>
      </c>
      <c r="C1279" s="23">
        <f>'P&amp;L Acumulado'!$I$1</f>
        <v>46112</v>
      </c>
      <c r="D1279" s="23">
        <f>'P&amp;L Acumulado'!$I$1</f>
        <v>46112</v>
      </c>
      <c r="E1279" t="str">
        <f>TEXT('P&amp;L Acumulado'!$G$1,"mmm/yyyy")&amp;" a "&amp;TEXT('P&amp;L Acumulado'!$I$1,"mmm/yyyy")</f>
        <v>jan/yyyy a mar/yyyy</v>
      </c>
      <c r="F1279" t="s">
        <v>241</v>
      </c>
      <c r="G1279" t="s">
        <v>205</v>
      </c>
      <c r="H1279" t="s">
        <v>5</v>
      </c>
      <c r="I1279" s="429">
        <f>'P&amp;L Acumulado'!F67</f>
        <v>0.20799991325797465</v>
      </c>
      <c r="J1279" t="s">
        <v>1071</v>
      </c>
      <c r="K1279" t="s">
        <v>1319</v>
      </c>
      <c r="L1279">
        <v>67</v>
      </c>
    </row>
    <row r="1280" spans="1:12" ht="18" customHeight="1" x14ac:dyDescent="0.25">
      <c r="A1280" t="s">
        <v>1070</v>
      </c>
      <c r="B1280" s="23">
        <f>'P&amp;L Acumulado'!$G$1</f>
        <v>46053</v>
      </c>
      <c r="C1280" s="23">
        <f>'P&amp;L Acumulado'!$I$1</f>
        <v>46112</v>
      </c>
      <c r="D1280" s="23">
        <f>'P&amp;L Acumulado'!$I$1</f>
        <v>46112</v>
      </c>
      <c r="E1280" t="str">
        <f>TEXT('P&amp;L Acumulado'!$G$1,"mmm/yyyy")&amp;" a "&amp;TEXT('P&amp;L Acumulado'!$I$1,"mmm/yyyy")</f>
        <v>jan/yyyy a mar/yyyy</v>
      </c>
      <c r="F1280" t="s">
        <v>241</v>
      </c>
      <c r="G1280" t="s">
        <v>205</v>
      </c>
      <c r="H1280" t="s">
        <v>6</v>
      </c>
      <c r="I1280" s="429">
        <f>'P&amp;L Acumulado'!G67</f>
        <v>0.21486310683656057</v>
      </c>
      <c r="J1280" t="s">
        <v>1071</v>
      </c>
      <c r="K1280" t="s">
        <v>1320</v>
      </c>
      <c r="L1280">
        <v>67</v>
      </c>
    </row>
    <row r="1281" spans="1:12" ht="18" customHeight="1" x14ac:dyDescent="0.25">
      <c r="A1281" t="s">
        <v>1070</v>
      </c>
      <c r="B1281" s="23">
        <f>'P&amp;L Acumulado'!$G$1</f>
        <v>46053</v>
      </c>
      <c r="C1281" s="23">
        <f>'P&amp;L Acumulado'!$I$1</f>
        <v>46112</v>
      </c>
      <c r="D1281" s="23">
        <f>'P&amp;L Acumulado'!$I$1</f>
        <v>46112</v>
      </c>
      <c r="E1281" t="str">
        <f>TEXT('P&amp;L Acumulado'!$G$1,"mmm/yyyy")&amp;" a "&amp;TEXT('P&amp;L Acumulado'!$I$1,"mmm/yyyy")</f>
        <v>jan/yyyy a mar/yyyy</v>
      </c>
      <c r="F1281" t="s">
        <v>241</v>
      </c>
      <c r="G1281" t="s">
        <v>205</v>
      </c>
      <c r="H1281" t="s">
        <v>549</v>
      </c>
      <c r="I1281" s="104">
        <f>'P&amp;L Acumulado'!H67</f>
        <v>0</v>
      </c>
      <c r="J1281" t="s">
        <v>1071</v>
      </c>
      <c r="K1281" t="s">
        <v>1321</v>
      </c>
      <c r="L1281">
        <v>67</v>
      </c>
    </row>
    <row r="1282" spans="1:12" ht="18" customHeight="1" x14ac:dyDescent="0.25">
      <c r="A1282" t="s">
        <v>1070</v>
      </c>
      <c r="B1282" s="23">
        <f>'P&amp;L Acumulado'!$G$1</f>
        <v>46053</v>
      </c>
      <c r="C1282" s="23">
        <f>'P&amp;L Acumulado'!$I$1</f>
        <v>46112</v>
      </c>
      <c r="D1282" s="23">
        <f>'P&amp;L Acumulado'!$I$1</f>
        <v>46112</v>
      </c>
      <c r="E1282" t="str">
        <f>TEXT('P&amp;L Acumulado'!$G$1,"mmm/yyyy")&amp;" a "&amp;TEXT('P&amp;L Acumulado'!$I$1,"mmm/yyyy")</f>
        <v>jan/yyyy a mar/yyyy</v>
      </c>
      <c r="F1282" t="s">
        <v>241</v>
      </c>
      <c r="G1282" t="s">
        <v>220</v>
      </c>
      <c r="H1282" t="s">
        <v>5</v>
      </c>
      <c r="I1282" s="429">
        <f>'P&amp;L Acumulado'!I67</f>
        <v>0.79200008674202538</v>
      </c>
      <c r="J1282" t="s">
        <v>1071</v>
      </c>
      <c r="K1282" t="s">
        <v>1322</v>
      </c>
      <c r="L1282">
        <v>67</v>
      </c>
    </row>
    <row r="1283" spans="1:12" ht="18" customHeight="1" x14ac:dyDescent="0.25">
      <c r="A1283" t="s">
        <v>1070</v>
      </c>
      <c r="B1283" s="23">
        <f>'P&amp;L Acumulado'!$G$1</f>
        <v>46053</v>
      </c>
      <c r="C1283" s="23">
        <f>'P&amp;L Acumulado'!$I$1</f>
        <v>46112</v>
      </c>
      <c r="D1283" s="23">
        <f>'P&amp;L Acumulado'!$I$1</f>
        <v>46112</v>
      </c>
      <c r="E1283" t="str">
        <f>TEXT('P&amp;L Acumulado'!$G$1,"mmm/yyyy")&amp;" a "&amp;TEXT('P&amp;L Acumulado'!$I$1,"mmm/yyyy")</f>
        <v>jan/yyyy a mar/yyyy</v>
      </c>
      <c r="F1283" t="s">
        <v>241</v>
      </c>
      <c r="G1283" t="s">
        <v>220</v>
      </c>
      <c r="H1283" t="s">
        <v>6</v>
      </c>
      <c r="I1283" s="429">
        <f>'P&amp;L Acumulado'!J67</f>
        <v>0.78513689316343949</v>
      </c>
      <c r="J1283" t="s">
        <v>1071</v>
      </c>
      <c r="K1283" t="s">
        <v>1323</v>
      </c>
      <c r="L1283">
        <v>67</v>
      </c>
    </row>
    <row r="1284" spans="1:12" ht="18" customHeight="1" x14ac:dyDescent="0.25">
      <c r="A1284" t="s">
        <v>1070</v>
      </c>
      <c r="B1284" s="23">
        <f>'P&amp;L Acumulado'!$G$1</f>
        <v>46053</v>
      </c>
      <c r="C1284" s="23">
        <f>'P&amp;L Acumulado'!$I$1</f>
        <v>46112</v>
      </c>
      <c r="D1284" s="23">
        <f>'P&amp;L Acumulado'!$I$1</f>
        <v>46112</v>
      </c>
      <c r="E1284" t="str">
        <f>TEXT('P&amp;L Acumulado'!$G$1,"mmm/yyyy")&amp;" a "&amp;TEXT('P&amp;L Acumulado'!$I$1,"mmm/yyyy")</f>
        <v>jan/yyyy a mar/yyyy</v>
      </c>
      <c r="F1284" t="s">
        <v>241</v>
      </c>
      <c r="G1284" t="s">
        <v>220</v>
      </c>
      <c r="H1284" t="s">
        <v>549</v>
      </c>
      <c r="I1284" s="104">
        <f>'P&amp;L Acumulado'!K67</f>
        <v>0</v>
      </c>
      <c r="J1284" t="s">
        <v>1071</v>
      </c>
      <c r="K1284" t="s">
        <v>1324</v>
      </c>
      <c r="L1284">
        <v>67</v>
      </c>
    </row>
    <row r="1285" spans="1:12" ht="18" customHeight="1" x14ac:dyDescent="0.25">
      <c r="A1285" t="s">
        <v>1070</v>
      </c>
      <c r="B1285" s="23">
        <f>'P&amp;L Acumulado'!$G$1</f>
        <v>46053</v>
      </c>
      <c r="C1285" s="23">
        <f>'P&amp;L Acumulado'!$I$1</f>
        <v>46112</v>
      </c>
      <c r="D1285" s="23">
        <f>'P&amp;L Acumulado'!$I$1</f>
        <v>46112</v>
      </c>
      <c r="E1285" t="str">
        <f>TEXT('P&amp;L Acumulado'!$G$1,"mmm/yyyy")&amp;" a "&amp;TEXT('P&amp;L Acumulado'!$I$1,"mmm/yyyy")</f>
        <v>jan/yyyy a mar/yyyy</v>
      </c>
      <c r="F1285" t="s">
        <v>241</v>
      </c>
      <c r="G1285" t="s">
        <v>96</v>
      </c>
      <c r="H1285" t="s">
        <v>5</v>
      </c>
      <c r="I1285" s="429">
        <f>'P&amp;L Acumulado'!L67</f>
        <v>0</v>
      </c>
      <c r="J1285" t="s">
        <v>1071</v>
      </c>
      <c r="K1285" t="s">
        <v>1325</v>
      </c>
      <c r="L1285">
        <v>67</v>
      </c>
    </row>
    <row r="1286" spans="1:12" ht="18" customHeight="1" x14ac:dyDescent="0.25">
      <c r="A1286" t="s">
        <v>1070</v>
      </c>
      <c r="B1286" s="23">
        <f>'P&amp;L Acumulado'!$G$1</f>
        <v>46053</v>
      </c>
      <c r="C1286" s="23">
        <f>'P&amp;L Acumulado'!$I$1</f>
        <v>46112</v>
      </c>
      <c r="D1286" s="23">
        <f>'P&amp;L Acumulado'!$I$1</f>
        <v>46112</v>
      </c>
      <c r="E1286" t="str">
        <f>TEXT('P&amp;L Acumulado'!$G$1,"mmm/yyyy")&amp;" a "&amp;TEXT('P&amp;L Acumulado'!$I$1,"mmm/yyyy")</f>
        <v>jan/yyyy a mar/yyyy</v>
      </c>
      <c r="F1286" t="s">
        <v>241</v>
      </c>
      <c r="G1286" t="s">
        <v>96</v>
      </c>
      <c r="H1286" t="s">
        <v>6</v>
      </c>
      <c r="I1286" s="429">
        <f>'P&amp;L Acumulado'!M67</f>
        <v>0</v>
      </c>
      <c r="J1286" t="s">
        <v>1071</v>
      </c>
      <c r="K1286" t="s">
        <v>1326</v>
      </c>
      <c r="L1286">
        <v>67</v>
      </c>
    </row>
    <row r="1287" spans="1:12" ht="18" customHeight="1" x14ac:dyDescent="0.25">
      <c r="A1287" t="s">
        <v>1070</v>
      </c>
      <c r="B1287" s="23">
        <f>'P&amp;L Acumulado'!$G$1</f>
        <v>46053</v>
      </c>
      <c r="C1287" s="23">
        <f>'P&amp;L Acumulado'!$I$1</f>
        <v>46112</v>
      </c>
      <c r="D1287" s="23">
        <f>'P&amp;L Acumulado'!$I$1</f>
        <v>46112</v>
      </c>
      <c r="E1287" t="str">
        <f>TEXT('P&amp;L Acumulado'!$G$1,"mmm/yyyy")&amp;" a "&amp;TEXT('P&amp;L Acumulado'!$I$1,"mmm/yyyy")</f>
        <v>jan/yyyy a mar/yyyy</v>
      </c>
      <c r="F1287" t="s">
        <v>241</v>
      </c>
      <c r="G1287" t="s">
        <v>96</v>
      </c>
      <c r="H1287" t="s">
        <v>549</v>
      </c>
      <c r="I1287" s="104">
        <f>'P&amp;L Acumulado'!N67</f>
        <v>0</v>
      </c>
      <c r="J1287" t="s">
        <v>1071</v>
      </c>
      <c r="K1287" t="s">
        <v>1327</v>
      </c>
      <c r="L1287">
        <v>67</v>
      </c>
    </row>
    <row r="1288" spans="1:12" ht="18" customHeight="1" x14ac:dyDescent="0.25">
      <c r="A1288" t="s">
        <v>1070</v>
      </c>
      <c r="B1288" s="23">
        <f>'P&amp;L Acumulado'!$G$1</f>
        <v>46053</v>
      </c>
      <c r="C1288" s="23">
        <f>'P&amp;L Acumulado'!$I$1</f>
        <v>46112</v>
      </c>
      <c r="D1288" s="23">
        <f>'P&amp;L Acumulado'!$I$1</f>
        <v>46112</v>
      </c>
      <c r="E1288" t="str">
        <f>TEXT('P&amp;L Acumulado'!$G$1,"mmm/yyyy")&amp;" a "&amp;TEXT('P&amp;L Acumulado'!$I$1,"mmm/yyyy")</f>
        <v>jan/yyyy a mar/yyyy</v>
      </c>
      <c r="F1288" t="s">
        <v>241</v>
      </c>
      <c r="G1288" t="s">
        <v>96</v>
      </c>
      <c r="H1288" t="s">
        <v>557</v>
      </c>
      <c r="I1288" s="429">
        <f>'P&amp;L Acumulado'!O67</f>
        <v>0</v>
      </c>
      <c r="J1288" t="s">
        <v>1071</v>
      </c>
      <c r="K1288" t="s">
        <v>1328</v>
      </c>
      <c r="L1288">
        <v>67</v>
      </c>
    </row>
    <row r="1289" spans="1:12" ht="18" customHeight="1" x14ac:dyDescent="0.25">
      <c r="A1289" t="s">
        <v>1070</v>
      </c>
      <c r="B1289" s="23">
        <f>'P&amp;L Acumulado'!$G$1</f>
        <v>46053</v>
      </c>
      <c r="C1289" s="23">
        <f>'P&amp;L Acumulado'!$I$1</f>
        <v>46112</v>
      </c>
      <c r="D1289" s="23">
        <f>'P&amp;L Acumulado'!$I$1</f>
        <v>46112</v>
      </c>
      <c r="E1289" t="str">
        <f>TEXT('P&amp;L Acumulado'!$G$1,"mmm/yyyy")&amp;" a "&amp;TEXT('P&amp;L Acumulado'!$I$1,"mmm/yyyy")</f>
        <v>jan/yyyy a mar/yyyy</v>
      </c>
      <c r="F1289" t="s">
        <v>56</v>
      </c>
      <c r="G1289" t="s">
        <v>252</v>
      </c>
      <c r="H1289" t="s">
        <v>5</v>
      </c>
      <c r="I1289" s="429">
        <f>'P&amp;L Acumulado'!C68</f>
        <v>0</v>
      </c>
      <c r="J1289" t="s">
        <v>1071</v>
      </c>
      <c r="K1289" t="s">
        <v>1329</v>
      </c>
      <c r="L1289">
        <v>68</v>
      </c>
    </row>
    <row r="1290" spans="1:12" ht="18" customHeight="1" x14ac:dyDescent="0.25">
      <c r="A1290" t="s">
        <v>1070</v>
      </c>
      <c r="B1290" s="23">
        <f>'P&amp;L Acumulado'!$G$1</f>
        <v>46053</v>
      </c>
      <c r="C1290" s="23">
        <f>'P&amp;L Acumulado'!$I$1</f>
        <v>46112</v>
      </c>
      <c r="D1290" s="23">
        <f>'P&amp;L Acumulado'!$I$1</f>
        <v>46112</v>
      </c>
      <c r="E1290" t="str">
        <f>TEXT('P&amp;L Acumulado'!$G$1,"mmm/yyyy")&amp;" a "&amp;TEXT('P&amp;L Acumulado'!$I$1,"mmm/yyyy")</f>
        <v>jan/yyyy a mar/yyyy</v>
      </c>
      <c r="F1290" t="s">
        <v>56</v>
      </c>
      <c r="G1290" t="s">
        <v>252</v>
      </c>
      <c r="H1290" t="s">
        <v>6</v>
      </c>
      <c r="I1290" s="429">
        <f>'P&amp;L Acumulado'!D68</f>
        <v>0</v>
      </c>
      <c r="J1290" t="s">
        <v>1071</v>
      </c>
      <c r="K1290" t="s">
        <v>1330</v>
      </c>
      <c r="L1290">
        <v>68</v>
      </c>
    </row>
    <row r="1291" spans="1:12" ht="18" customHeight="1" x14ac:dyDescent="0.25">
      <c r="A1291" t="s">
        <v>1070</v>
      </c>
      <c r="B1291" s="23">
        <f>'P&amp;L Acumulado'!$G$1</f>
        <v>46053</v>
      </c>
      <c r="C1291" s="23">
        <f>'P&amp;L Acumulado'!$I$1</f>
        <v>46112</v>
      </c>
      <c r="D1291" s="23">
        <f>'P&amp;L Acumulado'!$I$1</f>
        <v>46112</v>
      </c>
      <c r="E1291" t="str">
        <f>TEXT('P&amp;L Acumulado'!$G$1,"mmm/yyyy")&amp;" a "&amp;TEXT('P&amp;L Acumulado'!$I$1,"mmm/yyyy")</f>
        <v>jan/yyyy a mar/yyyy</v>
      </c>
      <c r="F1291" t="s">
        <v>56</v>
      </c>
      <c r="G1291" t="s">
        <v>252</v>
      </c>
      <c r="H1291" t="s">
        <v>549</v>
      </c>
      <c r="I1291" s="104">
        <f>'P&amp;L Acumulado'!E68</f>
        <v>0</v>
      </c>
      <c r="J1291" t="s">
        <v>1071</v>
      </c>
      <c r="K1291" t="s">
        <v>1331</v>
      </c>
      <c r="L1291">
        <v>68</v>
      </c>
    </row>
    <row r="1292" spans="1:12" ht="18" customHeight="1" x14ac:dyDescent="0.25">
      <c r="A1292" t="s">
        <v>1070</v>
      </c>
      <c r="B1292" s="23">
        <f>'P&amp;L Acumulado'!$G$1</f>
        <v>46053</v>
      </c>
      <c r="C1292" s="23">
        <f>'P&amp;L Acumulado'!$I$1</f>
        <v>46112</v>
      </c>
      <c r="D1292" s="23">
        <f>'P&amp;L Acumulado'!$I$1</f>
        <v>46112</v>
      </c>
      <c r="E1292" t="str">
        <f>TEXT('P&amp;L Acumulado'!$G$1,"mmm/yyyy")&amp;" a "&amp;TEXT('P&amp;L Acumulado'!$I$1,"mmm/yyyy")</f>
        <v>jan/yyyy a mar/yyyy</v>
      </c>
      <c r="F1292" t="s">
        <v>56</v>
      </c>
      <c r="G1292" t="s">
        <v>205</v>
      </c>
      <c r="H1292" t="s">
        <v>5</v>
      </c>
      <c r="I1292" s="429">
        <f>'P&amp;L Acumulado'!F68</f>
        <v>44187078.427900597</v>
      </c>
      <c r="J1292" t="s">
        <v>1071</v>
      </c>
      <c r="K1292" t="s">
        <v>1332</v>
      </c>
      <c r="L1292">
        <v>68</v>
      </c>
    </row>
    <row r="1293" spans="1:12" ht="18" customHeight="1" x14ac:dyDescent="0.25">
      <c r="A1293" t="s">
        <v>1070</v>
      </c>
      <c r="B1293" s="23">
        <f>'P&amp;L Acumulado'!$G$1</f>
        <v>46053</v>
      </c>
      <c r="C1293" s="23">
        <f>'P&amp;L Acumulado'!$I$1</f>
        <v>46112</v>
      </c>
      <c r="D1293" s="23">
        <f>'P&amp;L Acumulado'!$I$1</f>
        <v>46112</v>
      </c>
      <c r="E1293" t="str">
        <f>TEXT('P&amp;L Acumulado'!$G$1,"mmm/yyyy")&amp;" a "&amp;TEXT('P&amp;L Acumulado'!$I$1,"mmm/yyyy")</f>
        <v>jan/yyyy a mar/yyyy</v>
      </c>
      <c r="F1293" t="s">
        <v>56</v>
      </c>
      <c r="G1293" t="s">
        <v>205</v>
      </c>
      <c r="H1293" t="s">
        <v>6</v>
      </c>
      <c r="I1293" s="429">
        <f>'P&amp;L Acumulado'!G68</f>
        <v>46118802.265277252</v>
      </c>
      <c r="J1293" t="s">
        <v>1071</v>
      </c>
      <c r="K1293" t="s">
        <v>1333</v>
      </c>
      <c r="L1293">
        <v>68</v>
      </c>
    </row>
    <row r="1294" spans="1:12" ht="18" customHeight="1" x14ac:dyDescent="0.25">
      <c r="A1294" t="s">
        <v>1070</v>
      </c>
      <c r="B1294" s="23">
        <f>'P&amp;L Acumulado'!$G$1</f>
        <v>46053</v>
      </c>
      <c r="C1294" s="23">
        <f>'P&amp;L Acumulado'!$I$1</f>
        <v>46112</v>
      </c>
      <c r="D1294" s="23">
        <f>'P&amp;L Acumulado'!$I$1</f>
        <v>46112</v>
      </c>
      <c r="E1294" t="str">
        <f>TEXT('P&amp;L Acumulado'!$G$1,"mmm/yyyy")&amp;" a "&amp;TEXT('P&amp;L Acumulado'!$I$1,"mmm/yyyy")</f>
        <v>jan/yyyy a mar/yyyy</v>
      </c>
      <c r="F1294" t="s">
        <v>56</v>
      </c>
      <c r="G1294" t="s">
        <v>205</v>
      </c>
      <c r="H1294" t="s">
        <v>549</v>
      </c>
      <c r="I1294" s="104">
        <f>'P&amp;L Acumulado'!H68</f>
        <v>0</v>
      </c>
      <c r="J1294" t="s">
        <v>1071</v>
      </c>
      <c r="K1294" t="s">
        <v>1334</v>
      </c>
      <c r="L1294">
        <v>68</v>
      </c>
    </row>
    <row r="1295" spans="1:12" ht="18" customHeight="1" x14ac:dyDescent="0.25">
      <c r="A1295" t="s">
        <v>1070</v>
      </c>
      <c r="B1295" s="23">
        <f>'P&amp;L Acumulado'!$G$1</f>
        <v>46053</v>
      </c>
      <c r="C1295" s="23">
        <f>'P&amp;L Acumulado'!$I$1</f>
        <v>46112</v>
      </c>
      <c r="D1295" s="23">
        <f>'P&amp;L Acumulado'!$I$1</f>
        <v>46112</v>
      </c>
      <c r="E1295" t="str">
        <f>TEXT('P&amp;L Acumulado'!$G$1,"mmm/yyyy")&amp;" a "&amp;TEXT('P&amp;L Acumulado'!$I$1,"mmm/yyyy")</f>
        <v>jan/yyyy a mar/yyyy</v>
      </c>
      <c r="F1295" t="s">
        <v>56</v>
      </c>
      <c r="G1295" t="s">
        <v>220</v>
      </c>
      <c r="H1295" t="s">
        <v>5</v>
      </c>
      <c r="I1295" s="429">
        <f>'P&amp;L Acumulado'!I68</f>
        <v>168250887.22209942</v>
      </c>
      <c r="J1295" t="s">
        <v>1071</v>
      </c>
      <c r="K1295" t="s">
        <v>1335</v>
      </c>
      <c r="L1295">
        <v>68</v>
      </c>
    </row>
    <row r="1296" spans="1:12" ht="18" customHeight="1" x14ac:dyDescent="0.25">
      <c r="A1296" t="s">
        <v>1070</v>
      </c>
      <c r="B1296" s="23">
        <f>'P&amp;L Acumulado'!$G$1</f>
        <v>46053</v>
      </c>
      <c r="C1296" s="23">
        <f>'P&amp;L Acumulado'!$I$1</f>
        <v>46112</v>
      </c>
      <c r="D1296" s="23">
        <f>'P&amp;L Acumulado'!$I$1</f>
        <v>46112</v>
      </c>
      <c r="E1296" t="str">
        <f>TEXT('P&amp;L Acumulado'!$G$1,"mmm/yyyy")&amp;" a "&amp;TEXT('P&amp;L Acumulado'!$I$1,"mmm/yyyy")</f>
        <v>jan/yyyy a mar/yyyy</v>
      </c>
      <c r="F1296" t="s">
        <v>56</v>
      </c>
      <c r="G1296" t="s">
        <v>220</v>
      </c>
      <c r="H1296" t="s">
        <v>6</v>
      </c>
      <c r="I1296" s="429">
        <f>'P&amp;L Acumulado'!J68</f>
        <v>168523920.46309853</v>
      </c>
      <c r="J1296" t="s">
        <v>1071</v>
      </c>
      <c r="K1296" t="s">
        <v>1336</v>
      </c>
      <c r="L1296">
        <v>68</v>
      </c>
    </row>
    <row r="1297" spans="1:12" ht="18" customHeight="1" x14ac:dyDescent="0.25">
      <c r="A1297" t="s">
        <v>1070</v>
      </c>
      <c r="B1297" s="23">
        <f>'P&amp;L Acumulado'!$G$1</f>
        <v>46053</v>
      </c>
      <c r="C1297" s="23">
        <f>'P&amp;L Acumulado'!$I$1</f>
        <v>46112</v>
      </c>
      <c r="D1297" s="23">
        <f>'P&amp;L Acumulado'!$I$1</f>
        <v>46112</v>
      </c>
      <c r="E1297" t="str">
        <f>TEXT('P&amp;L Acumulado'!$G$1,"mmm/yyyy")&amp;" a "&amp;TEXT('P&amp;L Acumulado'!$I$1,"mmm/yyyy")</f>
        <v>jan/yyyy a mar/yyyy</v>
      </c>
      <c r="F1297" t="s">
        <v>56</v>
      </c>
      <c r="G1297" t="s">
        <v>220</v>
      </c>
      <c r="H1297" t="s">
        <v>549</v>
      </c>
      <c r="I1297" s="104">
        <f>'P&amp;L Acumulado'!K68</f>
        <v>0</v>
      </c>
      <c r="J1297" t="s">
        <v>1071</v>
      </c>
      <c r="K1297" t="s">
        <v>1337</v>
      </c>
      <c r="L1297">
        <v>68</v>
      </c>
    </row>
    <row r="1298" spans="1:12" ht="18" customHeight="1" x14ac:dyDescent="0.25">
      <c r="A1298" t="s">
        <v>1070</v>
      </c>
      <c r="B1298" s="23">
        <f>'P&amp;L Acumulado'!$G$1</f>
        <v>46053</v>
      </c>
      <c r="C1298" s="23">
        <f>'P&amp;L Acumulado'!$I$1</f>
        <v>46112</v>
      </c>
      <c r="D1298" s="23">
        <f>'P&amp;L Acumulado'!$I$1</f>
        <v>46112</v>
      </c>
      <c r="E1298" t="str">
        <f>TEXT('P&amp;L Acumulado'!$G$1,"mmm/yyyy")&amp;" a "&amp;TEXT('P&amp;L Acumulado'!$I$1,"mmm/yyyy")</f>
        <v>jan/yyyy a mar/yyyy</v>
      </c>
      <c r="F1298" t="s">
        <v>56</v>
      </c>
      <c r="G1298" t="s">
        <v>96</v>
      </c>
      <c r="H1298" t="s">
        <v>5</v>
      </c>
      <c r="I1298" s="429">
        <f>'P&amp;L Acumulado'!L68</f>
        <v>212437965.65000004</v>
      </c>
      <c r="J1298" t="s">
        <v>1071</v>
      </c>
      <c r="K1298" t="s">
        <v>1338</v>
      </c>
      <c r="L1298">
        <v>68</v>
      </c>
    </row>
    <row r="1299" spans="1:12" ht="18" customHeight="1" x14ac:dyDescent="0.25">
      <c r="A1299" t="s">
        <v>1070</v>
      </c>
      <c r="B1299" s="23">
        <f>'P&amp;L Acumulado'!$G$1</f>
        <v>46053</v>
      </c>
      <c r="C1299" s="23">
        <f>'P&amp;L Acumulado'!$I$1</f>
        <v>46112</v>
      </c>
      <c r="D1299" s="23">
        <f>'P&amp;L Acumulado'!$I$1</f>
        <v>46112</v>
      </c>
      <c r="E1299" t="str">
        <f>TEXT('P&amp;L Acumulado'!$G$1,"mmm/yyyy")&amp;" a "&amp;TEXT('P&amp;L Acumulado'!$I$1,"mmm/yyyy")</f>
        <v>jan/yyyy a mar/yyyy</v>
      </c>
      <c r="F1299" t="s">
        <v>56</v>
      </c>
      <c r="G1299" t="s">
        <v>96</v>
      </c>
      <c r="H1299" t="s">
        <v>6</v>
      </c>
      <c r="I1299" s="429">
        <f>'P&amp;L Acumulado'!M68</f>
        <v>214642722.72837579</v>
      </c>
      <c r="J1299" t="s">
        <v>1071</v>
      </c>
      <c r="K1299" t="s">
        <v>1339</v>
      </c>
      <c r="L1299">
        <v>68</v>
      </c>
    </row>
    <row r="1300" spans="1:12" ht="18" customHeight="1" x14ac:dyDescent="0.25">
      <c r="A1300" t="s">
        <v>1070</v>
      </c>
      <c r="B1300" s="23">
        <f>'P&amp;L Acumulado'!$G$1</f>
        <v>46053</v>
      </c>
      <c r="C1300" s="23">
        <f>'P&amp;L Acumulado'!$I$1</f>
        <v>46112</v>
      </c>
      <c r="D1300" s="23">
        <f>'P&amp;L Acumulado'!$I$1</f>
        <v>46112</v>
      </c>
      <c r="E1300" t="str">
        <f>TEXT('P&amp;L Acumulado'!$G$1,"mmm/yyyy")&amp;" a "&amp;TEXT('P&amp;L Acumulado'!$I$1,"mmm/yyyy")</f>
        <v>jan/yyyy a mar/yyyy</v>
      </c>
      <c r="F1300" t="s">
        <v>56</v>
      </c>
      <c r="G1300" t="s">
        <v>96</v>
      </c>
      <c r="H1300" t="s">
        <v>549</v>
      </c>
      <c r="I1300" s="104">
        <f>'P&amp;L Acumulado'!N68</f>
        <v>0</v>
      </c>
      <c r="J1300" t="s">
        <v>1071</v>
      </c>
      <c r="K1300" t="s">
        <v>1340</v>
      </c>
      <c r="L1300">
        <v>68</v>
      </c>
    </row>
    <row r="1301" spans="1:12" ht="18" customHeight="1" x14ac:dyDescent="0.25">
      <c r="A1301" t="s">
        <v>1070</v>
      </c>
      <c r="B1301" s="23">
        <f>'P&amp;L Acumulado'!$G$1</f>
        <v>46053</v>
      </c>
      <c r="C1301" s="23">
        <f>'P&amp;L Acumulado'!$I$1</f>
        <v>46112</v>
      </c>
      <c r="D1301" s="23">
        <f>'P&amp;L Acumulado'!$I$1</f>
        <v>46112</v>
      </c>
      <c r="E1301" t="str">
        <f>TEXT('P&amp;L Acumulado'!$G$1,"mmm/yyyy")&amp;" a "&amp;TEXT('P&amp;L Acumulado'!$I$1,"mmm/yyyy")</f>
        <v>jan/yyyy a mar/yyyy</v>
      </c>
      <c r="F1301" t="s">
        <v>56</v>
      </c>
      <c r="G1301" t="s">
        <v>96</v>
      </c>
      <c r="H1301" t="s">
        <v>557</v>
      </c>
      <c r="I1301" s="429">
        <f>'P&amp;L Acumulado'!O68</f>
        <v>0</v>
      </c>
      <c r="J1301" t="s">
        <v>1071</v>
      </c>
      <c r="K1301" t="s">
        <v>1341</v>
      </c>
      <c r="L1301">
        <v>68</v>
      </c>
    </row>
    <row r="1302" spans="1:12" ht="18" customHeight="1" x14ac:dyDescent="0.25">
      <c r="A1302" t="s">
        <v>1070</v>
      </c>
      <c r="B1302" s="23">
        <f>'P&amp;L Acumulado'!$G$1</f>
        <v>46053</v>
      </c>
      <c r="C1302" s="23">
        <f>'P&amp;L Acumulado'!$I$1</f>
        <v>46112</v>
      </c>
      <c r="D1302" s="23">
        <f>'P&amp;L Acumulado'!$I$1</f>
        <v>46112</v>
      </c>
      <c r="E1302" t="str">
        <f>TEXT('P&amp;L Acumulado'!$G$1,"mmm/yyyy")&amp;" a "&amp;TEXT('P&amp;L Acumulado'!$I$1,"mmm/yyyy")</f>
        <v>jan/yyyy a mar/yyyy</v>
      </c>
      <c r="F1302" t="s">
        <v>242</v>
      </c>
      <c r="G1302" t="s">
        <v>252</v>
      </c>
      <c r="H1302" t="s">
        <v>5</v>
      </c>
      <c r="I1302" s="429">
        <f>'P&amp;L Acumulado'!C69</f>
        <v>0</v>
      </c>
      <c r="J1302" t="s">
        <v>1071</v>
      </c>
      <c r="K1302" t="s">
        <v>1342</v>
      </c>
      <c r="L1302">
        <v>69</v>
      </c>
    </row>
    <row r="1303" spans="1:12" ht="18" customHeight="1" x14ac:dyDescent="0.25">
      <c r="A1303" t="s">
        <v>1070</v>
      </c>
      <c r="B1303" s="23">
        <f>'P&amp;L Acumulado'!$G$1</f>
        <v>46053</v>
      </c>
      <c r="C1303" s="23">
        <f>'P&amp;L Acumulado'!$I$1</f>
        <v>46112</v>
      </c>
      <c r="D1303" s="23">
        <f>'P&amp;L Acumulado'!$I$1</f>
        <v>46112</v>
      </c>
      <c r="E1303" t="str">
        <f>TEXT('P&amp;L Acumulado'!$G$1,"mmm/yyyy")&amp;" a "&amp;TEXT('P&amp;L Acumulado'!$I$1,"mmm/yyyy")</f>
        <v>jan/yyyy a mar/yyyy</v>
      </c>
      <c r="F1303" t="s">
        <v>242</v>
      </c>
      <c r="G1303" t="s">
        <v>252</v>
      </c>
      <c r="H1303" t="s">
        <v>6</v>
      </c>
      <c r="I1303" s="429">
        <f>'P&amp;L Acumulado'!D69</f>
        <v>0</v>
      </c>
      <c r="J1303" t="s">
        <v>1071</v>
      </c>
      <c r="K1303" t="s">
        <v>1343</v>
      </c>
      <c r="L1303">
        <v>69</v>
      </c>
    </row>
    <row r="1304" spans="1:12" ht="18" customHeight="1" x14ac:dyDescent="0.25">
      <c r="A1304" t="s">
        <v>1070</v>
      </c>
      <c r="B1304" s="23">
        <f>'P&amp;L Acumulado'!$G$1</f>
        <v>46053</v>
      </c>
      <c r="C1304" s="23">
        <f>'P&amp;L Acumulado'!$I$1</f>
        <v>46112</v>
      </c>
      <c r="D1304" s="23">
        <f>'P&amp;L Acumulado'!$I$1</f>
        <v>46112</v>
      </c>
      <c r="E1304" t="str">
        <f>TEXT('P&amp;L Acumulado'!$G$1,"mmm/yyyy")&amp;" a "&amp;TEXT('P&amp;L Acumulado'!$I$1,"mmm/yyyy")</f>
        <v>jan/yyyy a mar/yyyy</v>
      </c>
      <c r="F1304" t="s">
        <v>242</v>
      </c>
      <c r="G1304" t="s">
        <v>252</v>
      </c>
      <c r="H1304" t="s">
        <v>549</v>
      </c>
      <c r="I1304" s="104">
        <f>'P&amp;L Acumulado'!E69</f>
        <v>0</v>
      </c>
      <c r="J1304" t="s">
        <v>1071</v>
      </c>
      <c r="K1304" t="s">
        <v>1344</v>
      </c>
      <c r="L1304">
        <v>69</v>
      </c>
    </row>
    <row r="1305" spans="1:12" ht="18" customHeight="1" x14ac:dyDescent="0.25">
      <c r="A1305" t="s">
        <v>1070</v>
      </c>
      <c r="B1305" s="23">
        <f>'P&amp;L Acumulado'!$G$1</f>
        <v>46053</v>
      </c>
      <c r="C1305" s="23">
        <f>'P&amp;L Acumulado'!$I$1</f>
        <v>46112</v>
      </c>
      <c r="D1305" s="23">
        <f>'P&amp;L Acumulado'!$I$1</f>
        <v>46112</v>
      </c>
      <c r="E1305" t="str">
        <f>TEXT('P&amp;L Acumulado'!$G$1,"mmm/yyyy")&amp;" a "&amp;TEXT('P&amp;L Acumulado'!$I$1,"mmm/yyyy")</f>
        <v>jan/yyyy a mar/yyyy</v>
      </c>
      <c r="F1305" t="s">
        <v>242</v>
      </c>
      <c r="G1305" t="s">
        <v>205</v>
      </c>
      <c r="H1305" t="s">
        <v>5</v>
      </c>
      <c r="I1305" s="429">
        <f>'P&amp;L Acumulado'!F69</f>
        <v>0</v>
      </c>
      <c r="J1305" t="s">
        <v>1071</v>
      </c>
      <c r="K1305" t="s">
        <v>1345</v>
      </c>
      <c r="L1305">
        <v>69</v>
      </c>
    </row>
    <row r="1306" spans="1:12" ht="18" customHeight="1" x14ac:dyDescent="0.25">
      <c r="A1306" t="s">
        <v>1070</v>
      </c>
      <c r="B1306" s="23">
        <f>'P&amp;L Acumulado'!$G$1</f>
        <v>46053</v>
      </c>
      <c r="C1306" s="23">
        <f>'P&amp;L Acumulado'!$I$1</f>
        <v>46112</v>
      </c>
      <c r="D1306" s="23">
        <f>'P&amp;L Acumulado'!$I$1</f>
        <v>46112</v>
      </c>
      <c r="E1306" t="str">
        <f>TEXT('P&amp;L Acumulado'!$G$1,"mmm/yyyy")&amp;" a "&amp;TEXT('P&amp;L Acumulado'!$I$1,"mmm/yyyy")</f>
        <v>jan/yyyy a mar/yyyy</v>
      </c>
      <c r="F1306" t="s">
        <v>242</v>
      </c>
      <c r="G1306" t="s">
        <v>205</v>
      </c>
      <c r="H1306" t="s">
        <v>6</v>
      </c>
      <c r="I1306" s="429">
        <f>'P&amp;L Acumulado'!G69</f>
        <v>0</v>
      </c>
      <c r="J1306" t="s">
        <v>1071</v>
      </c>
      <c r="K1306" t="s">
        <v>1346</v>
      </c>
      <c r="L1306">
        <v>69</v>
      </c>
    </row>
    <row r="1307" spans="1:12" ht="18" customHeight="1" x14ac:dyDescent="0.25">
      <c r="A1307" t="s">
        <v>1070</v>
      </c>
      <c r="B1307" s="23">
        <f>'P&amp;L Acumulado'!$G$1</f>
        <v>46053</v>
      </c>
      <c r="C1307" s="23">
        <f>'P&amp;L Acumulado'!$I$1</f>
        <v>46112</v>
      </c>
      <c r="D1307" s="23">
        <f>'P&amp;L Acumulado'!$I$1</f>
        <v>46112</v>
      </c>
      <c r="E1307" t="str">
        <f>TEXT('P&amp;L Acumulado'!$G$1,"mmm/yyyy")&amp;" a "&amp;TEXT('P&amp;L Acumulado'!$I$1,"mmm/yyyy")</f>
        <v>jan/yyyy a mar/yyyy</v>
      </c>
      <c r="F1307" t="s">
        <v>242</v>
      </c>
      <c r="G1307" t="s">
        <v>205</v>
      </c>
      <c r="H1307" t="s">
        <v>549</v>
      </c>
      <c r="I1307" s="104">
        <f>'P&amp;L Acumulado'!H69</f>
        <v>0</v>
      </c>
      <c r="J1307" t="s">
        <v>1071</v>
      </c>
      <c r="K1307" t="s">
        <v>1347</v>
      </c>
      <c r="L1307">
        <v>69</v>
      </c>
    </row>
    <row r="1308" spans="1:12" ht="18" customHeight="1" x14ac:dyDescent="0.25">
      <c r="A1308" t="s">
        <v>1070</v>
      </c>
      <c r="B1308" s="23">
        <f>'P&amp;L Acumulado'!$G$1</f>
        <v>46053</v>
      </c>
      <c r="C1308" s="23">
        <f>'P&amp;L Acumulado'!$I$1</f>
        <v>46112</v>
      </c>
      <c r="D1308" s="23">
        <f>'P&amp;L Acumulado'!$I$1</f>
        <v>46112</v>
      </c>
      <c r="E1308" t="str">
        <f>TEXT('P&amp;L Acumulado'!$G$1,"mmm/yyyy")&amp;" a "&amp;TEXT('P&amp;L Acumulado'!$I$1,"mmm/yyyy")</f>
        <v>jan/yyyy a mar/yyyy</v>
      </c>
      <c r="F1308" t="s">
        <v>242</v>
      </c>
      <c r="G1308" t="s">
        <v>220</v>
      </c>
      <c r="H1308" t="s">
        <v>5</v>
      </c>
      <c r="I1308" s="429">
        <f>'P&amp;L Acumulado'!I69</f>
        <v>0</v>
      </c>
      <c r="J1308" t="s">
        <v>1071</v>
      </c>
      <c r="K1308" t="s">
        <v>1348</v>
      </c>
      <c r="L1308">
        <v>69</v>
      </c>
    </row>
    <row r="1309" spans="1:12" ht="18" customHeight="1" x14ac:dyDescent="0.25">
      <c r="A1309" t="s">
        <v>1070</v>
      </c>
      <c r="B1309" s="23">
        <f>'P&amp;L Acumulado'!$G$1</f>
        <v>46053</v>
      </c>
      <c r="C1309" s="23">
        <f>'P&amp;L Acumulado'!$I$1</f>
        <v>46112</v>
      </c>
      <c r="D1309" s="23">
        <f>'P&amp;L Acumulado'!$I$1</f>
        <v>46112</v>
      </c>
      <c r="E1309" t="str">
        <f>TEXT('P&amp;L Acumulado'!$G$1,"mmm/yyyy")&amp;" a "&amp;TEXT('P&amp;L Acumulado'!$I$1,"mmm/yyyy")</f>
        <v>jan/yyyy a mar/yyyy</v>
      </c>
      <c r="F1309" t="s">
        <v>242</v>
      </c>
      <c r="G1309" t="s">
        <v>220</v>
      </c>
      <c r="H1309" t="s">
        <v>6</v>
      </c>
      <c r="I1309" s="429">
        <f>'P&amp;L Acumulado'!J69</f>
        <v>0</v>
      </c>
      <c r="J1309" t="s">
        <v>1071</v>
      </c>
      <c r="K1309" t="s">
        <v>1349</v>
      </c>
      <c r="L1309">
        <v>69</v>
      </c>
    </row>
    <row r="1310" spans="1:12" ht="18" customHeight="1" x14ac:dyDescent="0.25">
      <c r="A1310" t="s">
        <v>1070</v>
      </c>
      <c r="B1310" s="23">
        <f>'P&amp;L Acumulado'!$G$1</f>
        <v>46053</v>
      </c>
      <c r="C1310" s="23">
        <f>'P&amp;L Acumulado'!$I$1</f>
        <v>46112</v>
      </c>
      <c r="D1310" s="23">
        <f>'P&amp;L Acumulado'!$I$1</f>
        <v>46112</v>
      </c>
      <c r="E1310" t="str">
        <f>TEXT('P&amp;L Acumulado'!$G$1,"mmm/yyyy")&amp;" a "&amp;TEXT('P&amp;L Acumulado'!$I$1,"mmm/yyyy")</f>
        <v>jan/yyyy a mar/yyyy</v>
      </c>
      <c r="F1310" t="s">
        <v>242</v>
      </c>
      <c r="G1310" t="s">
        <v>220</v>
      </c>
      <c r="H1310" t="s">
        <v>549</v>
      </c>
      <c r="I1310" s="104">
        <f>'P&amp;L Acumulado'!K69</f>
        <v>0</v>
      </c>
      <c r="J1310" t="s">
        <v>1071</v>
      </c>
      <c r="K1310" t="s">
        <v>1350</v>
      </c>
      <c r="L1310">
        <v>69</v>
      </c>
    </row>
    <row r="1311" spans="1:12" ht="18" customHeight="1" x14ac:dyDescent="0.25">
      <c r="A1311" t="s">
        <v>1070</v>
      </c>
      <c r="B1311" s="23">
        <f>'P&amp;L Acumulado'!$G$1</f>
        <v>46053</v>
      </c>
      <c r="C1311" s="23">
        <f>'P&amp;L Acumulado'!$I$1</f>
        <v>46112</v>
      </c>
      <c r="D1311" s="23">
        <f>'P&amp;L Acumulado'!$I$1</f>
        <v>46112</v>
      </c>
      <c r="E1311" t="str">
        <f>TEXT('P&amp;L Acumulado'!$G$1,"mmm/yyyy")&amp;" a "&amp;TEXT('P&amp;L Acumulado'!$I$1,"mmm/yyyy")</f>
        <v>jan/yyyy a mar/yyyy</v>
      </c>
      <c r="F1311" t="s">
        <v>242</v>
      </c>
      <c r="G1311" t="s">
        <v>96</v>
      </c>
      <c r="H1311" t="s">
        <v>5</v>
      </c>
      <c r="I1311" s="429">
        <f>'P&amp;L Acumulado'!L69</f>
        <v>212437965.65000001</v>
      </c>
      <c r="J1311" t="s">
        <v>1071</v>
      </c>
      <c r="K1311" t="s">
        <v>1351</v>
      </c>
      <c r="L1311">
        <v>69</v>
      </c>
    </row>
    <row r="1312" spans="1:12" ht="18" customHeight="1" x14ac:dyDescent="0.25">
      <c r="A1312" t="s">
        <v>1070</v>
      </c>
      <c r="B1312" s="23">
        <f>'P&amp;L Acumulado'!$G$1</f>
        <v>46053</v>
      </c>
      <c r="C1312" s="23">
        <f>'P&amp;L Acumulado'!$I$1</f>
        <v>46112</v>
      </c>
      <c r="D1312" s="23">
        <f>'P&amp;L Acumulado'!$I$1</f>
        <v>46112</v>
      </c>
      <c r="E1312" t="str">
        <f>TEXT('P&amp;L Acumulado'!$G$1,"mmm/yyyy")&amp;" a "&amp;TEXT('P&amp;L Acumulado'!$I$1,"mmm/yyyy")</f>
        <v>jan/yyyy a mar/yyyy</v>
      </c>
      <c r="F1312" t="s">
        <v>242</v>
      </c>
      <c r="G1312" t="s">
        <v>96</v>
      </c>
      <c r="H1312" t="s">
        <v>6</v>
      </c>
      <c r="I1312" s="429">
        <f>'P&amp;L Acumulado'!M69</f>
        <v>214642722.72837576</v>
      </c>
      <c r="J1312" t="s">
        <v>1071</v>
      </c>
      <c r="K1312" t="s">
        <v>1352</v>
      </c>
      <c r="L1312">
        <v>69</v>
      </c>
    </row>
    <row r="1313" spans="1:12" ht="18" customHeight="1" x14ac:dyDescent="0.25">
      <c r="A1313" t="s">
        <v>1070</v>
      </c>
      <c r="B1313" s="23">
        <f>'P&amp;L Acumulado'!$G$1</f>
        <v>46053</v>
      </c>
      <c r="C1313" s="23">
        <f>'P&amp;L Acumulado'!$I$1</f>
        <v>46112</v>
      </c>
      <c r="D1313" s="23">
        <f>'P&amp;L Acumulado'!$I$1</f>
        <v>46112</v>
      </c>
      <c r="E1313" t="str">
        <f>TEXT('P&amp;L Acumulado'!$G$1,"mmm/yyyy")&amp;" a "&amp;TEXT('P&amp;L Acumulado'!$I$1,"mmm/yyyy")</f>
        <v>jan/yyyy a mar/yyyy</v>
      </c>
      <c r="F1313" t="s">
        <v>242</v>
      </c>
      <c r="G1313" t="s">
        <v>96</v>
      </c>
      <c r="H1313" t="s">
        <v>549</v>
      </c>
      <c r="I1313" s="104">
        <f>'P&amp;L Acumulado'!N69</f>
        <v>0</v>
      </c>
      <c r="J1313" t="s">
        <v>1071</v>
      </c>
      <c r="K1313" t="s">
        <v>1353</v>
      </c>
      <c r="L1313">
        <v>69</v>
      </c>
    </row>
    <row r="1314" spans="1:12" ht="18" customHeight="1" x14ac:dyDescent="0.25">
      <c r="A1314" t="s">
        <v>1070</v>
      </c>
      <c r="B1314" s="23">
        <f>'P&amp;L Acumulado'!$G$1</f>
        <v>46053</v>
      </c>
      <c r="C1314" s="23">
        <f>'P&amp;L Acumulado'!$I$1</f>
        <v>46112</v>
      </c>
      <c r="D1314" s="23">
        <f>'P&amp;L Acumulado'!$I$1</f>
        <v>46112</v>
      </c>
      <c r="E1314" t="str">
        <f>TEXT('P&amp;L Acumulado'!$G$1,"mmm/yyyy")&amp;" a "&amp;TEXT('P&amp;L Acumulado'!$I$1,"mmm/yyyy")</f>
        <v>jan/yyyy a mar/yyyy</v>
      </c>
      <c r="F1314" t="s">
        <v>242</v>
      </c>
      <c r="G1314" t="s">
        <v>96</v>
      </c>
      <c r="H1314" t="s">
        <v>557</v>
      </c>
      <c r="I1314" s="429">
        <f>'P&amp;L Acumulado'!O69</f>
        <v>0</v>
      </c>
      <c r="J1314" t="s">
        <v>1071</v>
      </c>
      <c r="K1314" t="s">
        <v>1354</v>
      </c>
      <c r="L1314">
        <v>69</v>
      </c>
    </row>
  </sheetData>
  <autoFilter ref="A1:L131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64A9-6E58-4C82-9325-D366E19F3AF4}">
  <dimension ref="A1:AI63"/>
  <sheetViews>
    <sheetView zoomScale="85" zoomScaleNormal="85" workbookViewId="0">
      <selection activeCell="AB61" sqref="AB61"/>
    </sheetView>
  </sheetViews>
  <sheetFormatPr defaultRowHeight="15" x14ac:dyDescent="0.25"/>
  <cols>
    <col min="1" max="1" width="39.28515625" bestFit="1" customWidth="1"/>
    <col min="2" max="3" width="11.5703125" bestFit="1" customWidth="1"/>
    <col min="4" max="4" width="8.140625" bestFit="1" customWidth="1"/>
    <col min="5" max="6" width="12.7109375" bestFit="1" customWidth="1"/>
    <col min="7" max="7" width="8.42578125" bestFit="1" customWidth="1"/>
    <col min="8" max="9" width="12.7109375" bestFit="1" customWidth="1"/>
    <col min="10" max="10" width="8" bestFit="1" customWidth="1"/>
    <col min="11" max="11" width="11.5703125" bestFit="1" customWidth="1"/>
    <col min="13" max="13" width="39.28515625" bestFit="1" customWidth="1"/>
    <col min="14" max="15" width="11.5703125" bestFit="1" customWidth="1"/>
    <col min="16" max="16" width="8.42578125" bestFit="1" customWidth="1"/>
    <col min="17" max="18" width="12.7109375" bestFit="1" customWidth="1"/>
    <col min="19" max="19" width="11.5703125" bestFit="1" customWidth="1"/>
    <col min="20" max="21" width="12.7109375" bestFit="1" customWidth="1"/>
    <col min="22" max="22" width="10.5703125" bestFit="1" customWidth="1"/>
    <col min="23" max="23" width="11.5703125" bestFit="1" customWidth="1"/>
    <col min="25" max="25" width="39.28515625" bestFit="1" customWidth="1"/>
  </cols>
  <sheetData>
    <row r="1" spans="1:35" x14ac:dyDescent="0.25">
      <c r="A1" s="212" t="s">
        <v>0</v>
      </c>
      <c r="C1" s="55"/>
      <c r="D1" s="213"/>
      <c r="E1" s="214">
        <v>46053</v>
      </c>
      <c r="F1" s="51"/>
      <c r="G1" s="100"/>
      <c r="H1" s="431"/>
      <c r="I1" s="99"/>
      <c r="J1" s="104"/>
      <c r="M1" s="212" t="s">
        <v>0</v>
      </c>
      <c r="O1" s="55"/>
      <c r="P1" s="213"/>
      <c r="Q1" s="214">
        <v>46081</v>
      </c>
      <c r="R1" s="51"/>
      <c r="S1" s="100"/>
      <c r="T1" s="431"/>
      <c r="U1" s="99"/>
      <c r="V1" s="104"/>
      <c r="Y1" s="212" t="s">
        <v>0</v>
      </c>
      <c r="AA1" s="55"/>
      <c r="AB1" s="213"/>
      <c r="AC1" s="214">
        <v>46112</v>
      </c>
      <c r="AD1" s="51"/>
      <c r="AE1" s="101"/>
      <c r="AF1" s="100"/>
      <c r="AG1" s="100"/>
      <c r="AH1" s="104"/>
    </row>
    <row r="2" spans="1:35" x14ac:dyDescent="0.25">
      <c r="A2" s="23"/>
      <c r="B2" s="79"/>
      <c r="C2" s="55"/>
      <c r="D2" s="100"/>
      <c r="E2" s="79"/>
      <c r="F2" s="79"/>
      <c r="G2" s="100"/>
      <c r="H2" s="100"/>
      <c r="I2" s="79"/>
      <c r="J2" s="100"/>
      <c r="K2" s="55"/>
      <c r="M2" s="23"/>
      <c r="N2" s="79"/>
      <c r="O2" s="55"/>
      <c r="P2" s="100"/>
      <c r="Q2" s="79"/>
      <c r="R2" s="79"/>
      <c r="S2" s="100"/>
      <c r="T2" s="100"/>
      <c r="U2" s="79"/>
      <c r="V2" s="100"/>
      <c r="W2" s="55"/>
      <c r="Y2" s="23"/>
      <c r="Z2" s="79"/>
      <c r="AA2" s="55"/>
      <c r="AB2" s="100"/>
      <c r="AC2" s="79"/>
      <c r="AD2" s="79"/>
      <c r="AE2" s="101"/>
      <c r="AF2" s="100"/>
      <c r="AG2" s="100"/>
      <c r="AH2" s="104"/>
      <c r="AI2" s="55"/>
    </row>
    <row r="3" spans="1:35" x14ac:dyDescent="0.25">
      <c r="A3" s="76"/>
      <c r="B3" s="443" t="s">
        <v>1</v>
      </c>
      <c r="C3" s="444"/>
      <c r="D3" s="445"/>
      <c r="E3" s="443" t="s">
        <v>2</v>
      </c>
      <c r="F3" s="444"/>
      <c r="G3" s="445"/>
      <c r="H3" s="443" t="s">
        <v>3</v>
      </c>
      <c r="I3" s="444"/>
      <c r="J3" s="444"/>
      <c r="K3" s="232"/>
      <c r="M3" s="76"/>
      <c r="N3" s="496" t="s">
        <v>1</v>
      </c>
      <c r="O3" s="495"/>
      <c r="P3" s="494"/>
      <c r="Q3" s="496" t="s">
        <v>2</v>
      </c>
      <c r="R3" s="495"/>
      <c r="S3" s="494"/>
      <c r="T3" s="496" t="s">
        <v>3</v>
      </c>
      <c r="U3" s="495"/>
      <c r="V3" s="495"/>
      <c r="W3" s="232"/>
      <c r="Y3" s="76"/>
      <c r="Z3" s="496" t="s">
        <v>1</v>
      </c>
      <c r="AA3" s="495"/>
      <c r="AB3" s="494"/>
      <c r="AC3" s="496" t="s">
        <v>2</v>
      </c>
      <c r="AD3" s="495"/>
      <c r="AE3" s="494"/>
      <c r="AF3" s="496" t="s">
        <v>3</v>
      </c>
      <c r="AG3" s="495"/>
      <c r="AH3" s="495"/>
      <c r="AI3" s="232"/>
    </row>
    <row r="4" spans="1:35" x14ac:dyDescent="0.25">
      <c r="A4" s="76"/>
      <c r="B4" s="76" t="s">
        <v>5</v>
      </c>
      <c r="C4" s="444" t="s">
        <v>6</v>
      </c>
      <c r="D4" s="80" t="s">
        <v>7</v>
      </c>
      <c r="E4" s="76" t="s">
        <v>5</v>
      </c>
      <c r="F4" s="48" t="s">
        <v>6</v>
      </c>
      <c r="G4" s="80" t="s">
        <v>7</v>
      </c>
      <c r="H4" s="76" t="s">
        <v>5</v>
      </c>
      <c r="I4" s="48" t="s">
        <v>6</v>
      </c>
      <c r="J4" s="81" t="s">
        <v>7</v>
      </c>
      <c r="K4" s="126" t="s">
        <v>8</v>
      </c>
      <c r="M4" s="76"/>
      <c r="N4" s="76" t="s">
        <v>5</v>
      </c>
      <c r="O4" s="48" t="s">
        <v>6</v>
      </c>
      <c r="P4" s="80" t="s">
        <v>7</v>
      </c>
      <c r="Q4" s="76" t="s">
        <v>5</v>
      </c>
      <c r="R4" s="48" t="s">
        <v>6</v>
      </c>
      <c r="S4" s="80" t="s">
        <v>7</v>
      </c>
      <c r="T4" s="76" t="s">
        <v>5</v>
      </c>
      <c r="U4" s="48" t="s">
        <v>6</v>
      </c>
      <c r="V4" s="81" t="s">
        <v>7</v>
      </c>
      <c r="W4" s="126" t="s">
        <v>8</v>
      </c>
      <c r="Y4" s="76"/>
      <c r="Z4" s="76" t="s">
        <v>5</v>
      </c>
      <c r="AA4" s="48" t="s">
        <v>6</v>
      </c>
      <c r="AB4" s="80" t="s">
        <v>7</v>
      </c>
      <c r="AC4" s="76" t="s">
        <v>5</v>
      </c>
      <c r="AD4" s="48" t="s">
        <v>6</v>
      </c>
      <c r="AE4" s="80" t="s">
        <v>7</v>
      </c>
      <c r="AF4" s="76" t="s">
        <v>5</v>
      </c>
      <c r="AG4" s="48" t="s">
        <v>6</v>
      </c>
      <c r="AH4" s="81" t="s">
        <v>7</v>
      </c>
      <c r="AI4" s="126" t="s">
        <v>8</v>
      </c>
    </row>
    <row r="5" spans="1:35" x14ac:dyDescent="0.25">
      <c r="A5" s="338" t="s">
        <v>9</v>
      </c>
      <c r="B5" s="325">
        <v>7802027.8681999985</v>
      </c>
      <c r="C5" s="326">
        <v>7701714.3278747303</v>
      </c>
      <c r="D5" s="327">
        <v>1.3024832661243213E-2</v>
      </c>
      <c r="E5" s="325">
        <v>23859887.471799992</v>
      </c>
      <c r="F5" s="326">
        <v>24532548.447623588</v>
      </c>
      <c r="G5" s="327">
        <v>-2.741912350686726E-2</v>
      </c>
      <c r="H5" s="325">
        <v>31661915.339999989</v>
      </c>
      <c r="I5" s="326">
        <v>32234262.775498319</v>
      </c>
      <c r="J5" s="327">
        <v>-1.7755871740717466E-2</v>
      </c>
      <c r="K5" s="339">
        <v>-572347.43549833074</v>
      </c>
      <c r="M5" s="367" t="s">
        <v>9</v>
      </c>
      <c r="N5" s="368">
        <v>7098724.0639200006</v>
      </c>
      <c r="O5" s="369">
        <v>6991516.2159811109</v>
      </c>
      <c r="P5" s="370">
        <v>1.5333991172592265E-2</v>
      </c>
      <c r="Q5" s="368">
        <v>23773864.136080004</v>
      </c>
      <c r="R5" s="369">
        <v>23417972.987558749</v>
      </c>
      <c r="S5" s="370">
        <v>1.5197350714783564E-2</v>
      </c>
      <c r="T5" s="368">
        <v>30872588.200000007</v>
      </c>
      <c r="U5" s="369">
        <v>30409489.20353986</v>
      </c>
      <c r="V5" s="370">
        <v>1.5228766039458552E-2</v>
      </c>
      <c r="W5" s="371">
        <v>463098.9964601472</v>
      </c>
      <c r="Y5" s="367" t="s">
        <v>9</v>
      </c>
      <c r="Z5" s="368">
        <v>7877352.9171399996</v>
      </c>
      <c r="AA5" s="369">
        <v>7759392.6523530688</v>
      </c>
      <c r="AB5" s="370">
        <v>1.52022548763735E-2</v>
      </c>
      <c r="AC5" s="368">
        <v>33774612.562860012</v>
      </c>
      <c r="AD5" s="369">
        <v>29464374.413464338</v>
      </c>
      <c r="AE5" s="370">
        <v>0.14628643014480658</v>
      </c>
      <c r="AF5" s="368">
        <v>41651965.480000012</v>
      </c>
      <c r="AG5" s="369">
        <v>37223767.065817401</v>
      </c>
      <c r="AH5" s="370">
        <v>0.11896158726635231</v>
      </c>
      <c r="AI5" s="371">
        <v>4428198.4141826108</v>
      </c>
    </row>
    <row r="6" spans="1:35" x14ac:dyDescent="0.25">
      <c r="A6" s="238" t="s">
        <v>10</v>
      </c>
      <c r="B6" s="251">
        <v>7793026.2112999987</v>
      </c>
      <c r="C6" s="242">
        <v>7689247.7661726028</v>
      </c>
      <c r="D6" s="250">
        <v>1.3496566671183263E-2</v>
      </c>
      <c r="E6" s="296">
        <v>21036305.248699997</v>
      </c>
      <c r="F6" s="242">
        <v>21210590.399325717</v>
      </c>
      <c r="G6" s="250">
        <v>-8.2168929456702955E-3</v>
      </c>
      <c r="H6" s="251">
        <v>28829331.459999993</v>
      </c>
      <c r="I6" s="242">
        <v>28899838.16549832</v>
      </c>
      <c r="J6" s="115">
        <v>-2.4396920527568478E-3</v>
      </c>
      <c r="K6" s="265">
        <v>-70506.70549832657</v>
      </c>
      <c r="M6" s="372" t="s">
        <v>10</v>
      </c>
      <c r="N6" s="373">
        <v>7090560.6940800007</v>
      </c>
      <c r="O6" s="374">
        <v>6979049.6542789834</v>
      </c>
      <c r="P6" s="375">
        <v>1.5977969111116375E-2</v>
      </c>
      <c r="Q6" s="376">
        <v>21137848.845920004</v>
      </c>
      <c r="R6" s="374">
        <v>20364604.924260873</v>
      </c>
      <c r="S6" s="375">
        <v>3.7969993748218744E-2</v>
      </c>
      <c r="T6" s="373">
        <v>28228409.540000007</v>
      </c>
      <c r="U6" s="374">
        <v>27343654.578539856</v>
      </c>
      <c r="V6" s="377">
        <v>3.2356865791982825E-2</v>
      </c>
      <c r="W6" s="378">
        <v>884754.96146015078</v>
      </c>
      <c r="Y6" s="372" t="s">
        <v>10</v>
      </c>
      <c r="Z6" s="373">
        <v>7868473.4199999999</v>
      </c>
      <c r="AA6" s="374">
        <v>7746926.0906509412</v>
      </c>
      <c r="AB6" s="375">
        <v>1.5689749447299173E-2</v>
      </c>
      <c r="AC6" s="376">
        <v>29656160.820000008</v>
      </c>
      <c r="AD6" s="374">
        <v>26280606.350166462</v>
      </c>
      <c r="AE6" s="375">
        <v>0.12844279256183011</v>
      </c>
      <c r="AF6" s="373">
        <v>37524634.24000001</v>
      </c>
      <c r="AG6" s="374">
        <v>34027532.440817401</v>
      </c>
      <c r="AH6" s="377">
        <v>0.1027727122225206</v>
      </c>
      <c r="AI6" s="378">
        <v>3497101.7991826087</v>
      </c>
    </row>
    <row r="7" spans="1:35" x14ac:dyDescent="0.25">
      <c r="A7" s="261" t="s">
        <v>11</v>
      </c>
      <c r="B7" s="251">
        <v>5986044.7899999991</v>
      </c>
      <c r="C7" s="242">
        <v>5963466.9907451728</v>
      </c>
      <c r="D7" s="250">
        <v>3.7860189869189931E-3</v>
      </c>
      <c r="E7" s="251">
        <v>17780387.049999997</v>
      </c>
      <c r="F7" s="242">
        <v>18019559.575254552</v>
      </c>
      <c r="G7" s="250">
        <v>-1.3272939566347675E-2</v>
      </c>
      <c r="H7" s="251">
        <v>23766431.839999996</v>
      </c>
      <c r="I7" s="242">
        <v>23983026.565999724</v>
      </c>
      <c r="J7" s="115">
        <v>-9.0311673300979001E-3</v>
      </c>
      <c r="K7" s="265">
        <v>-216594.72599972785</v>
      </c>
      <c r="M7" s="261" t="s">
        <v>11</v>
      </c>
      <c r="N7" s="251">
        <v>5423105.9100000001</v>
      </c>
      <c r="O7" s="242">
        <v>5428491.0037286356</v>
      </c>
      <c r="P7" s="250">
        <v>-9.9200564667722979E-4</v>
      </c>
      <c r="Q7" s="251">
        <v>17032218.530000001</v>
      </c>
      <c r="R7" s="242">
        <v>16315715.228789408</v>
      </c>
      <c r="S7" s="250">
        <v>4.3914918295846928E-2</v>
      </c>
      <c r="T7" s="251">
        <v>22455324.440000001</v>
      </c>
      <c r="U7" s="242">
        <v>21744206.232518043</v>
      </c>
      <c r="V7" s="115">
        <v>3.2703801641583707E-2</v>
      </c>
      <c r="W7" s="265">
        <v>711118.20748195797</v>
      </c>
      <c r="Y7" s="261" t="s">
        <v>11</v>
      </c>
      <c r="Z7" s="251">
        <v>6041460.75</v>
      </c>
      <c r="AA7" s="242">
        <v>6046154.6488325596</v>
      </c>
      <c r="AB7" s="250">
        <v>-7.7634448756047636E-4</v>
      </c>
      <c r="AC7" s="251">
        <v>21983325.100000009</v>
      </c>
      <c r="AD7" s="242">
        <v>20556771.502015632</v>
      </c>
      <c r="AE7" s="250">
        <v>6.939579971711507E-2</v>
      </c>
      <c r="AF7" s="251">
        <v>28024785.850000009</v>
      </c>
      <c r="AG7" s="242">
        <v>26602926.150848191</v>
      </c>
      <c r="AH7" s="115">
        <v>5.3447492621276238E-2</v>
      </c>
      <c r="AI7" s="265">
        <v>1421859.6991518177</v>
      </c>
    </row>
    <row r="8" spans="1:35" x14ac:dyDescent="0.25">
      <c r="A8" s="261"/>
      <c r="B8" s="251"/>
      <c r="C8" s="242"/>
      <c r="D8" s="250"/>
      <c r="E8" s="251"/>
      <c r="F8" s="242"/>
      <c r="G8" s="250"/>
      <c r="H8" s="251"/>
      <c r="I8" s="242"/>
      <c r="J8" s="115"/>
      <c r="K8" s="265"/>
      <c r="M8" s="261"/>
      <c r="N8" s="251"/>
      <c r="O8" s="242"/>
      <c r="P8" s="250"/>
      <c r="Q8" s="439"/>
      <c r="R8" s="440"/>
      <c r="S8" s="441"/>
      <c r="T8" s="251"/>
      <c r="U8" s="242"/>
      <c r="V8" s="115"/>
      <c r="W8" s="265"/>
      <c r="Y8" s="261"/>
      <c r="Z8" s="251"/>
      <c r="AA8" s="242"/>
      <c r="AB8" s="250"/>
      <c r="AC8" s="251"/>
      <c r="AD8" s="242"/>
      <c r="AE8" s="250"/>
      <c r="AF8" s="251"/>
      <c r="AG8" s="242"/>
      <c r="AH8" s="115"/>
      <c r="AI8" s="265"/>
    </row>
    <row r="9" spans="1:35" x14ac:dyDescent="0.25">
      <c r="A9" s="261"/>
      <c r="B9" s="251"/>
      <c r="C9" s="242"/>
      <c r="D9" s="250"/>
      <c r="E9" s="251"/>
      <c r="F9" s="242"/>
      <c r="G9" s="250"/>
      <c r="H9" s="251"/>
      <c r="I9" s="242"/>
      <c r="J9" s="115"/>
      <c r="K9" s="265"/>
      <c r="M9" s="261"/>
      <c r="N9" s="251"/>
      <c r="O9" s="242"/>
      <c r="P9" s="250"/>
      <c r="Q9" s="439"/>
      <c r="R9" s="440"/>
      <c r="S9" s="441"/>
      <c r="T9" s="251"/>
      <c r="U9" s="242"/>
      <c r="V9" s="115"/>
      <c r="W9" s="265"/>
      <c r="Y9" s="261"/>
      <c r="Z9" s="251"/>
      <c r="AA9" s="242"/>
      <c r="AB9" s="250"/>
      <c r="AC9" s="251"/>
      <c r="AD9" s="242"/>
      <c r="AE9" s="250"/>
      <c r="AF9" s="251"/>
      <c r="AG9" s="242"/>
      <c r="AH9" s="115"/>
      <c r="AI9" s="265"/>
    </row>
    <row r="10" spans="1:35" x14ac:dyDescent="0.25">
      <c r="A10" s="261" t="s">
        <v>12</v>
      </c>
      <c r="B10" s="251">
        <v>0</v>
      </c>
      <c r="C10" s="242">
        <v>0</v>
      </c>
      <c r="D10" s="250" t="s">
        <v>451</v>
      </c>
      <c r="E10" s="251">
        <v>2865754.81</v>
      </c>
      <c r="F10" s="242">
        <v>2790874.0894744704</v>
      </c>
      <c r="G10" s="250">
        <v>2.6830562083734133E-2</v>
      </c>
      <c r="H10" s="251">
        <v>2865754.81</v>
      </c>
      <c r="I10" s="242">
        <v>2790874.0894744704</v>
      </c>
      <c r="J10" s="115">
        <v>2.6830562083734133E-2</v>
      </c>
      <c r="K10" s="265">
        <v>74880.720525529701</v>
      </c>
      <c r="M10" s="261" t="s">
        <v>12</v>
      </c>
      <c r="N10" s="251">
        <v>0</v>
      </c>
      <c r="O10" s="242">
        <v>0</v>
      </c>
      <c r="P10" s="250" t="s">
        <v>451</v>
      </c>
      <c r="Q10" s="251">
        <v>3752222.66</v>
      </c>
      <c r="R10" s="242">
        <v>3641713.1403544517</v>
      </c>
      <c r="S10" s="250">
        <v>3.0345476259778126E-2</v>
      </c>
      <c r="T10" s="251">
        <v>3752222.66</v>
      </c>
      <c r="U10" s="242">
        <v>3641713.1403544517</v>
      </c>
      <c r="V10" s="115">
        <v>3.0345476259778126E-2</v>
      </c>
      <c r="W10" s="265">
        <v>110509.51964554843</v>
      </c>
      <c r="Y10" s="261" t="s">
        <v>12</v>
      </c>
      <c r="Z10" s="251">
        <v>0</v>
      </c>
      <c r="AA10" s="242">
        <v>0</v>
      </c>
      <c r="AB10" s="250" t="s">
        <v>451</v>
      </c>
      <c r="AC10" s="251">
        <v>7200722.3600000003</v>
      </c>
      <c r="AD10" s="242">
        <v>5309468.9457147149</v>
      </c>
      <c r="AE10" s="250">
        <v>0.35620387530691189</v>
      </c>
      <c r="AF10" s="251">
        <v>7200722.3600000003</v>
      </c>
      <c r="AG10" s="242">
        <v>5309468.9457147149</v>
      </c>
      <c r="AH10" s="115">
        <v>0.35620387530691189</v>
      </c>
      <c r="AI10" s="265">
        <v>1891253.4142852854</v>
      </c>
    </row>
    <row r="11" spans="1:35" x14ac:dyDescent="0.25">
      <c r="A11" s="261" t="s">
        <v>13</v>
      </c>
      <c r="B11" s="251">
        <v>0</v>
      </c>
      <c r="C11" s="242">
        <v>0</v>
      </c>
      <c r="D11" s="250" t="s">
        <v>451</v>
      </c>
      <c r="E11" s="251">
        <v>348775.08999999997</v>
      </c>
      <c r="F11" s="242">
        <v>358704.26651159039</v>
      </c>
      <c r="G11" s="250">
        <v>-2.7680675806150745E-2</v>
      </c>
      <c r="H11" s="251">
        <v>348775.08999999997</v>
      </c>
      <c r="I11" s="242">
        <v>358704.26651159039</v>
      </c>
      <c r="J11" s="115">
        <v>-2.7680675806150745E-2</v>
      </c>
      <c r="K11" s="265">
        <v>-9929.1765115904273</v>
      </c>
      <c r="M11" s="261" t="s">
        <v>13</v>
      </c>
      <c r="N11" s="251">
        <v>0</v>
      </c>
      <c r="O11" s="242">
        <v>0</v>
      </c>
      <c r="P11" s="250" t="s">
        <v>451</v>
      </c>
      <c r="Q11" s="251">
        <v>312401.05</v>
      </c>
      <c r="R11" s="242">
        <v>365724.08703190682</v>
      </c>
      <c r="S11" s="250">
        <v>-0.14580127184036085</v>
      </c>
      <c r="T11" s="251">
        <v>312401.05</v>
      </c>
      <c r="U11" s="242">
        <v>365724.08703190682</v>
      </c>
      <c r="V11" s="115">
        <v>-0.14580127184036085</v>
      </c>
      <c r="W11" s="265">
        <v>-53323.037031906832</v>
      </c>
      <c r="Y11" s="261" t="s">
        <v>13</v>
      </c>
      <c r="Z11" s="251">
        <v>0</v>
      </c>
      <c r="AA11" s="242">
        <v>0</v>
      </c>
      <c r="AB11" s="250" t="s">
        <v>451</v>
      </c>
      <c r="AC11" s="251">
        <v>394865.93000000011</v>
      </c>
      <c r="AD11" s="242">
        <v>372913.43435100798</v>
      </c>
      <c r="AE11" s="250">
        <v>5.8867537682563587E-2</v>
      </c>
      <c r="AF11" s="251">
        <v>394865.93000000011</v>
      </c>
      <c r="AG11" s="242">
        <v>372913.43435100798</v>
      </c>
      <c r="AH11" s="115">
        <v>5.8867537682563587E-2</v>
      </c>
      <c r="AI11" s="265">
        <v>21952.495648992131</v>
      </c>
    </row>
    <row r="12" spans="1:35" x14ac:dyDescent="0.25">
      <c r="A12" s="261" t="s">
        <v>14</v>
      </c>
      <c r="B12" s="251">
        <v>1806981.4213</v>
      </c>
      <c r="C12" s="242">
        <v>1725780.7754274297</v>
      </c>
      <c r="D12" s="250">
        <v>4.7051541556579979E-2</v>
      </c>
      <c r="E12" s="251">
        <v>41388.298699999999</v>
      </c>
      <c r="F12" s="242">
        <v>41452.468085106389</v>
      </c>
      <c r="G12" s="250">
        <v>-1.54802326787018E-3</v>
      </c>
      <c r="H12" s="251">
        <v>1848369.72</v>
      </c>
      <c r="I12" s="242">
        <v>1767233.2435125362</v>
      </c>
      <c r="J12" s="115">
        <v>4.5911583423022151E-2</v>
      </c>
      <c r="K12" s="265">
        <v>81136.476487463806</v>
      </c>
      <c r="M12" s="261" t="s">
        <v>14</v>
      </c>
      <c r="N12" s="251">
        <v>1667454.7840800001</v>
      </c>
      <c r="O12" s="242">
        <v>1550558.650550348</v>
      </c>
      <c r="P12" s="250">
        <v>7.5389688412083933E-2</v>
      </c>
      <c r="Q12" s="251">
        <v>41006.605920000002</v>
      </c>
      <c r="R12" s="242">
        <v>41452.468085106389</v>
      </c>
      <c r="S12" s="250">
        <v>-1.0755985969061799E-2</v>
      </c>
      <c r="T12" s="251">
        <v>1708461.3900000001</v>
      </c>
      <c r="U12" s="242">
        <v>1592011.1186354544</v>
      </c>
      <c r="V12" s="115">
        <v>7.3146644518637283E-2</v>
      </c>
      <c r="W12" s="265">
        <v>116450.27136454568</v>
      </c>
      <c r="Y12" s="261" t="s">
        <v>14</v>
      </c>
      <c r="Z12" s="251">
        <v>1827012.67</v>
      </c>
      <c r="AA12" s="242">
        <v>1700771.4418183819</v>
      </c>
      <c r="AB12" s="250">
        <v>7.4225863086369248E-2</v>
      </c>
      <c r="AC12" s="251">
        <v>77247.429999999993</v>
      </c>
      <c r="AD12" s="242">
        <v>41452.468085106389</v>
      </c>
      <c r="AE12" s="250">
        <v>0.86351823108343484</v>
      </c>
      <c r="AF12" s="251">
        <v>1904260.0999999999</v>
      </c>
      <c r="AG12" s="242">
        <v>1742223.9099034884</v>
      </c>
      <c r="AH12" s="115">
        <v>9.3005376160569142E-2</v>
      </c>
      <c r="AI12" s="265">
        <v>162036.19009651151</v>
      </c>
    </row>
    <row r="13" spans="1:35" x14ac:dyDescent="0.25">
      <c r="A13" s="261" t="s">
        <v>15</v>
      </c>
      <c r="B13" s="251">
        <v>0</v>
      </c>
      <c r="C13" s="242">
        <v>0</v>
      </c>
      <c r="D13" s="250" t="s">
        <v>451</v>
      </c>
      <c r="E13" s="251">
        <v>1148925.0399999998</v>
      </c>
      <c r="F13" s="242">
        <v>1642600</v>
      </c>
      <c r="G13" s="250">
        <v>-0.30054484354072819</v>
      </c>
      <c r="H13" s="251">
        <v>1148925.0399999998</v>
      </c>
      <c r="I13" s="242">
        <v>1642600</v>
      </c>
      <c r="J13" s="115">
        <v>-0.30054484354072819</v>
      </c>
      <c r="K13" s="265">
        <v>-493674.9600000002</v>
      </c>
      <c r="M13" s="261" t="s">
        <v>15</v>
      </c>
      <c r="N13" s="251">
        <v>0</v>
      </c>
      <c r="O13" s="242">
        <v>0</v>
      </c>
      <c r="P13" s="250" t="s">
        <v>451</v>
      </c>
      <c r="Q13" s="251">
        <v>1421204.04</v>
      </c>
      <c r="R13" s="242">
        <v>1591000</v>
      </c>
      <c r="S13" s="250">
        <v>-0.10672279069767443</v>
      </c>
      <c r="T13" s="251">
        <v>1421204.04</v>
      </c>
      <c r="U13" s="242">
        <v>1591000</v>
      </c>
      <c r="V13" s="115">
        <v>-0.10672279069767443</v>
      </c>
      <c r="W13" s="265">
        <v>-169795.95999999996</v>
      </c>
      <c r="Y13" s="261" t="s">
        <v>15</v>
      </c>
      <c r="Z13" s="251">
        <v>0</v>
      </c>
      <c r="AA13" s="242">
        <v>0</v>
      </c>
      <c r="AB13" s="250" t="s">
        <v>451</v>
      </c>
      <c r="AC13" s="251">
        <v>2558364.5600000061</v>
      </c>
      <c r="AD13" s="242">
        <v>1754400</v>
      </c>
      <c r="AE13" s="250">
        <v>0.45825613315093827</v>
      </c>
      <c r="AF13" s="251">
        <v>2558364.5600000061</v>
      </c>
      <c r="AG13" s="242">
        <v>1754400</v>
      </c>
      <c r="AH13" s="115">
        <v>0.45825613315093827</v>
      </c>
      <c r="AI13" s="265">
        <v>803964.56000000611</v>
      </c>
    </row>
    <row r="14" spans="1:35" x14ac:dyDescent="0.25">
      <c r="A14" s="238" t="s">
        <v>16</v>
      </c>
      <c r="B14" s="50">
        <v>9001.6569</v>
      </c>
      <c r="C14" s="51">
        <v>12466.561702127659</v>
      </c>
      <c r="D14" s="57">
        <v>-0.27793588039084638</v>
      </c>
      <c r="E14" s="50">
        <v>12128.9931</v>
      </c>
      <c r="F14" s="51">
        <v>16829.858297872343</v>
      </c>
      <c r="G14" s="57">
        <v>-0.27931698025447038</v>
      </c>
      <c r="H14" s="50">
        <v>21130.65</v>
      </c>
      <c r="I14" s="51">
        <v>29296.420000000002</v>
      </c>
      <c r="J14" s="60">
        <v>-0.27872927818484305</v>
      </c>
      <c r="K14" s="163">
        <v>-8165.77</v>
      </c>
      <c r="M14" s="238" t="s">
        <v>16</v>
      </c>
      <c r="N14" s="251">
        <v>8163.3698400000003</v>
      </c>
      <c r="O14" s="242">
        <v>12466.561702127659</v>
      </c>
      <c r="P14" s="250">
        <v>-0.34517872408983752</v>
      </c>
      <c r="Q14" s="50">
        <v>10999.470160000001</v>
      </c>
      <c r="R14" s="51">
        <v>16829.858297872343</v>
      </c>
      <c r="S14" s="57">
        <v>-0.3464312078378835</v>
      </c>
      <c r="T14" s="50">
        <v>19162.84</v>
      </c>
      <c r="U14" s="51">
        <v>29296.420000000002</v>
      </c>
      <c r="V14" s="60">
        <v>-0.34589823603020442</v>
      </c>
      <c r="W14" s="163">
        <v>-10133.580000000002</v>
      </c>
      <c r="Y14" s="238" t="s">
        <v>16</v>
      </c>
      <c r="Z14" s="251">
        <v>8879.4971400000013</v>
      </c>
      <c r="AA14" s="242">
        <v>12466.561702127659</v>
      </c>
      <c r="AB14" s="250">
        <v>-0.28773487412455157</v>
      </c>
      <c r="AC14" s="50">
        <v>11964.39286</v>
      </c>
      <c r="AD14" s="51">
        <v>16829.858297872339</v>
      </c>
      <c r="AE14" s="57">
        <v>-0.2890972313467095</v>
      </c>
      <c r="AF14" s="50">
        <v>20843.89</v>
      </c>
      <c r="AG14" s="51">
        <v>29296.42</v>
      </c>
      <c r="AH14" s="60">
        <v>-0.28851750486919558</v>
      </c>
      <c r="AI14" s="163">
        <v>-8452.5299999999988</v>
      </c>
    </row>
    <row r="15" spans="1:35" x14ac:dyDescent="0.25">
      <c r="A15" s="238" t="s">
        <v>17</v>
      </c>
      <c r="B15" s="50">
        <v>0</v>
      </c>
      <c r="C15" s="51">
        <v>0</v>
      </c>
      <c r="D15" s="57" t="s">
        <v>451</v>
      </c>
      <c r="E15" s="50">
        <v>0</v>
      </c>
      <c r="F15" s="51">
        <v>0</v>
      </c>
      <c r="G15" s="57" t="s">
        <v>451</v>
      </c>
      <c r="H15" s="50">
        <v>0</v>
      </c>
      <c r="I15" s="51">
        <v>0</v>
      </c>
      <c r="J15" s="60" t="s">
        <v>451</v>
      </c>
      <c r="K15" s="163">
        <v>0</v>
      </c>
      <c r="M15" s="238" t="s">
        <v>17</v>
      </c>
      <c r="N15" s="50">
        <v>0</v>
      </c>
      <c r="O15" s="51">
        <v>0</v>
      </c>
      <c r="P15" s="57" t="s">
        <v>451</v>
      </c>
      <c r="Q15" s="50">
        <v>0</v>
      </c>
      <c r="R15" s="51">
        <v>0</v>
      </c>
      <c r="S15" s="57" t="s">
        <v>451</v>
      </c>
      <c r="T15" s="50">
        <v>0</v>
      </c>
      <c r="U15" s="51">
        <v>0</v>
      </c>
      <c r="V15" s="60" t="s">
        <v>451</v>
      </c>
      <c r="W15" s="163">
        <v>0</v>
      </c>
      <c r="Y15" s="238" t="s">
        <v>17</v>
      </c>
      <c r="Z15" s="50">
        <v>0</v>
      </c>
      <c r="AA15" s="51">
        <v>0</v>
      </c>
      <c r="AB15" s="57" t="s">
        <v>451</v>
      </c>
      <c r="AC15" s="50">
        <v>0</v>
      </c>
      <c r="AD15" s="51">
        <v>0</v>
      </c>
      <c r="AE15" s="57" t="s">
        <v>451</v>
      </c>
      <c r="AF15" s="50">
        <v>0</v>
      </c>
      <c r="AG15" s="51">
        <v>0</v>
      </c>
      <c r="AH15" s="60" t="s">
        <v>451</v>
      </c>
      <c r="AI15" s="163">
        <v>0</v>
      </c>
    </row>
    <row r="16" spans="1:35" x14ac:dyDescent="0.25">
      <c r="A16" s="238" t="s">
        <v>18</v>
      </c>
      <c r="B16" s="50">
        <v>0</v>
      </c>
      <c r="C16" s="51">
        <v>0</v>
      </c>
      <c r="D16" s="57" t="s">
        <v>451</v>
      </c>
      <c r="E16" s="50">
        <v>364301.13</v>
      </c>
      <c r="F16" s="51">
        <v>364301.13</v>
      </c>
      <c r="G16" s="57">
        <v>0</v>
      </c>
      <c r="H16" s="50">
        <v>364301.13</v>
      </c>
      <c r="I16" s="51">
        <v>364301.13</v>
      </c>
      <c r="J16" s="60">
        <v>0</v>
      </c>
      <c r="K16" s="163">
        <v>0</v>
      </c>
      <c r="M16" s="238" t="s">
        <v>18</v>
      </c>
      <c r="N16" s="50">
        <v>0</v>
      </c>
      <c r="O16" s="51">
        <v>0</v>
      </c>
      <c r="P16" s="57" t="s">
        <v>451</v>
      </c>
      <c r="Q16" s="50">
        <v>168561.35</v>
      </c>
      <c r="R16" s="51">
        <v>282753.77249999996</v>
      </c>
      <c r="S16" s="57">
        <v>-0.40385817487191955</v>
      </c>
      <c r="T16" s="50">
        <v>168561.35</v>
      </c>
      <c r="U16" s="51">
        <v>282753.77249999996</v>
      </c>
      <c r="V16" s="60">
        <v>-0.40385817487191955</v>
      </c>
      <c r="W16" s="163">
        <v>-114192.42249999996</v>
      </c>
      <c r="Y16" s="238" t="s">
        <v>18</v>
      </c>
      <c r="Z16" s="50">
        <v>0</v>
      </c>
      <c r="AA16" s="51">
        <v>0</v>
      </c>
      <c r="AB16" s="57" t="s">
        <v>451</v>
      </c>
      <c r="AC16" s="50">
        <v>155899.01</v>
      </c>
      <c r="AD16" s="51">
        <v>282753.77250000002</v>
      </c>
      <c r="AE16" s="57">
        <v>-0.44864038905086578</v>
      </c>
      <c r="AF16" s="50">
        <v>155899.01</v>
      </c>
      <c r="AG16" s="51">
        <v>282753.77250000002</v>
      </c>
      <c r="AH16" s="60">
        <v>-0.44864038905086578</v>
      </c>
      <c r="AI16" s="163">
        <v>-126854.76250000001</v>
      </c>
    </row>
    <row r="17" spans="1:35" x14ac:dyDescent="0.25">
      <c r="A17" s="238" t="s">
        <v>19</v>
      </c>
      <c r="B17" s="50">
        <v>0</v>
      </c>
      <c r="C17" s="51">
        <v>0</v>
      </c>
      <c r="D17" s="57" t="s">
        <v>451</v>
      </c>
      <c r="E17" s="50">
        <v>976784.38</v>
      </c>
      <c r="F17" s="51">
        <v>976784.38</v>
      </c>
      <c r="G17" s="57">
        <v>0</v>
      </c>
      <c r="H17" s="50">
        <v>976784.38</v>
      </c>
      <c r="I17" s="51">
        <v>976784.38</v>
      </c>
      <c r="J17" s="60">
        <v>0</v>
      </c>
      <c r="K17" s="163">
        <v>0</v>
      </c>
      <c r="M17" s="238" t="s">
        <v>19</v>
      </c>
      <c r="N17" s="50">
        <v>0</v>
      </c>
      <c r="O17" s="51">
        <v>0</v>
      </c>
      <c r="P17" s="57" t="s">
        <v>451</v>
      </c>
      <c r="Q17" s="50">
        <v>743112.13</v>
      </c>
      <c r="R17" s="51">
        <v>900000</v>
      </c>
      <c r="S17" s="57">
        <v>-0.17431985555555551</v>
      </c>
      <c r="T17" s="50">
        <v>743112.13</v>
      </c>
      <c r="U17" s="51">
        <v>900000</v>
      </c>
      <c r="V17" s="60">
        <v>-0.17431985555555551</v>
      </c>
      <c r="W17" s="163">
        <v>-156887.87</v>
      </c>
      <c r="Y17" s="238" t="s">
        <v>19</v>
      </c>
      <c r="Z17" s="50">
        <v>0</v>
      </c>
      <c r="AA17" s="51">
        <v>0</v>
      </c>
      <c r="AB17" s="57" t="s">
        <v>451</v>
      </c>
      <c r="AC17" s="50">
        <v>1006702.7</v>
      </c>
      <c r="AD17" s="51">
        <v>900000</v>
      </c>
      <c r="AE17" s="57">
        <v>0.1185585555555555</v>
      </c>
      <c r="AF17" s="50">
        <v>1006702.7</v>
      </c>
      <c r="AG17" s="51">
        <v>900000</v>
      </c>
      <c r="AH17" s="60">
        <v>0.1185585555555555</v>
      </c>
      <c r="AI17" s="163">
        <v>106702.69999999995</v>
      </c>
    </row>
    <row r="18" spans="1:35" x14ac:dyDescent="0.25">
      <c r="A18" s="238" t="s">
        <v>20</v>
      </c>
      <c r="B18" s="50">
        <v>0</v>
      </c>
      <c r="C18" s="51">
        <v>0</v>
      </c>
      <c r="D18" s="57" t="s">
        <v>451</v>
      </c>
      <c r="E18" s="50">
        <v>65704.179999999949</v>
      </c>
      <c r="F18" s="51">
        <v>65704.179999999949</v>
      </c>
      <c r="G18" s="57">
        <v>0</v>
      </c>
      <c r="H18" s="50">
        <v>65704.179999999949</v>
      </c>
      <c r="I18" s="51">
        <v>65704.179999999949</v>
      </c>
      <c r="J18" s="60">
        <v>0</v>
      </c>
      <c r="K18" s="163">
        <v>0</v>
      </c>
      <c r="M18" s="238" t="s">
        <v>20</v>
      </c>
      <c r="N18" s="50">
        <v>0</v>
      </c>
      <c r="O18" s="51">
        <v>0</v>
      </c>
      <c r="P18" s="57" t="s">
        <v>451</v>
      </c>
      <c r="Q18" s="50">
        <v>49730.269999999786</v>
      </c>
      <c r="R18" s="51">
        <v>-163.43500000005224</v>
      </c>
      <c r="S18" s="57">
        <v>-305.28164101926694</v>
      </c>
      <c r="T18" s="50">
        <v>49730.269999999786</v>
      </c>
      <c r="U18" s="51">
        <v>-163.43500000005224</v>
      </c>
      <c r="V18" s="60">
        <v>-305.28164101926694</v>
      </c>
      <c r="W18" s="163">
        <v>49893.704999999842</v>
      </c>
      <c r="Y18" s="238" t="s">
        <v>20</v>
      </c>
      <c r="Z18" s="50">
        <v>0</v>
      </c>
      <c r="AA18" s="51">
        <v>0</v>
      </c>
      <c r="AB18" s="57" t="s">
        <v>451</v>
      </c>
      <c r="AC18" s="50">
        <v>126708.71999999959</v>
      </c>
      <c r="AD18" s="51">
        <v>-163.43500000005221</v>
      </c>
      <c r="AE18" s="57">
        <v>-776.2850980509628</v>
      </c>
      <c r="AF18" s="50">
        <v>126708.71999999959</v>
      </c>
      <c r="AG18" s="51">
        <v>-163.43500000005221</v>
      </c>
      <c r="AH18" s="60">
        <v>-776.2850980509628</v>
      </c>
      <c r="AI18" s="163">
        <v>126872.15499999965</v>
      </c>
    </row>
    <row r="19" spans="1:35" x14ac:dyDescent="0.25">
      <c r="A19" s="238" t="s">
        <v>21</v>
      </c>
      <c r="B19" s="50">
        <v>0</v>
      </c>
      <c r="C19" s="51">
        <v>0</v>
      </c>
      <c r="D19" s="57" t="s">
        <v>451</v>
      </c>
      <c r="E19" s="50">
        <v>168678.16999999998</v>
      </c>
      <c r="F19" s="51">
        <v>168678.16999999998</v>
      </c>
      <c r="G19" s="57">
        <v>0</v>
      </c>
      <c r="H19" s="50">
        <v>168678.16999999998</v>
      </c>
      <c r="I19" s="51">
        <v>168678.16999999998</v>
      </c>
      <c r="J19" s="60">
        <v>0</v>
      </c>
      <c r="K19" s="163">
        <v>0</v>
      </c>
      <c r="M19" s="238" t="s">
        <v>21</v>
      </c>
      <c r="N19" s="50">
        <v>0</v>
      </c>
      <c r="O19" s="51">
        <v>0</v>
      </c>
      <c r="P19" s="57" t="s">
        <v>451</v>
      </c>
      <c r="Q19" s="50">
        <v>-629.71999999999116</v>
      </c>
      <c r="R19" s="51">
        <v>52799.999999999993</v>
      </c>
      <c r="S19" s="57">
        <v>-1.0119265151515149</v>
      </c>
      <c r="T19" s="50">
        <v>-629.71999999999116</v>
      </c>
      <c r="U19" s="51">
        <v>52799.999999999993</v>
      </c>
      <c r="V19" s="60">
        <v>-1.0119265151515149</v>
      </c>
      <c r="W19" s="163">
        <v>-53429.719999999987</v>
      </c>
      <c r="Y19" s="238" t="s">
        <v>21</v>
      </c>
      <c r="Z19" s="50">
        <v>0</v>
      </c>
      <c r="AA19" s="51">
        <v>0</v>
      </c>
      <c r="AB19" s="57" t="s">
        <v>451</v>
      </c>
      <c r="AC19" s="50">
        <v>-262478.75</v>
      </c>
      <c r="AD19" s="51">
        <v>19800</v>
      </c>
      <c r="AE19" s="57">
        <v>-14.256502525252525</v>
      </c>
      <c r="AF19" s="50">
        <v>-262478.75</v>
      </c>
      <c r="AG19" s="51">
        <v>19800</v>
      </c>
      <c r="AH19" s="60">
        <v>-14.256502525252525</v>
      </c>
      <c r="AI19" s="163">
        <v>-282278.75</v>
      </c>
    </row>
    <row r="20" spans="1:35" x14ac:dyDescent="0.25">
      <c r="A20" s="238" t="s">
        <v>22</v>
      </c>
      <c r="B20" s="50">
        <v>0</v>
      </c>
      <c r="C20" s="51">
        <v>0</v>
      </c>
      <c r="D20" s="57" t="s">
        <v>451</v>
      </c>
      <c r="E20" s="50">
        <v>87060.329999999987</v>
      </c>
      <c r="F20" s="51">
        <v>87060.329999999987</v>
      </c>
      <c r="G20" s="57">
        <v>0</v>
      </c>
      <c r="H20" s="50">
        <v>87060.329999999987</v>
      </c>
      <c r="I20" s="51">
        <v>87060.329999999987</v>
      </c>
      <c r="J20" s="60">
        <v>0</v>
      </c>
      <c r="K20" s="163">
        <v>0</v>
      </c>
      <c r="M20" s="238" t="s">
        <v>22</v>
      </c>
      <c r="N20" s="50">
        <v>0</v>
      </c>
      <c r="O20" s="51">
        <v>0</v>
      </c>
      <c r="P20" s="57" t="s">
        <v>451</v>
      </c>
      <c r="Q20" s="50">
        <v>243037.75</v>
      </c>
      <c r="R20" s="51">
        <v>210147.86749999999</v>
      </c>
      <c r="S20" s="57">
        <v>0.15650828576692555</v>
      </c>
      <c r="T20" s="50">
        <v>243037.75</v>
      </c>
      <c r="U20" s="51">
        <v>210147.86749999999</v>
      </c>
      <c r="V20" s="60">
        <v>0.15650828576692555</v>
      </c>
      <c r="W20" s="163">
        <v>32889.882500000007</v>
      </c>
      <c r="Y20" s="238" t="s">
        <v>22</v>
      </c>
      <c r="Z20" s="50">
        <v>0</v>
      </c>
      <c r="AA20" s="51">
        <v>0</v>
      </c>
      <c r="AB20" s="57" t="s">
        <v>451</v>
      </c>
      <c r="AC20" s="50">
        <v>521291.11</v>
      </c>
      <c r="AD20" s="51">
        <v>210147.86749999999</v>
      </c>
      <c r="AE20" s="57">
        <v>1.4805919574701369</v>
      </c>
      <c r="AF20" s="50">
        <v>521291.11</v>
      </c>
      <c r="AG20" s="51">
        <v>210147.86749999999</v>
      </c>
      <c r="AH20" s="60">
        <v>1.4805919574701369</v>
      </c>
      <c r="AI20" s="163">
        <v>311143.24249999999</v>
      </c>
    </row>
    <row r="21" spans="1:35" x14ac:dyDescent="0.25">
      <c r="A21" s="338" t="s">
        <v>23</v>
      </c>
      <c r="B21" s="325">
        <v>-4115579.3024543701</v>
      </c>
      <c r="C21" s="326">
        <v>-4007371.9567411523</v>
      </c>
      <c r="D21" s="327">
        <v>2.7002071901808922E-2</v>
      </c>
      <c r="E21" s="325">
        <v>-13893293.137545601</v>
      </c>
      <c r="F21" s="326">
        <v>-13901145.164624136</v>
      </c>
      <c r="G21" s="327">
        <v>-5.6484749893248587E-4</v>
      </c>
      <c r="H21" s="325">
        <v>-18008872.439999972</v>
      </c>
      <c r="I21" s="326">
        <v>-17908517.121365286</v>
      </c>
      <c r="J21" s="327">
        <v>5.6037760108544887E-3</v>
      </c>
      <c r="K21" s="339">
        <v>100355.31863468513</v>
      </c>
      <c r="M21" s="338" t="s">
        <v>23</v>
      </c>
      <c r="N21" s="325">
        <v>-3458538.1350000007</v>
      </c>
      <c r="O21" s="326">
        <v>-3324628.9282636922</v>
      </c>
      <c r="P21" s="327">
        <v>4.0277940674192214E-2</v>
      </c>
      <c r="Q21" s="325">
        <v>-11194223.064999999</v>
      </c>
      <c r="R21" s="326">
        <v>-12699380.022852756</v>
      </c>
      <c r="S21" s="327">
        <v>-0.11852208179802481</v>
      </c>
      <c r="T21" s="325">
        <v>-14652761.199999999</v>
      </c>
      <c r="U21" s="326">
        <v>-16024008.951116448</v>
      </c>
      <c r="V21" s="327">
        <v>-8.5574574708466411E-2</v>
      </c>
      <c r="W21" s="339">
        <v>-1371247.751116449</v>
      </c>
      <c r="Y21" s="338" t="s">
        <v>23</v>
      </c>
      <c r="Z21" s="325">
        <v>-4803644.101999077</v>
      </c>
      <c r="AA21" s="326">
        <v>-4620516.8878536606</v>
      </c>
      <c r="AB21" s="327">
        <v>3.9633490925402359E-2</v>
      </c>
      <c r="AC21" s="325">
        <v>-17862654.088000923</v>
      </c>
      <c r="AD21" s="326">
        <v>-15301310.231830858</v>
      </c>
      <c r="AE21" s="327">
        <v>0.16739376023118457</v>
      </c>
      <c r="AF21" s="325">
        <v>-22666298.190000001</v>
      </c>
      <c r="AG21" s="326">
        <v>-19921827.119684517</v>
      </c>
      <c r="AH21" s="327">
        <v>0.13776201619597961</v>
      </c>
      <c r="AI21" s="339">
        <v>2744471.070315484</v>
      </c>
    </row>
    <row r="22" spans="1:35" x14ac:dyDescent="0.25">
      <c r="A22" s="238" t="s">
        <v>24</v>
      </c>
      <c r="B22" s="111">
        <v>-4115579.3024543701</v>
      </c>
      <c r="C22" s="112">
        <v>-4007371.9567411523</v>
      </c>
      <c r="D22" s="168">
        <v>2.7002071901808922E-2</v>
      </c>
      <c r="E22" s="111">
        <v>-13893293.137545601</v>
      </c>
      <c r="F22" s="112">
        <v>-13901145.164624136</v>
      </c>
      <c r="G22" s="168">
        <v>-5.6484749893248587E-4</v>
      </c>
      <c r="H22" s="50">
        <v>-18008872.439999972</v>
      </c>
      <c r="I22" s="51">
        <v>-17908517.121365286</v>
      </c>
      <c r="J22" s="61">
        <v>5.6037760108544887E-3</v>
      </c>
      <c r="K22" s="163">
        <v>100355.31863468513</v>
      </c>
      <c r="M22" s="238" t="s">
        <v>24</v>
      </c>
      <c r="N22" s="111">
        <v>-3458538.1350000007</v>
      </c>
      <c r="O22" s="112">
        <v>-3324628.9282636922</v>
      </c>
      <c r="P22" s="168">
        <v>4.0277940674192214E-2</v>
      </c>
      <c r="Q22" s="111">
        <v>-11194223.064999999</v>
      </c>
      <c r="R22" s="112">
        <v>-12699380.022852756</v>
      </c>
      <c r="S22" s="168">
        <v>-0.11852208179802481</v>
      </c>
      <c r="T22" s="50">
        <v>-14652761.199999999</v>
      </c>
      <c r="U22" s="51">
        <v>-16024008.951116448</v>
      </c>
      <c r="V22" s="61">
        <v>-8.5574574708466411E-2</v>
      </c>
      <c r="W22" s="163">
        <v>-1371247.751116449</v>
      </c>
      <c r="Y22" s="238" t="s">
        <v>24</v>
      </c>
      <c r="Z22" s="111">
        <v>-4803644.101999077</v>
      </c>
      <c r="AA22" s="112">
        <v>-4620516.8878536606</v>
      </c>
      <c r="AB22" s="168">
        <v>3.9633490925402359E-2</v>
      </c>
      <c r="AC22" s="111">
        <v>-17862654.088000923</v>
      </c>
      <c r="AD22" s="112">
        <v>-15301310.231830858</v>
      </c>
      <c r="AE22" s="168">
        <v>0.16739376023118457</v>
      </c>
      <c r="AF22" s="50">
        <v>-22666298.190000001</v>
      </c>
      <c r="AG22" s="51">
        <v>-19921827.119684517</v>
      </c>
      <c r="AH22" s="61">
        <v>0.13776201619597961</v>
      </c>
      <c r="AI22" s="163">
        <v>2744471.070315484</v>
      </c>
    </row>
    <row r="23" spans="1:35" x14ac:dyDescent="0.25">
      <c r="A23" s="261" t="s">
        <v>25</v>
      </c>
      <c r="B23" s="251">
        <v>0</v>
      </c>
      <c r="C23" s="242">
        <v>0</v>
      </c>
      <c r="D23" s="58" t="s">
        <v>451</v>
      </c>
      <c r="E23" s="251">
        <v>-4338842.08</v>
      </c>
      <c r="F23" s="242">
        <v>-4518124.3848334625</v>
      </c>
      <c r="G23" s="58">
        <v>-3.9680692597857892E-2</v>
      </c>
      <c r="H23" s="251">
        <v>-4338842.08</v>
      </c>
      <c r="I23" s="242">
        <v>-4518124.3848334625</v>
      </c>
      <c r="J23" s="61">
        <v>-3.9680692597857892E-2</v>
      </c>
      <c r="K23" s="265">
        <v>-179282.30483346246</v>
      </c>
      <c r="M23" s="261" t="s">
        <v>25</v>
      </c>
      <c r="N23" s="251">
        <v>0</v>
      </c>
      <c r="O23" s="242">
        <v>0</v>
      </c>
      <c r="P23" s="58" t="s">
        <v>451</v>
      </c>
      <c r="Q23" s="251">
        <v>-2862311.84</v>
      </c>
      <c r="R23" s="242">
        <v>-4228882.4647306856</v>
      </c>
      <c r="S23" s="58">
        <v>-0.32315171587955571</v>
      </c>
      <c r="T23" s="251">
        <v>-2862311.84</v>
      </c>
      <c r="U23" s="242">
        <v>-4228882.4647306856</v>
      </c>
      <c r="V23" s="61">
        <v>-0.32315171587955571</v>
      </c>
      <c r="W23" s="265">
        <v>-1366570.6247306857</v>
      </c>
      <c r="Y23" s="261" t="s">
        <v>25</v>
      </c>
      <c r="Z23" s="251">
        <v>0</v>
      </c>
      <c r="AA23" s="242">
        <v>0</v>
      </c>
      <c r="AB23" s="58" t="s">
        <v>451</v>
      </c>
      <c r="AC23" s="251">
        <v>-6665373.2300000004</v>
      </c>
      <c r="AD23" s="242">
        <v>-5380522.1826135786</v>
      </c>
      <c r="AE23" s="58">
        <v>0.2387967196823837</v>
      </c>
      <c r="AF23" s="251">
        <v>-6665373.2300000004</v>
      </c>
      <c r="AG23" s="242">
        <v>-5380522.1826135786</v>
      </c>
      <c r="AH23" s="61">
        <v>0.2387967196823837</v>
      </c>
      <c r="AI23" s="265">
        <v>1284851.0473864218</v>
      </c>
    </row>
    <row r="24" spans="1:35" x14ac:dyDescent="0.25">
      <c r="A24" s="261" t="s">
        <v>26</v>
      </c>
      <c r="B24" s="251"/>
      <c r="C24" s="242"/>
      <c r="D24" s="58"/>
      <c r="E24" s="251">
        <v>-2698465.0300000003</v>
      </c>
      <c r="F24" s="242">
        <v>-2734250.6567985127</v>
      </c>
      <c r="G24" s="58"/>
      <c r="H24" s="251">
        <v>-2698465.0300000003</v>
      </c>
      <c r="I24" s="242">
        <v>-2734250.6567985127</v>
      </c>
      <c r="J24" s="61"/>
      <c r="K24" s="265"/>
      <c r="M24" s="261" t="s">
        <v>26</v>
      </c>
      <c r="N24" s="251"/>
      <c r="O24" s="242"/>
      <c r="P24" s="58"/>
      <c r="Q24" s="251">
        <v>0</v>
      </c>
      <c r="R24" s="242">
        <v>-2303836.3240381381</v>
      </c>
      <c r="S24" s="58"/>
      <c r="T24" s="251">
        <v>0</v>
      </c>
      <c r="U24" s="242">
        <v>-2303836.3240381381</v>
      </c>
      <c r="V24" s="61"/>
      <c r="W24" s="265"/>
      <c r="Y24" s="398" t="s">
        <v>26</v>
      </c>
      <c r="Z24" s="399"/>
      <c r="AA24" s="400"/>
      <c r="AB24" s="401"/>
      <c r="AC24" s="399">
        <v>0</v>
      </c>
      <c r="AD24" s="400">
        <v>-2734250.6567985099</v>
      </c>
      <c r="AE24" s="401"/>
      <c r="AF24" s="399">
        <v>0</v>
      </c>
      <c r="AG24" s="400">
        <v>-2734250.6567985099</v>
      </c>
      <c r="AH24" s="402"/>
      <c r="AI24" s="403"/>
    </row>
    <row r="25" spans="1:35" x14ac:dyDescent="0.25">
      <c r="A25" s="261" t="s">
        <v>27</v>
      </c>
      <c r="B25" s="251"/>
      <c r="C25" s="242"/>
      <c r="D25" s="58"/>
      <c r="E25" s="251">
        <v>-1640377.0499999998</v>
      </c>
      <c r="F25" s="242">
        <v>-1783873.7280349501</v>
      </c>
      <c r="G25" s="58"/>
      <c r="H25" s="251">
        <v>-1640377.0499999998</v>
      </c>
      <c r="I25" s="242">
        <v>-1783873.7280349501</v>
      </c>
      <c r="J25" s="61"/>
      <c r="K25" s="265"/>
      <c r="M25" s="261" t="s">
        <v>27</v>
      </c>
      <c r="N25" s="251"/>
      <c r="O25" s="242"/>
      <c r="P25" s="58"/>
      <c r="Q25" s="251">
        <v>0</v>
      </c>
      <c r="R25" s="242">
        <v>-1925046.140692547</v>
      </c>
      <c r="S25" s="58"/>
      <c r="T25" s="251">
        <v>0</v>
      </c>
      <c r="U25" s="242">
        <v>-1925046.140692547</v>
      </c>
      <c r="V25" s="61"/>
      <c r="W25" s="265"/>
      <c r="Y25" s="398" t="s">
        <v>27</v>
      </c>
      <c r="Z25" s="399"/>
      <c r="AA25" s="400"/>
      <c r="AB25" s="401"/>
      <c r="AC25" s="399">
        <v>0</v>
      </c>
      <c r="AD25" s="400">
        <v>-1783873.7280349501</v>
      </c>
      <c r="AE25" s="401"/>
      <c r="AF25" s="399">
        <v>0</v>
      </c>
      <c r="AG25" s="400">
        <v>-1783873.7280349501</v>
      </c>
      <c r="AH25" s="402"/>
      <c r="AI25" s="403"/>
    </row>
    <row r="26" spans="1:35" x14ac:dyDescent="0.25">
      <c r="A26" s="261" t="s">
        <v>28</v>
      </c>
      <c r="B26" s="251">
        <v>-4984061.2384543698</v>
      </c>
      <c r="C26" s="242">
        <v>-4887881.7958077108</v>
      </c>
      <c r="D26" s="58">
        <v>1.9677121228494299E-2</v>
      </c>
      <c r="E26" s="251">
        <v>-11789043.8815456</v>
      </c>
      <c r="F26" s="242">
        <v>-11585571.582935231</v>
      </c>
      <c r="G26" s="58">
        <v>1.7562560220168111E-2</v>
      </c>
      <c r="H26" s="251">
        <v>-16773105.119999969</v>
      </c>
      <c r="I26" s="242">
        <v>-16473453.378742941</v>
      </c>
      <c r="J26" s="61">
        <v>1.8189977193470153E-2</v>
      </c>
      <c r="K26" s="265">
        <v>299651.74125702865</v>
      </c>
      <c r="M26" s="261" t="s">
        <v>28</v>
      </c>
      <c r="N26" s="251">
        <v>-4152791.1750000003</v>
      </c>
      <c r="O26" s="242">
        <v>-4008310.8490808266</v>
      </c>
      <c r="P26" s="58">
        <v>3.6045189946359857E-2</v>
      </c>
      <c r="Q26" s="251">
        <v>-10407999.924999999</v>
      </c>
      <c r="R26" s="242">
        <v>-10215152.26681027</v>
      </c>
      <c r="S26" s="58">
        <v>1.8878588703597154E-2</v>
      </c>
      <c r="T26" s="251">
        <v>-14560791.1</v>
      </c>
      <c r="U26" s="242">
        <v>-14223463.115891097</v>
      </c>
      <c r="V26" s="61">
        <v>2.3716304627107609E-2</v>
      </c>
      <c r="W26" s="265">
        <v>337327.98410890251</v>
      </c>
      <c r="Y26" s="261" t="s">
        <v>28</v>
      </c>
      <c r="Z26" s="251">
        <v>-5760280.4879999999</v>
      </c>
      <c r="AA26" s="242">
        <v>-5697287.0868866928</v>
      </c>
      <c r="AB26" s="58">
        <v>1.1056736329523753E-2</v>
      </c>
      <c r="AC26" s="251">
        <v>-13440654.471999999</v>
      </c>
      <c r="AD26" s="242">
        <v>-12757575.74436051</v>
      </c>
      <c r="AE26" s="58">
        <v>5.3542988207727849E-2</v>
      </c>
      <c r="AF26" s="251">
        <v>-19200934.960000001</v>
      </c>
      <c r="AG26" s="242">
        <v>-18454862.831247203</v>
      </c>
      <c r="AH26" s="61">
        <v>4.0426858523682441E-2</v>
      </c>
      <c r="AI26" s="265">
        <v>746072.12875279784</v>
      </c>
    </row>
    <row r="27" spans="1:35" x14ac:dyDescent="0.25">
      <c r="A27" s="261" t="s">
        <v>29</v>
      </c>
      <c r="B27" s="251">
        <v>533676.17599999998</v>
      </c>
      <c r="C27" s="242">
        <v>531727.92986439401</v>
      </c>
      <c r="D27" s="58">
        <v>3.6639905977908782E-3</v>
      </c>
      <c r="E27" s="251">
        <v>1892124.6239999998</v>
      </c>
      <c r="F27" s="242">
        <v>1901930.7966888153</v>
      </c>
      <c r="G27" s="58">
        <v>-5.1559040454508542E-3</v>
      </c>
      <c r="H27" s="251">
        <v>2425800.7999999998</v>
      </c>
      <c r="I27" s="242">
        <v>2433658.7265532091</v>
      </c>
      <c r="J27" s="61">
        <v>-3.2288531121775765E-3</v>
      </c>
      <c r="K27" s="265">
        <v>-7857.9265532093123</v>
      </c>
      <c r="M27" s="261" t="s">
        <v>29</v>
      </c>
      <c r="N27" s="251">
        <v>421756.82000000007</v>
      </c>
      <c r="O27" s="242">
        <v>403487.21220038057</v>
      </c>
      <c r="P27" s="58">
        <v>4.5279273412378807E-2</v>
      </c>
      <c r="Q27" s="251">
        <v>1687027.2800000003</v>
      </c>
      <c r="R27" s="242">
        <v>1470614.5287358544</v>
      </c>
      <c r="S27" s="58">
        <v>0.14715803974150532</v>
      </c>
      <c r="T27" s="251">
        <v>2108784.1000000006</v>
      </c>
      <c r="U27" s="242">
        <v>1874101.7409362351</v>
      </c>
      <c r="V27" s="61">
        <v>0.12522391604338745</v>
      </c>
      <c r="W27" s="265">
        <v>234682.3590637655</v>
      </c>
      <c r="Y27" s="261" t="s">
        <v>29</v>
      </c>
      <c r="Z27" s="251">
        <v>683833.17600092292</v>
      </c>
      <c r="AA27" s="242">
        <v>685924.94413180952</v>
      </c>
      <c r="AB27" s="58">
        <v>-3.0495583354738232E-3</v>
      </c>
      <c r="AC27" s="251">
        <v>2424498.8439990771</v>
      </c>
      <c r="AD27" s="242">
        <v>2565677.8285521958</v>
      </c>
      <c r="AE27" s="58">
        <v>-5.502599858096191E-2</v>
      </c>
      <c r="AF27" s="251">
        <v>3108332.02</v>
      </c>
      <c r="AG27" s="242">
        <v>3251602.7726840051</v>
      </c>
      <c r="AH27" s="61">
        <v>-4.4061579073431445E-2</v>
      </c>
      <c r="AI27" s="265">
        <v>-143270.75268400507</v>
      </c>
    </row>
    <row r="28" spans="1:35" x14ac:dyDescent="0.25">
      <c r="A28" s="261" t="s">
        <v>30</v>
      </c>
      <c r="B28" s="251">
        <v>334805.76000000001</v>
      </c>
      <c r="C28" s="242">
        <v>348781.9092021641</v>
      </c>
      <c r="D28" s="58">
        <v>-4.0071313429456357E-2</v>
      </c>
      <c r="E28" s="251">
        <v>342468.2</v>
      </c>
      <c r="F28" s="242">
        <v>300620.00645574089</v>
      </c>
      <c r="G28" s="58">
        <v>0.13920628250142841</v>
      </c>
      <c r="H28" s="251">
        <v>677273.96</v>
      </c>
      <c r="I28" s="242">
        <v>649401.91565790493</v>
      </c>
      <c r="J28" s="61">
        <v>4.2919559782724104E-2</v>
      </c>
      <c r="K28" s="265">
        <v>27872.044342095032</v>
      </c>
      <c r="M28" s="261" t="s">
        <v>30</v>
      </c>
      <c r="N28" s="251">
        <v>272496.21999999997</v>
      </c>
      <c r="O28" s="242">
        <v>280194.70861675427</v>
      </c>
      <c r="P28" s="58">
        <v>-2.7475496074710559E-2</v>
      </c>
      <c r="Q28" s="251">
        <v>389061.42</v>
      </c>
      <c r="R28" s="242">
        <v>274040.17995234486</v>
      </c>
      <c r="S28" s="58">
        <v>0.419723998384679</v>
      </c>
      <c r="T28" s="251">
        <v>661557.6399999999</v>
      </c>
      <c r="U28" s="242">
        <v>554234.88856909913</v>
      </c>
      <c r="V28" s="61">
        <v>0.19364127673012832</v>
      </c>
      <c r="W28" s="265">
        <v>107322.75143090077</v>
      </c>
      <c r="Y28" s="261" t="s">
        <v>30</v>
      </c>
      <c r="Z28" s="251">
        <v>272803.21000000002</v>
      </c>
      <c r="AA28" s="242">
        <v>390845.25490122271</v>
      </c>
      <c r="AB28" s="58">
        <v>-0.30201734169973526</v>
      </c>
      <c r="AC28" s="251">
        <v>-181125.23</v>
      </c>
      <c r="AD28" s="242">
        <v>271109.86659103452</v>
      </c>
      <c r="AE28" s="58">
        <v>-1.6680879315736041</v>
      </c>
      <c r="AF28" s="251">
        <v>91677.98000000001</v>
      </c>
      <c r="AG28" s="242">
        <v>661955.12149225723</v>
      </c>
      <c r="AH28" s="61">
        <v>-0.8615042364302149</v>
      </c>
      <c r="AI28" s="265">
        <v>-570277.14149225724</v>
      </c>
    </row>
    <row r="29" spans="1:35" x14ac:dyDescent="0.25">
      <c r="A29" s="261" t="s">
        <v>31</v>
      </c>
      <c r="B29" s="251">
        <v>-182166.92879999999</v>
      </c>
      <c r="C29" s="242">
        <v>-135078</v>
      </c>
      <c r="D29" s="58">
        <v>0.34860546350997201</v>
      </c>
      <c r="E29" s="251">
        <v>-395690.12119999999</v>
      </c>
      <c r="F29" s="242">
        <v>-478914</v>
      </c>
      <c r="G29" s="58">
        <v>-0.17377624959804894</v>
      </c>
      <c r="H29" s="251">
        <v>-577857.05000000005</v>
      </c>
      <c r="I29" s="242">
        <v>-613992</v>
      </c>
      <c r="J29" s="61">
        <v>-5.8852476905236428E-2</v>
      </c>
      <c r="K29" s="265">
        <v>-36134.949999999953</v>
      </c>
      <c r="M29" s="261" t="s">
        <v>31</v>
      </c>
      <c r="N29" s="251">
        <v>-175268.6992</v>
      </c>
      <c r="O29" s="242">
        <v>-138230.36958757311</v>
      </c>
      <c r="P29" s="58">
        <v>0.26794639790760311</v>
      </c>
      <c r="Q29" s="251">
        <v>-692764.18080000009</v>
      </c>
      <c r="R29" s="242">
        <v>-490089.49217412295</v>
      </c>
      <c r="S29" s="58">
        <v>0.41354628463217336</v>
      </c>
      <c r="T29" s="251">
        <v>-868032.88000000012</v>
      </c>
      <c r="U29" s="242">
        <v>-628319.86176169605</v>
      </c>
      <c r="V29" s="61">
        <v>0.38151430955276799</v>
      </c>
      <c r="W29" s="265">
        <v>239713.01823830407</v>
      </c>
      <c r="Y29" s="261" t="s">
        <v>31</v>
      </c>
      <c r="Z29" s="251">
        <v>-220529.89273334079</v>
      </c>
      <c r="AA29" s="242">
        <v>-169005.8018210294</v>
      </c>
      <c r="AB29" s="58">
        <v>0.3048658114522802</v>
      </c>
      <c r="AC29" s="251">
        <v>-871661.10726665927</v>
      </c>
      <c r="AD29" s="242">
        <v>-599202.3882745587</v>
      </c>
      <c r="AE29" s="58">
        <v>0.45470232482995065</v>
      </c>
      <c r="AF29" s="251">
        <v>-1092191</v>
      </c>
      <c r="AG29" s="242">
        <v>-768208.1900955881</v>
      </c>
      <c r="AH29" s="61">
        <v>0.42173829188686307</v>
      </c>
      <c r="AI29" s="265">
        <v>323982.8099044119</v>
      </c>
    </row>
    <row r="30" spans="1:35" x14ac:dyDescent="0.25">
      <c r="A30" s="338" t="s">
        <v>32</v>
      </c>
      <c r="B30" s="325">
        <v>3504281.6369456286</v>
      </c>
      <c r="C30" s="326">
        <v>3559264.371133578</v>
      </c>
      <c r="D30" s="327">
        <v>-1.5447780343003314E-2</v>
      </c>
      <c r="E30" s="325">
        <v>9570904.2130543906</v>
      </c>
      <c r="F30" s="326">
        <v>10152489.282999452</v>
      </c>
      <c r="G30" s="327">
        <v>-5.728497255534537E-2</v>
      </c>
      <c r="H30" s="325">
        <v>13075185.850000016</v>
      </c>
      <c r="I30" s="326">
        <v>13711753.654133033</v>
      </c>
      <c r="J30" s="327">
        <v>-4.6424973799112923E-2</v>
      </c>
      <c r="K30" s="339">
        <v>-636567.80413301662</v>
      </c>
      <c r="M30" s="338" t="s">
        <v>32</v>
      </c>
      <c r="N30" s="325">
        <v>3464917.2297199997</v>
      </c>
      <c r="O30" s="326">
        <v>3528656.9181298455</v>
      </c>
      <c r="P30" s="327">
        <v>-1.8063441668799918E-2</v>
      </c>
      <c r="Q30" s="325">
        <v>11886876.890280005</v>
      </c>
      <c r="R30" s="326">
        <v>10228503.47253187</v>
      </c>
      <c r="S30" s="327">
        <v>0.16213255655645153</v>
      </c>
      <c r="T30" s="325">
        <v>15351794.120000007</v>
      </c>
      <c r="U30" s="326">
        <v>13757160.390661715</v>
      </c>
      <c r="V30" s="327">
        <v>0.11591299978015246</v>
      </c>
      <c r="W30" s="339">
        <v>1594633.729338292</v>
      </c>
      <c r="Y30" s="338" t="s">
        <v>32</v>
      </c>
      <c r="Z30" s="325">
        <v>2853178.9224075819</v>
      </c>
      <c r="AA30" s="326">
        <v>2969869.9626783789</v>
      </c>
      <c r="AB30" s="327">
        <v>-3.9291632878619032E-2</v>
      </c>
      <c r="AC30" s="325">
        <v>15040297.36759243</v>
      </c>
      <c r="AD30" s="326">
        <v>13563861.793358922</v>
      </c>
      <c r="AE30" s="327">
        <v>0.10885067960191064</v>
      </c>
      <c r="AF30" s="325">
        <v>17893476.29000001</v>
      </c>
      <c r="AG30" s="326">
        <v>16533731.756037295</v>
      </c>
      <c r="AH30" s="327">
        <v>8.2240631094441463E-2</v>
      </c>
      <c r="AI30" s="339">
        <v>1359744.5339627154</v>
      </c>
    </row>
    <row r="31" spans="1:35" x14ac:dyDescent="0.25">
      <c r="A31" s="118" t="s">
        <v>33</v>
      </c>
      <c r="B31" s="66">
        <v>-725978.64</v>
      </c>
      <c r="C31" s="66">
        <v>-724706.99754799716</v>
      </c>
      <c r="D31" s="113">
        <v>1.7546987352203836E-3</v>
      </c>
      <c r="E31" s="66">
        <v>-1516697.22</v>
      </c>
      <c r="F31" s="66">
        <v>-1528471.5268365145</v>
      </c>
      <c r="G31" s="113">
        <v>-7.703321016966469E-3</v>
      </c>
      <c r="H31" s="164">
        <v>-2242675.86</v>
      </c>
      <c r="I31" s="66">
        <v>-2253178.5243845116</v>
      </c>
      <c r="J31" s="113">
        <v>-4.6612659719809102E-3</v>
      </c>
      <c r="K31" s="389">
        <v>-10502.664384511765</v>
      </c>
      <c r="M31" s="118" t="s">
        <v>33</v>
      </c>
      <c r="N31" s="66">
        <v>-403888.5083000001</v>
      </c>
      <c r="O31" s="66">
        <v>-555191.519429693</v>
      </c>
      <c r="P31" s="113">
        <v>-0.27252399547657935</v>
      </c>
      <c r="Q31" s="66">
        <v>-1775414.1117</v>
      </c>
      <c r="R31" s="66">
        <v>-916664.33182585984</v>
      </c>
      <c r="S31" s="113">
        <v>0.93682032785505842</v>
      </c>
      <c r="T31" s="164">
        <v>-2179302.62</v>
      </c>
      <c r="U31" s="66">
        <v>-1471855.8512555528</v>
      </c>
      <c r="V31" s="113">
        <v>0.48064949304713944</v>
      </c>
      <c r="W31" s="389">
        <v>707446.76874444727</v>
      </c>
      <c r="Y31" s="118" t="s">
        <v>33</v>
      </c>
      <c r="Z31" s="66">
        <v>-610260.52</v>
      </c>
      <c r="AA31" s="66">
        <v>-577819.12003649399</v>
      </c>
      <c r="AB31" s="113">
        <v>5.6144559497195434E-2</v>
      </c>
      <c r="AC31" s="66">
        <v>-439697.64999999991</v>
      </c>
      <c r="AD31" s="66">
        <v>-1292046.243950896</v>
      </c>
      <c r="AE31" s="113">
        <v>-0.65968892208109653</v>
      </c>
      <c r="AF31" s="164">
        <v>-1049958.17</v>
      </c>
      <c r="AG31" s="66">
        <v>-1869865.36398739</v>
      </c>
      <c r="AH31" s="113">
        <v>-0.4384846148703353</v>
      </c>
      <c r="AI31" s="389">
        <v>-819907.19398739003</v>
      </c>
    </row>
    <row r="32" spans="1:35" x14ac:dyDescent="0.25">
      <c r="A32" s="295" t="s">
        <v>33</v>
      </c>
      <c r="B32" s="296">
        <v>-725978.64</v>
      </c>
      <c r="C32" s="297">
        <v>-724706.99754799716</v>
      </c>
      <c r="D32" s="168">
        <v>1.7546987352203836E-3</v>
      </c>
      <c r="E32" s="296">
        <v>-1516697.22</v>
      </c>
      <c r="F32" s="297">
        <v>-1528471.5268365145</v>
      </c>
      <c r="G32" s="168">
        <v>-7.703321016966469E-3</v>
      </c>
      <c r="H32" s="296">
        <v>-2242675.86</v>
      </c>
      <c r="I32" s="297">
        <v>-2253178.5243845116</v>
      </c>
      <c r="J32" s="298">
        <v>-4.6612659719809102E-3</v>
      </c>
      <c r="K32" s="299">
        <v>-10502.664384511765</v>
      </c>
      <c r="M32" s="295" t="s">
        <v>33</v>
      </c>
      <c r="N32" s="296">
        <v>-403888.5083000001</v>
      </c>
      <c r="O32" s="297">
        <v>-555191.519429693</v>
      </c>
      <c r="P32" s="168">
        <v>-0.27252399547657935</v>
      </c>
      <c r="Q32" s="296">
        <v>-1775414.1117</v>
      </c>
      <c r="R32" s="297">
        <v>-916664.33182585984</v>
      </c>
      <c r="S32" s="168">
        <v>0.93682032785505842</v>
      </c>
      <c r="T32" s="296">
        <v>-2179302.62</v>
      </c>
      <c r="U32" s="297">
        <v>-1471855.8512555528</v>
      </c>
      <c r="V32" s="298">
        <v>0.48064949304713944</v>
      </c>
      <c r="W32" s="299">
        <v>707446.76874444727</v>
      </c>
      <c r="Y32" s="295" t="s">
        <v>33</v>
      </c>
      <c r="Z32" s="296">
        <v>-610260.52</v>
      </c>
      <c r="AA32" s="297">
        <v>-577819.12003649399</v>
      </c>
      <c r="AB32" s="168">
        <v>5.6144559497195434E-2</v>
      </c>
      <c r="AC32" s="296">
        <v>-439697.64999999991</v>
      </c>
      <c r="AD32" s="297">
        <v>-1292046.243950896</v>
      </c>
      <c r="AE32" s="168">
        <v>-0.65968892208109653</v>
      </c>
      <c r="AF32" s="296">
        <v>-1049958.17</v>
      </c>
      <c r="AG32" s="297">
        <v>-1869865.36398739</v>
      </c>
      <c r="AH32" s="298">
        <v>-0.4384846148703353</v>
      </c>
      <c r="AI32" s="299">
        <v>-819907.19398739003</v>
      </c>
    </row>
    <row r="33" spans="1:35" x14ac:dyDescent="0.25">
      <c r="A33" s="261" t="s">
        <v>34</v>
      </c>
      <c r="B33" s="251">
        <v>0</v>
      </c>
      <c r="C33" s="242">
        <v>0</v>
      </c>
      <c r="D33" s="58" t="s">
        <v>451</v>
      </c>
      <c r="E33" s="251">
        <v>0</v>
      </c>
      <c r="F33" s="242">
        <v>0</v>
      </c>
      <c r="G33" s="58" t="s">
        <v>451</v>
      </c>
      <c r="H33" s="251">
        <v>0</v>
      </c>
      <c r="I33" s="242">
        <v>0</v>
      </c>
      <c r="J33" s="61" t="s">
        <v>451</v>
      </c>
      <c r="K33" s="265">
        <v>0</v>
      </c>
      <c r="M33" s="261" t="s">
        <v>34</v>
      </c>
      <c r="N33" s="251">
        <v>0</v>
      </c>
      <c r="O33" s="242">
        <v>0</v>
      </c>
      <c r="P33" s="58" t="s">
        <v>451</v>
      </c>
      <c r="Q33" s="251">
        <v>0</v>
      </c>
      <c r="R33" s="242">
        <v>0</v>
      </c>
      <c r="S33" s="58" t="s">
        <v>451</v>
      </c>
      <c r="T33" s="251">
        <v>0</v>
      </c>
      <c r="U33" s="242">
        <v>0</v>
      </c>
      <c r="V33" s="61" t="s">
        <v>451</v>
      </c>
      <c r="W33" s="265">
        <v>0</v>
      </c>
      <c r="Y33" s="261" t="s">
        <v>34</v>
      </c>
      <c r="Z33" s="251">
        <v>0</v>
      </c>
      <c r="AA33" s="242">
        <v>0</v>
      </c>
      <c r="AB33" s="58" t="s">
        <v>451</v>
      </c>
      <c r="AC33" s="251">
        <v>0</v>
      </c>
      <c r="AD33" s="242">
        <v>0</v>
      </c>
      <c r="AE33" s="58" t="s">
        <v>451</v>
      </c>
      <c r="AF33" s="251">
        <v>0</v>
      </c>
      <c r="AG33" s="242">
        <v>0</v>
      </c>
      <c r="AH33" s="61" t="s">
        <v>451</v>
      </c>
      <c r="AI33" s="265">
        <v>0</v>
      </c>
    </row>
    <row r="34" spans="1:35" x14ac:dyDescent="0.25">
      <c r="A34" s="338" t="s">
        <v>35</v>
      </c>
      <c r="B34" s="325">
        <v>2778302.9969456284</v>
      </c>
      <c r="C34" s="326">
        <v>2834557.3735855808</v>
      </c>
      <c r="D34" s="327">
        <v>-1.9845912156928103E-2</v>
      </c>
      <c r="E34" s="325">
        <v>8054206.9930543909</v>
      </c>
      <c r="F34" s="326">
        <v>8624017.7561629377</v>
      </c>
      <c r="G34" s="327">
        <v>-6.6072540574414473E-2</v>
      </c>
      <c r="H34" s="325">
        <v>10832509.990000017</v>
      </c>
      <c r="I34" s="326">
        <v>11458575.129748521</v>
      </c>
      <c r="J34" s="327">
        <v>-5.4637259228080381E-2</v>
      </c>
      <c r="K34" s="339">
        <v>-626065.13974850439</v>
      </c>
      <c r="M34" s="338" t="s">
        <v>35</v>
      </c>
      <c r="N34" s="325">
        <v>3061028.7214199994</v>
      </c>
      <c r="O34" s="326">
        <v>2973465.3987001525</v>
      </c>
      <c r="P34" s="327">
        <v>2.9448240009157356E-2</v>
      </c>
      <c r="Q34" s="325">
        <v>10111462.778580004</v>
      </c>
      <c r="R34" s="326">
        <v>9311839.1407060102</v>
      </c>
      <c r="S34" s="327">
        <v>8.5871719409165825E-2</v>
      </c>
      <c r="T34" s="325">
        <v>13172491.500000007</v>
      </c>
      <c r="U34" s="326">
        <v>12285304.539406162</v>
      </c>
      <c r="V34" s="327">
        <v>7.2215300625891432E-2</v>
      </c>
      <c r="W34" s="339">
        <v>887186.9605938457</v>
      </c>
      <c r="Y34" s="338" t="s">
        <v>35</v>
      </c>
      <c r="Z34" s="325">
        <v>2242918.4024075819</v>
      </c>
      <c r="AA34" s="326">
        <v>2392050.8426418849</v>
      </c>
      <c r="AB34" s="327">
        <v>-6.234501272957671E-2</v>
      </c>
      <c r="AC34" s="325">
        <v>14600599.717592429</v>
      </c>
      <c r="AD34" s="326">
        <v>12271815.549408026</v>
      </c>
      <c r="AE34" s="327">
        <v>0.18976688158393484</v>
      </c>
      <c r="AF34" s="325">
        <v>16843518.120000012</v>
      </c>
      <c r="AG34" s="326">
        <v>14663866.392049905</v>
      </c>
      <c r="AH34" s="327">
        <v>0.14864099751562221</v>
      </c>
      <c r="AI34" s="339">
        <v>2179651.7279501073</v>
      </c>
    </row>
    <row r="35" spans="1:35" x14ac:dyDescent="0.25">
      <c r="A35" s="295" t="s">
        <v>36</v>
      </c>
      <c r="B35" s="296">
        <v>-412401.31</v>
      </c>
      <c r="C35" s="297">
        <v>-423570.08659444534</v>
      </c>
      <c r="D35" s="168">
        <v>-2.6368190171887851E-2</v>
      </c>
      <c r="E35" s="296">
        <v>-1446214.79</v>
      </c>
      <c r="F35" s="297">
        <v>-1512538.5863777807</v>
      </c>
      <c r="G35" s="168">
        <v>-4.3849325217290791E-2</v>
      </c>
      <c r="H35" s="296">
        <v>-1858616.1</v>
      </c>
      <c r="I35" s="297">
        <v>-1936108.672972226</v>
      </c>
      <c r="J35" s="298">
        <v>-4.0024908753320543E-2</v>
      </c>
      <c r="K35" s="299">
        <v>-77492.572972225957</v>
      </c>
      <c r="M35" s="295" t="s">
        <v>36</v>
      </c>
      <c r="N35" s="296">
        <v>-472978.65624000062</v>
      </c>
      <c r="O35" s="297">
        <v>-475521.65613863629</v>
      </c>
      <c r="P35" s="168">
        <v>-5.3478109057860657E-3</v>
      </c>
      <c r="Q35" s="296">
        <v>-2407184.814960002</v>
      </c>
      <c r="R35" s="297">
        <v>-2399769.7458436866</v>
      </c>
      <c r="S35" s="168">
        <v>3.089908575253153E-3</v>
      </c>
      <c r="T35" s="296">
        <v>-2880163.4712000024</v>
      </c>
      <c r="U35" s="297">
        <v>-2875291.4019823228</v>
      </c>
      <c r="V35" s="298">
        <v>1.694461025522731E-3</v>
      </c>
      <c r="W35" s="299">
        <v>4872.0692176795565</v>
      </c>
      <c r="Y35" s="295" t="s">
        <v>36</v>
      </c>
      <c r="Z35" s="296">
        <v>-466515.01000000298</v>
      </c>
      <c r="AA35" s="297">
        <v>-486890.13951879612</v>
      </c>
      <c r="AB35" s="168">
        <v>-4.1847488509277109E-2</v>
      </c>
      <c r="AC35" s="296">
        <v>-1829214.4199999911</v>
      </c>
      <c r="AD35" s="297">
        <v>-2394625.696087528</v>
      </c>
      <c r="AE35" s="168">
        <v>-0.23611676639540669</v>
      </c>
      <c r="AF35" s="296">
        <v>-2295729.4299999941</v>
      </c>
      <c r="AG35" s="297">
        <v>-2881515.835606324</v>
      </c>
      <c r="AH35" s="298">
        <v>-0.20329105895164012</v>
      </c>
      <c r="AI35" s="299">
        <v>-585786.40560632991</v>
      </c>
    </row>
    <row r="36" spans="1:35" x14ac:dyDescent="0.25">
      <c r="A36" s="409" t="s">
        <v>37</v>
      </c>
      <c r="B36" s="432">
        <v>-37516.142400000019</v>
      </c>
      <c r="C36" s="285">
        <v>0</v>
      </c>
      <c r="D36" s="114" t="s">
        <v>451</v>
      </c>
      <c r="E36" s="287">
        <v>-133011.77760000009</v>
      </c>
      <c r="F36" s="285">
        <v>-180000</v>
      </c>
      <c r="G36" s="114">
        <v>-0.2610456799999995</v>
      </c>
      <c r="H36" s="287">
        <v>-170527.9200000001</v>
      </c>
      <c r="I36" s="285">
        <v>-180000</v>
      </c>
      <c r="J36" s="284">
        <v>-5.2622666666666151E-2</v>
      </c>
      <c r="K36" s="265">
        <v>-9472.0799999998999</v>
      </c>
      <c r="M36" s="409" t="s">
        <v>37</v>
      </c>
      <c r="N36" s="287">
        <v>-223720.53220000002</v>
      </c>
      <c r="O36" s="285">
        <v>-42428.571428571428</v>
      </c>
      <c r="P36" s="114">
        <v>4.2728744962962972</v>
      </c>
      <c r="Q36" s="287">
        <v>-793190.97779999999</v>
      </c>
      <c r="R36" s="285">
        <v>-150428.57142857142</v>
      </c>
      <c r="S36" s="114">
        <v>4.2728744962962963</v>
      </c>
      <c r="T36" s="287">
        <v>-1016911.51</v>
      </c>
      <c r="U36" s="285">
        <v>-192857.14285714284</v>
      </c>
      <c r="V36" s="284">
        <v>4.2728744962962972</v>
      </c>
      <c r="W36" s="265">
        <v>824054.36714285717</v>
      </c>
      <c r="Y36" s="409" t="s">
        <v>37</v>
      </c>
      <c r="Z36" s="287">
        <v>-40765.594797838887</v>
      </c>
      <c r="AA36" s="285">
        <v>0</v>
      </c>
      <c r="AB36" s="114" t="s">
        <v>451</v>
      </c>
      <c r="AC36" s="287">
        <v>-144532.2652021609</v>
      </c>
      <c r="AD36" s="285">
        <v>-233766.23376623381</v>
      </c>
      <c r="AE36" s="114">
        <v>-0.38172308774631181</v>
      </c>
      <c r="AF36" s="287">
        <v>-185297.85999999978</v>
      </c>
      <c r="AG36" s="285">
        <v>-233766.23376623381</v>
      </c>
      <c r="AH36" s="284">
        <v>-0.20733693222222327</v>
      </c>
      <c r="AI36" s="265">
        <v>-48468.373766234028</v>
      </c>
    </row>
    <row r="37" spans="1:35" x14ac:dyDescent="0.25">
      <c r="A37" s="338" t="s">
        <v>38</v>
      </c>
      <c r="B37" s="325">
        <v>2328385.5445456281</v>
      </c>
      <c r="C37" s="326">
        <v>2410987.2869911357</v>
      </c>
      <c r="D37" s="327">
        <v>-3.4260546661194935E-2</v>
      </c>
      <c r="E37" s="326">
        <v>6474980.4254543912</v>
      </c>
      <c r="F37" s="326">
        <v>6931479.1697851568</v>
      </c>
      <c r="G37" s="327">
        <v>-6.5858777491632381E-2</v>
      </c>
      <c r="H37" s="326">
        <v>8803365.9700000174</v>
      </c>
      <c r="I37" s="326">
        <v>9342466.4567762949</v>
      </c>
      <c r="J37" s="327">
        <v>-5.7704299958739047E-2</v>
      </c>
      <c r="K37" s="339">
        <v>-539100.48677627742</v>
      </c>
      <c r="M37" s="338" t="s">
        <v>38</v>
      </c>
      <c r="N37" s="325">
        <v>2364329.5329799987</v>
      </c>
      <c r="O37" s="326">
        <v>2455515.171132945</v>
      </c>
      <c r="P37" s="327">
        <v>-3.7135033505361847E-2</v>
      </c>
      <c r="Q37" s="326">
        <v>6911086.9858200029</v>
      </c>
      <c r="R37" s="326">
        <v>6761640.8234337522</v>
      </c>
      <c r="S37" s="327">
        <v>2.2102055741901605E-2</v>
      </c>
      <c r="T37" s="326">
        <v>9275416.5188000053</v>
      </c>
      <c r="U37" s="326">
        <v>9217155.9945666958</v>
      </c>
      <c r="V37" s="327">
        <v>6.3208786167503472E-3</v>
      </c>
      <c r="W37" s="339">
        <v>58260.524233309552</v>
      </c>
      <c r="Y37" s="338" t="s">
        <v>38</v>
      </c>
      <c r="Z37" s="325">
        <v>1735637.7976097399</v>
      </c>
      <c r="AA37" s="326">
        <v>1905160.7031230889</v>
      </c>
      <c r="AB37" s="327">
        <v>-8.8980895540965999E-2</v>
      </c>
      <c r="AC37" s="326">
        <v>12626853.032390278</v>
      </c>
      <c r="AD37" s="326">
        <v>9643423.6195542645</v>
      </c>
      <c r="AE37" s="327">
        <v>0.30937450541801592</v>
      </c>
      <c r="AF37" s="326">
        <v>14362490.830000019</v>
      </c>
      <c r="AG37" s="326">
        <v>11548584.322677348</v>
      </c>
      <c r="AH37" s="327">
        <v>0.24365813407944303</v>
      </c>
      <c r="AI37" s="339">
        <v>2813906.5073226709</v>
      </c>
    </row>
    <row r="38" spans="1:35" x14ac:dyDescent="0.25">
      <c r="A38" s="238" t="s">
        <v>39</v>
      </c>
      <c r="B38" s="251">
        <v>-676373.10780796572</v>
      </c>
      <c r="C38" s="242">
        <v>-728263.16584694572</v>
      </c>
      <c r="D38" s="250">
        <v>-7.1251795329554501E-2</v>
      </c>
      <c r="E38" s="251">
        <v>-2282965.8121920498</v>
      </c>
      <c r="F38" s="242">
        <v>-2438098.4247919484</v>
      </c>
      <c r="G38" s="250">
        <v>-6.3628527471419338E-2</v>
      </c>
      <c r="H38" s="251">
        <v>-2959338.9200000158</v>
      </c>
      <c r="I38" s="242">
        <v>-3166361.5906388941</v>
      </c>
      <c r="J38" s="115">
        <v>-6.5381879078790339E-2</v>
      </c>
      <c r="K38" s="265">
        <v>-207022.67063887836</v>
      </c>
      <c r="M38" s="238" t="s">
        <v>39</v>
      </c>
      <c r="N38" s="251">
        <v>-633048.1786000015</v>
      </c>
      <c r="O38" s="242">
        <v>-476449.99256944429</v>
      </c>
      <c r="P38" s="250">
        <v>0.32867706679150066</v>
      </c>
      <c r="Q38" s="251">
        <v>-1750601.6602000047</v>
      </c>
      <c r="R38" s="242">
        <v>-1689231.7918371209</v>
      </c>
      <c r="S38" s="250">
        <v>3.6330045799186195E-2</v>
      </c>
      <c r="T38" s="251">
        <v>-2383649.8388000061</v>
      </c>
      <c r="U38" s="242">
        <v>-2165681.7844065651</v>
      </c>
      <c r="V38" s="115">
        <v>0.10064639041749524</v>
      </c>
      <c r="W38" s="265">
        <v>217968.05439344095</v>
      </c>
      <c r="Y38" s="238" t="s">
        <v>39</v>
      </c>
      <c r="Z38" s="251">
        <v>-533709.79200000525</v>
      </c>
      <c r="AA38" s="242">
        <v>-575798.95511480491</v>
      </c>
      <c r="AB38" s="250">
        <v>-7.309697723645181E-2</v>
      </c>
      <c r="AC38" s="251">
        <v>-1806616.038000019</v>
      </c>
      <c r="AD38" s="242">
        <v>-2041469.022679762</v>
      </c>
      <c r="AE38" s="250">
        <v>-0.11504116989806679</v>
      </c>
      <c r="AF38" s="251">
        <v>-2340325.8300000243</v>
      </c>
      <c r="AG38" s="242">
        <v>-2617267.9777945671</v>
      </c>
      <c r="AH38" s="115">
        <v>-0.10581344751251165</v>
      </c>
      <c r="AI38" s="265">
        <v>-276942.14779454283</v>
      </c>
    </row>
    <row r="39" spans="1:35" x14ac:dyDescent="0.25">
      <c r="A39" s="261" t="s">
        <v>40</v>
      </c>
      <c r="B39" s="251">
        <v>-98141.795400000003</v>
      </c>
      <c r="C39" s="242">
        <v>-107178.78868736117</v>
      </c>
      <c r="D39" s="58">
        <v>-8.4316994043680982E-2</v>
      </c>
      <c r="E39" s="251">
        <v>-349715.66460000002</v>
      </c>
      <c r="F39" s="242">
        <v>-379997.52352791687</v>
      </c>
      <c r="G39" s="58">
        <v>-7.9689621781685593E-2</v>
      </c>
      <c r="H39" s="251">
        <v>-447857.46</v>
      </c>
      <c r="I39" s="242">
        <v>-487176.31221527804</v>
      </c>
      <c r="J39" s="61">
        <v>-8.0707643679324481E-2</v>
      </c>
      <c r="K39" s="265">
        <v>-39318.852215278021</v>
      </c>
      <c r="M39" s="261" t="s">
        <v>40</v>
      </c>
      <c r="N39" s="251">
        <v>-95397.185399999988</v>
      </c>
      <c r="O39" s="242">
        <v>-97517.008537361151</v>
      </c>
      <c r="P39" s="58">
        <v>-2.1737983651836545E-2</v>
      </c>
      <c r="Q39" s="251">
        <v>-338226.38459999999</v>
      </c>
      <c r="R39" s="242">
        <v>-345742.12117791682</v>
      </c>
      <c r="S39" s="58">
        <v>-2.1737983651836545E-2</v>
      </c>
      <c r="T39" s="251">
        <v>-433623.56999999995</v>
      </c>
      <c r="U39" s="242">
        <v>-443259.12971527799</v>
      </c>
      <c r="V39" s="61">
        <v>-2.1737983651836656E-2</v>
      </c>
      <c r="W39" s="265">
        <v>-9635.5597152780392</v>
      </c>
      <c r="Y39" s="261" t="s">
        <v>40</v>
      </c>
      <c r="Z39" s="251">
        <v>-93401.923999999999</v>
      </c>
      <c r="AA39" s="242">
        <v>-88082.1663806945</v>
      </c>
      <c r="AB39" s="58">
        <v>6.0395399408244677E-2</v>
      </c>
      <c r="AC39" s="251">
        <v>-331152.27600000001</v>
      </c>
      <c r="AD39" s="242">
        <v>-312291.31716791692</v>
      </c>
      <c r="AE39" s="58">
        <v>6.0395399408244455E-2</v>
      </c>
      <c r="AF39" s="251">
        <v>-424554.2</v>
      </c>
      <c r="AG39" s="242">
        <v>-400373.4835486114</v>
      </c>
      <c r="AH39" s="61">
        <v>6.0395399408244455E-2</v>
      </c>
      <c r="AI39" s="265">
        <v>24180.716451388609</v>
      </c>
    </row>
    <row r="40" spans="1:35" x14ac:dyDescent="0.25">
      <c r="A40" s="338" t="s">
        <v>41</v>
      </c>
      <c r="B40" s="325">
        <v>1553870.6413376625</v>
      </c>
      <c r="C40" s="326">
        <v>1575545.3324568288</v>
      </c>
      <c r="D40" s="327">
        <v>-1.375694540338479E-2</v>
      </c>
      <c r="E40" s="326">
        <v>3842298.9486623416</v>
      </c>
      <c r="F40" s="326">
        <v>4113383.221465291</v>
      </c>
      <c r="G40" s="327">
        <v>-6.5902994738813114E-2</v>
      </c>
      <c r="H40" s="326">
        <v>5396169.5900000017</v>
      </c>
      <c r="I40" s="326">
        <v>5688928.5539221223</v>
      </c>
      <c r="J40" s="327">
        <v>-5.1461177820607995E-2</v>
      </c>
      <c r="K40" s="339">
        <v>-292758.96392212063</v>
      </c>
      <c r="M40" s="338" t="s">
        <v>41</v>
      </c>
      <c r="N40" s="325">
        <v>1635884.168979997</v>
      </c>
      <c r="O40" s="326">
        <v>1881548.1700261396</v>
      </c>
      <c r="P40" s="327">
        <v>-0.13056482154412752</v>
      </c>
      <c r="Q40" s="326">
        <v>4822258.9410199989</v>
      </c>
      <c r="R40" s="326">
        <v>4726666.9104187144</v>
      </c>
      <c r="S40" s="327">
        <v>2.0223982864241208E-2</v>
      </c>
      <c r="T40" s="326">
        <v>6458143.1099999994</v>
      </c>
      <c r="U40" s="326">
        <v>6608215.0804448528</v>
      </c>
      <c r="V40" s="327">
        <v>-2.2709910107034714E-2</v>
      </c>
      <c r="W40" s="339">
        <v>-150071.97044485342</v>
      </c>
      <c r="Y40" s="338" t="s">
        <v>41</v>
      </c>
      <c r="Z40" s="325">
        <v>1108526.0816097348</v>
      </c>
      <c r="AA40" s="326">
        <v>1241279.5816275894</v>
      </c>
      <c r="AB40" s="327">
        <v>-0.10694891141590013</v>
      </c>
      <c r="AC40" s="326">
        <v>10489084.718390258</v>
      </c>
      <c r="AD40" s="326">
        <v>7289663.2797065852</v>
      </c>
      <c r="AE40" s="327">
        <v>0.43889838472929465</v>
      </c>
      <c r="AF40" s="326">
        <v>11597610.799999995</v>
      </c>
      <c r="AG40" s="326">
        <v>8530942.8613341693</v>
      </c>
      <c r="AH40" s="327">
        <v>0.359475850268</v>
      </c>
      <c r="AI40" s="339">
        <v>3066667.9386658259</v>
      </c>
    </row>
    <row r="41" spans="1:35" x14ac:dyDescent="0.25">
      <c r="A41" s="261" t="s">
        <v>42</v>
      </c>
      <c r="B41" s="251">
        <v>-115374.98939999999</v>
      </c>
      <c r="C41" s="242">
        <v>-325141</v>
      </c>
      <c r="D41" s="58">
        <v>-0.64515398119585043</v>
      </c>
      <c r="E41" s="251">
        <v>-1463640.8006</v>
      </c>
      <c r="F41" s="242">
        <v>-1157412.4228173625</v>
      </c>
      <c r="G41" s="58">
        <v>0.26458017189518257</v>
      </c>
      <c r="H41" s="251">
        <v>-1579015.79</v>
      </c>
      <c r="I41" s="242">
        <v>-1482553.4228173625</v>
      </c>
      <c r="J41" s="61">
        <v>6.5065019376722155E-2</v>
      </c>
      <c r="K41" s="265">
        <v>-96462.367182637565</v>
      </c>
      <c r="M41" s="261" t="s">
        <v>42</v>
      </c>
      <c r="N41" s="251">
        <v>-544207.12983407639</v>
      </c>
      <c r="O41" s="242">
        <v>-489202.52420679631</v>
      </c>
      <c r="P41" s="58">
        <v>0.11243728906850126</v>
      </c>
      <c r="Q41" s="251">
        <v>-1604213.6401659225</v>
      </c>
      <c r="R41" s="242">
        <v>-1228933.3967088659</v>
      </c>
      <c r="S41" s="58">
        <v>0.30537069336879652</v>
      </c>
      <c r="T41" s="251">
        <v>-2148420.7699999986</v>
      </c>
      <c r="U41" s="242">
        <v>-1718135.9209156623</v>
      </c>
      <c r="V41" s="61">
        <v>0.25043702529368028</v>
      </c>
      <c r="W41" s="265">
        <v>-430284.84908433631</v>
      </c>
      <c r="Y41" s="261" t="s">
        <v>42</v>
      </c>
      <c r="Z41" s="251">
        <v>-375153.55806499202</v>
      </c>
      <c r="AA41" s="242">
        <v>-487969.93166831072</v>
      </c>
      <c r="AB41" s="58">
        <v>-0.23119533865050468</v>
      </c>
      <c r="AC41" s="251">
        <v>-3549774.3519350002</v>
      </c>
      <c r="AD41" s="242">
        <v>-1730075.2122785561</v>
      </c>
      <c r="AE41" s="58">
        <v>1.0518034861963317</v>
      </c>
      <c r="AF41" s="251">
        <v>-3924927.9099999922</v>
      </c>
      <c r="AG41" s="242">
        <v>-2218045.143946867</v>
      </c>
      <c r="AH41" s="61">
        <v>0.76954374473002773</v>
      </c>
      <c r="AI41" s="265">
        <v>-1706882.7660531253</v>
      </c>
    </row>
    <row r="42" spans="1:35" x14ac:dyDescent="0.25">
      <c r="A42" s="338" t="s">
        <v>43</v>
      </c>
      <c r="B42" s="325">
        <v>1438495.6519376624</v>
      </c>
      <c r="C42" s="326">
        <v>1250404.3324568288</v>
      </c>
      <c r="D42" s="327">
        <v>0.15042439841140554</v>
      </c>
      <c r="E42" s="325">
        <v>2378658.1480623418</v>
      </c>
      <c r="F42" s="326">
        <v>2955970.7986479285</v>
      </c>
      <c r="G42" s="327">
        <v>-0.1953039085669086</v>
      </c>
      <c r="H42" s="325">
        <v>3817153.8000000017</v>
      </c>
      <c r="I42" s="326">
        <v>4206375.1311047599</v>
      </c>
      <c r="J42" s="327">
        <v>-9.2531293328213748E-2</v>
      </c>
      <c r="K42" s="339">
        <v>-389221.3311047582</v>
      </c>
      <c r="M42" s="338" t="s">
        <v>43</v>
      </c>
      <c r="N42" s="325">
        <v>1091677.0391459207</v>
      </c>
      <c r="O42" s="326">
        <v>1392345.6458193432</v>
      </c>
      <c r="P42" s="327">
        <v>-0.21594394148910512</v>
      </c>
      <c r="Q42" s="325">
        <v>3218045.3008540766</v>
      </c>
      <c r="R42" s="326">
        <v>3497733.5137098487</v>
      </c>
      <c r="S42" s="327">
        <v>-7.9962699204926713E-2</v>
      </c>
      <c r="T42" s="325">
        <v>4309722.3400000008</v>
      </c>
      <c r="U42" s="326">
        <v>4890079.1595291905</v>
      </c>
      <c r="V42" s="327">
        <v>-0.11868045497755619</v>
      </c>
      <c r="W42" s="339">
        <v>-580356.81952918973</v>
      </c>
      <c r="Y42" s="338" t="s">
        <v>43</v>
      </c>
      <c r="Z42" s="325">
        <v>733372.52354474273</v>
      </c>
      <c r="AA42" s="326">
        <v>753309.64995927876</v>
      </c>
      <c r="AB42" s="327">
        <v>-2.6466044097024022E-2</v>
      </c>
      <c r="AC42" s="325">
        <v>6939310.3664552579</v>
      </c>
      <c r="AD42" s="326">
        <v>5559588.0674280291</v>
      </c>
      <c r="AE42" s="327">
        <v>0.24816987918774247</v>
      </c>
      <c r="AF42" s="325">
        <v>7672682.8900000025</v>
      </c>
      <c r="AG42" s="326">
        <v>6312897.7173873018</v>
      </c>
      <c r="AH42" s="327">
        <v>0.21539794140296475</v>
      </c>
      <c r="AI42" s="339">
        <v>1359785.1726127006</v>
      </c>
    </row>
    <row r="43" spans="1:35" x14ac:dyDescent="0.25">
      <c r="A43" s="260" t="s">
        <v>45</v>
      </c>
      <c r="B43" s="237">
        <v>1652012.4367376624</v>
      </c>
      <c r="C43" s="236">
        <v>1682724.12114419</v>
      </c>
      <c r="D43" s="87">
        <v>-1.8251170242716164E-2</v>
      </c>
      <c r="E43" s="237">
        <v>4104954.2832623413</v>
      </c>
      <c r="F43" s="236">
        <v>4406320.4149932079</v>
      </c>
      <c r="G43" s="87">
        <v>-6.8394057478303294E-2</v>
      </c>
      <c r="H43" s="237">
        <v>5756966.7200000035</v>
      </c>
      <c r="I43" s="236">
        <v>6089044.5361373983</v>
      </c>
      <c r="J43" s="87">
        <v>-5.4536933367225648E-2</v>
      </c>
      <c r="K43" s="241">
        <v>-332077.81613739487</v>
      </c>
      <c r="M43" s="260" t="s">
        <v>45</v>
      </c>
      <c r="N43" s="237" t="e">
        <v>#REF!</v>
      </c>
      <c r="O43" s="236" t="e">
        <v>#REF!</v>
      </c>
      <c r="P43" s="87" t="s">
        <v>451</v>
      </c>
      <c r="Q43" s="237" t="e">
        <v>#REF!</v>
      </c>
      <c r="R43" s="236" t="e">
        <v>#REF!</v>
      </c>
      <c r="S43" s="87" t="s">
        <v>451</v>
      </c>
      <c r="T43" s="237" t="e">
        <v>#REF!</v>
      </c>
      <c r="U43" s="236" t="e">
        <v>#REF!</v>
      </c>
      <c r="V43" s="87" t="s">
        <v>451</v>
      </c>
      <c r="W43" s="241" t="e">
        <v>#REF!</v>
      </c>
      <c r="Y43" s="260" t="s">
        <v>45</v>
      </c>
      <c r="Z43" s="237" t="e">
        <v>#REF!</v>
      </c>
      <c r="AA43" s="236" t="e">
        <v>#REF!</v>
      </c>
      <c r="AB43" s="87" t="s">
        <v>451</v>
      </c>
      <c r="AC43" s="237" t="e">
        <v>#REF!</v>
      </c>
      <c r="AD43" s="236" t="e">
        <v>#REF!</v>
      </c>
      <c r="AE43" s="87" t="s">
        <v>451</v>
      </c>
      <c r="AF43" s="237" t="e">
        <v>#REF!</v>
      </c>
      <c r="AG43" s="236" t="e">
        <v>#REF!</v>
      </c>
      <c r="AH43" s="87" t="s">
        <v>451</v>
      </c>
      <c r="AI43" s="241" t="e">
        <v>#REF!</v>
      </c>
    </row>
    <row r="44" spans="1:35" x14ac:dyDescent="0.25">
      <c r="A44" s="258" t="s">
        <v>46</v>
      </c>
      <c r="B44" s="68">
        <v>0.10253456931120558</v>
      </c>
      <c r="C44" s="71">
        <v>0.10399954817630312</v>
      </c>
      <c r="D44" s="207">
        <v>-1.4649788650975409E-3</v>
      </c>
      <c r="E44" s="68">
        <v>7.5901791992391124E-2</v>
      </c>
      <c r="F44" s="71">
        <v>8.2559764316565185E-2</v>
      </c>
      <c r="G44" s="207">
        <v>-6.6579723241740607E-3</v>
      </c>
      <c r="H44" s="68">
        <v>8.1580979304734E-2</v>
      </c>
      <c r="I44" s="71">
        <v>8.7227538215200989E-2</v>
      </c>
      <c r="J44" s="208">
        <v>-5.6465589104669894E-3</v>
      </c>
      <c r="K44" s="210"/>
      <c r="M44" s="258" t="s">
        <v>46</v>
      </c>
      <c r="N44" s="68">
        <v>0.10131605334339003</v>
      </c>
      <c r="O44" s="71">
        <v>0.10294537370530178</v>
      </c>
      <c r="P44" s="390">
        <v>-0.16293203619117541</v>
      </c>
      <c r="Q44" s="68">
        <v>9.2978012745097344E-2</v>
      </c>
      <c r="R44" s="71">
        <v>8.2323328325609207E-2</v>
      </c>
      <c r="S44" s="390">
        <v>1.0654684419488136</v>
      </c>
      <c r="T44" s="68">
        <v>9.4737728143784089E-2</v>
      </c>
      <c r="U44" s="71">
        <v>8.6782321438849341E-2</v>
      </c>
      <c r="V44" s="390">
        <v>0.79554067049347477</v>
      </c>
      <c r="W44" s="210"/>
      <c r="Y44" s="258" t="s">
        <v>46</v>
      </c>
      <c r="Z44" s="68">
        <v>8.3519809358461927E-2</v>
      </c>
      <c r="AA44" s="71">
        <v>8.642629706778146E-2</v>
      </c>
      <c r="AB44" s="390">
        <v>-0.29064877093195329</v>
      </c>
      <c r="AC44" s="68">
        <v>0.11378117275063988</v>
      </c>
      <c r="AD44" s="71">
        <v>0.10533597981220691</v>
      </c>
      <c r="AE44" s="390">
        <v>0.84451929384329749</v>
      </c>
      <c r="AF44" s="68">
        <v>0.10756660748900262</v>
      </c>
      <c r="AG44" s="71">
        <v>0.10135270537890267</v>
      </c>
      <c r="AH44" s="390">
        <v>0.62139021100999503</v>
      </c>
      <c r="AI44" s="210"/>
    </row>
    <row r="45" spans="1:35" x14ac:dyDescent="0.25">
      <c r="A45" s="238" t="s">
        <v>47</v>
      </c>
      <c r="B45" s="67">
        <v>8.1292581681919107E-2</v>
      </c>
      <c r="C45" s="60">
        <v>8.2824048846593917E-2</v>
      </c>
      <c r="D45" s="208">
        <v>-1.5314671646748101E-3</v>
      </c>
      <c r="E45" s="67">
        <v>6.3873666504429605E-2</v>
      </c>
      <c r="F45" s="60">
        <v>7.0130275793833005E-2</v>
      </c>
      <c r="G45" s="208">
        <v>-6.2566092894034003E-3</v>
      </c>
      <c r="H45" s="67">
        <v>6.7588085052918356E-2</v>
      </c>
      <c r="I45" s="60">
        <v>7.2893907317290355E-2</v>
      </c>
      <c r="J45" s="208">
        <v>-5.3058222643719982E-3</v>
      </c>
      <c r="K45" s="211"/>
      <c r="M45" s="238" t="s">
        <v>47</v>
      </c>
      <c r="N45" s="67">
        <v>8.9506134970531281E-2</v>
      </c>
      <c r="O45" s="60">
        <v>8.6748163329860878E-2</v>
      </c>
      <c r="P45" s="390">
        <v>0.27579716406704036</v>
      </c>
      <c r="Q45" s="67">
        <v>7.9090893577534405E-2</v>
      </c>
      <c r="R45" s="60">
        <v>7.4945625521291137E-2</v>
      </c>
      <c r="S45" s="390">
        <v>0.41452680562432676</v>
      </c>
      <c r="T45" s="67">
        <v>8.1288995211154291E-2</v>
      </c>
      <c r="U45" s="60">
        <v>7.749762430890865E-2</v>
      </c>
      <c r="V45" s="390">
        <v>0.37913709022456415</v>
      </c>
      <c r="W45" s="211"/>
      <c r="Y45" s="238" t="s">
        <v>47</v>
      </c>
      <c r="Z45" s="67">
        <v>6.5655930619869851E-2</v>
      </c>
      <c r="AA45" s="60">
        <v>6.9611161204162428E-2</v>
      </c>
      <c r="AB45" s="390">
        <v>-0.39552305842925767</v>
      </c>
      <c r="AC45" s="67">
        <v>0.11045482134614576</v>
      </c>
      <c r="AD45" s="60">
        <v>9.5302041163857848E-2</v>
      </c>
      <c r="AE45" s="390">
        <v>1.5152780182287913</v>
      </c>
      <c r="AF45" s="67">
        <v>0.10125478543040248</v>
      </c>
      <c r="AG45" s="60">
        <v>8.9890325552568123E-2</v>
      </c>
      <c r="AH45" s="390">
        <v>1.1364459877834354</v>
      </c>
      <c r="AI45" s="211"/>
    </row>
    <row r="46" spans="1:35" x14ac:dyDescent="0.25">
      <c r="A46" s="238" t="s">
        <v>48</v>
      </c>
      <c r="B46" s="67">
        <v>-0.31069832011474791</v>
      </c>
      <c r="C46" s="60">
        <v>-0.32361553746414956</v>
      </c>
      <c r="D46" s="208">
        <v>1.2917217349401655E-2</v>
      </c>
      <c r="E46" s="60">
        <v>-0.38963722958438696</v>
      </c>
      <c r="F46" s="60">
        <v>-0.38912988736517556</v>
      </c>
      <c r="G46" s="208">
        <v>-5.07342219211393E-4</v>
      </c>
      <c r="H46" s="60">
        <v>-0.36848080595351618</v>
      </c>
      <c r="I46" s="60">
        <v>-0.37212382838231056</v>
      </c>
      <c r="J46" s="208">
        <v>3.6430224287943846E-3</v>
      </c>
      <c r="K46" s="211"/>
      <c r="M46" s="238" t="s">
        <v>48</v>
      </c>
      <c r="N46" s="67">
        <v>-0.31920728880712113</v>
      </c>
      <c r="O46" s="60">
        <v>-0.26978299981983417</v>
      </c>
      <c r="P46" s="390">
        <v>-4.9424288987286955</v>
      </c>
      <c r="Q46" s="60">
        <v>-0.34977955215131923</v>
      </c>
      <c r="R46" s="60">
        <v>-0.39976537610429669</v>
      </c>
      <c r="S46" s="390">
        <v>4.9985823952977455</v>
      </c>
      <c r="T46" s="60">
        <v>-0.34287935786882517</v>
      </c>
      <c r="U46" s="60">
        <v>-0.36642541362028985</v>
      </c>
      <c r="V46" s="390">
        <v>2.3546055751464676</v>
      </c>
      <c r="W46" s="211"/>
      <c r="Y46" s="238" t="s">
        <v>48</v>
      </c>
      <c r="Z46" s="67">
        <v>-0.35056504663787236</v>
      </c>
      <c r="AA46" s="60">
        <v>-0.35782344277296718</v>
      </c>
      <c r="AB46" s="390">
        <v>0.72583961350948245</v>
      </c>
      <c r="AC46" s="60">
        <v>-0.2417392667936335</v>
      </c>
      <c r="AD46" s="60">
        <v>-0.32705248596231429</v>
      </c>
      <c r="AE46" s="390">
        <v>8.5313219168680785</v>
      </c>
      <c r="AF46" s="60">
        <v>-0.25909192740769632</v>
      </c>
      <c r="AG46" s="60">
        <v>-0.33257971609422105</v>
      </c>
      <c r="AH46" s="390">
        <v>7.348778868652472</v>
      </c>
      <c r="AI46" s="211"/>
    </row>
    <row r="47" spans="1:35" x14ac:dyDescent="0.25">
      <c r="A47" s="238" t="s">
        <v>49</v>
      </c>
      <c r="B47" s="67">
        <v>-0.33870457234210644</v>
      </c>
      <c r="C47" s="60">
        <v>-0.35372816117274641</v>
      </c>
      <c r="D47" s="208">
        <v>1.5023588830639978E-2</v>
      </c>
      <c r="E47" s="67">
        <v>-0.42617668884707599</v>
      </c>
      <c r="F47" s="60">
        <v>-0.42655888757739246</v>
      </c>
      <c r="G47" s="208">
        <v>3.8219873031647422E-4</v>
      </c>
      <c r="H47" s="67">
        <v>-0.40273327969560063</v>
      </c>
      <c r="I47" s="60">
        <v>-0.40765366099919337</v>
      </c>
      <c r="J47" s="208">
        <v>4.9203813035927357E-3</v>
      </c>
      <c r="K47" s="211"/>
      <c r="M47" s="238" t="s">
        <v>49</v>
      </c>
      <c r="N47" s="67">
        <v>-0.3467396017240762</v>
      </c>
      <c r="O47" s="60">
        <v>-0.29741872944725406</v>
      </c>
      <c r="P47" s="390">
        <v>-4.9320872276822136</v>
      </c>
      <c r="Q47" s="67">
        <v>-0.3782333157194917</v>
      </c>
      <c r="R47" s="60">
        <v>-0.43356720470086402</v>
      </c>
      <c r="S47" s="390">
        <v>5.5333888981372317</v>
      </c>
      <c r="T47" s="67">
        <v>-0.3711251489868212</v>
      </c>
      <c r="U47" s="60">
        <v>-0.39864566235826054</v>
      </c>
      <c r="V47" s="390">
        <v>2.7520513371439348</v>
      </c>
      <c r="W47" s="211"/>
      <c r="Y47" s="238" t="s">
        <v>49</v>
      </c>
      <c r="Z47" s="67">
        <v>-0.38330113734233651</v>
      </c>
      <c r="AA47" s="60">
        <v>-0.38748203641093837</v>
      </c>
      <c r="AB47" s="390">
        <v>0.41808990686018621</v>
      </c>
      <c r="AC47" s="67">
        <v>-0.26375693492255886</v>
      </c>
      <c r="AD47" s="60">
        <v>-0.35007626207604764</v>
      </c>
      <c r="AE47" s="390">
        <v>8.6319327153488778</v>
      </c>
      <c r="AF47" s="67">
        <v>-0.28281868642976898</v>
      </c>
      <c r="AG47" s="60">
        <v>-0.35679527066207689</v>
      </c>
      <c r="AH47" s="390">
        <v>7.3976584232307907</v>
      </c>
      <c r="AI47" s="211"/>
    </row>
    <row r="48" spans="1:35" x14ac:dyDescent="0.25">
      <c r="A48" s="259" t="s">
        <v>50</v>
      </c>
      <c r="B48" s="67">
        <v>0.40727672853145142</v>
      </c>
      <c r="C48" s="60">
        <v>0.34054019794351642</v>
      </c>
      <c r="D48" s="208">
        <v>6.6736530587934995E-2</v>
      </c>
      <c r="E48" s="67">
        <v>0.18253276157106535</v>
      </c>
      <c r="F48" s="60">
        <v>0.22404886765211607</v>
      </c>
      <c r="G48" s="208">
        <v>-4.1516106081050719E-2</v>
      </c>
      <c r="H48" s="67">
        <v>0.23045728218744727</v>
      </c>
      <c r="I48" s="60">
        <v>0.24941083932631228</v>
      </c>
      <c r="J48" s="208">
        <v>-1.8953557138865013E-2</v>
      </c>
      <c r="K48" s="211"/>
      <c r="M48" s="259" t="s">
        <v>50</v>
      </c>
      <c r="N48" s="67">
        <v>0.30489271432185949</v>
      </c>
      <c r="O48" s="60">
        <v>0.3791994609046343</v>
      </c>
      <c r="P48" s="390">
        <v>-7.4306746582774803</v>
      </c>
      <c r="Q48" s="67">
        <v>0.24042084510875902</v>
      </c>
      <c r="R48" s="60">
        <v>0.262797235754821</v>
      </c>
      <c r="S48" s="390">
        <v>-2.2376390646061979</v>
      </c>
      <c r="T48" s="67">
        <v>0.25402741606496682</v>
      </c>
      <c r="U48" s="60">
        <v>0.28796625806819259</v>
      </c>
      <c r="V48" s="390">
        <v>-3.393884200322578</v>
      </c>
      <c r="W48" s="211"/>
      <c r="Y48" s="259" t="s">
        <v>50</v>
      </c>
      <c r="Z48" s="67">
        <v>0.2077182893953449</v>
      </c>
      <c r="AA48" s="60">
        <v>0.19499662646935909</v>
      </c>
      <c r="AB48" s="390">
        <v>1.272166292598581</v>
      </c>
      <c r="AC48" s="67">
        <v>0.50794876689251178</v>
      </c>
      <c r="AD48" s="60">
        <v>0.38404409553545849</v>
      </c>
      <c r="AE48" s="390">
        <v>12.390467135705329</v>
      </c>
      <c r="AF48" s="67">
        <v>0.44629252649916179</v>
      </c>
      <c r="AG48" s="60">
        <v>0.34422174841364545</v>
      </c>
      <c r="AH48" s="390">
        <v>10.207077808551634</v>
      </c>
      <c r="AI48" s="211"/>
    </row>
    <row r="49" spans="1:35" x14ac:dyDescent="0.25">
      <c r="A49" s="218" t="s">
        <v>51</v>
      </c>
      <c r="B49" s="164">
        <v>410119044.98000288</v>
      </c>
      <c r="C49" s="66">
        <v>410686134.72433257</v>
      </c>
      <c r="D49" s="84">
        <v>-1.3808348916145574E-3</v>
      </c>
      <c r="E49" s="164">
        <v>1513150711.490001</v>
      </c>
      <c r="F49" s="66">
        <v>1475656724.6104517</v>
      </c>
      <c r="G49" s="84">
        <v>2.5408339388313328E-2</v>
      </c>
      <c r="H49" s="164">
        <v>1923269756.4700038</v>
      </c>
      <c r="I49" s="66">
        <v>1886342859.3347843</v>
      </c>
      <c r="J49" s="72">
        <v>1.9575920121033485E-2</v>
      </c>
      <c r="K49" s="165">
        <v>-36926897.135219574</v>
      </c>
      <c r="M49" s="218" t="s">
        <v>51</v>
      </c>
      <c r="N49" s="164">
        <v>410389127.73000014</v>
      </c>
      <c r="O49" s="66">
        <v>411323806.92283016</v>
      </c>
      <c r="P49" s="84">
        <v>-2.2723683314673782E-3</v>
      </c>
      <c r="Q49" s="164">
        <v>1534153274.2200007</v>
      </c>
      <c r="R49" s="66">
        <v>1490975209.1765192</v>
      </c>
      <c r="S49" s="84">
        <v>2.8959612995395956E-2</v>
      </c>
      <c r="T49" s="164">
        <v>1944542401.9500008</v>
      </c>
      <c r="U49" s="66">
        <v>1902299016.0993493</v>
      </c>
      <c r="V49" s="72">
        <v>2.2206490931836464E-2</v>
      </c>
      <c r="W49" s="165">
        <v>-42243385.850651503</v>
      </c>
      <c r="Y49" s="218" t="s">
        <v>51</v>
      </c>
      <c r="Z49" s="164">
        <v>409940436.06999803</v>
      </c>
      <c r="AA49" s="66">
        <v>412356432.72082371</v>
      </c>
      <c r="AB49" s="84">
        <v>-5.8590007554493173E-3</v>
      </c>
      <c r="AC49" s="164">
        <v>1586234031.9400001</v>
      </c>
      <c r="AD49" s="66">
        <v>1545211254.6015811</v>
      </c>
      <c r="AE49" s="84">
        <v>2.6548329373252244E-2</v>
      </c>
      <c r="AF49" s="164">
        <v>1996174468.0099981</v>
      </c>
      <c r="AG49" s="66">
        <v>1957567687.3224049</v>
      </c>
      <c r="AH49" s="72">
        <v>1.9721811377260812E-2</v>
      </c>
      <c r="AI49" s="165">
        <v>-38606780.687593222</v>
      </c>
    </row>
    <row r="50" spans="1:35" x14ac:dyDescent="0.25">
      <c r="A50" s="218" t="s">
        <v>52</v>
      </c>
      <c r="B50" s="164">
        <v>407807715.140001</v>
      </c>
      <c r="C50" s="66">
        <v>409320636.27007604</v>
      </c>
      <c r="D50" s="84">
        <v>-3.6961760439481184E-3</v>
      </c>
      <c r="E50" s="164">
        <v>1485862986.8000021</v>
      </c>
      <c r="F50" s="66">
        <v>1451896911.2013488</v>
      </c>
      <c r="G50" s="84">
        <v>2.3394274990604202E-2</v>
      </c>
      <c r="H50" s="164">
        <v>1893670701.9400032</v>
      </c>
      <c r="I50" s="66">
        <v>1861217547.4714248</v>
      </c>
      <c r="J50" s="72">
        <v>1.743651864483442E-2</v>
      </c>
      <c r="K50" s="165">
        <v>-32453154.468578339</v>
      </c>
      <c r="M50" s="218" t="s">
        <v>52</v>
      </c>
      <c r="N50" s="164">
        <v>407967381.77999878</v>
      </c>
      <c r="O50" s="66">
        <v>409875671.87967074</v>
      </c>
      <c r="P50" s="84">
        <v>-4.6557779116790377E-3</v>
      </c>
      <c r="Q50" s="164">
        <v>1518848867.7350011</v>
      </c>
      <c r="R50" s="66">
        <v>1466079021.5783377</v>
      </c>
      <c r="S50" s="84">
        <v>3.5993862117918329E-2</v>
      </c>
      <c r="T50" s="164">
        <v>1926816249.5149999</v>
      </c>
      <c r="U50" s="66">
        <v>1875954693.4580083</v>
      </c>
      <c r="V50" s="72">
        <v>2.7112358435073203E-2</v>
      </c>
      <c r="W50" s="165">
        <v>-50861556.056991577</v>
      </c>
      <c r="Y50" s="218" t="s">
        <v>52</v>
      </c>
      <c r="Z50" s="164">
        <v>407327822.36499965</v>
      </c>
      <c r="AA50" s="66">
        <v>410674939.09533346</v>
      </c>
      <c r="AB50" s="84">
        <v>-8.150282405123388E-3</v>
      </c>
      <c r="AC50" s="164">
        <v>1560025554.2650003</v>
      </c>
      <c r="AD50" s="66">
        <v>1516487216.71225</v>
      </c>
      <c r="AE50" s="84">
        <v>2.8709993116289967E-2</v>
      </c>
      <c r="AF50" s="164">
        <v>1967353376.6300001</v>
      </c>
      <c r="AG50" s="66">
        <v>1927162155.8075833</v>
      </c>
      <c r="AH50" s="72">
        <v>2.08551318327308E-2</v>
      </c>
      <c r="AI50" s="165">
        <v>-40191220.822416782</v>
      </c>
    </row>
    <row r="51" spans="1:35" x14ac:dyDescent="0.25">
      <c r="A51" s="286"/>
      <c r="B51" s="262"/>
      <c r="C51" s="42"/>
      <c r="D51" s="263"/>
      <c r="E51" s="262"/>
      <c r="F51" s="42"/>
      <c r="G51" s="263"/>
      <c r="H51" s="262"/>
      <c r="I51" s="42"/>
      <c r="J51" s="213"/>
      <c r="K51" s="263"/>
      <c r="M51" s="286"/>
      <c r="N51" s="262"/>
      <c r="O51" s="42"/>
      <c r="P51" s="263"/>
      <c r="Q51" s="262"/>
      <c r="R51" s="42"/>
      <c r="S51" s="263">
        <v>52769846.156663418</v>
      </c>
      <c r="T51" s="262"/>
      <c r="U51" s="42"/>
      <c r="V51" s="213"/>
      <c r="W51" s="263"/>
      <c r="Y51" s="286"/>
      <c r="Z51" s="262"/>
      <c r="AA51" s="42"/>
      <c r="AB51" s="263"/>
      <c r="AC51" s="262"/>
      <c r="AD51" s="42"/>
      <c r="AE51" s="263">
        <v>43538337.552750349</v>
      </c>
      <c r="AF51" s="262"/>
      <c r="AG51" s="42"/>
      <c r="AH51" s="213"/>
      <c r="AI51" s="263"/>
    </row>
    <row r="52" spans="1:35" x14ac:dyDescent="0.25">
      <c r="A52" s="283" t="s">
        <v>53</v>
      </c>
      <c r="B52" s="187">
        <v>1.9001863743440595E-2</v>
      </c>
      <c r="C52" s="188">
        <v>1.8722930033500899E-2</v>
      </c>
      <c r="D52" s="186">
        <v>1.4897973204012427E-2</v>
      </c>
      <c r="E52" s="187">
        <v>1.3902319900431812E-2</v>
      </c>
      <c r="F52" s="188">
        <v>1.4373661601362575E-2</v>
      </c>
      <c r="G52" s="186">
        <v>-3.2792041026350693E-2</v>
      </c>
      <c r="H52" s="187">
        <v>1.4989749286607486E-2</v>
      </c>
      <c r="I52" s="188">
        <v>1.5320564881661969E-2</v>
      </c>
      <c r="J52" s="433">
        <v>-2.1592911071474541E-2</v>
      </c>
      <c r="K52" s="252">
        <v>0</v>
      </c>
      <c r="M52" s="283" t="s">
        <v>53</v>
      </c>
      <c r="N52" s="187">
        <v>1.7277652391281099E-2</v>
      </c>
      <c r="O52" s="188">
        <v>1.6967288391328991E-2</v>
      </c>
      <c r="P52" s="383"/>
      <c r="Q52" s="187">
        <v>1.377818579220318E-2</v>
      </c>
      <c r="R52" s="188">
        <v>1.3658580504171127E-2</v>
      </c>
      <c r="S52" s="383"/>
      <c r="T52" s="187">
        <v>1.4516736437165043E-2</v>
      </c>
      <c r="U52" s="188">
        <v>1.4374004479384018E-2</v>
      </c>
      <c r="V52" s="383"/>
      <c r="W52" s="252"/>
      <c r="Y52" s="283" t="s">
        <v>53</v>
      </c>
      <c r="Z52" s="187">
        <v>1.9194187076135238E-2</v>
      </c>
      <c r="AA52" s="188">
        <v>1.878696553739909E-2</v>
      </c>
      <c r="AB52" s="383"/>
      <c r="AC52" s="187">
        <v>1.8695955466123654E-2</v>
      </c>
      <c r="AD52" s="188">
        <v>1.7007775650030896E-2</v>
      </c>
      <c r="AE52" s="383"/>
      <c r="AF52" s="187">
        <v>1.8798273818925564E-2</v>
      </c>
      <c r="AG52" s="188">
        <v>1.7382557273082522E-2</v>
      </c>
      <c r="AH52" s="383"/>
      <c r="AI52" s="252"/>
    </row>
    <row r="53" spans="1:35" x14ac:dyDescent="0.25">
      <c r="A53" s="283" t="s">
        <v>54</v>
      </c>
      <c r="B53" s="187">
        <v>1.9109560515854E-2</v>
      </c>
      <c r="C53" s="188">
        <v>1.8785389948185068E-2</v>
      </c>
      <c r="D53" s="186">
        <v>1.7256525872663575E-2</v>
      </c>
      <c r="E53" s="187">
        <v>1.4157634610714948E-2</v>
      </c>
      <c r="F53" s="188">
        <v>1.4608881826034988E-2</v>
      </c>
      <c r="G53" s="186">
        <v>-3.088855264171253E-2</v>
      </c>
      <c r="H53" s="187">
        <v>1.5224046836900046E-2</v>
      </c>
      <c r="I53" s="188">
        <v>1.5527383246929127E-2</v>
      </c>
      <c r="J53" s="433">
        <v>-1.9535578223656702E-2</v>
      </c>
      <c r="K53" s="252">
        <v>0</v>
      </c>
      <c r="M53" s="283" t="s">
        <v>54</v>
      </c>
      <c r="N53" s="187">
        <v>1.7380214719969131E-2</v>
      </c>
      <c r="O53" s="188">
        <v>1.7027235654835007E-2</v>
      </c>
      <c r="P53" s="383"/>
      <c r="Q53" s="187">
        <v>1.3917019194570713E-2</v>
      </c>
      <c r="R53" s="188">
        <v>1.389052337870365E-2</v>
      </c>
      <c r="S53" s="383"/>
      <c r="T53" s="187">
        <v>1.4650286215463149E-2</v>
      </c>
      <c r="U53" s="188">
        <v>1.4575860853087239E-2</v>
      </c>
      <c r="V53" s="383"/>
      <c r="W53" s="252"/>
      <c r="Y53" s="283" t="s">
        <v>54</v>
      </c>
      <c r="Z53" s="187">
        <v>1.931729920709711E-2</v>
      </c>
      <c r="AA53" s="188">
        <v>1.8863888085590197E-2</v>
      </c>
      <c r="AB53" s="383"/>
      <c r="AC53" s="187">
        <v>1.9010048097559778E-2</v>
      </c>
      <c r="AD53" s="188">
        <v>1.7329922771879946E-2</v>
      </c>
      <c r="AE53" s="383"/>
      <c r="AF53" s="187">
        <v>1.9073662457264412E-2</v>
      </c>
      <c r="AG53" s="188">
        <v>1.7656808140546976E-2</v>
      </c>
      <c r="AH53" s="383"/>
      <c r="AI53" s="252"/>
    </row>
    <row r="54" spans="1:35" x14ac:dyDescent="0.25">
      <c r="A54" s="257"/>
      <c r="B54" s="255"/>
      <c r="C54" s="73"/>
      <c r="D54" s="253"/>
      <c r="E54" s="262"/>
      <c r="F54" s="42"/>
      <c r="G54" s="253"/>
      <c r="H54" s="255"/>
      <c r="I54" s="73"/>
      <c r="J54" s="213"/>
      <c r="K54" s="263"/>
      <c r="M54" s="257"/>
      <c r="N54" s="255"/>
      <c r="O54" s="73"/>
      <c r="P54" s="253"/>
      <c r="Q54" s="262"/>
      <c r="R54" s="42"/>
      <c r="S54" s="253"/>
      <c r="T54" s="255"/>
      <c r="U54" s="73"/>
      <c r="V54" s="213"/>
      <c r="W54" s="263"/>
      <c r="Y54" s="257"/>
      <c r="Z54" s="255"/>
      <c r="AA54" s="73"/>
      <c r="AB54" s="253"/>
      <c r="AC54" s="262"/>
      <c r="AD54" s="42"/>
      <c r="AE54" s="253"/>
      <c r="AF54" s="255"/>
      <c r="AG54" s="73"/>
      <c r="AH54" s="213"/>
      <c r="AI54" s="263"/>
    </row>
    <row r="55" spans="1:35" x14ac:dyDescent="0.25">
      <c r="A55" s="258" t="s">
        <v>55</v>
      </c>
      <c r="B55" s="189">
        <v>0.21324052104512947</v>
      </c>
      <c r="C55" s="190">
        <v>0.21771552965146557</v>
      </c>
      <c r="D55" s="74">
        <v>-2.0554384032687056E-2</v>
      </c>
      <c r="E55" s="189">
        <v>0.78675947895487053</v>
      </c>
      <c r="F55" s="190">
        <v>0.78228447034853443</v>
      </c>
      <c r="G55" s="74">
        <v>5.720436460080025E-3</v>
      </c>
      <c r="H55" s="189">
        <v>1</v>
      </c>
      <c r="I55" s="190">
        <v>1</v>
      </c>
      <c r="J55" s="71">
        <v>0</v>
      </c>
      <c r="K55" s="256"/>
      <c r="M55" s="258" t="s">
        <v>55</v>
      </c>
      <c r="N55" s="189">
        <v>0.2110466335516567</v>
      </c>
      <c r="O55" s="190">
        <v>0.2162245805952456</v>
      </c>
      <c r="P55" s="74">
        <v>-2.3947078677801104E-2</v>
      </c>
      <c r="Q55" s="189">
        <v>0.78895336644834335</v>
      </c>
      <c r="R55" s="190">
        <v>0.78377541940475437</v>
      </c>
      <c r="S55" s="74">
        <v>6.6064167303452326E-3</v>
      </c>
      <c r="T55" s="189">
        <v>1</v>
      </c>
      <c r="U55" s="190">
        <v>1</v>
      </c>
      <c r="V55" s="71">
        <v>0</v>
      </c>
      <c r="W55" s="256"/>
      <c r="Y55" s="258" t="s">
        <v>55</v>
      </c>
      <c r="Z55" s="189">
        <v>0.20536302945436971</v>
      </c>
      <c r="AA55" s="190">
        <v>0.21064734332882865</v>
      </c>
      <c r="AB55" s="74">
        <v>-2.5086069403732814E-2</v>
      </c>
      <c r="AC55" s="189">
        <v>0.79463697054563032</v>
      </c>
      <c r="AD55" s="190">
        <v>0.78935265667117127</v>
      </c>
      <c r="AE55" s="74">
        <v>6.6944905167531932E-3</v>
      </c>
      <c r="AF55" s="189">
        <v>1</v>
      </c>
      <c r="AG55" s="190">
        <v>0.99999999999999989</v>
      </c>
      <c r="AH55" s="74">
        <v>0</v>
      </c>
      <c r="AI55" s="256"/>
    </row>
    <row r="56" spans="1:35" x14ac:dyDescent="0.25">
      <c r="A56" s="259" t="s">
        <v>56</v>
      </c>
      <c r="B56" s="53">
        <v>42383830.486693069</v>
      </c>
      <c r="C56" s="54">
        <v>44061911.281236522</v>
      </c>
      <c r="D56" s="59">
        <v>-3.8084611986817118E-2</v>
      </c>
      <c r="E56" s="53">
        <v>156376847.26330692</v>
      </c>
      <c r="F56" s="54">
        <v>158321039.31385401</v>
      </c>
      <c r="G56" s="59">
        <v>-1.2280061190685809E-2</v>
      </c>
      <c r="H56" s="53">
        <v>198760677.75</v>
      </c>
      <c r="I56" s="54">
        <v>202382950.59509054</v>
      </c>
      <c r="J56" s="75">
        <v>-1.7898112634683661E-2</v>
      </c>
      <c r="K56" s="167"/>
      <c r="M56" s="259" t="s">
        <v>56</v>
      </c>
      <c r="N56" s="53">
        <v>42966341.451904692</v>
      </c>
      <c r="O56" s="54">
        <v>44061633.711114608</v>
      </c>
      <c r="P56" s="59">
        <v>-2.4858185386204323E-2</v>
      </c>
      <c r="Q56" s="53">
        <v>160620613.3780953</v>
      </c>
      <c r="R56" s="54">
        <v>159715539.03130504</v>
      </c>
      <c r="S56" s="59">
        <v>5.6667895452104933E-3</v>
      </c>
      <c r="T56" s="53">
        <v>203586954.82999998</v>
      </c>
      <c r="U56" s="54">
        <v>203777172.74241966</v>
      </c>
      <c r="V56" s="75">
        <v>-9.3346035701513674E-4</v>
      </c>
      <c r="W56" s="167"/>
      <c r="Y56" s="259" t="s">
        <v>56</v>
      </c>
      <c r="Z56" s="53">
        <v>42367334.663473964</v>
      </c>
      <c r="AA56" s="54">
        <v>46358318.926772855</v>
      </c>
      <c r="AB56" s="59">
        <v>-8.608992637552304E-2</v>
      </c>
      <c r="AC56" s="53">
        <v>163937250.81152606</v>
      </c>
      <c r="AD56" s="54">
        <v>173717178.79458091</v>
      </c>
      <c r="AE56" s="59">
        <v>-5.6297989933508652E-2</v>
      </c>
      <c r="AF56" s="53">
        <v>206304585.47500002</v>
      </c>
      <c r="AG56" s="54">
        <v>220075497.72135374</v>
      </c>
      <c r="AH56" s="59">
        <v>-6.2573582197640198E-2</v>
      </c>
      <c r="AI56" s="167"/>
    </row>
    <row r="57" spans="1:35" x14ac:dyDescent="0.25">
      <c r="A57" s="257"/>
      <c r="B57" s="264"/>
      <c r="D57" s="254"/>
      <c r="E57" s="264"/>
      <c r="G57" s="254"/>
      <c r="H57" s="257"/>
      <c r="J57" s="213"/>
      <c r="K57" s="266"/>
      <c r="M57" s="257"/>
      <c r="N57" s="264"/>
      <c r="P57" s="254"/>
      <c r="Q57" s="264"/>
      <c r="S57" s="254"/>
      <c r="T57" s="257"/>
      <c r="V57" s="213"/>
      <c r="W57" s="266"/>
      <c r="Y57" s="257"/>
      <c r="Z57" s="264"/>
      <c r="AB57" s="254"/>
      <c r="AC57" s="264"/>
      <c r="AE57" s="254"/>
      <c r="AF57" s="257"/>
      <c r="AH57" s="213"/>
      <c r="AI57" s="266"/>
    </row>
    <row r="58" spans="1:35" x14ac:dyDescent="0.25">
      <c r="A58" s="218" t="s">
        <v>57</v>
      </c>
      <c r="B58" s="164"/>
      <c r="C58" s="56"/>
      <c r="D58" s="216"/>
      <c r="E58" s="164"/>
      <c r="F58" s="56"/>
      <c r="G58" s="216"/>
      <c r="H58" s="164">
        <v>198760677.75</v>
      </c>
      <c r="I58" s="66">
        <v>202382950.59509054</v>
      </c>
      <c r="J58" s="72">
        <v>-1.7898112634683661E-2</v>
      </c>
      <c r="K58" s="219"/>
      <c r="M58" s="218" t="s">
        <v>57</v>
      </c>
      <c r="N58" s="164"/>
      <c r="O58" s="56"/>
      <c r="P58" s="216"/>
      <c r="Q58" s="164"/>
      <c r="R58" s="56"/>
      <c r="S58" s="216"/>
      <c r="T58" s="164">
        <v>203586954.82999998</v>
      </c>
      <c r="U58" s="66">
        <v>203777172.74241966</v>
      </c>
      <c r="V58" s="72">
        <v>-9.3346035701513674E-4</v>
      </c>
      <c r="W58" s="219"/>
      <c r="Y58" s="218" t="s">
        <v>57</v>
      </c>
      <c r="Z58" s="164"/>
      <c r="AA58" s="56"/>
      <c r="AB58" s="216"/>
      <c r="AC58" s="164"/>
      <c r="AD58" s="56"/>
      <c r="AE58" s="216"/>
      <c r="AF58" s="164">
        <v>206304585.47500002</v>
      </c>
      <c r="AG58" s="66">
        <v>220075497.72135377</v>
      </c>
      <c r="AH58" s="72">
        <v>-6.2573582197640421E-2</v>
      </c>
      <c r="AI58" s="219"/>
    </row>
    <row r="59" spans="1:35" x14ac:dyDescent="0.25">
      <c r="A59" s="218" t="s">
        <v>58</v>
      </c>
      <c r="B59" s="164"/>
      <c r="C59" s="56"/>
      <c r="D59" s="216"/>
      <c r="E59" s="164"/>
      <c r="F59" s="56"/>
      <c r="G59" s="216"/>
      <c r="H59" s="164">
        <v>215540382.29000002</v>
      </c>
      <c r="I59" s="66"/>
      <c r="J59" s="72"/>
      <c r="K59" s="219"/>
      <c r="M59" s="218" t="s">
        <v>58</v>
      </c>
      <c r="N59" s="164"/>
      <c r="O59" s="56"/>
      <c r="P59" s="216"/>
      <c r="Q59" s="164"/>
      <c r="R59" s="56"/>
      <c r="S59" s="216"/>
      <c r="T59" s="164">
        <v>209790493.41500002</v>
      </c>
      <c r="U59" s="66"/>
      <c r="V59" s="72"/>
      <c r="W59" s="219"/>
      <c r="Y59" s="218" t="s">
        <v>58</v>
      </c>
      <c r="Z59" s="164"/>
      <c r="AA59" s="56"/>
      <c r="AB59" s="216"/>
      <c r="AC59" s="164"/>
      <c r="AD59" s="56"/>
      <c r="AE59" s="216"/>
      <c r="AF59" s="164">
        <v>214460098.13</v>
      </c>
      <c r="AG59" s="66"/>
      <c r="AH59" s="72"/>
      <c r="AI59" s="219"/>
    </row>
    <row r="60" spans="1:35" x14ac:dyDescent="0.25">
      <c r="A60" s="434"/>
      <c r="B60" s="435"/>
      <c r="C60" s="436"/>
      <c r="D60" s="437"/>
      <c r="E60" s="436"/>
      <c r="F60" s="436"/>
      <c r="G60" s="437"/>
      <c r="H60" s="436"/>
      <c r="I60" s="436"/>
      <c r="J60" s="438"/>
      <c r="K60" s="437"/>
      <c r="O60" s="55"/>
      <c r="V60" s="213"/>
      <c r="AA60" s="55"/>
      <c r="AB60" s="213"/>
      <c r="AE60" s="213"/>
      <c r="AH60" s="213"/>
    </row>
    <row r="61" spans="1:35" x14ac:dyDescent="0.25">
      <c r="A61" s="89" t="s">
        <v>59</v>
      </c>
      <c r="B61" s="319">
        <v>-1088774.4178079658</v>
      </c>
      <c r="C61" s="56">
        <v>-1151833.2524413911</v>
      </c>
      <c r="D61" s="384">
        <v>-5.4746496074642548E-2</v>
      </c>
      <c r="E61" s="319">
        <v>-3729180.6021920498</v>
      </c>
      <c r="F61" s="56">
        <v>-3950637.0111697288</v>
      </c>
      <c r="G61" s="84">
        <v>-5.605587361014186E-2</v>
      </c>
      <c r="H61" s="319">
        <v>-4817955.0200000163</v>
      </c>
      <c r="I61" s="319">
        <v>-5102470.2636111202</v>
      </c>
      <c r="J61" s="442">
        <v>-5.5760294310808312E-2</v>
      </c>
      <c r="K61" s="381"/>
      <c r="M61" s="89" t="s">
        <v>59</v>
      </c>
      <c r="N61" s="319">
        <v>-1106026.834840002</v>
      </c>
      <c r="O61" s="56">
        <v>-951971.64870808064</v>
      </c>
      <c r="P61" s="384">
        <v>0.16182749385550443</v>
      </c>
      <c r="Q61" s="319">
        <v>-4157786.4751600064</v>
      </c>
      <c r="R61" s="56">
        <v>-4089001.5376808075</v>
      </c>
      <c r="S61" s="84">
        <v>1.6821939743806524E-2</v>
      </c>
      <c r="T61" s="319">
        <v>-5263813.310000008</v>
      </c>
      <c r="U61" s="56">
        <v>-5040973.1863888875</v>
      </c>
      <c r="V61" s="442">
        <v>4.4205774435144951E-2</v>
      </c>
      <c r="W61" s="381"/>
      <c r="Y61" s="89" t="s">
        <v>59</v>
      </c>
      <c r="Z61" s="319">
        <v>-1000224.8020000083</v>
      </c>
      <c r="AA61" s="56">
        <v>-1062689.0946336011</v>
      </c>
      <c r="AB61" s="384">
        <v>-5.8779461414469103E-2</v>
      </c>
      <c r="AC61" s="319">
        <v>-3635830.4580000099</v>
      </c>
      <c r="AD61" s="56">
        <v>-4436094.71876729</v>
      </c>
      <c r="AE61" s="84">
        <v>-0.18039837097744815</v>
      </c>
      <c r="AF61" s="319">
        <v>-4636055.2600000184</v>
      </c>
      <c r="AG61" s="56">
        <v>-5498783.8134008907</v>
      </c>
      <c r="AH61" s="72">
        <v>-0.15689443023716387</v>
      </c>
      <c r="AI61" s="381"/>
    </row>
    <row r="62" spans="1:35" x14ac:dyDescent="0.25">
      <c r="H62" s="110"/>
      <c r="I62" s="321"/>
      <c r="T62" s="110"/>
      <c r="U62" s="321"/>
      <c r="AB62" s="213"/>
      <c r="AE62" s="213"/>
      <c r="AF62" s="110"/>
      <c r="AG62" s="321"/>
      <c r="AH62" s="213"/>
    </row>
    <row r="63" spans="1:35" x14ac:dyDescent="0.25">
      <c r="A63" s="89" t="s">
        <v>60</v>
      </c>
      <c r="B63" s="385">
        <v>-7.425006067472803E-2</v>
      </c>
      <c r="C63" s="386">
        <v>-0.20636727696878829</v>
      </c>
      <c r="D63" s="387"/>
      <c r="E63" s="385">
        <v>-0.38092840254128379</v>
      </c>
      <c r="F63" s="386">
        <v>-0.28137724119102692</v>
      </c>
      <c r="G63" s="387"/>
      <c r="H63" s="385">
        <v>-0.29261789565068125</v>
      </c>
      <c r="I63" s="386">
        <v>-0.26060327683237372</v>
      </c>
      <c r="J63" s="388"/>
      <c r="K63" s="382"/>
      <c r="M63" s="89" t="s">
        <v>60</v>
      </c>
      <c r="N63" s="385">
        <v>-0.33266849826745326</v>
      </c>
      <c r="O63" s="386">
        <v>-0.26</v>
      </c>
      <c r="P63" s="387"/>
      <c r="Q63" s="385">
        <v>-0.33266849826745326</v>
      </c>
      <c r="R63" s="386">
        <v>-0.26</v>
      </c>
      <c r="S63" s="387"/>
      <c r="T63" s="385">
        <v>-0.33266849826745304</v>
      </c>
      <c r="U63" s="386">
        <v>-0.26000000000000006</v>
      </c>
      <c r="V63" s="388"/>
      <c r="W63" s="382"/>
      <c r="Y63" s="89" t="s">
        <v>60</v>
      </c>
      <c r="Z63" s="385">
        <v>-0.33842555830550836</v>
      </c>
      <c r="AA63" s="386">
        <v>-0.39311847136684169</v>
      </c>
      <c r="AB63" s="387"/>
      <c r="AC63" s="385">
        <v>-0.33842555830550847</v>
      </c>
      <c r="AD63" s="386">
        <v>-0.2373326648838289</v>
      </c>
      <c r="AE63" s="387"/>
      <c r="AF63" s="385">
        <v>-0.33842555830550841</v>
      </c>
      <c r="AG63" s="386">
        <v>-0.25999999999999801</v>
      </c>
      <c r="AH63" s="388"/>
      <c r="AI63" s="382"/>
    </row>
  </sheetData>
  <mergeCells count="6">
    <mergeCell ref="AF3:AH3"/>
    <mergeCell ref="N3:P3"/>
    <mergeCell ref="Q3:S3"/>
    <mergeCell ref="T3:V3"/>
    <mergeCell ref="Z3:AB3"/>
    <mergeCell ref="AC3:AE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DD4F-7740-4913-ACFB-0706F603E65D}">
  <dimension ref="A1:X69"/>
  <sheetViews>
    <sheetView topLeftCell="G1" workbookViewId="0">
      <selection activeCell="F47" sqref="F47"/>
    </sheetView>
  </sheetViews>
  <sheetFormatPr defaultRowHeight="15" x14ac:dyDescent="0.25"/>
  <cols>
    <col min="1" max="1" width="47.5703125" bestFit="1" customWidth="1"/>
    <col min="2" max="2" width="12.7109375" bestFit="1" customWidth="1"/>
    <col min="3" max="3" width="12.140625" bestFit="1" customWidth="1"/>
    <col min="4" max="4" width="8.5703125" bestFit="1" customWidth="1"/>
    <col min="5" max="6" width="12.7109375" bestFit="1" customWidth="1"/>
    <col min="7" max="7" width="34.7109375" bestFit="1" customWidth="1"/>
    <col min="8" max="9" width="12.7109375" bestFit="1" customWidth="1"/>
    <col min="10" max="10" width="8.5703125" bestFit="1" customWidth="1"/>
    <col min="12" max="12" width="35" bestFit="1" customWidth="1"/>
    <col min="13" max="13" width="11.140625" bestFit="1" customWidth="1"/>
    <col min="14" max="14" width="10.140625" bestFit="1" customWidth="1"/>
    <col min="15" max="15" width="8.7109375" bestFit="1" customWidth="1"/>
    <col min="16" max="17" width="12.7109375" bestFit="1" customWidth="1"/>
    <col min="18" max="18" width="8.28515625" bestFit="1" customWidth="1"/>
    <col min="19" max="20" width="12.7109375" bestFit="1" customWidth="1"/>
    <col min="21" max="21" width="34.7109375" bestFit="1" customWidth="1"/>
    <col min="22" max="23" width="12.7109375" bestFit="1" customWidth="1"/>
    <col min="24" max="24" width="8.5703125" bestFit="1" customWidth="1"/>
  </cols>
  <sheetData>
    <row r="1" spans="1:24" x14ac:dyDescent="0.25">
      <c r="A1" s="212" t="s">
        <v>0</v>
      </c>
      <c r="B1" s="229" t="s">
        <v>236</v>
      </c>
      <c r="C1" s="446">
        <v>45688</v>
      </c>
      <c r="D1" s="230" t="s">
        <v>237</v>
      </c>
      <c r="E1" s="446">
        <v>45747</v>
      </c>
      <c r="G1" s="231" t="s">
        <v>238</v>
      </c>
      <c r="J1" s="447">
        <v>4</v>
      </c>
      <c r="L1" s="212" t="s">
        <v>0</v>
      </c>
      <c r="O1" s="213"/>
      <c r="P1" s="229" t="s">
        <v>236</v>
      </c>
      <c r="Q1" s="214">
        <v>46053</v>
      </c>
      <c r="R1" s="230" t="s">
        <v>237</v>
      </c>
      <c r="S1" s="214">
        <v>46112</v>
      </c>
      <c r="U1" s="231" t="s">
        <v>238</v>
      </c>
      <c r="X1" s="324">
        <v>4</v>
      </c>
    </row>
    <row r="2" spans="1:24" x14ac:dyDescent="0.25">
      <c r="A2" s="23"/>
      <c r="B2" s="42"/>
      <c r="C2" s="55"/>
      <c r="D2" s="213"/>
      <c r="E2" s="42"/>
      <c r="G2" s="213"/>
      <c r="H2" s="42"/>
      <c r="J2" s="213"/>
      <c r="L2" s="23"/>
      <c r="M2" s="42"/>
      <c r="O2" s="213"/>
      <c r="P2" s="42"/>
      <c r="Q2" s="55"/>
      <c r="R2" s="213"/>
      <c r="S2" s="42"/>
      <c r="U2" s="213"/>
      <c r="V2" s="42"/>
      <c r="X2" s="213"/>
    </row>
    <row r="3" spans="1:24" x14ac:dyDescent="0.25">
      <c r="A3" s="137"/>
      <c r="B3" s="495" t="s">
        <v>1</v>
      </c>
      <c r="C3" s="495"/>
      <c r="D3" s="495"/>
      <c r="E3" s="496" t="s">
        <v>2</v>
      </c>
      <c r="F3" s="495"/>
      <c r="G3" s="494"/>
      <c r="H3" s="496" t="s">
        <v>3</v>
      </c>
      <c r="I3" s="495"/>
      <c r="J3" s="494"/>
      <c r="L3" s="137"/>
      <c r="M3" s="494" t="s">
        <v>239</v>
      </c>
      <c r="N3" s="492"/>
      <c r="O3" s="493"/>
      <c r="P3" s="494" t="s">
        <v>1</v>
      </c>
      <c r="Q3" s="492"/>
      <c r="R3" s="493"/>
      <c r="S3" s="491" t="s">
        <v>2</v>
      </c>
      <c r="T3" s="492"/>
      <c r="U3" s="493"/>
      <c r="V3" s="494" t="s">
        <v>3</v>
      </c>
      <c r="W3" s="492"/>
      <c r="X3" s="493"/>
    </row>
    <row r="4" spans="1:24" x14ac:dyDescent="0.25">
      <c r="A4" s="137"/>
      <c r="B4" s="48" t="s">
        <v>5</v>
      </c>
      <c r="C4" s="48" t="s">
        <v>6</v>
      </c>
      <c r="D4" s="81" t="s">
        <v>7</v>
      </c>
      <c r="E4" s="76" t="s">
        <v>5</v>
      </c>
      <c r="F4" s="48" t="s">
        <v>6</v>
      </c>
      <c r="G4" s="80" t="s">
        <v>7</v>
      </c>
      <c r="H4" s="448" t="s">
        <v>5</v>
      </c>
      <c r="I4" s="123" t="s">
        <v>6</v>
      </c>
      <c r="J4" s="136" t="s">
        <v>7</v>
      </c>
      <c r="L4" s="137"/>
      <c r="M4" s="48" t="s">
        <v>5</v>
      </c>
      <c r="N4" s="48" t="s">
        <v>6</v>
      </c>
      <c r="O4" s="80" t="s">
        <v>7</v>
      </c>
      <c r="P4" s="48" t="s">
        <v>5</v>
      </c>
      <c r="Q4" s="48" t="s">
        <v>6</v>
      </c>
      <c r="R4" s="80" t="s">
        <v>7</v>
      </c>
      <c r="S4" s="76" t="s">
        <v>5</v>
      </c>
      <c r="T4" s="48" t="s">
        <v>6</v>
      </c>
      <c r="U4" s="80" t="s">
        <v>7</v>
      </c>
      <c r="V4" s="123" t="s">
        <v>5</v>
      </c>
      <c r="W4" s="123" t="s">
        <v>6</v>
      </c>
      <c r="X4" s="136" t="s">
        <v>7</v>
      </c>
    </row>
    <row r="5" spans="1:24" x14ac:dyDescent="0.25">
      <c r="A5" s="472" t="s">
        <v>9</v>
      </c>
      <c r="B5" s="473">
        <v>21306175.192978721</v>
      </c>
      <c r="C5" s="474">
        <v>20883560.627935007</v>
      </c>
      <c r="D5" s="475">
        <v>2.0236710232181432E-2</v>
      </c>
      <c r="E5" s="473">
        <v>64366494.517021284</v>
      </c>
      <c r="F5" s="474">
        <v>66838051.905390203</v>
      </c>
      <c r="G5" s="476">
        <v>-3.6978297809568517E-2</v>
      </c>
      <c r="H5" s="473">
        <v>85672669.710000023</v>
      </c>
      <c r="I5" s="474">
        <v>87721612.533325195</v>
      </c>
      <c r="J5" s="477">
        <v>-2.3357331952223115E-2</v>
      </c>
      <c r="L5" s="328" t="s">
        <v>9</v>
      </c>
      <c r="M5" s="329">
        <v>0</v>
      </c>
      <c r="N5" s="329">
        <v>0</v>
      </c>
      <c r="O5" s="327" t="s">
        <v>451</v>
      </c>
      <c r="P5" s="330">
        <v>22778104.849259999</v>
      </c>
      <c r="Q5" s="329">
        <v>22452623.196208909</v>
      </c>
      <c r="R5" s="327">
        <v>1.449637533248449E-2</v>
      </c>
      <c r="S5" s="330">
        <v>81408364.170740008</v>
      </c>
      <c r="T5" s="329">
        <v>77414895.848646656</v>
      </c>
      <c r="U5" s="327">
        <v>5.158527022888415E-2</v>
      </c>
      <c r="V5" s="330">
        <v>104186469.02</v>
      </c>
      <c r="W5" s="329">
        <v>99867519.044855565</v>
      </c>
      <c r="X5" s="327">
        <v>4.3246793516564352E-2</v>
      </c>
    </row>
    <row r="6" spans="1:24" x14ac:dyDescent="0.25">
      <c r="A6" s="234" t="s">
        <v>10</v>
      </c>
      <c r="B6" s="51">
        <v>21192096.261063829</v>
      </c>
      <c r="C6" s="51">
        <v>20701469.669697754</v>
      </c>
      <c r="D6" s="60">
        <v>2.3700085027501316E-2</v>
      </c>
      <c r="E6" s="50">
        <v>57645032.398936182</v>
      </c>
      <c r="F6" s="51">
        <v>58645045.179415658</v>
      </c>
      <c r="G6" s="57">
        <v>-1.7051956860466011E-2</v>
      </c>
      <c r="H6" s="50">
        <v>78837128.660000011</v>
      </c>
      <c r="I6" s="51">
        <v>79346514.849113405</v>
      </c>
      <c r="J6" s="57">
        <v>-6.4197676493044087E-3</v>
      </c>
      <c r="L6" s="233" t="s">
        <v>10</v>
      </c>
      <c r="M6" s="112">
        <v>0</v>
      </c>
      <c r="N6" s="112">
        <v>0</v>
      </c>
      <c r="O6" s="74" t="s">
        <v>451</v>
      </c>
      <c r="P6" s="112">
        <v>22752060.325379997</v>
      </c>
      <c r="Q6" s="112">
        <v>22415223.511102527</v>
      </c>
      <c r="R6" s="74">
        <v>1.5027145016449639E-2</v>
      </c>
      <c r="S6" s="111">
        <v>71830314.914620012</v>
      </c>
      <c r="T6" s="112">
        <v>67855801.673753038</v>
      </c>
      <c r="U6" s="74">
        <v>5.8572931758675839E-2</v>
      </c>
      <c r="V6" s="112">
        <v>94582375.24000001</v>
      </c>
      <c r="W6" s="112">
        <v>90271025.184855565</v>
      </c>
      <c r="X6" s="74">
        <v>4.7760065273610541E-2</v>
      </c>
    </row>
    <row r="7" spans="1:24" x14ac:dyDescent="0.25">
      <c r="A7" s="288" t="s">
        <v>11</v>
      </c>
      <c r="B7" s="69">
        <v>16796676.969999999</v>
      </c>
      <c r="C7" s="69">
        <v>16382392.225269828</v>
      </c>
      <c r="D7" s="449">
        <v>2.5288415698602185E-2</v>
      </c>
      <c r="E7" s="290">
        <v>41472873.540000007</v>
      </c>
      <c r="F7" s="69">
        <v>41090899.837508045</v>
      </c>
      <c r="G7" s="289">
        <v>9.2958222867460805E-3</v>
      </c>
      <c r="H7" s="290">
        <v>58269550.510000005</v>
      </c>
      <c r="I7" s="69">
        <v>57473292.062777877</v>
      </c>
      <c r="J7" s="289">
        <v>1.3854408171927624E-2</v>
      </c>
      <c r="L7" s="288" t="s">
        <v>11</v>
      </c>
      <c r="M7" s="69">
        <v>0</v>
      </c>
      <c r="N7" s="69">
        <v>0</v>
      </c>
      <c r="O7" s="289" t="s">
        <v>451</v>
      </c>
      <c r="P7" s="69">
        <v>17450611.449999999</v>
      </c>
      <c r="Q7" s="69">
        <v>17438112.643306367</v>
      </c>
      <c r="R7" s="289">
        <v>7.1675226266121328E-4</v>
      </c>
      <c r="S7" s="290">
        <v>56795930.680000015</v>
      </c>
      <c r="T7" s="69">
        <v>54892046.306059584</v>
      </c>
      <c r="U7" s="289">
        <v>3.4684157397321558E-2</v>
      </c>
      <c r="V7" s="69">
        <v>74246542.13000001</v>
      </c>
      <c r="W7" s="69">
        <v>72330158.949365944</v>
      </c>
      <c r="X7" s="289">
        <v>2.6494939434263065E-2</v>
      </c>
    </row>
    <row r="8" spans="1:24" x14ac:dyDescent="0.25">
      <c r="A8" s="288" t="s">
        <v>12</v>
      </c>
      <c r="B8" s="69">
        <v>0</v>
      </c>
      <c r="C8" s="69">
        <v>0</v>
      </c>
      <c r="D8" s="449" t="s">
        <v>451</v>
      </c>
      <c r="E8" s="290">
        <v>15005697.77</v>
      </c>
      <c r="F8" s="69">
        <v>16996896.799503557</v>
      </c>
      <c r="G8" s="289">
        <v>-0.11715073951391619</v>
      </c>
      <c r="H8" s="290">
        <v>15005697.77</v>
      </c>
      <c r="I8" s="69">
        <v>16996896.799503557</v>
      </c>
      <c r="J8" s="289">
        <v>-0.11715073951391619</v>
      </c>
      <c r="L8" s="288" t="s">
        <v>12</v>
      </c>
      <c r="M8" s="69">
        <v>0</v>
      </c>
      <c r="N8" s="69">
        <v>0</v>
      </c>
      <c r="O8" s="289" t="s">
        <v>451</v>
      </c>
      <c r="P8" s="69">
        <v>0</v>
      </c>
      <c r="Q8" s="69">
        <v>0</v>
      </c>
      <c r="R8" s="289" t="s">
        <v>451</v>
      </c>
      <c r="S8" s="290">
        <v>13818699.830000002</v>
      </c>
      <c r="T8" s="69">
        <v>11742056.175543636</v>
      </c>
      <c r="U8" s="289">
        <v>0.17685519668877081</v>
      </c>
      <c r="V8" s="69">
        <v>13818699.830000002</v>
      </c>
      <c r="W8" s="69">
        <v>11742056.175543636</v>
      </c>
      <c r="X8" s="289">
        <v>0.17685519668877081</v>
      </c>
    </row>
    <row r="9" spans="1:24" x14ac:dyDescent="0.25">
      <c r="A9" s="288" t="s">
        <v>13</v>
      </c>
      <c r="B9" s="69">
        <v>0</v>
      </c>
      <c r="C9" s="69">
        <v>0</v>
      </c>
      <c r="D9" s="449" t="s">
        <v>451</v>
      </c>
      <c r="E9" s="290">
        <v>1038721.8600000001</v>
      </c>
      <c r="F9" s="69">
        <v>440638.34508334973</v>
      </c>
      <c r="G9" s="289">
        <v>1.3573115494601788</v>
      </c>
      <c r="H9" s="290">
        <v>1038721.8600000001</v>
      </c>
      <c r="I9" s="69">
        <v>440638.34508334973</v>
      </c>
      <c r="J9" s="289">
        <v>1.3573115494601788</v>
      </c>
      <c r="L9" s="288" t="s">
        <v>13</v>
      </c>
      <c r="M9" s="69">
        <v>0</v>
      </c>
      <c r="N9" s="69">
        <v>0</v>
      </c>
      <c r="O9" s="289" t="s">
        <v>451</v>
      </c>
      <c r="P9" s="69">
        <v>0</v>
      </c>
      <c r="Q9" s="69">
        <v>0</v>
      </c>
      <c r="R9" s="289" t="s">
        <v>451</v>
      </c>
      <c r="S9" s="290">
        <v>1056042.07</v>
      </c>
      <c r="T9" s="69">
        <v>1097341.7878945051</v>
      </c>
      <c r="U9" s="289">
        <v>-3.7636147962384348E-2</v>
      </c>
      <c r="V9" s="69">
        <v>1056042.07</v>
      </c>
      <c r="W9" s="69">
        <v>1097341.7878945051</v>
      </c>
      <c r="X9" s="289">
        <v>-3.7636147962384348E-2</v>
      </c>
    </row>
    <row r="10" spans="1:24" x14ac:dyDescent="0.25">
      <c r="A10" s="288" t="s">
        <v>14</v>
      </c>
      <c r="B10" s="51">
        <v>4395419.2910638293</v>
      </c>
      <c r="C10" s="51">
        <v>4319077.4444279252</v>
      </c>
      <c r="D10" s="60">
        <v>1.7675498441083404E-2</v>
      </c>
      <c r="E10" s="50">
        <v>127739.2289361702</v>
      </c>
      <c r="F10" s="51">
        <v>116610.19732070793</v>
      </c>
      <c r="G10" s="57">
        <v>9.5437893693418374E-2</v>
      </c>
      <c r="H10" s="50">
        <v>4523158.5199999996</v>
      </c>
      <c r="I10" s="51">
        <v>4435687.6417486332</v>
      </c>
      <c r="J10" s="57">
        <v>1.9719801148325056E-2</v>
      </c>
      <c r="L10" s="288"/>
      <c r="M10" s="69"/>
      <c r="N10" s="69"/>
      <c r="O10" s="289"/>
      <c r="P10" s="69"/>
      <c r="Q10" s="69"/>
      <c r="R10" s="289"/>
      <c r="S10" s="290"/>
      <c r="T10" s="69"/>
      <c r="U10" s="289"/>
      <c r="V10" s="69"/>
      <c r="W10" s="69"/>
      <c r="X10" s="289"/>
    </row>
    <row r="11" spans="1:24" x14ac:dyDescent="0.25">
      <c r="A11" s="234" t="s">
        <v>15</v>
      </c>
      <c r="B11" s="51">
        <v>0</v>
      </c>
      <c r="C11" s="51">
        <v>68262.026923112382</v>
      </c>
      <c r="D11" s="60">
        <v>-1</v>
      </c>
      <c r="E11" s="50">
        <v>3576262.4</v>
      </c>
      <c r="F11" s="51">
        <v>3360822</v>
      </c>
      <c r="G11" s="57">
        <v>6.4103484207137296E-2</v>
      </c>
      <c r="H11" s="50">
        <v>3576262.4</v>
      </c>
      <c r="I11" s="51">
        <v>3429084.0269231126</v>
      </c>
      <c r="J11" s="57">
        <v>4.2920608512748926E-2</v>
      </c>
      <c r="L11" s="288" t="s">
        <v>14</v>
      </c>
      <c r="M11" s="51">
        <v>0</v>
      </c>
      <c r="N11" s="51">
        <v>0</v>
      </c>
      <c r="O11" s="57" t="s">
        <v>451</v>
      </c>
      <c r="P11" s="51">
        <v>5301448.8753800001</v>
      </c>
      <c r="Q11" s="51">
        <v>4977110.8677961593</v>
      </c>
      <c r="R11" s="57">
        <v>6.5165919787407933E-2</v>
      </c>
      <c r="S11" s="50">
        <v>159642.33461999998</v>
      </c>
      <c r="T11" s="51">
        <v>124357.40425531917</v>
      </c>
      <c r="U11" s="57">
        <v>0.28373807394883421</v>
      </c>
      <c r="V11" s="51">
        <v>5461091.21</v>
      </c>
      <c r="W11" s="51">
        <v>5101468.2720514787</v>
      </c>
      <c r="X11" s="57">
        <v>7.0494006582129343E-2</v>
      </c>
    </row>
    <row r="12" spans="1:24" x14ac:dyDescent="0.25">
      <c r="A12" s="234" t="s">
        <v>16</v>
      </c>
      <c r="B12" s="51">
        <v>114078.93191489362</v>
      </c>
      <c r="C12" s="51">
        <v>113828.93131414207</v>
      </c>
      <c r="D12" s="60">
        <v>2.1962834743796122E-3</v>
      </c>
      <c r="E12" s="50">
        <v>154006.5580851064</v>
      </c>
      <c r="F12" s="51">
        <v>153669.05727409181</v>
      </c>
      <c r="G12" s="57">
        <v>2.1962834743796122E-3</v>
      </c>
      <c r="H12" s="50">
        <v>268085.49</v>
      </c>
      <c r="I12" s="51">
        <v>267497.98858823389</v>
      </c>
      <c r="J12" s="57">
        <v>2.1962834743796122E-3</v>
      </c>
      <c r="L12" s="234" t="s">
        <v>15</v>
      </c>
      <c r="M12" s="51">
        <v>0</v>
      </c>
      <c r="N12" s="51">
        <v>0</v>
      </c>
      <c r="O12" s="57" t="s">
        <v>451</v>
      </c>
      <c r="P12" s="51">
        <v>0</v>
      </c>
      <c r="Q12" s="51">
        <v>0</v>
      </c>
      <c r="R12" s="57" t="s">
        <v>451</v>
      </c>
      <c r="S12" s="50">
        <v>5128493.6400000062</v>
      </c>
      <c r="T12" s="51">
        <v>4988000</v>
      </c>
      <c r="U12" s="57">
        <v>2.8166327185245921E-2</v>
      </c>
      <c r="V12" s="51">
        <v>5128493.6400000062</v>
      </c>
      <c r="W12" s="51">
        <v>4988000</v>
      </c>
      <c r="X12" s="57">
        <v>2.8166327185245921E-2</v>
      </c>
    </row>
    <row r="13" spans="1:24" x14ac:dyDescent="0.25">
      <c r="A13" s="234" t="s">
        <v>17</v>
      </c>
      <c r="B13" s="51">
        <v>0</v>
      </c>
      <c r="C13" s="51">
        <v>0</v>
      </c>
      <c r="D13" s="60" t="s">
        <v>451</v>
      </c>
      <c r="E13" s="50">
        <v>0</v>
      </c>
      <c r="F13" s="51">
        <v>1980000</v>
      </c>
      <c r="G13" s="57">
        <v>-1</v>
      </c>
      <c r="H13" s="50">
        <v>0</v>
      </c>
      <c r="I13" s="51">
        <v>1980000</v>
      </c>
      <c r="J13" s="57">
        <v>-1</v>
      </c>
      <c r="L13" s="234" t="s">
        <v>16</v>
      </c>
      <c r="M13" s="51">
        <v>0</v>
      </c>
      <c r="N13" s="51">
        <v>0</v>
      </c>
      <c r="O13" s="57" t="s">
        <v>451</v>
      </c>
      <c r="P13" s="51">
        <v>26044.523880000001</v>
      </c>
      <c r="Q13" s="51">
        <v>37399.685106382982</v>
      </c>
      <c r="R13" s="57">
        <v>-0.30361649286841197</v>
      </c>
      <c r="S13" s="50">
        <v>35092.856119999997</v>
      </c>
      <c r="T13" s="51">
        <v>50489.574893617013</v>
      </c>
      <c r="U13" s="57">
        <v>-0.30494847314635443</v>
      </c>
      <c r="V13" s="51">
        <v>61137.38</v>
      </c>
      <c r="W13" s="51">
        <v>87889.26</v>
      </c>
      <c r="X13" s="57">
        <v>-0.30438167302808106</v>
      </c>
    </row>
    <row r="14" spans="1:24" x14ac:dyDescent="0.25">
      <c r="A14" s="234" t="s">
        <v>18</v>
      </c>
      <c r="B14" s="51">
        <v>0</v>
      </c>
      <c r="C14" s="51">
        <v>0</v>
      </c>
      <c r="D14" s="60" t="s">
        <v>451</v>
      </c>
      <c r="E14" s="50">
        <v>1095685.98</v>
      </c>
      <c r="F14" s="51">
        <v>840000</v>
      </c>
      <c r="G14" s="57">
        <v>0.30438807142857138</v>
      </c>
      <c r="H14" s="50">
        <v>1095685.98</v>
      </c>
      <c r="I14" s="51">
        <v>840000</v>
      </c>
      <c r="J14" s="57">
        <v>0.30438807142857138</v>
      </c>
      <c r="L14" s="234" t="s">
        <v>17</v>
      </c>
      <c r="M14" s="51">
        <v>0</v>
      </c>
      <c r="N14" s="51">
        <v>0</v>
      </c>
      <c r="O14" s="57" t="s">
        <v>451</v>
      </c>
      <c r="P14" s="51">
        <v>0</v>
      </c>
      <c r="Q14" s="51">
        <v>0</v>
      </c>
      <c r="R14" s="57" t="s">
        <v>451</v>
      </c>
      <c r="S14" s="50">
        <v>0</v>
      </c>
      <c r="T14" s="51">
        <v>0</v>
      </c>
      <c r="U14" s="57" t="s">
        <v>451</v>
      </c>
      <c r="V14" s="51">
        <v>0</v>
      </c>
      <c r="W14" s="51">
        <v>0</v>
      </c>
      <c r="X14" s="57" t="s">
        <v>451</v>
      </c>
    </row>
    <row r="15" spans="1:24" x14ac:dyDescent="0.25">
      <c r="A15" s="292" t="s">
        <v>206</v>
      </c>
      <c r="B15" s="69">
        <v>0</v>
      </c>
      <c r="C15" s="69">
        <v>0</v>
      </c>
      <c r="D15" s="449" t="s">
        <v>451</v>
      </c>
      <c r="E15" s="290">
        <v>144864.95000000001</v>
      </c>
      <c r="F15" s="69">
        <v>0</v>
      </c>
      <c r="G15" s="289" t="s">
        <v>451</v>
      </c>
      <c r="H15" s="290">
        <v>144864.95000000001</v>
      </c>
      <c r="I15" s="69">
        <v>0</v>
      </c>
      <c r="J15" s="289" t="s">
        <v>451</v>
      </c>
      <c r="L15" s="234" t="s">
        <v>18</v>
      </c>
      <c r="M15" s="51">
        <v>0</v>
      </c>
      <c r="N15" s="51">
        <v>0</v>
      </c>
      <c r="O15" s="57" t="s">
        <v>451</v>
      </c>
      <c r="P15" s="51">
        <v>0</v>
      </c>
      <c r="Q15" s="51">
        <v>0</v>
      </c>
      <c r="R15" s="57" t="s">
        <v>451</v>
      </c>
      <c r="S15" s="50">
        <v>688761.49</v>
      </c>
      <c r="T15" s="51">
        <v>929808.67500000005</v>
      </c>
      <c r="U15" s="57">
        <v>-0.25924385465644317</v>
      </c>
      <c r="V15" s="51">
        <v>688761.49</v>
      </c>
      <c r="W15" s="51">
        <v>929808.67500000005</v>
      </c>
      <c r="X15" s="57">
        <v>-0.25924385465644317</v>
      </c>
    </row>
    <row r="16" spans="1:24" x14ac:dyDescent="0.25">
      <c r="A16" s="292" t="s">
        <v>207</v>
      </c>
      <c r="B16" s="69">
        <v>0</v>
      </c>
      <c r="C16" s="69">
        <v>0</v>
      </c>
      <c r="D16" s="449" t="s">
        <v>451</v>
      </c>
      <c r="E16" s="290">
        <v>567210.61999999976</v>
      </c>
      <c r="F16" s="69">
        <v>0</v>
      </c>
      <c r="G16" s="289" t="s">
        <v>451</v>
      </c>
      <c r="H16" s="290">
        <v>567210.61999999976</v>
      </c>
      <c r="I16" s="69">
        <v>0</v>
      </c>
      <c r="J16" s="289" t="s">
        <v>451</v>
      </c>
      <c r="L16" s="292" t="s">
        <v>206</v>
      </c>
      <c r="M16" s="69">
        <v>0</v>
      </c>
      <c r="N16" s="69">
        <v>0</v>
      </c>
      <c r="O16" s="289" t="s">
        <v>451</v>
      </c>
      <c r="P16" s="69">
        <v>0</v>
      </c>
      <c r="Q16" s="69">
        <v>0</v>
      </c>
      <c r="R16" s="57" t="s">
        <v>451</v>
      </c>
      <c r="S16" s="290">
        <v>0</v>
      </c>
      <c r="T16" s="69">
        <v>0</v>
      </c>
      <c r="U16" s="289" t="s">
        <v>451</v>
      </c>
      <c r="V16" s="69">
        <v>0</v>
      </c>
      <c r="W16" s="69">
        <v>0</v>
      </c>
      <c r="X16" s="289" t="s">
        <v>451</v>
      </c>
    </row>
    <row r="17" spans="1:24" x14ac:dyDescent="0.25">
      <c r="A17" s="292" t="s">
        <v>208</v>
      </c>
      <c r="B17" s="69">
        <v>0</v>
      </c>
      <c r="C17" s="69">
        <v>0</v>
      </c>
      <c r="D17" s="449" t="s">
        <v>451</v>
      </c>
      <c r="E17" s="290">
        <v>383242.07</v>
      </c>
      <c r="F17" s="69">
        <v>0</v>
      </c>
      <c r="G17" s="289" t="s">
        <v>451</v>
      </c>
      <c r="H17" s="290">
        <v>383242.07</v>
      </c>
      <c r="I17" s="69">
        <v>0</v>
      </c>
      <c r="J17" s="289" t="s">
        <v>451</v>
      </c>
      <c r="L17" s="292" t="s">
        <v>207</v>
      </c>
      <c r="M17" s="69">
        <v>0</v>
      </c>
      <c r="N17" s="69">
        <v>0</v>
      </c>
      <c r="O17" s="289" t="s">
        <v>451</v>
      </c>
      <c r="P17" s="69">
        <v>0</v>
      </c>
      <c r="Q17" s="69">
        <v>0</v>
      </c>
      <c r="R17" s="57" t="s">
        <v>451</v>
      </c>
      <c r="S17" s="290">
        <v>0</v>
      </c>
      <c r="T17" s="69">
        <v>0</v>
      </c>
      <c r="U17" s="289" t="s">
        <v>451</v>
      </c>
      <c r="V17" s="69">
        <v>0</v>
      </c>
      <c r="W17" s="69">
        <v>0</v>
      </c>
      <c r="X17" s="289" t="s">
        <v>451</v>
      </c>
    </row>
    <row r="18" spans="1:24" x14ac:dyDescent="0.25">
      <c r="A18" s="234" t="s">
        <v>19</v>
      </c>
      <c r="B18" s="51">
        <v>0</v>
      </c>
      <c r="C18" s="51">
        <v>0</v>
      </c>
      <c r="D18" s="60" t="s">
        <v>451</v>
      </c>
      <c r="E18" s="50">
        <v>1796976.5100000002</v>
      </c>
      <c r="F18" s="51">
        <v>1815526.3253068533</v>
      </c>
      <c r="G18" s="57">
        <v>-1.0217321031529392E-2</v>
      </c>
      <c r="H18" s="50">
        <v>1796976.5100000002</v>
      </c>
      <c r="I18" s="51">
        <v>1815526.3253068533</v>
      </c>
      <c r="J18" s="57">
        <v>-1.0217321031529392E-2</v>
      </c>
      <c r="L18" s="292" t="s">
        <v>208</v>
      </c>
      <c r="M18" s="69">
        <v>0</v>
      </c>
      <c r="N18" s="69">
        <v>0</v>
      </c>
      <c r="O18" s="289" t="s">
        <v>451</v>
      </c>
      <c r="P18" s="69">
        <v>0</v>
      </c>
      <c r="Q18" s="69">
        <v>0</v>
      </c>
      <c r="R18" s="57" t="s">
        <v>451</v>
      </c>
      <c r="S18" s="290">
        <v>0</v>
      </c>
      <c r="T18" s="69">
        <v>0</v>
      </c>
      <c r="U18" s="289" t="s">
        <v>451</v>
      </c>
      <c r="V18" s="69">
        <v>0</v>
      </c>
      <c r="W18" s="69">
        <v>0</v>
      </c>
      <c r="X18" s="289" t="s">
        <v>451</v>
      </c>
    </row>
    <row r="19" spans="1:24" x14ac:dyDescent="0.25">
      <c r="A19" s="234" t="s">
        <v>20</v>
      </c>
      <c r="B19" s="51">
        <v>0</v>
      </c>
      <c r="C19" s="51">
        <v>0</v>
      </c>
      <c r="D19" s="60" t="s">
        <v>451</v>
      </c>
      <c r="E19" s="50">
        <v>98530.669999999925</v>
      </c>
      <c r="F19" s="51">
        <v>42989.343393601361</v>
      </c>
      <c r="G19" s="57">
        <v>1.2919789469188654</v>
      </c>
      <c r="H19" s="50">
        <v>98530.669999999925</v>
      </c>
      <c r="I19" s="51">
        <v>42989.343393601361</v>
      </c>
      <c r="J19" s="57">
        <v>1.2919789469188654</v>
      </c>
      <c r="L19" s="234" t="s">
        <v>240</v>
      </c>
      <c r="M19" s="69"/>
      <c r="N19" s="69"/>
      <c r="O19" s="289"/>
      <c r="P19" s="51">
        <v>0</v>
      </c>
      <c r="Q19" s="51">
        <v>0</v>
      </c>
      <c r="R19" s="57" t="s">
        <v>451</v>
      </c>
      <c r="S19" s="51">
        <v>3725701.2699999996</v>
      </c>
      <c r="T19" s="51">
        <v>3590795.9249999998</v>
      </c>
      <c r="U19" s="57">
        <v>3.7569761082983266E-2</v>
      </c>
      <c r="V19" s="51">
        <v>3725701.2699999996</v>
      </c>
      <c r="W19" s="51">
        <v>3590795.9249999998</v>
      </c>
      <c r="X19" s="57">
        <v>3.7569761082983266E-2</v>
      </c>
    </row>
    <row r="20" spans="1:24" x14ac:dyDescent="0.25">
      <c r="A20" s="478" t="s">
        <v>23</v>
      </c>
      <c r="B20" s="479">
        <v>-10588299.115713054</v>
      </c>
      <c r="C20" s="479">
        <v>-9850933.2086039875</v>
      </c>
      <c r="D20" s="475">
        <v>7.4852391290709086E-2</v>
      </c>
      <c r="E20" s="480">
        <v>-32969947.494286947</v>
      </c>
      <c r="F20" s="479">
        <v>-34516008.095836386</v>
      </c>
      <c r="G20" s="477">
        <v>-4.4792566894082397E-2</v>
      </c>
      <c r="H20" s="480">
        <v>-43558246.609999999</v>
      </c>
      <c r="I20" s="479">
        <v>-44366941.304440372</v>
      </c>
      <c r="J20" s="477">
        <v>-1.8227415969273353E-2</v>
      </c>
      <c r="L20" s="234" t="s">
        <v>19</v>
      </c>
      <c r="M20" s="51">
        <v>0</v>
      </c>
      <c r="N20" s="51">
        <v>0</v>
      </c>
      <c r="O20" s="57" t="s">
        <v>451</v>
      </c>
      <c r="P20" s="51">
        <v>0</v>
      </c>
      <c r="Q20" s="51">
        <v>0</v>
      </c>
      <c r="R20" s="57" t="s">
        <v>451</v>
      </c>
      <c r="S20" s="50">
        <v>2726599.21</v>
      </c>
      <c r="T20" s="51">
        <v>2776784.38</v>
      </c>
      <c r="U20" s="57">
        <v>-1.8073124568642185E-2</v>
      </c>
      <c r="V20" s="51">
        <v>2726599.21</v>
      </c>
      <c r="W20" s="51">
        <v>2776784.38</v>
      </c>
      <c r="X20" s="57">
        <v>-1.8073124568642185E-2</v>
      </c>
    </row>
    <row r="21" spans="1:24" x14ac:dyDescent="0.25">
      <c r="A21" s="234" t="s">
        <v>24</v>
      </c>
      <c r="B21" s="51">
        <v>-10588299.115713054</v>
      </c>
      <c r="C21" s="51">
        <v>-9850933.2086039875</v>
      </c>
      <c r="D21" s="61">
        <v>7.4852391290709086E-2</v>
      </c>
      <c r="E21" s="50">
        <v>-32969947.494286947</v>
      </c>
      <c r="F21" s="51">
        <v>-34516008.095836386</v>
      </c>
      <c r="G21" s="58">
        <v>-4.4792566894082397E-2</v>
      </c>
      <c r="H21" s="50">
        <v>-43558246.609999999</v>
      </c>
      <c r="I21" s="51">
        <v>-44366941.304440372</v>
      </c>
      <c r="J21" s="58">
        <v>-1.8227415969273353E-2</v>
      </c>
      <c r="L21" s="234" t="s">
        <v>20</v>
      </c>
      <c r="M21" s="51">
        <v>0</v>
      </c>
      <c r="N21" s="51">
        <v>0</v>
      </c>
      <c r="O21" s="57" t="s">
        <v>451</v>
      </c>
      <c r="P21" s="51">
        <v>0</v>
      </c>
      <c r="Q21" s="51">
        <v>0</v>
      </c>
      <c r="R21" s="57" t="s">
        <v>451</v>
      </c>
      <c r="S21" s="50">
        <v>242143.16999999934</v>
      </c>
      <c r="T21" s="51">
        <v>65377.309999999845</v>
      </c>
      <c r="U21" s="57">
        <v>2.7037799505669464</v>
      </c>
      <c r="V21" s="51">
        <v>242143.16999999934</v>
      </c>
      <c r="W21" s="51">
        <v>65377.309999999845</v>
      </c>
      <c r="X21" s="57">
        <v>2.7037799505669464</v>
      </c>
    </row>
    <row r="22" spans="1:24" x14ac:dyDescent="0.25">
      <c r="A22" s="288" t="s">
        <v>25</v>
      </c>
      <c r="B22" s="69">
        <v>0</v>
      </c>
      <c r="C22" s="69">
        <v>0</v>
      </c>
      <c r="D22" s="450" t="s">
        <v>451</v>
      </c>
      <c r="E22" s="290">
        <v>-16577338.7136</v>
      </c>
      <c r="F22" s="69">
        <v>-17029454.684658818</v>
      </c>
      <c r="G22" s="280">
        <v>-2.6549057467243009E-2</v>
      </c>
      <c r="H22" s="290">
        <v>-16577338.7136</v>
      </c>
      <c r="I22" s="69">
        <v>-17029454.684658818</v>
      </c>
      <c r="J22" s="280">
        <v>-2.6549057467243009E-2</v>
      </c>
      <c r="L22" s="234" t="s">
        <v>21</v>
      </c>
      <c r="M22" s="51"/>
      <c r="N22" s="51"/>
      <c r="O22" s="57"/>
      <c r="P22" s="51">
        <v>0</v>
      </c>
      <c r="Q22" s="51">
        <v>0</v>
      </c>
      <c r="R22" s="57" t="s">
        <v>451</v>
      </c>
      <c r="S22" s="50">
        <v>-94430.299999999988</v>
      </c>
      <c r="T22" s="51">
        <v>241278.17</v>
      </c>
      <c r="U22" s="57">
        <v>-1.3913752329935194</v>
      </c>
      <c r="V22" s="51">
        <v>-94430.299999999988</v>
      </c>
      <c r="W22" s="51">
        <v>241278.17</v>
      </c>
      <c r="X22" s="57">
        <v>-1.3913752329935194</v>
      </c>
    </row>
    <row r="23" spans="1:24" x14ac:dyDescent="0.25">
      <c r="A23" s="288" t="s">
        <v>28</v>
      </c>
      <c r="B23" s="69">
        <v>-13004840.789355908</v>
      </c>
      <c r="C23" s="69">
        <v>-12429793.42466915</v>
      </c>
      <c r="D23" s="450">
        <v>4.6263630057235883E-2</v>
      </c>
      <c r="E23" s="290">
        <v>-19727662.597044095</v>
      </c>
      <c r="F23" s="69">
        <v>-20985821.228389069</v>
      </c>
      <c r="G23" s="280">
        <v>-5.9952794682295751E-2</v>
      </c>
      <c r="H23" s="290">
        <v>-32732503.386400003</v>
      </c>
      <c r="I23" s="69">
        <v>-33415614.65305822</v>
      </c>
      <c r="J23" s="280">
        <v>-2.0442875995270615E-2</v>
      </c>
      <c r="L23" s="234" t="s">
        <v>22</v>
      </c>
      <c r="M23" s="51">
        <v>0</v>
      </c>
      <c r="N23" s="51">
        <v>0</v>
      </c>
      <c r="O23" s="57" t="s">
        <v>451</v>
      </c>
      <c r="P23" s="51">
        <v>0</v>
      </c>
      <c r="Q23" s="51">
        <v>0</v>
      </c>
      <c r="R23" s="57" t="s">
        <v>451</v>
      </c>
      <c r="S23" s="50">
        <v>851389.19</v>
      </c>
      <c r="T23" s="51">
        <v>507356.065</v>
      </c>
      <c r="U23" s="57">
        <v>0.6780901002927795</v>
      </c>
      <c r="V23" s="51">
        <v>851389.19</v>
      </c>
      <c r="W23" s="51">
        <v>507356.065</v>
      </c>
      <c r="X23" s="57">
        <v>0.6780901002927795</v>
      </c>
    </row>
    <row r="24" spans="1:24" x14ac:dyDescent="0.25">
      <c r="A24" s="288" t="s">
        <v>29</v>
      </c>
      <c r="B24" s="69">
        <v>1282057.1936428528</v>
      </c>
      <c r="C24" s="69">
        <v>1412538.7947781992</v>
      </c>
      <c r="D24" s="450">
        <v>-9.2373817708726991E-2</v>
      </c>
      <c r="E24" s="290">
        <v>3796168.9563571466</v>
      </c>
      <c r="F24" s="69">
        <v>4156984.974061287</v>
      </c>
      <c r="G24" s="280">
        <v>-8.6797527524289042E-2</v>
      </c>
      <c r="H24" s="290">
        <v>5078226.1499999994</v>
      </c>
      <c r="I24" s="69">
        <v>5569523.7688394859</v>
      </c>
      <c r="J24" s="280">
        <v>-8.8211782412746076E-2</v>
      </c>
      <c r="L24" s="332" t="s">
        <v>23</v>
      </c>
      <c r="M24" s="326">
        <v>0</v>
      </c>
      <c r="N24" s="326">
        <v>0</v>
      </c>
      <c r="O24" s="327" t="s">
        <v>451</v>
      </c>
      <c r="P24" s="326">
        <v>-12377761.539453447</v>
      </c>
      <c r="Q24" s="326">
        <v>-11952517.772858504</v>
      </c>
      <c r="R24" s="327">
        <v>3.5577756475759115E-2</v>
      </c>
      <c r="S24" s="325">
        <v>-42950170.290546522</v>
      </c>
      <c r="T24" s="326">
        <v>-41901835.419307753</v>
      </c>
      <c r="U24" s="327">
        <v>2.5018829384158892E-2</v>
      </c>
      <c r="V24" s="326">
        <v>-55327931.829999968</v>
      </c>
      <c r="W24" s="326">
        <v>-53854353.192166261</v>
      </c>
      <c r="X24" s="327">
        <v>2.7362293862774667E-2</v>
      </c>
    </row>
    <row r="25" spans="1:24" x14ac:dyDescent="0.25">
      <c r="A25" s="288" t="s">
        <v>30</v>
      </c>
      <c r="B25" s="69">
        <v>1134484.48</v>
      </c>
      <c r="C25" s="69">
        <v>1166321.4212869643</v>
      </c>
      <c r="D25" s="450">
        <v>-2.7296884637370566E-2</v>
      </c>
      <c r="E25" s="290">
        <v>-461115.14</v>
      </c>
      <c r="F25" s="69">
        <v>-657717.1568497913</v>
      </c>
      <c r="G25" s="280">
        <v>-0.29891574942554078</v>
      </c>
      <c r="H25" s="290">
        <v>673369.34</v>
      </c>
      <c r="I25" s="69">
        <v>508604.26443717303</v>
      </c>
      <c r="J25" s="280">
        <v>0.3239553560274564</v>
      </c>
      <c r="L25" s="233" t="s">
        <v>24</v>
      </c>
      <c r="M25" s="112">
        <v>0</v>
      </c>
      <c r="N25" s="112">
        <v>0</v>
      </c>
      <c r="O25" s="168" t="s">
        <v>451</v>
      </c>
      <c r="P25" s="112">
        <v>-12377761.539453447</v>
      </c>
      <c r="Q25" s="112">
        <v>-11952517.772858504</v>
      </c>
      <c r="R25" s="168">
        <v>3.5577756475759115E-2</v>
      </c>
      <c r="S25" s="111">
        <v>-42950170.290546522</v>
      </c>
      <c r="T25" s="112">
        <v>-41901835.419307753</v>
      </c>
      <c r="U25" s="168">
        <v>2.5018829384158892E-2</v>
      </c>
      <c r="V25" s="111">
        <v>-55327931.829999968</v>
      </c>
      <c r="W25" s="112">
        <v>-53854353.192166261</v>
      </c>
      <c r="X25" s="168">
        <v>2.7362293862774667E-2</v>
      </c>
    </row>
    <row r="26" spans="1:24" x14ac:dyDescent="0.25">
      <c r="A26" s="234" t="s">
        <v>31</v>
      </c>
      <c r="B26" s="51">
        <v>-488762.08019259822</v>
      </c>
      <c r="C26" s="51">
        <v>-498189.50861442694</v>
      </c>
      <c r="D26" s="61">
        <v>-1.8923378069619412E-2</v>
      </c>
      <c r="E26" s="50">
        <v>-1442781.9498074017</v>
      </c>
      <c r="F26" s="51">
        <v>-1360584.9378281764</v>
      </c>
      <c r="G26" s="58">
        <v>6.0412995685834803E-2</v>
      </c>
      <c r="H26" s="50">
        <v>-1931544.03</v>
      </c>
      <c r="I26" s="51">
        <v>-1858774.4464426034</v>
      </c>
      <c r="J26" s="58">
        <v>3.914922743674798E-2</v>
      </c>
      <c r="L26" s="288" t="s">
        <v>25</v>
      </c>
      <c r="M26" s="69">
        <v>0</v>
      </c>
      <c r="N26" s="69">
        <v>0</v>
      </c>
      <c r="O26" s="280" t="s">
        <v>451</v>
      </c>
      <c r="P26" s="69">
        <v>0</v>
      </c>
      <c r="Q26" s="69">
        <v>0</v>
      </c>
      <c r="R26" s="280" t="s">
        <v>451</v>
      </c>
      <c r="S26" s="290">
        <v>-13866527.15</v>
      </c>
      <c r="T26" s="69">
        <v>-14127529.032177728</v>
      </c>
      <c r="U26" s="280">
        <v>-1.8474701526590587E-2</v>
      </c>
      <c r="V26" s="69">
        <v>-13866527.15</v>
      </c>
      <c r="W26" s="69">
        <v>-14127529.032177728</v>
      </c>
      <c r="X26" s="280">
        <v>-1.8474701526590587E-2</v>
      </c>
    </row>
    <row r="27" spans="1:24" x14ac:dyDescent="0.25">
      <c r="A27" s="478" t="s">
        <v>32</v>
      </c>
      <c r="B27" s="481">
        <v>10229113.997073069</v>
      </c>
      <c r="C27" s="481">
        <v>10534437.910716593</v>
      </c>
      <c r="D27" s="475">
        <v>-2.8983408154403811E-2</v>
      </c>
      <c r="E27" s="482">
        <v>29953765.072926935</v>
      </c>
      <c r="F27" s="481">
        <v>30961458.871725641</v>
      </c>
      <c r="G27" s="477">
        <v>-3.2546715675563442E-2</v>
      </c>
      <c r="H27" s="482">
        <v>40182879.070000023</v>
      </c>
      <c r="I27" s="481">
        <v>41495896.78244222</v>
      </c>
      <c r="J27" s="477">
        <v>-3.1642109563897014E-2</v>
      </c>
      <c r="L27" s="288" t="s">
        <v>28</v>
      </c>
      <c r="M27" s="69">
        <v>0</v>
      </c>
      <c r="N27" s="69">
        <v>0</v>
      </c>
      <c r="O27" s="280" t="s">
        <v>451</v>
      </c>
      <c r="P27" s="69">
        <v>-14897132.901454369</v>
      </c>
      <c r="Q27" s="69">
        <v>-14593479.731775232</v>
      </c>
      <c r="R27" s="280">
        <v>2.0807454785302104E-2</v>
      </c>
      <c r="S27" s="290">
        <v>-35637698.278545603</v>
      </c>
      <c r="T27" s="69">
        <v>-34558299.594106011</v>
      </c>
      <c r="U27" s="280">
        <v>3.1234137591181987E-2</v>
      </c>
      <c r="V27" s="69">
        <v>-50534831.17999997</v>
      </c>
      <c r="W27" s="69">
        <v>-49151779.325881243</v>
      </c>
      <c r="X27" s="280">
        <v>2.8138388336848452E-2</v>
      </c>
    </row>
    <row r="28" spans="1:24" x14ac:dyDescent="0.25">
      <c r="A28" s="234" t="s">
        <v>33</v>
      </c>
      <c r="B28" s="51">
        <v>-1917697.27</v>
      </c>
      <c r="C28" s="51">
        <v>-1718339.8999484223</v>
      </c>
      <c r="D28" s="61">
        <v>0.11601742475837384</v>
      </c>
      <c r="E28" s="50">
        <v>-3206831.33</v>
      </c>
      <c r="F28" s="51">
        <v>-1587083.9936250628</v>
      </c>
      <c r="G28" s="58">
        <v>1.0205807272211649</v>
      </c>
      <c r="H28" s="50">
        <v>-5124528.5999999996</v>
      </c>
      <c r="I28" s="51">
        <v>-3305423.8935734853</v>
      </c>
      <c r="J28" s="58">
        <v>0.55033931047793239</v>
      </c>
      <c r="L28" s="288" t="s">
        <v>29</v>
      </c>
      <c r="M28" s="69">
        <v>0</v>
      </c>
      <c r="N28" s="69">
        <v>0</v>
      </c>
      <c r="O28" s="280" t="s">
        <v>451</v>
      </c>
      <c r="P28" s="69">
        <v>1639266.172000923</v>
      </c>
      <c r="Q28" s="69">
        <v>1621140.0861965842</v>
      </c>
      <c r="R28" s="280">
        <v>1.118107309706029E-2</v>
      </c>
      <c r="S28" s="290">
        <v>6003650.7479990777</v>
      </c>
      <c r="T28" s="69">
        <v>5938223.1539768651</v>
      </c>
      <c r="U28" s="280">
        <v>1.1018042321025767E-2</v>
      </c>
      <c r="V28" s="69">
        <v>7642916.9200000009</v>
      </c>
      <c r="W28" s="69">
        <v>7559363.2401734497</v>
      </c>
      <c r="X28" s="280">
        <v>1.105300501800377E-2</v>
      </c>
    </row>
    <row r="29" spans="1:24" x14ac:dyDescent="0.25">
      <c r="A29" s="288" t="s">
        <v>33</v>
      </c>
      <c r="B29" s="69">
        <v>-1917697.27</v>
      </c>
      <c r="C29" s="69">
        <v>-1718339.8999484223</v>
      </c>
      <c r="D29" s="450">
        <v>0.11601742475837384</v>
      </c>
      <c r="E29" s="290">
        <v>-1557577.6800000002</v>
      </c>
      <c r="F29" s="69">
        <v>-1587083.9936250628</v>
      </c>
      <c r="G29" s="280">
        <v>-1.8591526184866369E-2</v>
      </c>
      <c r="H29" s="50">
        <v>-3475274.95</v>
      </c>
      <c r="I29" s="51">
        <v>-3305423.8935734853</v>
      </c>
      <c r="J29" s="58">
        <v>5.138555958185731E-2</v>
      </c>
      <c r="L29" s="288" t="s">
        <v>30</v>
      </c>
      <c r="M29" s="69">
        <v>0</v>
      </c>
      <c r="N29" s="69">
        <v>0</v>
      </c>
      <c r="O29" s="280" t="s">
        <v>451</v>
      </c>
      <c r="P29" s="69">
        <v>880105.19</v>
      </c>
      <c r="Q29" s="69">
        <v>1019821.872720141</v>
      </c>
      <c r="R29" s="280">
        <v>-0.13700106504627008</v>
      </c>
      <c r="S29" s="290">
        <v>550404.39</v>
      </c>
      <c r="T29" s="69">
        <v>845770.05299912021</v>
      </c>
      <c r="U29" s="280">
        <v>-0.34922691096917735</v>
      </c>
      <c r="V29" s="69">
        <v>1430509.58</v>
      </c>
      <c r="W29" s="69">
        <v>1865591.9257192612</v>
      </c>
      <c r="X29" s="280">
        <v>-0.23321410203440884</v>
      </c>
    </row>
    <row r="30" spans="1:24" x14ac:dyDescent="0.25">
      <c r="A30" s="288" t="s">
        <v>211</v>
      </c>
      <c r="B30" s="69">
        <v>0</v>
      </c>
      <c r="C30" s="69">
        <v>0</v>
      </c>
      <c r="D30" s="450" t="s">
        <v>451</v>
      </c>
      <c r="E30" s="290">
        <v>-1649253.65</v>
      </c>
      <c r="F30" s="69">
        <v>0</v>
      </c>
      <c r="G30" s="280" t="s">
        <v>451</v>
      </c>
      <c r="H30" s="50">
        <v>-1649253.65</v>
      </c>
      <c r="I30" s="51">
        <v>0</v>
      </c>
      <c r="J30" s="58" t="s">
        <v>451</v>
      </c>
      <c r="L30" s="235" t="s">
        <v>31</v>
      </c>
      <c r="M30" s="54">
        <v>0</v>
      </c>
      <c r="N30" s="54">
        <v>0</v>
      </c>
      <c r="O30" s="114" t="s">
        <v>451</v>
      </c>
      <c r="P30" s="54">
        <v>-577965.52073334088</v>
      </c>
      <c r="Q30" s="54">
        <v>-442314.1714086025</v>
      </c>
      <c r="R30" s="114">
        <v>0.30668551471624883</v>
      </c>
      <c r="S30" s="53">
        <v>-1960115.4092666595</v>
      </c>
      <c r="T30" s="54">
        <v>-1568205.8804486818</v>
      </c>
      <c r="U30" s="114">
        <v>0.24990948809976921</v>
      </c>
      <c r="V30" s="54">
        <v>-2538080.9300000006</v>
      </c>
      <c r="W30" s="54">
        <v>-2010520.0518572843</v>
      </c>
      <c r="X30" s="114">
        <v>0.26240020717792123</v>
      </c>
    </row>
    <row r="31" spans="1:24" x14ac:dyDescent="0.25">
      <c r="A31" s="472" t="s">
        <v>35</v>
      </c>
      <c r="B31" s="483">
        <v>8311416.7270730697</v>
      </c>
      <c r="C31" s="483">
        <v>8816098.0107681714</v>
      </c>
      <c r="D31" s="475">
        <v>-5.7245425706324182E-2</v>
      </c>
      <c r="E31" s="484">
        <v>26746933.742926933</v>
      </c>
      <c r="F31" s="483">
        <v>29374374.878100578</v>
      </c>
      <c r="G31" s="477">
        <v>-8.9446708094287897E-2</v>
      </c>
      <c r="H31" s="484">
        <v>35058350.470000021</v>
      </c>
      <c r="I31" s="483">
        <v>38190472.888868734</v>
      </c>
      <c r="J31" s="477">
        <v>-8.2013187634071505E-2</v>
      </c>
      <c r="L31" s="332" t="s">
        <v>32</v>
      </c>
      <c r="M31" s="334">
        <v>0</v>
      </c>
      <c r="N31" s="334">
        <v>0</v>
      </c>
      <c r="O31" s="327" t="s">
        <v>451</v>
      </c>
      <c r="P31" s="334">
        <v>9822377.7890732102</v>
      </c>
      <c r="Q31" s="334">
        <v>10057791.251941802</v>
      </c>
      <c r="R31" s="327">
        <v>-2.3406079622416254E-2</v>
      </c>
      <c r="S31" s="334">
        <v>36498078.470926829</v>
      </c>
      <c r="T31" s="334">
        <v>33944854.548890218</v>
      </c>
      <c r="U31" s="327">
        <v>7.5216817275185033E-2</v>
      </c>
      <c r="V31" s="334">
        <v>46320456.260000028</v>
      </c>
      <c r="W31" s="334">
        <v>44002645.800832018</v>
      </c>
      <c r="X31" s="327">
        <v>5.2674343030622461E-2</v>
      </c>
    </row>
    <row r="32" spans="1:24" x14ac:dyDescent="0.25">
      <c r="A32" s="234" t="s">
        <v>36</v>
      </c>
      <c r="B32" s="51">
        <v>-1907660.0004486591</v>
      </c>
      <c r="C32" s="51">
        <v>-2039249.7588676314</v>
      </c>
      <c r="D32" s="61">
        <v>-6.4528514884828247E-2</v>
      </c>
      <c r="E32" s="50">
        <v>-7143434.0995513462</v>
      </c>
      <c r="F32" s="51">
        <v>-6472273.5718449894</v>
      </c>
      <c r="G32" s="58">
        <v>0.10369779958405489</v>
      </c>
      <c r="H32" s="50">
        <v>-9051094.1000000052</v>
      </c>
      <c r="I32" s="51">
        <v>-8511523.3307126202</v>
      </c>
      <c r="J32" s="58">
        <v>6.3392973069864134E-2</v>
      </c>
      <c r="L32" s="118" t="s">
        <v>33</v>
      </c>
      <c r="M32" s="66">
        <v>0</v>
      </c>
      <c r="N32" s="66">
        <v>0</v>
      </c>
      <c r="O32" s="113" t="s">
        <v>451</v>
      </c>
      <c r="P32" s="66">
        <v>-1740127.6683</v>
      </c>
      <c r="Q32" s="66">
        <v>-1857717.6370141841</v>
      </c>
      <c r="R32" s="113">
        <v>-6.3298084903355201E-2</v>
      </c>
      <c r="S32" s="164">
        <v>-3731808.9816999999</v>
      </c>
      <c r="T32" s="66">
        <v>-3737182.1026132698</v>
      </c>
      <c r="U32" s="113">
        <v>-1.4377466138224548E-3</v>
      </c>
      <c r="V32" s="66">
        <v>-5471936.6500000004</v>
      </c>
      <c r="W32" s="66">
        <v>-5594899.7396274544</v>
      </c>
      <c r="X32" s="113">
        <v>-2.1977711013574264E-2</v>
      </c>
    </row>
    <row r="33" spans="1:24" x14ac:dyDescent="0.25">
      <c r="A33" s="234" t="s">
        <v>217</v>
      </c>
      <c r="B33" s="51">
        <v>0</v>
      </c>
      <c r="C33" s="51"/>
      <c r="D33" s="61" t="s">
        <v>451</v>
      </c>
      <c r="E33" s="50">
        <v>0</v>
      </c>
      <c r="F33" s="51"/>
      <c r="G33" s="58" t="s">
        <v>451</v>
      </c>
      <c r="H33" s="50">
        <v>-2481428.66</v>
      </c>
      <c r="I33" s="51">
        <v>-2503570.2285119072</v>
      </c>
      <c r="J33" s="58">
        <v>-8.8439973681375683E-3</v>
      </c>
      <c r="L33" s="322" t="s">
        <v>33</v>
      </c>
      <c r="M33" s="282"/>
      <c r="N33" s="282"/>
      <c r="O33" s="275"/>
      <c r="P33" s="279">
        <v>-1740127.6683</v>
      </c>
      <c r="Q33" s="277">
        <v>-1857717.6370141841</v>
      </c>
      <c r="R33" s="276">
        <v>-6.3298084903355201E-2</v>
      </c>
      <c r="S33" s="279">
        <v>-3731808.9816999999</v>
      </c>
      <c r="T33" s="277">
        <v>-3737182.1026132698</v>
      </c>
      <c r="U33" s="276">
        <v>-1.4377466138224548E-3</v>
      </c>
      <c r="V33" s="111">
        <v>-5471936.6500000004</v>
      </c>
      <c r="W33" s="112">
        <v>-5594899.7396274544</v>
      </c>
      <c r="X33" s="276">
        <v>-2.1977711013574264E-2</v>
      </c>
    </row>
    <row r="34" spans="1:24" x14ac:dyDescent="0.25">
      <c r="A34" s="234" t="s">
        <v>142</v>
      </c>
      <c r="B34" s="51">
        <v>-720369.08950094366</v>
      </c>
      <c r="C34" s="51">
        <v>-77522.956512268691</v>
      </c>
      <c r="D34" s="61">
        <v>8.2923325155554259</v>
      </c>
      <c r="E34" s="50">
        <v>-1142341.3104990565</v>
      </c>
      <c r="F34" s="51">
        <v>-1960759.9994835858</v>
      </c>
      <c r="G34" s="58">
        <v>-0.41739870723601047</v>
      </c>
      <c r="H34" s="50">
        <v>-1862710.4000000001</v>
      </c>
      <c r="I34" s="51">
        <v>-2038282.9559958545</v>
      </c>
      <c r="J34" s="58">
        <v>-8.6137479332487388E-2</v>
      </c>
      <c r="L34" s="293" t="s">
        <v>34</v>
      </c>
      <c r="M34" s="282">
        <v>0</v>
      </c>
      <c r="N34" s="282">
        <v>0</v>
      </c>
      <c r="O34" s="275" t="s">
        <v>451</v>
      </c>
      <c r="P34" s="274">
        <v>0</v>
      </c>
      <c r="Q34" s="274">
        <v>0</v>
      </c>
      <c r="R34" s="280" t="s">
        <v>451</v>
      </c>
      <c r="S34" s="273">
        <v>0</v>
      </c>
      <c r="T34" s="274">
        <v>0</v>
      </c>
      <c r="U34" s="281" t="s">
        <v>451</v>
      </c>
      <c r="V34" s="54">
        <v>0</v>
      </c>
      <c r="W34" s="54">
        <v>0</v>
      </c>
      <c r="X34" s="114" t="s">
        <v>451</v>
      </c>
    </row>
    <row r="35" spans="1:24" x14ac:dyDescent="0.25">
      <c r="A35" s="472" t="s">
        <v>38</v>
      </c>
      <c r="B35" s="483">
        <v>5683387.6371234674</v>
      </c>
      <c r="C35" s="483">
        <v>6699325.2953882711</v>
      </c>
      <c r="D35" s="475">
        <v>-0.15164775756808857</v>
      </c>
      <c r="E35" s="484">
        <v>18461158.33287653</v>
      </c>
      <c r="F35" s="483">
        <v>20941341.306772001</v>
      </c>
      <c r="G35" s="477">
        <v>-0.11843477156324422</v>
      </c>
      <c r="H35" s="484">
        <v>21663117.310000017</v>
      </c>
      <c r="I35" s="483">
        <v>25137096.373648353</v>
      </c>
      <c r="J35" s="477">
        <v>-0.13820128673613108</v>
      </c>
      <c r="L35" s="328" t="s">
        <v>35</v>
      </c>
      <c r="M35" s="329">
        <v>0</v>
      </c>
      <c r="N35" s="329">
        <v>0</v>
      </c>
      <c r="O35" s="327" t="s">
        <v>451</v>
      </c>
      <c r="P35" s="329">
        <v>8082250.1207732102</v>
      </c>
      <c r="Q35" s="329">
        <v>8200073.6149276178</v>
      </c>
      <c r="R35" s="327">
        <v>-1.4368589806305954E-2</v>
      </c>
      <c r="S35" s="329">
        <v>32766269.489226829</v>
      </c>
      <c r="T35" s="329">
        <v>30207672.446276948</v>
      </c>
      <c r="U35" s="327">
        <v>8.4700237911419229E-2</v>
      </c>
      <c r="V35" s="329">
        <v>40848519.610000029</v>
      </c>
      <c r="W35" s="329">
        <v>38407746.061204568</v>
      </c>
      <c r="X35" s="327">
        <v>6.3548992042021135E-2</v>
      </c>
    </row>
    <row r="36" spans="1:24" x14ac:dyDescent="0.25">
      <c r="A36" s="234" t="s">
        <v>39</v>
      </c>
      <c r="B36" s="51">
        <v>-2098089.5141416839</v>
      </c>
      <c r="C36" s="51">
        <v>-2715055.2219862118</v>
      </c>
      <c r="D36" s="60">
        <v>-0.22723873269626671</v>
      </c>
      <c r="E36" s="50">
        <v>-4861260.4958582688</v>
      </c>
      <c r="F36" s="51">
        <v>-6576902.5889066048</v>
      </c>
      <c r="G36" s="57">
        <v>-0.26085867471142787</v>
      </c>
      <c r="H36" s="50">
        <v>-6959350.0099999532</v>
      </c>
      <c r="I36" s="51">
        <v>-9291957.8108928166</v>
      </c>
      <c r="J36" s="57">
        <v>-0.25103512611286116</v>
      </c>
      <c r="L36" s="234" t="s">
        <v>36</v>
      </c>
      <c r="M36" s="51">
        <v>0</v>
      </c>
      <c r="N36" s="51">
        <v>0</v>
      </c>
      <c r="O36" s="58" t="s">
        <v>451</v>
      </c>
      <c r="P36" s="51">
        <v>-1351894.9762400037</v>
      </c>
      <c r="Q36" s="51">
        <v>-1385981.8822518778</v>
      </c>
      <c r="R36" s="58">
        <v>-2.4594048773921462E-2</v>
      </c>
      <c r="S36" s="50">
        <v>-5682614.0249599926</v>
      </c>
      <c r="T36" s="51">
        <v>-6306934.028308996</v>
      </c>
      <c r="U36" s="58">
        <v>-9.8989461527060674E-2</v>
      </c>
      <c r="V36" s="51">
        <v>-7034509.0011999961</v>
      </c>
      <c r="W36" s="51">
        <v>-7692915.9105608743</v>
      </c>
      <c r="X36" s="58">
        <v>-8.5586131060787163E-2</v>
      </c>
    </row>
    <row r="37" spans="1:24" x14ac:dyDescent="0.25">
      <c r="A37" s="472" t="s">
        <v>41</v>
      </c>
      <c r="B37" s="485">
        <v>3585298.1229817835</v>
      </c>
      <c r="C37" s="485">
        <v>3984270.0734020593</v>
      </c>
      <c r="D37" s="486">
        <v>-0.10013677362980677</v>
      </c>
      <c r="E37" s="487">
        <v>13599897.837018261</v>
      </c>
      <c r="F37" s="485">
        <v>14364438.717865396</v>
      </c>
      <c r="G37" s="488">
        <v>-5.3224556549937296E-2</v>
      </c>
      <c r="H37" s="487">
        <v>14703767.300000064</v>
      </c>
      <c r="I37" s="485">
        <v>15845138.562755536</v>
      </c>
      <c r="J37" s="488">
        <v>-7.203289881215047E-2</v>
      </c>
      <c r="L37" s="234" t="s">
        <v>37</v>
      </c>
      <c r="M37" s="54">
        <v>0</v>
      </c>
      <c r="N37" s="54">
        <v>0</v>
      </c>
      <c r="O37" s="114" t="s">
        <v>451</v>
      </c>
      <c r="P37" s="54">
        <v>-302002.26939783886</v>
      </c>
      <c r="Q37" s="54">
        <v>0</v>
      </c>
      <c r="R37" s="114" t="s">
        <v>451</v>
      </c>
      <c r="S37" s="53">
        <v>-1070735.0206021611</v>
      </c>
      <c r="T37" s="54">
        <v>-606623.37662337662</v>
      </c>
      <c r="U37" s="114">
        <v>0.7650737869057247</v>
      </c>
      <c r="V37" s="54">
        <v>-1372737.29</v>
      </c>
      <c r="W37" s="54">
        <v>-606623.37662337662</v>
      </c>
      <c r="X37" s="114">
        <v>1.2629152500535219</v>
      </c>
    </row>
    <row r="38" spans="1:24" x14ac:dyDescent="0.25">
      <c r="A38" s="234" t="s">
        <v>42</v>
      </c>
      <c r="B38" s="51">
        <v>-983714.90619978239</v>
      </c>
      <c r="C38" s="51">
        <v>-756665.53121520649</v>
      </c>
      <c r="D38" s="60">
        <v>0.30006570356116802</v>
      </c>
      <c r="E38" s="53">
        <v>-3753019.8838002216</v>
      </c>
      <c r="F38" s="54">
        <v>-3135411.8503060136</v>
      </c>
      <c r="G38" s="59">
        <v>0.19697828004124251</v>
      </c>
      <c r="H38" s="50">
        <v>-4736734.7900000038</v>
      </c>
      <c r="I38" s="51">
        <v>-3892077.3815212203</v>
      </c>
      <c r="J38" s="57">
        <v>0.21701968529429605</v>
      </c>
      <c r="L38" s="328" t="s">
        <v>38</v>
      </c>
      <c r="M38" s="329">
        <v>0</v>
      </c>
      <c r="N38" s="329">
        <v>0</v>
      </c>
      <c r="O38" s="327" t="s">
        <v>451</v>
      </c>
      <c r="P38" s="329">
        <v>6428352.8751353677</v>
      </c>
      <c r="Q38" s="329">
        <v>6814091.7326757405</v>
      </c>
      <c r="R38" s="327">
        <v>-5.6608990995913988E-2</v>
      </c>
      <c r="S38" s="329">
        <v>26012920.443664677</v>
      </c>
      <c r="T38" s="329">
        <v>23294115.041344576</v>
      </c>
      <c r="U38" s="327">
        <v>0.11671640659001259</v>
      </c>
      <c r="V38" s="329">
        <v>32441273.318800032</v>
      </c>
      <c r="W38" s="329">
        <v>30108206.774020314</v>
      </c>
      <c r="X38" s="327">
        <v>7.7489388932749925E-2</v>
      </c>
    </row>
    <row r="39" spans="1:24" x14ac:dyDescent="0.25">
      <c r="A39" s="328" t="s">
        <v>213</v>
      </c>
      <c r="B39" s="335">
        <v>2601583.2167820008</v>
      </c>
      <c r="C39" s="335">
        <v>3227604.5421868525</v>
      </c>
      <c r="D39" s="489">
        <v>-0.19395849684258193</v>
      </c>
      <c r="E39" s="490">
        <v>9846877.9532180391</v>
      </c>
      <c r="F39" s="335">
        <v>11229026.867559383</v>
      </c>
      <c r="G39" s="327">
        <v>-0.12308714999465953</v>
      </c>
      <c r="H39" s="490">
        <v>9967032.5100000612</v>
      </c>
      <c r="I39" s="335">
        <v>11953061.181234315</v>
      </c>
      <c r="J39" s="327">
        <v>-0.16615230534854253</v>
      </c>
      <c r="L39" s="233" t="s">
        <v>39</v>
      </c>
      <c r="M39" s="66">
        <v>0</v>
      </c>
      <c r="N39" s="66">
        <v>0</v>
      </c>
      <c r="O39" s="84" t="s">
        <v>451</v>
      </c>
      <c r="P39" s="111">
        <v>-1843131.0784079724</v>
      </c>
      <c r="Q39" s="112">
        <v>-1780512.1135311949</v>
      </c>
      <c r="R39" s="74">
        <v>3.5169075459188237E-2</v>
      </c>
      <c r="S39" s="111">
        <v>-5790453.2403920759</v>
      </c>
      <c r="T39" s="112">
        <v>-6168799.2393088304</v>
      </c>
      <c r="U39" s="74">
        <v>-6.1332195171121429E-2</v>
      </c>
      <c r="V39" s="111">
        <v>-7633584.318800048</v>
      </c>
      <c r="W39" s="112">
        <v>-7949311.352840025</v>
      </c>
      <c r="X39" s="74">
        <v>-3.9717532755485618E-2</v>
      </c>
    </row>
    <row r="40" spans="1:24" x14ac:dyDescent="0.25">
      <c r="A40" s="452" t="s">
        <v>154</v>
      </c>
      <c r="B40" s="51">
        <v>0</v>
      </c>
      <c r="C40" s="51">
        <v>0</v>
      </c>
      <c r="D40" s="60" t="s">
        <v>451</v>
      </c>
      <c r="E40" s="50">
        <v>406124.89999999997</v>
      </c>
      <c r="F40" s="51">
        <v>615000</v>
      </c>
      <c r="G40" s="57">
        <v>-0.33963430894308944</v>
      </c>
      <c r="H40" s="50">
        <v>406124.89999999997</v>
      </c>
      <c r="I40" s="51">
        <v>615000</v>
      </c>
      <c r="J40" s="57">
        <v>-0.33963430894308944</v>
      </c>
      <c r="L40" s="235" t="s">
        <v>40</v>
      </c>
      <c r="M40" s="66"/>
      <c r="N40" s="66"/>
      <c r="O40" s="84"/>
      <c r="P40" s="54">
        <v>-286940.90480000002</v>
      </c>
      <c r="Q40" s="54">
        <v>-292777.96360541682</v>
      </c>
      <c r="R40" s="57">
        <v>-1.9936810590306386E-2</v>
      </c>
      <c r="S40" s="53">
        <v>-1019094.3252000001</v>
      </c>
      <c r="T40" s="54">
        <v>-1038030.9618737507</v>
      </c>
      <c r="U40" s="57">
        <v>-1.8242843777576789E-2</v>
      </c>
      <c r="V40" s="53">
        <v>-1306035.23</v>
      </c>
      <c r="W40" s="54">
        <v>-1330808.9254791676</v>
      </c>
      <c r="X40" s="59">
        <v>-1.8615516476377492E-2</v>
      </c>
    </row>
    <row r="41" spans="1:24" x14ac:dyDescent="0.25">
      <c r="A41" s="452" t="s">
        <v>1355</v>
      </c>
      <c r="B41" s="50">
        <v>0</v>
      </c>
      <c r="C41" s="51">
        <v>0</v>
      </c>
      <c r="D41" s="60" t="s">
        <v>451</v>
      </c>
      <c r="E41" s="50">
        <v>0</v>
      </c>
      <c r="F41" s="51">
        <v>0</v>
      </c>
      <c r="G41" s="57" t="s">
        <v>451</v>
      </c>
      <c r="H41" s="50">
        <v>0</v>
      </c>
      <c r="I41" s="51">
        <v>0</v>
      </c>
      <c r="J41" s="57" t="s">
        <v>451</v>
      </c>
      <c r="L41" s="328" t="s">
        <v>41</v>
      </c>
      <c r="M41" s="329">
        <v>0</v>
      </c>
      <c r="N41" s="329">
        <v>0</v>
      </c>
      <c r="O41" s="327" t="s">
        <v>451</v>
      </c>
      <c r="P41" s="326">
        <v>4298280.8919273959</v>
      </c>
      <c r="Q41" s="329">
        <v>4740801.6555391289</v>
      </c>
      <c r="R41" s="327">
        <v>-9.3343024189736723E-2</v>
      </c>
      <c r="S41" s="329">
        <v>19203372.878072605</v>
      </c>
      <c r="T41" s="329">
        <v>16087284.840161994</v>
      </c>
      <c r="U41" s="327">
        <v>0.19369881672830713</v>
      </c>
      <c r="V41" s="329">
        <v>23501653.769999985</v>
      </c>
      <c r="W41" s="329">
        <v>20828086.495701123</v>
      </c>
      <c r="X41" s="327">
        <v>0.12836355729801108</v>
      </c>
    </row>
    <row r="42" spans="1:24" x14ac:dyDescent="0.25">
      <c r="A42" s="453" t="s">
        <v>1356</v>
      </c>
      <c r="B42" s="51">
        <v>0</v>
      </c>
      <c r="C42" s="51">
        <v>0</v>
      </c>
      <c r="D42" s="60" t="s">
        <v>451</v>
      </c>
      <c r="E42" s="50">
        <v>0</v>
      </c>
      <c r="F42" s="51">
        <v>0</v>
      </c>
      <c r="G42" s="57" t="s">
        <v>451</v>
      </c>
      <c r="H42" s="50">
        <v>0</v>
      </c>
      <c r="I42" s="51">
        <v>0</v>
      </c>
      <c r="J42" s="57" t="s">
        <v>451</v>
      </c>
      <c r="L42" s="118" t="s">
        <v>42</v>
      </c>
      <c r="M42" s="66">
        <v>0</v>
      </c>
      <c r="N42" s="66">
        <v>0</v>
      </c>
      <c r="O42" s="84" t="s">
        <v>451</v>
      </c>
      <c r="P42" s="66">
        <v>-1034735.6772990683</v>
      </c>
      <c r="Q42" s="66">
        <v>-1191100.8342697611</v>
      </c>
      <c r="R42" s="84">
        <v>-0.13127785026408534</v>
      </c>
      <c r="S42" s="164">
        <v>-6617628.7927009221</v>
      </c>
      <c r="T42" s="66">
        <v>-4227633.6534101516</v>
      </c>
      <c r="U42" s="84">
        <v>0.56532692641495075</v>
      </c>
      <c r="V42" s="66">
        <v>-7652364.4699999904</v>
      </c>
      <c r="W42" s="66">
        <v>-5418734.4876799127</v>
      </c>
      <c r="X42" s="84">
        <v>0.41220509833033536</v>
      </c>
    </row>
    <row r="43" spans="1:24" x14ac:dyDescent="0.25">
      <c r="A43" s="453" t="s">
        <v>1357</v>
      </c>
      <c r="B43" s="51">
        <v>0</v>
      </c>
      <c r="C43" s="51">
        <v>0</v>
      </c>
      <c r="D43" s="60" t="s">
        <v>451</v>
      </c>
      <c r="E43" s="50">
        <v>0</v>
      </c>
      <c r="F43" s="51">
        <v>0</v>
      </c>
      <c r="G43" s="57" t="s">
        <v>451</v>
      </c>
      <c r="H43" s="50">
        <v>0</v>
      </c>
      <c r="I43" s="51">
        <v>0</v>
      </c>
      <c r="J43" s="57" t="s">
        <v>451</v>
      </c>
      <c r="L43" s="328" t="s">
        <v>43</v>
      </c>
      <c r="M43" s="335" t="e">
        <v>#REF!</v>
      </c>
      <c r="N43" s="335" t="e">
        <v>#REF!</v>
      </c>
      <c r="O43" s="327" t="s">
        <v>451</v>
      </c>
      <c r="P43" s="336">
        <v>3263545.2146283276</v>
      </c>
      <c r="Q43" s="336">
        <v>3549700.8212693678</v>
      </c>
      <c r="R43" s="327">
        <v>-8.0614006940086691E-2</v>
      </c>
      <c r="S43" s="337">
        <v>12585744.085371682</v>
      </c>
      <c r="T43" s="336">
        <v>11859651.186751842</v>
      </c>
      <c r="U43" s="327">
        <v>6.1223798844180388E-2</v>
      </c>
      <c r="V43" s="336">
        <v>15849289.299999993</v>
      </c>
      <c r="W43" s="336">
        <v>15409352.008021209</v>
      </c>
      <c r="X43" s="327">
        <v>2.8550018959251355E-2</v>
      </c>
    </row>
    <row r="44" spans="1:24" x14ac:dyDescent="0.25">
      <c r="A44" s="453" t="s">
        <v>1358</v>
      </c>
      <c r="B44" s="51">
        <v>0</v>
      </c>
      <c r="C44" s="51">
        <v>0</v>
      </c>
      <c r="D44" s="60" t="s">
        <v>451</v>
      </c>
      <c r="E44" s="50">
        <v>0</v>
      </c>
      <c r="F44" s="51">
        <v>0</v>
      </c>
      <c r="G44" s="57" t="s">
        <v>451</v>
      </c>
      <c r="H44" s="50">
        <v>0</v>
      </c>
      <c r="I44" s="51">
        <v>0</v>
      </c>
      <c r="J44" s="57" t="s">
        <v>451</v>
      </c>
      <c r="L44" s="233" t="s">
        <v>46</v>
      </c>
      <c r="M44" s="71">
        <v>0</v>
      </c>
      <c r="N44" s="71">
        <v>0</v>
      </c>
      <c r="O44" s="71" t="s">
        <v>451</v>
      </c>
      <c r="P44" s="68">
        <v>9.5772869866837071E-2</v>
      </c>
      <c r="Q44" s="71">
        <v>9.7618504312951451E-2</v>
      </c>
      <c r="R44" s="207">
        <v>-1.8456344461143803E-3</v>
      </c>
      <c r="S44" s="68">
        <v>9.3272028294570528E-2</v>
      </c>
      <c r="T44" s="71">
        <v>8.8770703112873883E-2</v>
      </c>
      <c r="U44" s="207">
        <v>4.5013251816966443E-3</v>
      </c>
      <c r="V44" s="71">
        <v>9.379136658975816E-2</v>
      </c>
      <c r="W44" s="71" t="e">
        <v>#DIV/0!</v>
      </c>
      <c r="X44" s="207" t="s">
        <v>451</v>
      </c>
    </row>
    <row r="45" spans="1:24" x14ac:dyDescent="0.25">
      <c r="A45" s="234" t="s">
        <v>1359</v>
      </c>
      <c r="B45" s="51">
        <v>0</v>
      </c>
      <c r="C45" s="51">
        <v>0</v>
      </c>
      <c r="D45" s="60" t="s">
        <v>451</v>
      </c>
      <c r="E45" s="50">
        <v>-1249875</v>
      </c>
      <c r="F45" s="51">
        <v>-1249875</v>
      </c>
      <c r="G45" s="57">
        <v>0</v>
      </c>
      <c r="H45" s="50">
        <v>-1249875</v>
      </c>
      <c r="I45" s="51">
        <v>-1249875</v>
      </c>
      <c r="J45" s="57">
        <v>0</v>
      </c>
      <c r="L45" s="234" t="s">
        <v>47</v>
      </c>
      <c r="M45" s="60">
        <v>0</v>
      </c>
      <c r="N45" s="60">
        <v>0</v>
      </c>
      <c r="O45" s="60" t="s">
        <v>451</v>
      </c>
      <c r="P45" s="67">
        <v>7.880579485642826E-2</v>
      </c>
      <c r="Q45" s="60">
        <v>7.9587943465299793E-2</v>
      </c>
      <c r="R45" s="208">
        <v>-7.8214860887153292E-4</v>
      </c>
      <c r="S45" s="67">
        <v>8.3735268894803261E-2</v>
      </c>
      <c r="T45" s="60">
        <v>7.8997431513432775E-2</v>
      </c>
      <c r="U45" s="208">
        <v>4.7378373813704855E-3</v>
      </c>
      <c r="V45" s="60">
        <v>8.2711587638200759E-2</v>
      </c>
      <c r="W45" s="60" t="e">
        <v>#DIV/0!</v>
      </c>
      <c r="X45" s="208" t="s">
        <v>451</v>
      </c>
    </row>
    <row r="46" spans="1:24" x14ac:dyDescent="0.25">
      <c r="A46" s="234" t="s">
        <v>219</v>
      </c>
      <c r="B46" s="51"/>
      <c r="C46" s="51">
        <v>-322500.00000000006</v>
      </c>
      <c r="D46" s="60"/>
      <c r="E46" s="50"/>
      <c r="F46" s="51">
        <v>-427500</v>
      </c>
      <c r="G46" s="57"/>
      <c r="H46" s="50"/>
      <c r="I46" s="51">
        <v>-750000</v>
      </c>
      <c r="J46" s="57"/>
      <c r="L46" s="234" t="s">
        <v>48</v>
      </c>
      <c r="M46" s="60">
        <v>0</v>
      </c>
      <c r="N46" s="60">
        <v>0</v>
      </c>
      <c r="O46" s="60" t="s">
        <v>451</v>
      </c>
      <c r="P46" s="67">
        <v>-0.32528030618026582</v>
      </c>
      <c r="Q46" s="60">
        <v>-0.31482995783708828</v>
      </c>
      <c r="R46" s="208">
        <v>-1.045034834317754E-2</v>
      </c>
      <c r="S46" s="67">
        <v>-0.31434715870018026</v>
      </c>
      <c r="T46" s="60">
        <v>-0.36752943659396836</v>
      </c>
      <c r="U46" s="208">
        <v>5.3182277893788099E-2</v>
      </c>
      <c r="V46" s="60">
        <v>-0.31666556213667219</v>
      </c>
      <c r="W46" s="60">
        <v>-0.35548378918399337</v>
      </c>
      <c r="X46" s="208">
        <v>3.8818227047321185E-2</v>
      </c>
    </row>
    <row r="47" spans="1:24" x14ac:dyDescent="0.25">
      <c r="A47" s="328" t="s">
        <v>43</v>
      </c>
      <c r="B47" s="335">
        <v>2601583.2167820008</v>
      </c>
      <c r="C47" s="335">
        <v>2905104.5421868525</v>
      </c>
      <c r="D47" s="489">
        <v>-0.10447862408984854</v>
      </c>
      <c r="E47" s="490">
        <v>9003127.8532180395</v>
      </c>
      <c r="F47" s="335">
        <v>10166651.867559383</v>
      </c>
      <c r="G47" s="327">
        <v>-0.11444515160925439</v>
      </c>
      <c r="H47" s="490">
        <v>9123282.4100000616</v>
      </c>
      <c r="I47" s="335">
        <v>10568186.181234315</v>
      </c>
      <c r="J47" s="327">
        <v>-0.13672202083267004</v>
      </c>
      <c r="L47" s="234" t="s">
        <v>49</v>
      </c>
      <c r="M47" s="60">
        <v>0</v>
      </c>
      <c r="N47" s="60">
        <v>0</v>
      </c>
      <c r="O47" s="60" t="s">
        <v>451</v>
      </c>
      <c r="P47" s="67">
        <v>-0.35449328403163743</v>
      </c>
      <c r="Q47" s="60" t="e">
        <v>#REF!</v>
      </c>
      <c r="R47" s="208" t="s">
        <v>451</v>
      </c>
      <c r="S47" s="67" t="e">
        <v>#REF!</v>
      </c>
      <c r="T47" s="60" t="e">
        <v>#REF!</v>
      </c>
      <c r="U47" s="208" t="s">
        <v>451</v>
      </c>
      <c r="V47" s="60" t="e">
        <v>#REF!</v>
      </c>
      <c r="W47" s="60" t="e">
        <v>#REF!</v>
      </c>
      <c r="X47" s="208" t="s">
        <v>451</v>
      </c>
    </row>
    <row r="48" spans="1:24" x14ac:dyDescent="0.25">
      <c r="A48" s="233" t="s">
        <v>217</v>
      </c>
      <c r="B48" s="454">
        <v>0</v>
      </c>
      <c r="C48" s="454">
        <v>0</v>
      </c>
      <c r="D48" s="455" t="s">
        <v>451</v>
      </c>
      <c r="E48" s="456">
        <v>0</v>
      </c>
      <c r="F48" s="454">
        <v>0</v>
      </c>
      <c r="G48" s="113" t="s">
        <v>451</v>
      </c>
      <c r="H48" s="50">
        <v>0</v>
      </c>
      <c r="I48" s="51">
        <v>0</v>
      </c>
      <c r="J48" s="113" t="s">
        <v>451</v>
      </c>
      <c r="L48" s="234" t="s">
        <v>50</v>
      </c>
      <c r="M48" s="60">
        <v>0</v>
      </c>
      <c r="N48" s="60">
        <v>0</v>
      </c>
      <c r="O48" s="60" t="s">
        <v>451</v>
      </c>
      <c r="P48" s="320" t="e">
        <v>#DIV/0!</v>
      </c>
      <c r="Q48" s="60" t="e">
        <v>#REF!</v>
      </c>
      <c r="R48" s="209" t="s">
        <v>451</v>
      </c>
      <c r="S48" s="67" t="e">
        <v>#REF!</v>
      </c>
      <c r="T48" s="60" t="e">
        <v>#REF!</v>
      </c>
      <c r="U48" s="209" t="s">
        <v>451</v>
      </c>
      <c r="V48" s="75" t="e">
        <v>#REF!</v>
      </c>
      <c r="W48" s="75" t="e">
        <v>#REF!</v>
      </c>
      <c r="X48" s="209" t="s">
        <v>451</v>
      </c>
    </row>
    <row r="49" spans="1:24" x14ac:dyDescent="0.25">
      <c r="A49" s="457" t="s">
        <v>474</v>
      </c>
      <c r="B49" s="460">
        <v>3585298.1229817835</v>
      </c>
      <c r="C49" s="458">
        <v>3984270.0734020593</v>
      </c>
      <c r="D49" s="459">
        <v>-0.10013677362980677</v>
      </c>
      <c r="E49" s="460">
        <v>14006022.737018261</v>
      </c>
      <c r="F49" s="458">
        <v>14979438.717865396</v>
      </c>
      <c r="G49" s="459">
        <v>-6.498347496065926E-2</v>
      </c>
      <c r="H49" s="460">
        <v>17591320.860000044</v>
      </c>
      <c r="I49" s="458">
        <v>18963708.791267455</v>
      </c>
      <c r="J49" s="459">
        <v>-7.2369173476201976E-2</v>
      </c>
      <c r="L49" s="118" t="s">
        <v>51</v>
      </c>
      <c r="M49" s="66" t="e">
        <v>#DIV/0!</v>
      </c>
      <c r="N49" s="66" t="e">
        <v>#DIV/0!</v>
      </c>
      <c r="O49" s="72" t="s">
        <v>451</v>
      </c>
      <c r="P49" s="164">
        <v>410236335.31000078</v>
      </c>
      <c r="Q49" s="66">
        <v>412126423.06822944</v>
      </c>
      <c r="R49" s="169">
        <v>-4.5861843658486778E-3</v>
      </c>
      <c r="S49" s="164">
        <v>1565231469.21</v>
      </c>
      <c r="T49" s="66">
        <v>1529552131.8887649</v>
      </c>
      <c r="U49" s="169">
        <v>2.332665659272215E-2</v>
      </c>
      <c r="V49" s="66">
        <v>1975467804.5200009</v>
      </c>
      <c r="W49" s="66" t="e">
        <v>#DIV/0!</v>
      </c>
      <c r="X49" s="169" t="s">
        <v>451</v>
      </c>
    </row>
    <row r="50" spans="1:24" x14ac:dyDescent="0.25">
      <c r="A50" s="461" t="s">
        <v>475</v>
      </c>
      <c r="B50" s="460">
        <v>2601583.2167820008</v>
      </c>
      <c r="C50" s="458">
        <v>3227604.5421868525</v>
      </c>
      <c r="D50" s="459">
        <v>-0.19395849684258193</v>
      </c>
      <c r="E50" s="460">
        <v>10253002.853218039</v>
      </c>
      <c r="F50" s="458">
        <v>11844026.867559383</v>
      </c>
      <c r="G50" s="459">
        <v>-0.13433134120111923</v>
      </c>
      <c r="H50" s="462">
        <v>12854586.070000041</v>
      </c>
      <c r="I50" s="463">
        <v>15071631.409746235</v>
      </c>
      <c r="J50" s="459">
        <v>-0.14710055464284488</v>
      </c>
      <c r="L50" s="118" t="s">
        <v>52</v>
      </c>
      <c r="M50" s="66"/>
      <c r="N50" s="66"/>
      <c r="O50" s="217"/>
      <c r="P50" s="164">
        <v>409081004.13499981</v>
      </c>
      <c r="Q50" s="66">
        <v>410522792.85929441</v>
      </c>
      <c r="R50" s="169">
        <v>-3.5120795955141393E-3</v>
      </c>
      <c r="S50" s="164">
        <v>1540794783.6900005</v>
      </c>
      <c r="T50" s="66">
        <v>1502022721.5101881</v>
      </c>
      <c r="U50" s="169">
        <v>2.5813232799054786E-2</v>
      </c>
      <c r="V50" s="66">
        <v>1949875787.8250003</v>
      </c>
      <c r="W50" s="66">
        <v>1912545514.3694825</v>
      </c>
      <c r="X50" s="169">
        <v>1.9518632720133988E-2</v>
      </c>
    </row>
    <row r="51" spans="1:24" x14ac:dyDescent="0.25">
      <c r="A51" s="233" t="s">
        <v>46</v>
      </c>
      <c r="B51" s="68">
        <v>0.1041351992365389</v>
      </c>
      <c r="C51" s="71">
        <v>0.1079038686915333</v>
      </c>
      <c r="D51" s="60">
        <v>-3.4926175499489953E-2</v>
      </c>
      <c r="E51" s="68">
        <v>0.10304270136701241</v>
      </c>
      <c r="F51" s="71">
        <v>0.10795385519404785</v>
      </c>
      <c r="G51" s="71">
        <v>-4.5493084227586023E-2</v>
      </c>
      <c r="H51" s="68">
        <v>0.10331863120027972</v>
      </c>
      <c r="I51" s="71">
        <v>0.10794116088600972</v>
      </c>
      <c r="J51" s="74">
        <v>-4.2824531881879402E-2</v>
      </c>
      <c r="L51" s="316"/>
      <c r="M51" s="317"/>
      <c r="N51" s="317"/>
      <c r="O51" s="317"/>
      <c r="P51" s="300"/>
      <c r="Q51" s="317"/>
      <c r="R51" s="318"/>
      <c r="S51" s="300"/>
      <c r="T51" s="317"/>
      <c r="U51" s="216"/>
      <c r="V51" s="300"/>
      <c r="W51" s="317"/>
      <c r="X51" s="232"/>
    </row>
    <row r="52" spans="1:24" x14ac:dyDescent="0.25">
      <c r="A52" s="234" t="s">
        <v>47</v>
      </c>
      <c r="B52" s="67">
        <v>8.4612512585089103E-2</v>
      </c>
      <c r="C52" s="60">
        <v>9.03029748894221E-2</v>
      </c>
      <c r="D52" s="60">
        <v>-6.3015225260309449E-2</v>
      </c>
      <c r="E52" s="67">
        <v>9.2011014289709703E-2</v>
      </c>
      <c r="F52" s="60">
        <v>0.102420141930134</v>
      </c>
      <c r="G52" s="60">
        <v>-0.10163164631742938</v>
      </c>
      <c r="H52" s="67">
        <v>9.014239065324603E-2</v>
      </c>
      <c r="I52" s="60">
        <v>9.9342930218450268E-2</v>
      </c>
      <c r="J52" s="57">
        <v>-9.261393382470906E-2</v>
      </c>
      <c r="L52" s="312" t="s">
        <v>53</v>
      </c>
      <c r="M52" s="313">
        <v>1.9026331842685359E-2</v>
      </c>
      <c r="N52" s="314">
        <v>1.8722930033500899E-2</v>
      </c>
      <c r="O52" s="315">
        <v>1.6204825240578421E-2</v>
      </c>
      <c r="P52" s="313"/>
      <c r="Q52" s="314"/>
      <c r="R52" s="315"/>
      <c r="S52" s="187"/>
      <c r="T52" s="188"/>
      <c r="U52" s="186"/>
      <c r="V52" s="187"/>
      <c r="W52" s="188"/>
      <c r="X52" s="232"/>
    </row>
    <row r="53" spans="1:24" x14ac:dyDescent="0.25">
      <c r="A53" s="234" t="s">
        <v>48</v>
      </c>
      <c r="B53" s="67">
        <v>-0.39160278355843303</v>
      </c>
      <c r="C53" s="60">
        <v>-0.45131074112813652</v>
      </c>
      <c r="D53" s="60">
        <v>-0.132298995189993</v>
      </c>
      <c r="E53" s="67">
        <v>-0.40077414529300021</v>
      </c>
      <c r="F53" s="60">
        <v>-0.42146515817664687</v>
      </c>
      <c r="G53" s="60">
        <v>-4.9093056643544686E-2</v>
      </c>
      <c r="H53" s="67">
        <v>-0.39843944686265981</v>
      </c>
      <c r="I53" s="60">
        <v>-0.42904196612370749</v>
      </c>
      <c r="J53" s="57">
        <v>-7.1327566246104479E-2</v>
      </c>
      <c r="L53" s="301" t="s">
        <v>54</v>
      </c>
      <c r="M53" s="302">
        <v>1.913468625214057E-2</v>
      </c>
      <c r="N53" s="303">
        <v>1.8785389948185072E-2</v>
      </c>
      <c r="O53" s="304">
        <v>1.8594040630455441E-2</v>
      </c>
      <c r="P53" s="302"/>
      <c r="Q53" s="303"/>
      <c r="R53" s="304"/>
      <c r="S53" s="305"/>
      <c r="T53" s="240"/>
      <c r="U53" s="306"/>
      <c r="V53" s="305"/>
      <c r="W53" s="240"/>
      <c r="X53" s="266"/>
    </row>
    <row r="54" spans="1:24" x14ac:dyDescent="0.25">
      <c r="A54" s="464" t="s">
        <v>49</v>
      </c>
      <c r="B54" s="466">
        <v>-0.39160278355843303</v>
      </c>
      <c r="C54" s="465">
        <v>-0.45131074112813652</v>
      </c>
      <c r="D54" s="465">
        <v>-0.132298995189993</v>
      </c>
      <c r="E54" s="466">
        <v>-0.40077414529300021</v>
      </c>
      <c r="F54" s="465">
        <v>-0.42146515817664687</v>
      </c>
      <c r="G54" s="465">
        <v>-4.9093056643544686E-2</v>
      </c>
      <c r="H54" s="466">
        <v>-0.39843944686265981</v>
      </c>
      <c r="I54" s="465">
        <v>-0.42904196612370749</v>
      </c>
      <c r="J54" s="467">
        <v>-7.1327566246104479E-2</v>
      </c>
      <c r="L54" s="283"/>
      <c r="M54" s="187"/>
      <c r="N54" s="188"/>
      <c r="O54" s="186"/>
      <c r="P54" s="187"/>
      <c r="Q54" s="188"/>
      <c r="R54" s="186"/>
      <c r="S54" s="187"/>
      <c r="T54" s="188"/>
      <c r="U54" s="186"/>
      <c r="V54" s="187"/>
      <c r="W54" s="188"/>
      <c r="X54" s="232"/>
    </row>
    <row r="55" spans="1:24" x14ac:dyDescent="0.25">
      <c r="A55" s="234" t="s">
        <v>50</v>
      </c>
      <c r="B55" s="67">
        <v>0.24506357091896597</v>
      </c>
      <c r="C55" s="60">
        <v>0.25898784539024916</v>
      </c>
      <c r="D55" s="60">
        <v>-5.3764200595212364E-2</v>
      </c>
      <c r="E55" s="67">
        <v>0.2865766063854519</v>
      </c>
      <c r="F55" s="60">
        <v>0.30852237216671963</v>
      </c>
      <c r="G55" s="60">
        <v>-7.1131845730165177E-2</v>
      </c>
      <c r="H55" s="67">
        <v>0.21705520947514992</v>
      </c>
      <c r="I55" s="60">
        <v>0.23926234487530745</v>
      </c>
      <c r="J55" s="57">
        <v>-9.2815003596704138E-2</v>
      </c>
      <c r="L55" s="238" t="s">
        <v>55</v>
      </c>
      <c r="M55" s="255">
        <v>0.21616784330954689</v>
      </c>
      <c r="N55" s="73">
        <v>0.21770121365760359</v>
      </c>
      <c r="O55" s="57">
        <v>-7.0434625618043256E-3</v>
      </c>
      <c r="P55" s="255"/>
      <c r="Q55" s="73"/>
      <c r="R55" s="57"/>
      <c r="S55" s="189"/>
      <c r="T55" s="190"/>
      <c r="U55" s="74"/>
      <c r="V55" s="189"/>
      <c r="W55" s="190"/>
      <c r="X55" s="307"/>
    </row>
    <row r="56" spans="1:24" x14ac:dyDescent="0.25">
      <c r="A56" s="464" t="s">
        <v>477</v>
      </c>
      <c r="B56" s="466">
        <v>0.24506357091896597</v>
      </c>
      <c r="C56" s="465">
        <v>0.28773847344010306</v>
      </c>
      <c r="D56" s="465">
        <v>-0.14831142325504998</v>
      </c>
      <c r="E56" s="466">
        <v>0.32636110592224216</v>
      </c>
      <c r="F56" s="465">
        <v>0.35942484436255223</v>
      </c>
      <c r="G56" s="465">
        <v>-9.1990687229619117E-2</v>
      </c>
      <c r="H56" s="466">
        <v>0.30582796265101964</v>
      </c>
      <c r="I56" s="465">
        <v>0.34121975241081975</v>
      </c>
      <c r="J56" s="467">
        <v>-0.10372139804260017</v>
      </c>
      <c r="L56" s="259" t="s">
        <v>56</v>
      </c>
      <c r="M56" s="53">
        <v>42965667.043961354</v>
      </c>
      <c r="N56" s="54">
        <v>43078624.990452737</v>
      </c>
      <c r="O56" s="59">
        <v>-2.622134446408686E-3</v>
      </c>
      <c r="P56" s="53"/>
      <c r="Q56" s="54"/>
      <c r="R56" s="59"/>
      <c r="S56" s="53"/>
      <c r="T56" s="54"/>
      <c r="U56" s="59"/>
      <c r="V56" s="53"/>
      <c r="W56" s="54"/>
      <c r="X56" s="308"/>
    </row>
    <row r="57" spans="1:24" x14ac:dyDescent="0.25">
      <c r="A57" s="118" t="s">
        <v>1360</v>
      </c>
      <c r="B57" s="164">
        <v>392916672.63585103</v>
      </c>
      <c r="C57" s="66">
        <v>390511963.60091877</v>
      </c>
      <c r="D57" s="72">
        <v>6.1578370423236439E-3</v>
      </c>
      <c r="E57" s="164">
        <v>1162770955.1689291</v>
      </c>
      <c r="F57" s="66">
        <v>1147210863.9778428</v>
      </c>
      <c r="G57" s="72">
        <v>1.356340990106486E-2</v>
      </c>
      <c r="H57" s="164">
        <v>1555687627.80478</v>
      </c>
      <c r="I57" s="66">
        <v>1537722827.5787616</v>
      </c>
      <c r="J57" s="84">
        <v>1.1682729750656762E-2</v>
      </c>
      <c r="L57" s="220"/>
      <c r="M57" s="319"/>
      <c r="N57" s="21"/>
      <c r="O57" s="216"/>
      <c r="P57" s="319"/>
      <c r="Q57" s="21"/>
      <c r="R57" s="216"/>
      <c r="S57" s="220"/>
      <c r="T57" s="21"/>
      <c r="U57" s="216"/>
      <c r="V57" s="220"/>
      <c r="W57" s="21"/>
      <c r="X57" s="232"/>
    </row>
    <row r="58" spans="1:24" x14ac:dyDescent="0.25">
      <c r="A58" s="468" t="s">
        <v>1361</v>
      </c>
      <c r="B58" s="51"/>
      <c r="C58" s="51"/>
      <c r="D58" s="165"/>
      <c r="E58" s="51"/>
      <c r="F58" s="51"/>
      <c r="G58" s="165"/>
      <c r="H58" s="51"/>
      <c r="I58" s="51">
        <v>30000000</v>
      </c>
      <c r="J58" s="165"/>
      <c r="L58" s="218" t="s">
        <v>57</v>
      </c>
      <c r="M58" s="164"/>
      <c r="N58" s="56"/>
      <c r="O58" s="216"/>
      <c r="P58" s="164"/>
      <c r="Q58" s="56"/>
      <c r="R58" s="216"/>
      <c r="S58" s="164"/>
      <c r="T58" s="66"/>
      <c r="U58" s="84"/>
      <c r="V58" s="319"/>
      <c r="W58" s="56"/>
      <c r="X58" s="232"/>
    </row>
    <row r="59" spans="1:24" x14ac:dyDescent="0.25">
      <c r="A59" s="451" t="s">
        <v>1362</v>
      </c>
      <c r="B59" s="187">
        <v>1.7978448304656468E-2</v>
      </c>
      <c r="C59" s="188">
        <v>1.7670367448591569E-2</v>
      </c>
      <c r="D59" s="469">
        <v>1.7434886793452176E-2</v>
      </c>
      <c r="E59" s="187">
        <v>1.6525189861535377E-2</v>
      </c>
      <c r="F59" s="188">
        <v>1.7039891276270296E-2</v>
      </c>
      <c r="G59" s="433">
        <v>-3.0205674812707972E-2</v>
      </c>
      <c r="H59" s="187">
        <v>1.6892236215665508E-2</v>
      </c>
      <c r="I59" s="188">
        <v>1.7200003673407845E-2</v>
      </c>
      <c r="J59" s="186">
        <v>-1.7893453023975936E-2</v>
      </c>
      <c r="L59" s="218" t="s">
        <v>58</v>
      </c>
      <c r="M59" s="164"/>
      <c r="N59" s="56"/>
      <c r="O59" s="216"/>
      <c r="P59" s="164"/>
      <c r="Q59" s="56"/>
      <c r="R59" s="216"/>
      <c r="S59" s="164"/>
      <c r="T59" s="66"/>
      <c r="U59" s="84"/>
      <c r="V59" s="319"/>
      <c r="W59" s="56"/>
      <c r="X59" s="232"/>
    </row>
    <row r="60" spans="1:24" x14ac:dyDescent="0.25">
      <c r="B60" s="73"/>
      <c r="C60" s="73"/>
      <c r="D60" s="470"/>
      <c r="E60" s="73"/>
      <c r="F60" s="73"/>
      <c r="G60" s="470"/>
      <c r="H60" s="73"/>
      <c r="I60" s="73"/>
      <c r="J60" s="254"/>
      <c r="L60" s="233" t="s">
        <v>46</v>
      </c>
      <c r="M60" s="71">
        <v>0</v>
      </c>
      <c r="N60" s="71" t="e">
        <v>#DIV/0!</v>
      </c>
      <c r="O60" s="411" t="e">
        <v>#VALUE!</v>
      </c>
      <c r="P60" s="420">
        <v>9.5784007629438117E-2</v>
      </c>
      <c r="Q60" s="420">
        <v>9.7645561593590002E-2</v>
      </c>
      <c r="R60" s="414">
        <v>-0.18615539641518852</v>
      </c>
      <c r="S60" s="420">
        <v>9.3472594047418422E-2</v>
      </c>
      <c r="T60" s="420">
        <v>8.8911349685385402E-2</v>
      </c>
      <c r="U60" s="414">
        <v>0.45612443620330206</v>
      </c>
      <c r="V60" s="420">
        <v>9.3953367871981802E-2</v>
      </c>
      <c r="W60" s="420">
        <v>9.0767117279416207E-2</v>
      </c>
      <c r="X60" s="414">
        <v>0.31862505925655954</v>
      </c>
    </row>
    <row r="61" spans="1:24" x14ac:dyDescent="0.25">
      <c r="A61" s="45" t="s">
        <v>55</v>
      </c>
      <c r="B61" s="189">
        <v>0.25256784563511187</v>
      </c>
      <c r="C61" s="190">
        <v>0.25395471576357082</v>
      </c>
      <c r="D61" s="74">
        <v>-5.4610922435088805E-3</v>
      </c>
      <c r="E61" s="189">
        <v>0.74743215436488819</v>
      </c>
      <c r="F61" s="190">
        <v>0.74604528423642924</v>
      </c>
      <c r="G61" s="74">
        <v>1.8589623951290601E-3</v>
      </c>
      <c r="H61" s="189">
        <v>1</v>
      </c>
      <c r="I61" s="190">
        <v>1</v>
      </c>
      <c r="J61" s="74">
        <v>0</v>
      </c>
      <c r="L61" s="234" t="s">
        <v>47</v>
      </c>
      <c r="M61" s="60">
        <v>0</v>
      </c>
      <c r="N61" s="60" t="e">
        <v>#DIV/0!</v>
      </c>
      <c r="O61" s="412" t="e">
        <v>#VALUE!</v>
      </c>
      <c r="P61" s="60">
        <v>7.8814959458427966E-2</v>
      </c>
      <c r="Q61" s="60">
        <v>7.9610003148931935E-2</v>
      </c>
      <c r="R61" s="390">
        <v>-7.9504369050396873E-2</v>
      </c>
      <c r="S61" s="60">
        <v>8.3915327456334343E-2</v>
      </c>
      <c r="T61" s="60">
        <v>7.9122593504832681E-2</v>
      </c>
      <c r="U61" s="390">
        <v>0.47927339515016626</v>
      </c>
      <c r="V61" s="60">
        <v>8.2854451355186043E-2</v>
      </c>
      <c r="W61" s="60">
        <v>7.9226153967075164E-2</v>
      </c>
      <c r="X61" s="390">
        <v>0.36282973881108793</v>
      </c>
    </row>
    <row r="62" spans="1:24" x14ac:dyDescent="0.25">
      <c r="A62" s="46" t="s">
        <v>56</v>
      </c>
      <c r="B62" s="53">
        <v>42463809.811083741</v>
      </c>
      <c r="C62" s="54">
        <v>44868585.053624749</v>
      </c>
      <c r="D62" s="59">
        <v>-5.3595967861855609E-2</v>
      </c>
      <c r="E62" s="53">
        <v>125664519.05161628</v>
      </c>
      <c r="F62" s="54">
        <v>131810886.79125698</v>
      </c>
      <c r="G62" s="59">
        <v>-4.6630197924200534E-2</v>
      </c>
      <c r="H62" s="53">
        <v>168128328.86270002</v>
      </c>
      <c r="I62" s="54">
        <v>176679471.84488171</v>
      </c>
      <c r="J62" s="59">
        <v>-4.8399188048792063E-2</v>
      </c>
      <c r="L62" s="234" t="s">
        <v>48</v>
      </c>
      <c r="M62" s="60" t="e">
        <v>#DIV/0!</v>
      </c>
      <c r="N62" s="60" t="e">
        <v>#DIV/0!</v>
      </c>
      <c r="O62" s="412" t="e">
        <v>#VALUE!</v>
      </c>
      <c r="P62" s="60">
        <v>-0.32528030618026582</v>
      </c>
      <c r="Q62" s="60">
        <v>-0.31482995783708828</v>
      </c>
      <c r="R62" s="390">
        <v>-1.045034834317754</v>
      </c>
      <c r="S62" s="60">
        <v>-0.31434715870018026</v>
      </c>
      <c r="T62" s="60">
        <v>-0.36752943659396836</v>
      </c>
      <c r="U62" s="390">
        <v>5.3182277893788097</v>
      </c>
      <c r="V62" s="60">
        <v>-0.31666556213667219</v>
      </c>
      <c r="W62" s="60">
        <v>-0.35548378918399337</v>
      </c>
      <c r="X62" s="390">
        <v>3.8818227047321185</v>
      </c>
    </row>
    <row r="63" spans="1:24" x14ac:dyDescent="0.25">
      <c r="B63" s="55"/>
      <c r="C63" s="55"/>
      <c r="D63" s="213"/>
      <c r="E63" s="55"/>
      <c r="F63" s="55"/>
      <c r="G63" s="213"/>
      <c r="H63" s="55"/>
      <c r="I63" s="55"/>
      <c r="J63" s="254"/>
      <c r="L63" s="234" t="s">
        <v>49</v>
      </c>
      <c r="M63" s="60" t="e">
        <v>#DIV/0!</v>
      </c>
      <c r="N63" s="60" t="e">
        <v>#DIV/0!</v>
      </c>
      <c r="O63" s="412" t="e">
        <v>#VALUE!</v>
      </c>
      <c r="P63" s="60">
        <v>-0.35449328403163743</v>
      </c>
      <c r="Q63" s="60">
        <v>-0.34393952635680597</v>
      </c>
      <c r="R63" s="390">
        <v>-1.0553757674831465</v>
      </c>
      <c r="S63" s="60">
        <v>-0.34226902110758833</v>
      </c>
      <c r="T63" s="60">
        <v>-0.39810935734097558</v>
      </c>
      <c r="U63" s="390">
        <v>5.5840336233387244</v>
      </c>
      <c r="V63" s="60">
        <v>-0.34486120905925716</v>
      </c>
      <c r="W63" s="60">
        <v>-0.38572762796366067</v>
      </c>
      <c r="X63" s="390">
        <v>4.086641890440351</v>
      </c>
    </row>
    <row r="64" spans="1:24" x14ac:dyDescent="0.25">
      <c r="A64" s="471" t="s">
        <v>242</v>
      </c>
      <c r="B64" s="164"/>
      <c r="C64" s="56"/>
      <c r="D64" s="216"/>
      <c r="E64" s="164"/>
      <c r="F64" s="56"/>
      <c r="G64" s="217"/>
      <c r="H64" s="164">
        <v>168128328.86270002</v>
      </c>
      <c r="I64" s="66">
        <v>176679471.84488171</v>
      </c>
      <c r="J64" s="84">
        <v>-4.8399188048792063E-2</v>
      </c>
      <c r="L64" s="235" t="s">
        <v>50</v>
      </c>
      <c r="M64" s="75" t="e">
        <v>#DIV/0!</v>
      </c>
      <c r="N64" s="75" t="e">
        <v>#DIV/0!</v>
      </c>
      <c r="O64" s="413" t="e">
        <v>#VALUE!</v>
      </c>
      <c r="P64" s="75">
        <v>0.29542982525567119</v>
      </c>
      <c r="Q64" s="75">
        <v>0.30787450210448591</v>
      </c>
      <c r="R64" s="415">
        <v>-1.2444676848814729</v>
      </c>
      <c r="S64" s="75">
        <v>0.29921373475452484</v>
      </c>
      <c r="T64" s="75">
        <v>0.2814947849340767</v>
      </c>
      <c r="U64" s="415">
        <v>1.7718949820448138</v>
      </c>
      <c r="V64" s="75">
        <v>0.2984266819069869</v>
      </c>
      <c r="W64" s="75">
        <v>0.28716281292278056</v>
      </c>
      <c r="X64" s="415">
        <v>1.1263868984206338</v>
      </c>
    </row>
    <row r="65" spans="1:24" x14ac:dyDescent="0.25">
      <c r="A65" s="471" t="s">
        <v>58</v>
      </c>
      <c r="B65" s="164"/>
      <c r="C65" s="56"/>
      <c r="D65" s="216"/>
      <c r="E65" s="164"/>
      <c r="F65" s="56"/>
      <c r="G65" s="217"/>
      <c r="H65" s="164">
        <v>189005084.89270002</v>
      </c>
      <c r="I65" s="66"/>
      <c r="J65" s="84"/>
      <c r="L65" s="118" t="s">
        <v>51</v>
      </c>
      <c r="M65" s="66">
        <v>410188633.03666633</v>
      </c>
      <c r="N65" s="66" t="e">
        <v>#DIV/0!</v>
      </c>
      <c r="O65" s="84" t="s">
        <v>451</v>
      </c>
      <c r="P65" s="164">
        <v>410188633.03666633</v>
      </c>
      <c r="Q65" s="66">
        <v>412012224.12149256</v>
      </c>
      <c r="R65" s="84">
        <v>-4.4260606313673012E-3</v>
      </c>
      <c r="S65" s="66">
        <v>1561872925.1233337</v>
      </c>
      <c r="T65" s="66">
        <v>1527132572.793227</v>
      </c>
      <c r="U65" s="84">
        <v>2.2748746866530611E-2</v>
      </c>
      <c r="V65" s="164">
        <v>1972061558.1600001</v>
      </c>
      <c r="W65" s="56">
        <v>1939144796.9147196</v>
      </c>
      <c r="X65" s="84">
        <v>1.697488568035399E-2</v>
      </c>
    </row>
    <row r="66" spans="1:24" x14ac:dyDescent="0.25">
      <c r="L66" s="118" t="s">
        <v>52</v>
      </c>
      <c r="M66" s="66">
        <v>407676669.78333348</v>
      </c>
      <c r="N66" s="66" t="e">
        <v>#DIV/0!</v>
      </c>
      <c r="O66" s="84" t="s">
        <v>451</v>
      </c>
      <c r="P66" s="164">
        <v>407676669.78333348</v>
      </c>
      <c r="Q66" s="66">
        <v>410408516.69011259</v>
      </c>
      <c r="R66" s="84">
        <v>-6.6564089088868572E-3</v>
      </c>
      <c r="S66" s="66">
        <v>1539889735.2300007</v>
      </c>
      <c r="T66" s="66">
        <v>1499684485.000946</v>
      </c>
      <c r="U66" s="84">
        <v>2.680913927640538E-2</v>
      </c>
      <c r="V66" s="164">
        <v>1947566405.0133343</v>
      </c>
      <c r="W66" s="56">
        <v>1910093001.6910586</v>
      </c>
      <c r="X66" s="84">
        <v>1.9618627621324825E-2</v>
      </c>
    </row>
    <row r="67" spans="1:24" x14ac:dyDescent="0.25">
      <c r="L67" s="118" t="s">
        <v>241</v>
      </c>
      <c r="M67" s="66"/>
      <c r="N67" s="66"/>
      <c r="O67" s="84"/>
      <c r="P67" s="421">
        <v>0.20799991325797465</v>
      </c>
      <c r="Q67" s="422">
        <v>0.21486310683656057</v>
      </c>
      <c r="R67" s="84"/>
      <c r="S67" s="421">
        <v>0.79200008674202538</v>
      </c>
      <c r="T67" s="422">
        <v>0.78513689316343949</v>
      </c>
      <c r="U67" s="72"/>
      <c r="V67" s="164"/>
      <c r="W67" s="56"/>
      <c r="X67" s="84"/>
    </row>
    <row r="68" spans="1:24" x14ac:dyDescent="0.25">
      <c r="L68" s="118" t="s">
        <v>56</v>
      </c>
      <c r="M68" s="66"/>
      <c r="N68" s="66"/>
      <c r="O68" s="84"/>
      <c r="P68" s="300">
        <v>44187078.427900597</v>
      </c>
      <c r="Q68" s="317">
        <v>46118802.265277252</v>
      </c>
      <c r="R68" s="84"/>
      <c r="S68" s="300">
        <v>168250887.22209942</v>
      </c>
      <c r="T68" s="317">
        <v>168523920.46309853</v>
      </c>
      <c r="U68" s="72"/>
      <c r="V68" s="164">
        <v>212437965.65000004</v>
      </c>
      <c r="W68" s="56">
        <v>214642722.72837579</v>
      </c>
      <c r="X68" s="84"/>
    </row>
    <row r="69" spans="1:24" x14ac:dyDescent="0.25">
      <c r="L69" s="218" t="s">
        <v>242</v>
      </c>
      <c r="M69" s="66"/>
      <c r="N69" s="66"/>
      <c r="O69" s="72"/>
      <c r="P69" s="422"/>
      <c r="Q69" s="422"/>
      <c r="R69" s="72"/>
      <c r="S69" s="422"/>
      <c r="T69" s="422"/>
      <c r="U69" s="72"/>
      <c r="V69" s="164">
        <v>212437965.65000001</v>
      </c>
      <c r="W69" s="56">
        <v>214642722.72837576</v>
      </c>
      <c r="X69" s="84"/>
    </row>
  </sheetData>
  <mergeCells count="7">
    <mergeCell ref="S3:U3"/>
    <mergeCell ref="V3:X3"/>
    <mergeCell ref="B3:D3"/>
    <mergeCell ref="E3:G3"/>
    <mergeCell ref="H3:J3"/>
    <mergeCell ref="M3:O3"/>
    <mergeCell ref="P3:R3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1669-8057-48CC-94DF-6483781C8D8F}">
  <dimension ref="A1:J69"/>
  <sheetViews>
    <sheetView tabSelected="1" workbookViewId="0">
      <selection activeCell="G15" sqref="G15"/>
    </sheetView>
  </sheetViews>
  <sheetFormatPr defaultRowHeight="15" x14ac:dyDescent="0.25"/>
  <cols>
    <col min="1" max="1" width="47.5703125" bestFit="1" customWidth="1"/>
    <col min="2" max="3" width="12.7109375" bestFit="1" customWidth="1"/>
    <col min="4" max="4" width="8.5703125" bestFit="1" customWidth="1"/>
    <col min="5" max="6" width="14" bestFit="1" customWidth="1"/>
    <col min="7" max="7" width="34.7109375" bestFit="1" customWidth="1"/>
    <col min="8" max="9" width="14" bestFit="1" customWidth="1"/>
    <col min="10" max="10" width="8.42578125" bestFit="1" customWidth="1"/>
  </cols>
  <sheetData>
    <row r="1" spans="1:10" x14ac:dyDescent="0.25">
      <c r="A1" s="212" t="s">
        <v>0</v>
      </c>
      <c r="B1" s="229" t="s">
        <v>236</v>
      </c>
      <c r="C1" s="214">
        <v>45688</v>
      </c>
      <c r="D1" s="230" t="s">
        <v>237</v>
      </c>
      <c r="E1" s="214">
        <v>46022</v>
      </c>
      <c r="G1" s="231" t="s">
        <v>238</v>
      </c>
      <c r="J1" s="447">
        <v>1</v>
      </c>
    </row>
    <row r="2" spans="1:10" x14ac:dyDescent="0.25">
      <c r="A2" s="23"/>
      <c r="B2" s="42"/>
      <c r="C2" s="55"/>
      <c r="D2" s="213"/>
      <c r="E2" s="42"/>
      <c r="G2" s="213"/>
      <c r="H2" s="42"/>
      <c r="J2" s="213"/>
    </row>
    <row r="3" spans="1:10" x14ac:dyDescent="0.25">
      <c r="A3" s="137"/>
      <c r="B3" s="495" t="s">
        <v>1</v>
      </c>
      <c r="C3" s="495"/>
      <c r="D3" s="494"/>
      <c r="E3" s="496" t="s">
        <v>2</v>
      </c>
      <c r="F3" s="495"/>
      <c r="G3" s="494"/>
      <c r="H3" s="495" t="s">
        <v>3</v>
      </c>
      <c r="I3" s="495"/>
      <c r="J3" s="494"/>
    </row>
    <row r="4" spans="1:10" x14ac:dyDescent="0.25">
      <c r="A4" s="137"/>
      <c r="B4" s="48" t="s">
        <v>5</v>
      </c>
      <c r="C4" s="48" t="s">
        <v>6</v>
      </c>
      <c r="D4" s="80" t="s">
        <v>7</v>
      </c>
      <c r="E4" s="76" t="s">
        <v>5</v>
      </c>
      <c r="F4" s="48" t="s">
        <v>6</v>
      </c>
      <c r="G4" s="80" t="s">
        <v>7</v>
      </c>
      <c r="H4" s="123" t="s">
        <v>5</v>
      </c>
      <c r="I4" s="123" t="s">
        <v>6</v>
      </c>
      <c r="J4" s="136" t="s">
        <v>7</v>
      </c>
    </row>
    <row r="5" spans="1:10" x14ac:dyDescent="0.25">
      <c r="A5" s="451" t="s">
        <v>9</v>
      </c>
      <c r="B5" s="507">
        <v>88269443.918068916</v>
      </c>
      <c r="C5" s="506">
        <v>84959052.245709285</v>
      </c>
      <c r="D5" s="87">
        <v>3.8964555098680576E-2</v>
      </c>
      <c r="E5" s="507">
        <v>272313864.071931</v>
      </c>
      <c r="F5" s="506">
        <v>293729283.70117211</v>
      </c>
      <c r="G5" s="87">
        <v>-7.2908697966350022E-2</v>
      </c>
      <c r="H5" s="506">
        <v>360583307.98999995</v>
      </c>
      <c r="I5" s="506">
        <v>378688335.94688129</v>
      </c>
      <c r="J5" s="87">
        <v>-4.7809837901690577E-2</v>
      </c>
    </row>
    <row r="6" spans="1:10" x14ac:dyDescent="0.25">
      <c r="A6" s="233" t="s">
        <v>10</v>
      </c>
      <c r="B6" s="112">
        <v>87920540.611735299</v>
      </c>
      <c r="C6" s="112">
        <v>83941999.62941049</v>
      </c>
      <c r="D6" s="74">
        <v>4.7396309355142607E-2</v>
      </c>
      <c r="E6" s="111">
        <v>235061838.28826463</v>
      </c>
      <c r="F6" s="112">
        <v>261894426.24448463</v>
      </c>
      <c r="G6" s="74">
        <v>-0.10245574272425007</v>
      </c>
      <c r="H6" s="112">
        <v>322982378.89999992</v>
      </c>
      <c r="I6" s="112">
        <v>345836425.87389511</v>
      </c>
      <c r="J6" s="74">
        <v>-6.6083400313154517E-2</v>
      </c>
    </row>
    <row r="7" spans="1:10" x14ac:dyDescent="0.25">
      <c r="A7" s="288" t="s">
        <v>11</v>
      </c>
      <c r="B7" s="69">
        <v>68686739.329999983</v>
      </c>
      <c r="C7" s="69">
        <v>66826764.839100353</v>
      </c>
      <c r="D7" s="289">
        <v>2.7832777710815604E-2</v>
      </c>
      <c r="E7" s="290">
        <v>183327120.24999994</v>
      </c>
      <c r="F7" s="69">
        <v>181242171.85207579</v>
      </c>
      <c r="G7" s="289">
        <v>1.150366041533557E-2</v>
      </c>
      <c r="H7" s="69">
        <v>252013859.57999992</v>
      </c>
      <c r="I7" s="69">
        <v>248068936.69117615</v>
      </c>
      <c r="J7" s="289">
        <v>1.5902526698596153E-2</v>
      </c>
    </row>
    <row r="8" spans="1:10" x14ac:dyDescent="0.25">
      <c r="A8" s="288" t="s">
        <v>12</v>
      </c>
      <c r="B8" s="69">
        <v>0</v>
      </c>
      <c r="C8" s="69">
        <v>0</v>
      </c>
      <c r="D8" s="289" t="s">
        <v>451</v>
      </c>
      <c r="E8" s="290">
        <v>46919033.060000002</v>
      </c>
      <c r="F8" s="69">
        <v>78348181.568348736</v>
      </c>
      <c r="G8" s="289">
        <v>-0.40114713423094361</v>
      </c>
      <c r="H8" s="69">
        <v>46919033.060000002</v>
      </c>
      <c r="I8" s="69">
        <v>78348181.568348736</v>
      </c>
      <c r="J8" s="289">
        <v>-0.40114713423094361</v>
      </c>
    </row>
    <row r="9" spans="1:10" x14ac:dyDescent="0.25">
      <c r="A9" s="288" t="s">
        <v>13</v>
      </c>
      <c r="B9" s="69">
        <v>0</v>
      </c>
      <c r="C9" s="69">
        <v>0</v>
      </c>
      <c r="D9" s="289" t="s">
        <v>451</v>
      </c>
      <c r="E9" s="290">
        <v>4285982.5799999991</v>
      </c>
      <c r="F9" s="69">
        <v>1816085.2834077682</v>
      </c>
      <c r="G9" s="289">
        <v>1.3600117346678928</v>
      </c>
      <c r="H9" s="69">
        <v>4285982.5799999991</v>
      </c>
      <c r="I9" s="69">
        <v>1816085.2834077682</v>
      </c>
      <c r="J9" s="289">
        <v>1.3600117346678928</v>
      </c>
    </row>
    <row r="10" spans="1:10" x14ac:dyDescent="0.25">
      <c r="A10" s="288"/>
      <c r="B10" s="69"/>
      <c r="C10" s="69"/>
      <c r="D10" s="289"/>
      <c r="E10" s="290"/>
      <c r="F10" s="69"/>
      <c r="G10" s="289"/>
      <c r="H10" s="69"/>
      <c r="I10" s="69"/>
      <c r="J10" s="289"/>
    </row>
    <row r="11" spans="1:10" x14ac:dyDescent="0.25">
      <c r="A11" s="288" t="s">
        <v>14</v>
      </c>
      <c r="B11" s="51">
        <v>19233801.281735316</v>
      </c>
      <c r="C11" s="51">
        <v>17115234.790310137</v>
      </c>
      <c r="D11" s="57">
        <v>0.1237824965524057</v>
      </c>
      <c r="E11" s="50">
        <v>529702.39826468087</v>
      </c>
      <c r="F11" s="51">
        <v>487987.5406523429</v>
      </c>
      <c r="G11" s="57">
        <v>8.5483448115444727E-2</v>
      </c>
      <c r="H11" s="51">
        <v>19763503.679999996</v>
      </c>
      <c r="I11" s="51">
        <v>17603222.330962479</v>
      </c>
      <c r="J11" s="57">
        <v>0.1227207898884386</v>
      </c>
    </row>
    <row r="12" spans="1:10" x14ac:dyDescent="0.25">
      <c r="A12" s="234" t="s">
        <v>15</v>
      </c>
      <c r="B12" s="51">
        <v>0</v>
      </c>
      <c r="C12" s="51">
        <v>531524.41414060327</v>
      </c>
      <c r="D12" s="57">
        <v>-1</v>
      </c>
      <c r="E12" s="50">
        <v>18145792.369999997</v>
      </c>
      <c r="F12" s="51">
        <v>14301322</v>
      </c>
      <c r="G12" s="57">
        <v>0.26881923013830455</v>
      </c>
      <c r="H12" s="51">
        <v>18145792.369999997</v>
      </c>
      <c r="I12" s="51">
        <v>14832846.414140603</v>
      </c>
      <c r="J12" s="57">
        <v>0.22335200293728263</v>
      </c>
    </row>
    <row r="13" spans="1:10" x14ac:dyDescent="0.25">
      <c r="A13" s="234" t="s">
        <v>16</v>
      </c>
      <c r="B13" s="51">
        <v>348903.30633361702</v>
      </c>
      <c r="C13" s="51">
        <v>485528.20215819799</v>
      </c>
      <c r="D13" s="57">
        <v>-0.28139435612035768</v>
      </c>
      <c r="E13" s="50">
        <v>493609.1936663831</v>
      </c>
      <c r="F13" s="51">
        <v>655463.07291356754</v>
      </c>
      <c r="G13" s="57">
        <v>-0.24693058378977095</v>
      </c>
      <c r="H13" s="51">
        <v>842512.50000000012</v>
      </c>
      <c r="I13" s="51">
        <v>1140991.2750717655</v>
      </c>
      <c r="J13" s="57">
        <v>-0.26159601882406314</v>
      </c>
    </row>
    <row r="14" spans="1:10" x14ac:dyDescent="0.25">
      <c r="A14" s="234" t="s">
        <v>17</v>
      </c>
      <c r="B14" s="51">
        <v>0</v>
      </c>
      <c r="C14" s="51">
        <v>0</v>
      </c>
      <c r="D14" s="57" t="s">
        <v>451</v>
      </c>
      <c r="E14" s="50">
        <v>4424123.92</v>
      </c>
      <c r="F14" s="51">
        <v>4857056.446978556</v>
      </c>
      <c r="G14" s="57">
        <v>-8.9134753055602589E-2</v>
      </c>
      <c r="H14" s="51">
        <v>4424123.92</v>
      </c>
      <c r="I14" s="51">
        <v>4857056.446978556</v>
      </c>
      <c r="J14" s="57">
        <v>-8.9134753055602589E-2</v>
      </c>
    </row>
    <row r="15" spans="1:10" x14ac:dyDescent="0.25">
      <c r="A15" s="234" t="s">
        <v>18</v>
      </c>
      <c r="B15" s="51">
        <v>0</v>
      </c>
      <c r="C15" s="51">
        <v>0</v>
      </c>
      <c r="D15" s="57" t="s">
        <v>451</v>
      </c>
      <c r="E15" s="50">
        <v>3983364.57</v>
      </c>
      <c r="F15" s="51">
        <v>3360000</v>
      </c>
      <c r="G15" s="57">
        <v>0.18552516964285704</v>
      </c>
      <c r="H15" s="51">
        <v>3983364.57</v>
      </c>
      <c r="I15" s="51">
        <v>3360000</v>
      </c>
      <c r="J15" s="57">
        <v>0.18552516964285704</v>
      </c>
    </row>
    <row r="16" spans="1:10" x14ac:dyDescent="0.25">
      <c r="A16" s="292" t="s">
        <v>206</v>
      </c>
      <c r="B16" s="69">
        <v>0</v>
      </c>
      <c r="C16" s="69">
        <v>0</v>
      </c>
      <c r="D16" s="289" t="s">
        <v>451</v>
      </c>
      <c r="E16" s="290">
        <v>410438.52999999997</v>
      </c>
      <c r="F16" s="69">
        <v>0</v>
      </c>
      <c r="G16" s="289" t="s">
        <v>451</v>
      </c>
      <c r="H16" s="69">
        <v>410438.52999999997</v>
      </c>
      <c r="I16" s="69">
        <v>0</v>
      </c>
      <c r="J16" s="289" t="s">
        <v>451</v>
      </c>
    </row>
    <row r="17" spans="1:10" x14ac:dyDescent="0.25">
      <c r="A17" s="292" t="s">
        <v>207</v>
      </c>
      <c r="B17" s="69">
        <v>0</v>
      </c>
      <c r="C17" s="69">
        <v>0</v>
      </c>
      <c r="D17" s="289" t="s">
        <v>451</v>
      </c>
      <c r="E17" s="290">
        <v>1667265.4340000001</v>
      </c>
      <c r="F17" s="69">
        <v>0</v>
      </c>
      <c r="G17" s="289" t="s">
        <v>451</v>
      </c>
      <c r="H17" s="69">
        <v>1667265.4340000001</v>
      </c>
      <c r="I17" s="69">
        <v>0</v>
      </c>
      <c r="J17" s="289" t="s">
        <v>451</v>
      </c>
    </row>
    <row r="18" spans="1:10" x14ac:dyDescent="0.25">
      <c r="A18" s="292" t="s">
        <v>208</v>
      </c>
      <c r="B18" s="69">
        <v>0</v>
      </c>
      <c r="C18" s="69">
        <v>0</v>
      </c>
      <c r="D18" s="289" t="s">
        <v>451</v>
      </c>
      <c r="E18" s="290">
        <v>931451.97499999998</v>
      </c>
      <c r="F18" s="69">
        <v>0</v>
      </c>
      <c r="G18" s="289" t="s">
        <v>451</v>
      </c>
      <c r="H18" s="69">
        <v>931451.97499999998</v>
      </c>
      <c r="I18" s="69">
        <v>0</v>
      </c>
      <c r="J18" s="289" t="s">
        <v>451</v>
      </c>
    </row>
    <row r="19" spans="1:10" x14ac:dyDescent="0.25">
      <c r="A19" s="234" t="s">
        <v>19</v>
      </c>
      <c r="B19" s="51">
        <v>0</v>
      </c>
      <c r="C19" s="51">
        <v>0</v>
      </c>
      <c r="D19" s="57" t="s">
        <v>451</v>
      </c>
      <c r="E19" s="50">
        <v>8976643.6699999999</v>
      </c>
      <c r="F19" s="51">
        <v>7888318.3509178814</v>
      </c>
      <c r="G19" s="57">
        <v>0.13796670857680104</v>
      </c>
      <c r="H19" s="51">
        <v>8976643.6699999999</v>
      </c>
      <c r="I19" s="51">
        <v>7888318.3509178814</v>
      </c>
      <c r="J19" s="57">
        <v>0.13796670857680104</v>
      </c>
    </row>
    <row r="20" spans="1:10" x14ac:dyDescent="0.25">
      <c r="A20" s="234" t="s">
        <v>20</v>
      </c>
      <c r="B20" s="51">
        <v>0</v>
      </c>
      <c r="C20" s="51">
        <v>0</v>
      </c>
      <c r="D20" s="57" t="s">
        <v>451</v>
      </c>
      <c r="E20" s="50">
        <v>683540.55000000133</v>
      </c>
      <c r="F20" s="51">
        <v>772697.58587743749</v>
      </c>
      <c r="G20" s="57">
        <v>-0.11538412634768858</v>
      </c>
      <c r="H20" s="51">
        <v>683540.55000000133</v>
      </c>
      <c r="I20" s="51">
        <v>772697.58587743749</v>
      </c>
      <c r="J20" s="57">
        <v>-0.11538412634768858</v>
      </c>
    </row>
    <row r="21" spans="1:10" x14ac:dyDescent="0.25">
      <c r="A21" s="234" t="s">
        <v>21</v>
      </c>
      <c r="B21" s="51">
        <v>0</v>
      </c>
      <c r="C21" s="51">
        <v>0</v>
      </c>
      <c r="D21" s="57" t="s">
        <v>451</v>
      </c>
      <c r="E21" s="50">
        <v>544951.51</v>
      </c>
      <c r="F21" s="51">
        <v>0</v>
      </c>
      <c r="G21" s="57" t="s">
        <v>451</v>
      </c>
      <c r="H21" s="51">
        <v>544951.51</v>
      </c>
      <c r="I21" s="51">
        <v>0</v>
      </c>
      <c r="J21" s="57" t="s">
        <v>451</v>
      </c>
    </row>
    <row r="22" spans="1:10" x14ac:dyDescent="0.25">
      <c r="A22" s="508" t="s">
        <v>23</v>
      </c>
      <c r="B22" s="236">
        <v>-48653179.238372304</v>
      </c>
      <c r="C22" s="236">
        <v>-45170056.628978945</v>
      </c>
      <c r="D22" s="87">
        <v>7.7111318190350664E-2</v>
      </c>
      <c r="E22" s="237">
        <v>-132054014.10162772</v>
      </c>
      <c r="F22" s="236">
        <v>-142108748.29065725</v>
      </c>
      <c r="G22" s="87">
        <v>-7.0753801648188674E-2</v>
      </c>
      <c r="H22" s="236">
        <v>-180707193.34000003</v>
      </c>
      <c r="I22" s="236">
        <v>-187278804.91963619</v>
      </c>
      <c r="J22" s="87">
        <v>-3.5089991002751897E-2</v>
      </c>
    </row>
    <row r="23" spans="1:10" x14ac:dyDescent="0.25">
      <c r="A23" s="233" t="s">
        <v>24</v>
      </c>
      <c r="B23" s="112">
        <v>-48653179.238372304</v>
      </c>
      <c r="C23" s="112">
        <v>-45170056.628978945</v>
      </c>
      <c r="D23" s="168">
        <v>7.7111318190350664E-2</v>
      </c>
      <c r="E23" s="111">
        <v>-132054014.10162772</v>
      </c>
      <c r="F23" s="112">
        <v>-142108748.29065725</v>
      </c>
      <c r="G23" s="168">
        <v>-7.0753801648188674E-2</v>
      </c>
      <c r="H23" s="112">
        <v>-180707193.34000003</v>
      </c>
      <c r="I23" s="112">
        <v>-187278804.91963619</v>
      </c>
      <c r="J23" s="168">
        <v>-3.5089991002751897E-2</v>
      </c>
    </row>
    <row r="24" spans="1:10" x14ac:dyDescent="0.25">
      <c r="A24" s="288" t="s">
        <v>25</v>
      </c>
      <c r="B24" s="69">
        <v>0</v>
      </c>
      <c r="C24" s="69">
        <v>0</v>
      </c>
      <c r="D24" s="280" t="s">
        <v>451</v>
      </c>
      <c r="E24" s="290">
        <v>-53112595.3156</v>
      </c>
      <c r="F24" s="69">
        <v>-77654065.203214914</v>
      </c>
      <c r="G24" s="280">
        <v>-0.31603586783759119</v>
      </c>
      <c r="H24" s="69">
        <v>-53112595.3156</v>
      </c>
      <c r="I24" s="69">
        <v>-77654065.203214914</v>
      </c>
      <c r="J24" s="280">
        <v>-0.31603586783759119</v>
      </c>
    </row>
    <row r="25" spans="1:10" x14ac:dyDescent="0.25">
      <c r="A25" s="288" t="s">
        <v>28</v>
      </c>
      <c r="B25" s="69">
        <v>-61004861.419318475</v>
      </c>
      <c r="C25" s="69">
        <v>-57980136.292790405</v>
      </c>
      <c r="D25" s="280">
        <v>5.2168299695842135E-2</v>
      </c>
      <c r="E25" s="290">
        <v>-100751943.36508156</v>
      </c>
      <c r="F25" s="69">
        <v>-84729262.193291232</v>
      </c>
      <c r="G25" s="280">
        <v>0.18910445762218608</v>
      </c>
      <c r="H25" s="69">
        <v>-161756804.78440005</v>
      </c>
      <c r="I25" s="69">
        <v>-142709398.48608163</v>
      </c>
      <c r="J25" s="280">
        <v>0.13346988005261684</v>
      </c>
    </row>
    <row r="26" spans="1:10" x14ac:dyDescent="0.25">
      <c r="A26" s="288" t="s">
        <v>29</v>
      </c>
      <c r="B26" s="69">
        <v>5493918.9309461713</v>
      </c>
      <c r="C26" s="69">
        <v>5922495.9634070927</v>
      </c>
      <c r="D26" s="280">
        <v>-7.2364259107805196E-2</v>
      </c>
      <c r="E26" s="290">
        <v>18476785.379053831</v>
      </c>
      <c r="F26" s="69">
        <v>18971718.877966382</v>
      </c>
      <c r="G26" s="280">
        <v>-2.6087962935575804E-2</v>
      </c>
      <c r="H26" s="69">
        <v>23970704.310000002</v>
      </c>
      <c r="I26" s="69">
        <v>24894214.841373473</v>
      </c>
      <c r="J26" s="280">
        <v>-3.7097395409258827E-2</v>
      </c>
    </row>
    <row r="27" spans="1:10" x14ac:dyDescent="0.25">
      <c r="A27" s="288" t="s">
        <v>30</v>
      </c>
      <c r="B27" s="69">
        <v>6857763.25</v>
      </c>
      <c r="C27" s="69">
        <v>6887583.7004043702</v>
      </c>
      <c r="D27" s="280">
        <v>-4.3295953561507394E-3</v>
      </c>
      <c r="E27" s="290">
        <v>3333739.2</v>
      </c>
      <c r="F27" s="69">
        <v>1302860.2278825049</v>
      </c>
      <c r="G27" s="280">
        <v>1.558784993704363</v>
      </c>
      <c r="H27" s="69">
        <v>10191502.449999999</v>
      </c>
      <c r="I27" s="69">
        <v>8190443.9282868747</v>
      </c>
      <c r="J27" s="280">
        <v>0.24431624698658649</v>
      </c>
    </row>
    <row r="28" spans="1:10" x14ac:dyDescent="0.25">
      <c r="A28" s="235" t="s">
        <v>31</v>
      </c>
      <c r="B28" s="54">
        <v>-1591790.6186705858</v>
      </c>
      <c r="C28" s="54">
        <v>-1792668.0663915609</v>
      </c>
      <c r="D28" s="114">
        <v>-0.11205501536339568</v>
      </c>
      <c r="E28" s="53">
        <v>-6527501.4713294124</v>
      </c>
      <c r="F28" s="54">
        <v>-6510661.0809474252</v>
      </c>
      <c r="G28" s="114">
        <v>2.5865868569427963E-3</v>
      </c>
      <c r="H28" s="54">
        <v>-8119292.089999998</v>
      </c>
      <c r="I28" s="54">
        <v>-8303329.1473389864</v>
      </c>
      <c r="J28" s="114">
        <v>-2.2164249311731554E-2</v>
      </c>
    </row>
    <row r="29" spans="1:10" x14ac:dyDescent="0.25">
      <c r="A29" s="508" t="s">
        <v>32</v>
      </c>
      <c r="B29" s="509">
        <v>38024474.061026029</v>
      </c>
      <c r="C29" s="509">
        <v>37996327.550338782</v>
      </c>
      <c r="D29" s="87">
        <v>7.4076924013133372E-4</v>
      </c>
      <c r="E29" s="510">
        <v>133732348.49897389</v>
      </c>
      <c r="F29" s="509">
        <v>145109874.32956743</v>
      </c>
      <c r="G29" s="87">
        <v>-7.840628270928951E-2</v>
      </c>
      <c r="H29" s="509">
        <v>171756822.55999991</v>
      </c>
      <c r="I29" s="509">
        <v>183106201.87990612</v>
      </c>
      <c r="J29" s="87">
        <v>-6.198249542279255E-2</v>
      </c>
    </row>
    <row r="30" spans="1:10" x14ac:dyDescent="0.25">
      <c r="A30" s="118" t="s">
        <v>33</v>
      </c>
      <c r="B30" s="66">
        <v>-5498186.0799999991</v>
      </c>
      <c r="C30" s="66">
        <v>-7372217.7786294352</v>
      </c>
      <c r="D30" s="113">
        <v>-0.25420189078812538</v>
      </c>
      <c r="E30" s="164">
        <v>-14656115.159999998</v>
      </c>
      <c r="F30" s="66">
        <v>-7837978.2707761629</v>
      </c>
      <c r="G30" s="113">
        <v>0.86988463780834935</v>
      </c>
      <c r="H30" s="66">
        <v>-20154301.239999998</v>
      </c>
      <c r="I30" s="66">
        <v>-15210196.049405597</v>
      </c>
      <c r="J30" s="113">
        <v>0.32505203578803399</v>
      </c>
    </row>
    <row r="31" spans="1:10" x14ac:dyDescent="0.25">
      <c r="A31" s="511" t="s">
        <v>33</v>
      </c>
      <c r="B31" s="282">
        <v>-5498186.0799999991</v>
      </c>
      <c r="C31" s="282">
        <v>-7372217.7786294352</v>
      </c>
      <c r="D31" s="275">
        <v>-0.25420189078812538</v>
      </c>
      <c r="E31" s="512">
        <v>-10630351.889999999</v>
      </c>
      <c r="F31" s="282">
        <v>-7837978.2707761629</v>
      </c>
      <c r="G31" s="275">
        <v>0.35626197505996893</v>
      </c>
      <c r="H31" s="66">
        <v>-16128537.969999999</v>
      </c>
      <c r="I31" s="66">
        <v>-15210196.049405597</v>
      </c>
      <c r="J31" s="113">
        <v>6.0376731345963774E-2</v>
      </c>
    </row>
    <row r="32" spans="1:10" x14ac:dyDescent="0.25">
      <c r="A32" s="511" t="s">
        <v>211</v>
      </c>
      <c r="B32" s="282">
        <v>0</v>
      </c>
      <c r="C32" s="282">
        <v>0</v>
      </c>
      <c r="D32" s="275" t="s">
        <v>451</v>
      </c>
      <c r="E32" s="512">
        <v>-4025763.27</v>
      </c>
      <c r="F32" s="282">
        <v>0</v>
      </c>
      <c r="G32" s="275" t="s">
        <v>451</v>
      </c>
      <c r="H32" s="66">
        <v>-4025763.27</v>
      </c>
      <c r="I32" s="66">
        <v>0</v>
      </c>
      <c r="J32" s="113" t="s">
        <v>451</v>
      </c>
    </row>
    <row r="33" spans="1:10" x14ac:dyDescent="0.25">
      <c r="A33" s="451" t="s">
        <v>35</v>
      </c>
      <c r="B33" s="506">
        <v>32526287.981026031</v>
      </c>
      <c r="C33" s="506">
        <v>30624109.771709345</v>
      </c>
      <c r="D33" s="87">
        <v>6.2113747093276217E-2</v>
      </c>
      <c r="E33" s="507">
        <v>119076233.33897389</v>
      </c>
      <c r="F33" s="506">
        <v>137271896.05879128</v>
      </c>
      <c r="G33" s="87">
        <v>-0.13255198800506462</v>
      </c>
      <c r="H33" s="506">
        <v>151602521.3199999</v>
      </c>
      <c r="I33" s="506">
        <v>167896005.83050051</v>
      </c>
      <c r="J33" s="87">
        <v>-9.704509901771996E-2</v>
      </c>
    </row>
    <row r="34" spans="1:10" x14ac:dyDescent="0.25">
      <c r="A34" s="233" t="s">
        <v>1363</v>
      </c>
      <c r="B34" s="513">
        <v>-17658238.012278315</v>
      </c>
      <c r="C34" s="513">
        <v>-20638805.5347992</v>
      </c>
      <c r="D34" s="514">
        <v>-0.14441569874261062</v>
      </c>
      <c r="E34" s="515">
        <v>-52085354.287721559</v>
      </c>
      <c r="F34" s="513">
        <v>-55082876.757599086</v>
      </c>
      <c r="G34" s="514">
        <v>-5.4418408157377085E-2</v>
      </c>
      <c r="H34" s="513">
        <v>-69743592.299999863</v>
      </c>
      <c r="I34" s="513">
        <v>-75721682.292398289</v>
      </c>
      <c r="J34" s="514">
        <v>-7.8948193059342087E-2</v>
      </c>
    </row>
    <row r="35" spans="1:10" x14ac:dyDescent="0.25">
      <c r="A35" s="234" t="s">
        <v>36</v>
      </c>
      <c r="B35" s="51">
        <v>-9020916.0521943681</v>
      </c>
      <c r="C35" s="51">
        <v>-8317602.0712007023</v>
      </c>
      <c r="D35" s="58">
        <v>8.4557300887097897E-2</v>
      </c>
      <c r="E35" s="50">
        <v>-30259435.958541404</v>
      </c>
      <c r="F35" s="51">
        <v>-26684630.337192975</v>
      </c>
      <c r="G35" s="58">
        <v>0.13396496695574878</v>
      </c>
      <c r="H35" s="51">
        <v>-39280352.010735773</v>
      </c>
      <c r="I35" s="51">
        <v>-35002232.408393681</v>
      </c>
      <c r="J35" s="58">
        <v>0.12222419280080499</v>
      </c>
    </row>
    <row r="36" spans="1:10" x14ac:dyDescent="0.25">
      <c r="A36" s="234" t="s">
        <v>217</v>
      </c>
      <c r="B36" s="51">
        <v>0</v>
      </c>
      <c r="C36" s="51"/>
      <c r="D36" s="58" t="s">
        <v>451</v>
      </c>
      <c r="E36" s="50">
        <v>0</v>
      </c>
      <c r="F36" s="51"/>
      <c r="G36" s="58" t="s">
        <v>451</v>
      </c>
      <c r="H36" s="51">
        <v>-8210141.7700000014</v>
      </c>
      <c r="I36" s="51">
        <v>-8194948.9323452339</v>
      </c>
      <c r="J36" s="58">
        <v>1.8539270690025589E-3</v>
      </c>
    </row>
    <row r="37" spans="1:10" x14ac:dyDescent="0.25">
      <c r="A37" s="235" t="s">
        <v>142</v>
      </c>
      <c r="B37" s="54">
        <v>-2713906.0907658553</v>
      </c>
      <c r="C37" s="54">
        <v>-283764.47087644466</v>
      </c>
      <c r="D37" s="114">
        <v>8.5639390032994331</v>
      </c>
      <c r="E37" s="53">
        <v>-2649708.129234144</v>
      </c>
      <c r="F37" s="54">
        <v>-2628323.3652636828</v>
      </c>
      <c r="G37" s="114">
        <v>8.1362758681391423E-3</v>
      </c>
      <c r="H37" s="54">
        <v>-5363614.2199999988</v>
      </c>
      <c r="I37" s="54">
        <v>-2912087.8361401274</v>
      </c>
      <c r="J37" s="114">
        <v>0.84184493112999137</v>
      </c>
    </row>
    <row r="38" spans="1:10" x14ac:dyDescent="0.25">
      <c r="A38" s="451" t="s">
        <v>38</v>
      </c>
      <c r="B38" s="506">
        <v>20791465.838065807</v>
      </c>
      <c r="C38" s="506">
        <v>22022743.229632199</v>
      </c>
      <c r="D38" s="87">
        <v>-5.5909356011092926E-2</v>
      </c>
      <c r="E38" s="507">
        <v>86167089.251198336</v>
      </c>
      <c r="F38" s="506">
        <v>107958942.35633461</v>
      </c>
      <c r="G38" s="87">
        <v>-0.20185315481517974</v>
      </c>
      <c r="H38" s="506">
        <v>98748413.319264129</v>
      </c>
      <c r="I38" s="506">
        <v>121786736.65362146</v>
      </c>
      <c r="J38" s="87">
        <v>-0.18916939534952437</v>
      </c>
    </row>
    <row r="39" spans="1:10" x14ac:dyDescent="0.25">
      <c r="A39" s="118" t="s">
        <v>39</v>
      </c>
      <c r="B39" s="66">
        <v>-8637321.9600839466</v>
      </c>
      <c r="C39" s="66">
        <v>-12321203.463598497</v>
      </c>
      <c r="D39" s="84">
        <v>-0.29898714962366557</v>
      </c>
      <c r="E39" s="164">
        <v>-21825918.329180151</v>
      </c>
      <c r="F39" s="66">
        <v>-28398246.420406107</v>
      </c>
      <c r="G39" s="84">
        <v>-0.23143429329859189</v>
      </c>
      <c r="H39" s="66">
        <v>-30463240.289264098</v>
      </c>
      <c r="I39" s="66">
        <v>-40719449.884004608</v>
      </c>
      <c r="J39" s="84">
        <v>-0.25187495469503751</v>
      </c>
    </row>
    <row r="40" spans="1:10" x14ac:dyDescent="0.25">
      <c r="A40" s="451" t="s">
        <v>41</v>
      </c>
      <c r="B40" s="506">
        <v>12154143.87798186</v>
      </c>
      <c r="C40" s="506">
        <v>9701539.7660337016</v>
      </c>
      <c r="D40" s="87">
        <v>0.25280565467917082</v>
      </c>
      <c r="E40" s="507">
        <v>64341170.922018193</v>
      </c>
      <c r="F40" s="506">
        <v>79560695.935928509</v>
      </c>
      <c r="G40" s="87">
        <v>-0.1912945184160636</v>
      </c>
      <c r="H40" s="506">
        <v>68285173.030000046</v>
      </c>
      <c r="I40" s="506">
        <v>81067286.769616872</v>
      </c>
      <c r="J40" s="87">
        <v>-0.1576728943197766</v>
      </c>
    </row>
    <row r="41" spans="1:10" x14ac:dyDescent="0.25">
      <c r="A41" s="118" t="s">
        <v>42</v>
      </c>
      <c r="B41" s="66">
        <v>-2350694.5628749123</v>
      </c>
      <c r="C41" s="66">
        <v>-2591942.1796897165</v>
      </c>
      <c r="D41" s="84">
        <v>-9.3076002507001987E-2</v>
      </c>
      <c r="E41" s="164">
        <v>-10196004.881125065</v>
      </c>
      <c r="F41" s="66">
        <v>-20766279.049035661</v>
      </c>
      <c r="G41" s="84">
        <v>-0.50901146724219992</v>
      </c>
      <c r="H41" s="66">
        <v>-12546699.443999976</v>
      </c>
      <c r="I41" s="66">
        <v>-23358221.228725377</v>
      </c>
      <c r="J41" s="84">
        <v>-0.46285723895061204</v>
      </c>
    </row>
    <row r="42" spans="1:10" x14ac:dyDescent="0.25">
      <c r="A42" s="451" t="s">
        <v>213</v>
      </c>
      <c r="B42" s="516">
        <v>9803449.315106947</v>
      </c>
      <c r="C42" s="516">
        <v>7109597.5863439851</v>
      </c>
      <c r="D42" s="87">
        <v>0.37890354496818146</v>
      </c>
      <c r="E42" s="517">
        <v>54145166.04089313</v>
      </c>
      <c r="F42" s="516">
        <v>58794416.886892848</v>
      </c>
      <c r="G42" s="87">
        <v>-7.9076400314400996E-2</v>
      </c>
      <c r="H42" s="516">
        <v>55738473.58600007</v>
      </c>
      <c r="I42" s="516">
        <v>57709065.540891498</v>
      </c>
      <c r="J42" s="87">
        <v>-3.4147008557868674E-2</v>
      </c>
    </row>
    <row r="43" spans="1:10" x14ac:dyDescent="0.25">
      <c r="A43" s="118" t="s">
        <v>154</v>
      </c>
      <c r="B43" s="66">
        <v>0</v>
      </c>
      <c r="C43" s="66">
        <v>0</v>
      </c>
      <c r="D43" s="84" t="s">
        <v>451</v>
      </c>
      <c r="E43" s="164">
        <v>1868106.3439999998</v>
      </c>
      <c r="F43" s="66">
        <v>2222827.0487146014</v>
      </c>
      <c r="G43" s="84">
        <v>-0.15958088368581202</v>
      </c>
      <c r="H43" s="66">
        <v>1868106.3439999998</v>
      </c>
      <c r="I43" s="66">
        <v>2222827.0487146014</v>
      </c>
      <c r="J43" s="84">
        <v>-0.15958088368581202</v>
      </c>
    </row>
    <row r="44" spans="1:10" x14ac:dyDescent="0.25">
      <c r="A44" s="238" t="s">
        <v>1355</v>
      </c>
      <c r="B44" s="51">
        <v>0</v>
      </c>
      <c r="C44" s="51">
        <v>0</v>
      </c>
      <c r="D44" s="57" t="s">
        <v>451</v>
      </c>
      <c r="E44" s="50">
        <v>0</v>
      </c>
      <c r="F44" s="51">
        <v>0</v>
      </c>
      <c r="G44" s="57" t="s">
        <v>451</v>
      </c>
      <c r="H44" s="51">
        <v>0</v>
      </c>
      <c r="I44" s="51">
        <v>0</v>
      </c>
      <c r="J44" s="60" t="s">
        <v>451</v>
      </c>
    </row>
    <row r="45" spans="1:10" x14ac:dyDescent="0.25">
      <c r="A45" s="518" t="s">
        <v>1356</v>
      </c>
      <c r="B45" s="51">
        <v>0</v>
      </c>
      <c r="C45" s="51">
        <v>0</v>
      </c>
      <c r="D45" s="57" t="s">
        <v>451</v>
      </c>
      <c r="E45" s="50">
        <v>0</v>
      </c>
      <c r="F45" s="51">
        <v>0</v>
      </c>
      <c r="G45" s="57" t="s">
        <v>451</v>
      </c>
      <c r="H45" s="51">
        <v>0</v>
      </c>
      <c r="I45" s="51">
        <v>0</v>
      </c>
      <c r="J45" s="60" t="s">
        <v>451</v>
      </c>
    </row>
    <row r="46" spans="1:10" x14ac:dyDescent="0.25">
      <c r="A46" s="518" t="s">
        <v>1357</v>
      </c>
      <c r="B46" s="51">
        <v>0</v>
      </c>
      <c r="C46" s="51">
        <v>0</v>
      </c>
      <c r="D46" s="57" t="s">
        <v>451</v>
      </c>
      <c r="E46" s="50">
        <v>0</v>
      </c>
      <c r="F46" s="51">
        <v>0</v>
      </c>
      <c r="G46" s="57" t="s">
        <v>451</v>
      </c>
      <c r="H46" s="51">
        <v>0</v>
      </c>
      <c r="I46" s="51">
        <v>0</v>
      </c>
      <c r="J46" s="60" t="s">
        <v>451</v>
      </c>
    </row>
    <row r="47" spans="1:10" x14ac:dyDescent="0.25">
      <c r="A47" s="518" t="s">
        <v>1358</v>
      </c>
      <c r="B47" s="51">
        <v>0</v>
      </c>
      <c r="C47" s="51">
        <v>0</v>
      </c>
      <c r="D47" s="57" t="s">
        <v>451</v>
      </c>
      <c r="E47" s="50">
        <v>0</v>
      </c>
      <c r="F47" s="51">
        <v>0</v>
      </c>
      <c r="G47" s="57" t="s">
        <v>451</v>
      </c>
      <c r="H47" s="51">
        <v>0</v>
      </c>
      <c r="I47" s="51">
        <v>0</v>
      </c>
      <c r="J47" s="60" t="s">
        <v>451</v>
      </c>
    </row>
    <row r="48" spans="1:10" x14ac:dyDescent="0.25">
      <c r="A48" s="118" t="s">
        <v>1359</v>
      </c>
      <c r="B48" s="66">
        <v>0</v>
      </c>
      <c r="C48" s="66">
        <v>0</v>
      </c>
      <c r="D48" s="84" t="s">
        <v>451</v>
      </c>
      <c r="E48" s="164">
        <v>-1249875</v>
      </c>
      <c r="F48" s="66">
        <v>-1249875</v>
      </c>
      <c r="G48" s="84">
        <v>0</v>
      </c>
      <c r="H48" s="66">
        <v>-1249875</v>
      </c>
      <c r="I48" s="66">
        <v>-1249875</v>
      </c>
      <c r="J48" s="84">
        <v>0</v>
      </c>
    </row>
    <row r="49" spans="1:10" x14ac:dyDescent="0.25">
      <c r="A49" s="118" t="s">
        <v>219</v>
      </c>
      <c r="B49" s="66">
        <v>-186920.00525531912</v>
      </c>
      <c r="C49" s="66">
        <v>-1290000.0000000002</v>
      </c>
      <c r="D49" s="84"/>
      <c r="E49" s="164">
        <v>-321978.75941134756</v>
      </c>
      <c r="F49" s="66">
        <v>-1710000</v>
      </c>
      <c r="G49" s="84"/>
      <c r="H49" s="66">
        <v>-508898.76466666668</v>
      </c>
      <c r="I49" s="66">
        <v>-3000000</v>
      </c>
      <c r="J49" s="84">
        <v>-0.83036707844444446</v>
      </c>
    </row>
    <row r="50" spans="1:10" x14ac:dyDescent="0.25">
      <c r="A50" s="451" t="s">
        <v>43</v>
      </c>
      <c r="B50" s="519">
        <v>9803449.315106947</v>
      </c>
      <c r="C50" s="519">
        <v>7109597.5863439851</v>
      </c>
      <c r="D50" s="87">
        <v>0.37890354496818146</v>
      </c>
      <c r="E50" s="520">
        <v>54763397.384893127</v>
      </c>
      <c r="F50" s="519">
        <v>59767368.935607448</v>
      </c>
      <c r="G50" s="87">
        <v>-8.3724139774423278E-2</v>
      </c>
      <c r="H50" s="519">
        <v>56356704.930000067</v>
      </c>
      <c r="I50" s="519">
        <v>58682017.589606099</v>
      </c>
      <c r="J50" s="87">
        <v>-3.962564266055324E-2</v>
      </c>
    </row>
    <row r="51" spans="1:10" x14ac:dyDescent="0.25">
      <c r="A51" s="118" t="s">
        <v>217</v>
      </c>
      <c r="B51" s="454">
        <v>0</v>
      </c>
      <c r="C51" s="454">
        <v>0</v>
      </c>
      <c r="D51" s="113" t="s">
        <v>451</v>
      </c>
      <c r="E51" s="456">
        <v>0</v>
      </c>
      <c r="F51" s="454">
        <v>0</v>
      </c>
      <c r="G51" s="113" t="s">
        <v>451</v>
      </c>
      <c r="H51" s="66">
        <v>0</v>
      </c>
      <c r="I51" s="66">
        <v>0</v>
      </c>
      <c r="J51" s="113" t="s">
        <v>451</v>
      </c>
    </row>
    <row r="52" spans="1:10" x14ac:dyDescent="0.25">
      <c r="A52" s="451" t="s">
        <v>474</v>
      </c>
      <c r="B52" s="520">
        <v>12154143.87798186</v>
      </c>
      <c r="C52" s="519">
        <v>10991539.766033702</v>
      </c>
      <c r="D52" s="186">
        <v>0.10577263392530889</v>
      </c>
      <c r="E52" s="520">
        <v>66209277.266018189</v>
      </c>
      <c r="F52" s="519">
        <v>83493522.984643117</v>
      </c>
      <c r="G52" s="186">
        <v>-0.20701301251600079</v>
      </c>
      <c r="H52" s="519">
        <v>78363421.144000053</v>
      </c>
      <c r="I52" s="519">
        <v>94485062.750676811</v>
      </c>
      <c r="J52" s="186">
        <v>-0.1706263523284931</v>
      </c>
    </row>
    <row r="53" spans="1:10" x14ac:dyDescent="0.25">
      <c r="A53" s="451" t="s">
        <v>475</v>
      </c>
      <c r="B53" s="520">
        <v>9803449.315106947</v>
      </c>
      <c r="C53" s="519">
        <v>8399597.5863439851</v>
      </c>
      <c r="D53" s="186">
        <v>0.16713321255357938</v>
      </c>
      <c r="E53" s="520">
        <v>56013272.384893127</v>
      </c>
      <c r="F53" s="519">
        <v>62727243.935607456</v>
      </c>
      <c r="G53" s="186">
        <v>-0.10703437819787753</v>
      </c>
      <c r="H53" s="519">
        <v>65816721.700000077</v>
      </c>
      <c r="I53" s="519">
        <v>71126841.521951437</v>
      </c>
      <c r="J53" s="186">
        <v>-7.4657045193164295E-2</v>
      </c>
    </row>
    <row r="54" spans="1:10" x14ac:dyDescent="0.25">
      <c r="A54" s="233" t="s">
        <v>46</v>
      </c>
      <c r="B54" s="68">
        <v>9.4871574926846086E-2</v>
      </c>
      <c r="C54" s="71">
        <v>9.6879823069103671E-2</v>
      </c>
      <c r="D54" s="207">
        <v>-2.0082481422575849E-3</v>
      </c>
      <c r="E54" s="68">
        <v>0.10329451208449832</v>
      </c>
      <c r="F54" s="71">
        <v>0.11412001659083297</v>
      </c>
      <c r="G54" s="207">
        <v>-1.0825504506334654E-2</v>
      </c>
      <c r="H54" s="71">
        <v>0.10130337759779302</v>
      </c>
      <c r="I54" s="71">
        <v>0.11005594928067708</v>
      </c>
      <c r="J54" s="207">
        <v>-8.7525716828840555E-3</v>
      </c>
    </row>
    <row r="55" spans="1:10" x14ac:dyDescent="0.25">
      <c r="A55" s="234" t="s">
        <v>47</v>
      </c>
      <c r="B55" s="67">
        <v>8.1153526603197898E-2</v>
      </c>
      <c r="C55" s="60">
        <v>7.8082765562051196E-2</v>
      </c>
      <c r="D55" s="208">
        <v>3.0707610411467023E-3</v>
      </c>
      <c r="E55" s="67">
        <v>9.1974167519413272E-2</v>
      </c>
      <c r="F55" s="60">
        <v>0.10795592738303668</v>
      </c>
      <c r="G55" s="208">
        <v>-1.5981759863623407E-2</v>
      </c>
      <c r="H55" s="60">
        <v>8.9416229487433913E-2</v>
      </c>
      <c r="I55" s="60">
        <v>0.10091386371625449</v>
      </c>
      <c r="J55" s="208">
        <v>-1.149763422882058E-2</v>
      </c>
    </row>
    <row r="56" spans="1:10" x14ac:dyDescent="0.25">
      <c r="A56" s="234" t="s">
        <v>48</v>
      </c>
      <c r="B56" s="67">
        <v>-0.46439138077066766</v>
      </c>
      <c r="C56" s="60">
        <v>-0.54317895610980382</v>
      </c>
      <c r="D56" s="208">
        <v>7.8787575339136162E-2</v>
      </c>
      <c r="E56" s="67">
        <v>-0.3894746100874853</v>
      </c>
      <c r="F56" s="60">
        <v>-0.37959426959806453</v>
      </c>
      <c r="G56" s="208">
        <v>-9.8803404894207691E-3</v>
      </c>
      <c r="H56" s="60">
        <v>-0.40606009857708153</v>
      </c>
      <c r="I56" s="60">
        <v>-0.41353969180171118</v>
      </c>
      <c r="J56" s="208">
        <v>7.4795932246296548E-3</v>
      </c>
    </row>
    <row r="57" spans="1:10" x14ac:dyDescent="0.25">
      <c r="A57" s="234" t="s">
        <v>49</v>
      </c>
      <c r="B57" s="67">
        <v>-0.46439138077066766</v>
      </c>
      <c r="C57" s="60">
        <v>-0.54317895610980382</v>
      </c>
      <c r="D57" s="208">
        <v>7.8787575339136162E-2</v>
      </c>
      <c r="E57" s="67">
        <v>-0.3894746100874853</v>
      </c>
      <c r="F57" s="60">
        <v>-0.37959426959806453</v>
      </c>
      <c r="G57" s="208">
        <v>-9.8803404894207691E-3</v>
      </c>
      <c r="H57" s="60">
        <v>-0.45386106303153245</v>
      </c>
      <c r="I57" s="60">
        <v>-0.45829486037715927</v>
      </c>
      <c r="J57" s="208">
        <v>4.433797345626822E-3</v>
      </c>
    </row>
    <row r="58" spans="1:10" x14ac:dyDescent="0.25">
      <c r="A58" s="234" t="s">
        <v>50</v>
      </c>
      <c r="B58" s="67">
        <v>0.2003762015037733</v>
      </c>
      <c r="C58" s="60">
        <v>0.15417525987964359</v>
      </c>
      <c r="D58" s="209">
        <v>4.6200941624129716E-2</v>
      </c>
      <c r="E58" s="67">
        <v>0.34651775917389749</v>
      </c>
      <c r="F58" s="60">
        <v>0.39976701125449421</v>
      </c>
      <c r="G58" s="209">
        <v>-5.3249252080596721E-2</v>
      </c>
      <c r="H58" s="75">
        <v>0.2723013901151658</v>
      </c>
      <c r="I58" s="75">
        <v>0.29998080236414515</v>
      </c>
      <c r="J58" s="209">
        <v>-2.7679412248979351E-2</v>
      </c>
    </row>
    <row r="59" spans="1:10" x14ac:dyDescent="0.25">
      <c r="A59" s="118" t="s">
        <v>477</v>
      </c>
      <c r="B59" s="521">
        <v>0.2003762015037733</v>
      </c>
      <c r="C59" s="72">
        <v>0.18214956965306281</v>
      </c>
      <c r="D59" s="522">
        <v>1.8226631850710495E-2</v>
      </c>
      <c r="E59" s="521">
        <v>0.35442639714979757</v>
      </c>
      <c r="F59" s="72">
        <v>0.41956477721792029</v>
      </c>
      <c r="G59" s="522">
        <v>-6.5138380068122725E-2</v>
      </c>
      <c r="H59" s="72">
        <v>0.31800980618000441</v>
      </c>
      <c r="I59" s="72">
        <v>0.36359838781619525</v>
      </c>
      <c r="J59" s="522">
        <v>-4.5588581636190839E-2</v>
      </c>
    </row>
    <row r="60" spans="1:10" x14ac:dyDescent="0.25">
      <c r="A60" s="118" t="s">
        <v>51</v>
      </c>
      <c r="B60" s="164">
        <v>400799439.56180847</v>
      </c>
      <c r="C60" s="66">
        <v>392200629.05395979</v>
      </c>
      <c r="D60" s="169">
        <v>2.1924519928971486E-2</v>
      </c>
      <c r="E60" s="164">
        <v>1294670411.8179717</v>
      </c>
      <c r="F60" s="66">
        <v>1271554970.4995732</v>
      </c>
      <c r="G60" s="169">
        <v>1.8178876929966226E-2</v>
      </c>
      <c r="H60" s="66">
        <v>1695469851.3797803</v>
      </c>
      <c r="I60" s="66">
        <v>1663755599.5535331</v>
      </c>
      <c r="J60" s="169">
        <v>1.9061845282298595E-2</v>
      </c>
    </row>
    <row r="61" spans="1:10" x14ac:dyDescent="0.25">
      <c r="A61" s="118" t="s">
        <v>1364</v>
      </c>
      <c r="B61" s="164">
        <v>400751808.69180852</v>
      </c>
      <c r="C61" s="66">
        <v>391272703.43244958</v>
      </c>
      <c r="D61" s="169">
        <v>2.4226339267225283E-2</v>
      </c>
      <c r="E61" s="164">
        <v>1287262941.2481918</v>
      </c>
      <c r="F61" s="66">
        <v>1256422970.4995732</v>
      </c>
      <c r="G61" s="169">
        <v>2.4545850778544764E-2</v>
      </c>
      <c r="H61" s="66">
        <v>1688014749.9400003</v>
      </c>
      <c r="I61" s="66">
        <v>1647695673.9320228</v>
      </c>
      <c r="J61" s="169">
        <v>2.4469977463593695E-2</v>
      </c>
    </row>
    <row r="62" spans="1:10" x14ac:dyDescent="0.25">
      <c r="A62" s="220"/>
      <c r="B62" s="21"/>
      <c r="C62" s="56"/>
      <c r="D62" s="523"/>
      <c r="E62" s="220"/>
      <c r="F62" s="56"/>
      <c r="G62" s="523"/>
      <c r="H62" s="21"/>
      <c r="I62" s="56"/>
      <c r="J62" s="56"/>
    </row>
    <row r="63" spans="1:10" x14ac:dyDescent="0.25">
      <c r="A63" s="451" t="s">
        <v>1362</v>
      </c>
      <c r="B63" s="524">
        <v>1.8282417093915336E-2</v>
      </c>
      <c r="C63" s="524">
        <v>1.7877982732807409E-2</v>
      </c>
      <c r="D63" s="525">
        <v>4.0443436110792694E-4</v>
      </c>
      <c r="E63" s="524">
        <v>1.5217160299066886E-2</v>
      </c>
      <c r="F63" s="524">
        <v>1.7370372902125425E-2</v>
      </c>
      <c r="G63" s="525">
        <v>-2.1532126030585387E-3</v>
      </c>
      <c r="H63" s="252">
        <v>1.5944883326773861E-2</v>
      </c>
      <c r="I63" s="524">
        <v>1.7490913287029064E-2</v>
      </c>
      <c r="J63" s="525">
        <v>-1.5460299602552026E-3</v>
      </c>
    </row>
    <row r="64" spans="1:10" x14ac:dyDescent="0.25">
      <c r="A64" s="257"/>
      <c r="B64" s="73"/>
      <c r="C64" s="73"/>
      <c r="D64" s="253"/>
      <c r="E64" s="255"/>
      <c r="F64" s="73"/>
      <c r="G64" s="253"/>
      <c r="H64" s="73"/>
      <c r="I64" s="73"/>
      <c r="J64" s="73"/>
    </row>
    <row r="65" spans="1:10" x14ac:dyDescent="0.25">
      <c r="A65" s="258" t="s">
        <v>55</v>
      </c>
      <c r="B65" s="189">
        <v>0.23639431820957255</v>
      </c>
      <c r="C65" s="190">
        <v>0.23573211663973145</v>
      </c>
      <c r="D65" s="207">
        <v>6.6220156984109213E-4</v>
      </c>
      <c r="E65" s="189">
        <v>0.76360568179042743</v>
      </c>
      <c r="F65" s="190">
        <v>0.76426788336026852</v>
      </c>
      <c r="G65" s="207">
        <v>-6.6220156984109213E-4</v>
      </c>
      <c r="H65" s="190">
        <v>1</v>
      </c>
      <c r="I65" s="190">
        <v>1</v>
      </c>
      <c r="J65" s="207">
        <v>0</v>
      </c>
    </row>
    <row r="66" spans="1:10" x14ac:dyDescent="0.25">
      <c r="A66" s="259" t="s">
        <v>56</v>
      </c>
      <c r="B66" s="53">
        <v>48925217.872853711</v>
      </c>
      <c r="C66" s="54">
        <v>46113738.29947859</v>
      </c>
      <c r="D66" s="59">
        <v>6.096837248622955E-2</v>
      </c>
      <c r="E66" s="53">
        <v>158039222.91154638</v>
      </c>
      <c r="F66" s="54">
        <v>149505505.08921099</v>
      </c>
      <c r="G66" s="59">
        <v>5.7079622701807997E-2</v>
      </c>
      <c r="H66" s="54">
        <v>206964440.78440011</v>
      </c>
      <c r="I66" s="54">
        <v>195619243.38868958</v>
      </c>
      <c r="J66" s="59">
        <v>5.7996325919571934E-2</v>
      </c>
    </row>
    <row r="67" spans="1:10" x14ac:dyDescent="0.25">
      <c r="A67" s="257"/>
      <c r="B67" s="73">
        <v>-0.19340684020808502</v>
      </c>
      <c r="C67" s="55"/>
      <c r="D67" s="254"/>
      <c r="E67" s="255">
        <v>-0.15846781671851559</v>
      </c>
      <c r="F67" s="55"/>
      <c r="G67" s="254"/>
      <c r="H67" s="73">
        <v>-0.18373973275996205</v>
      </c>
      <c r="I67" s="73">
        <v>-0.28813374863656821</v>
      </c>
      <c r="J67" s="213"/>
    </row>
    <row r="68" spans="1:10" x14ac:dyDescent="0.25">
      <c r="A68" s="118" t="s">
        <v>242</v>
      </c>
      <c r="B68" s="526"/>
      <c r="C68" s="527"/>
      <c r="D68" s="528"/>
      <c r="E68" s="526"/>
      <c r="F68" s="527"/>
      <c r="G68" s="528"/>
      <c r="H68" s="165">
        <v>179163884.79000002</v>
      </c>
      <c r="I68" s="389">
        <v>195619243.38868958</v>
      </c>
      <c r="J68" s="529">
        <v>-8.4119324426550679E-2</v>
      </c>
    </row>
    <row r="69" spans="1:10" x14ac:dyDescent="0.25">
      <c r="A69" s="118" t="s">
        <v>58</v>
      </c>
      <c r="B69" s="526"/>
      <c r="C69" s="527"/>
      <c r="D69" s="528"/>
      <c r="E69" s="526"/>
      <c r="F69" s="527"/>
      <c r="G69" s="528"/>
      <c r="H69" s="165">
        <v>206964440.78440011</v>
      </c>
      <c r="I69" s="389"/>
      <c r="J69" s="529"/>
    </row>
  </sheetData>
  <mergeCells count="7">
    <mergeCell ref="B69:D69"/>
    <mergeCell ref="E69:G69"/>
    <mergeCell ref="B3:D3"/>
    <mergeCell ref="E3:G3"/>
    <mergeCell ref="H3:J3"/>
    <mergeCell ref="B68:D68"/>
    <mergeCell ref="E68:G6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Passo a Passo</vt:lpstr>
      <vt:lpstr>Premissas</vt:lpstr>
      <vt:lpstr>RESULTADO</vt:lpstr>
      <vt:lpstr>P&amp;L Mensal</vt:lpstr>
      <vt:lpstr>Realizado</vt:lpstr>
      <vt:lpstr>P&amp;L Acumulado</vt:lpstr>
      <vt:lpstr>Orçado </vt:lpstr>
      <vt:lpstr>Destaques</vt:lpstr>
      <vt:lpstr>Evolução acima de 10 k - Imob</vt:lpstr>
      <vt:lpstr>Base comparativo - Desp Admin</vt:lpstr>
      <vt:lpstr>Organização P&amp;L</vt:lpstr>
      <vt:lpstr>DRE Simplificado</vt:lpstr>
      <vt:lpstr>Evolução PDD Imobiliário</vt:lpstr>
      <vt:lpstr>Despesas</vt:lpstr>
      <vt:lpstr>Margem Financeira</vt:lpstr>
      <vt:lpstr>Lista de data para filtro</vt:lpstr>
      <vt:lpstr>BASE_DASH</vt:lpstr>
      <vt:lpstr>P&amp;L Mensal - Anualizado</vt:lpstr>
      <vt:lpstr>Comparativo 2026 x 2025</vt:lpstr>
      <vt:lpstr>2025 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Mateus Pleger</dc:creator>
  <cp:lastModifiedBy>Pedro Adur Vasic</cp:lastModifiedBy>
  <dcterms:created xsi:type="dcterms:W3CDTF">2022-08-18T17:53:15Z</dcterms:created>
  <dcterms:modified xsi:type="dcterms:W3CDTF">2026-04-29T15:18:34Z</dcterms:modified>
</cp:coreProperties>
</file>