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UA\AR\Project\AR-Project\Phase 1\AR-Presentation\"/>
    </mc:Choice>
  </mc:AlternateContent>
  <xr:revisionPtr revIDLastSave="0" documentId="13_ncr:1_{B8C36403-BD40-4BEC-9A71-4E8AB73076AD}" xr6:coauthVersionLast="43" xr6:coauthVersionMax="43" xr10:uidLastSave="{00000000-0000-0000-0000-000000000000}"/>
  <bookViews>
    <workbookView xWindow="-120" yWindow="-120" windowWidth="29040" windowHeight="15840" xr2:uid="{0A47DF32-7327-452B-A5C9-3BA160086B8C}"/>
  </bookViews>
  <sheets>
    <sheet name="Budget" sheetId="3" r:id="rId1"/>
    <sheet name="VLANs and IP Addressing" sheetId="4" r:id="rId2"/>
  </sheets>
  <definedNames>
    <definedName name="Duration">#REF!</definedName>
    <definedName name="End_Date">#REF!</definedName>
    <definedName name="Milestone">#REF!</definedName>
    <definedName name="ScrollingIncrement">#REF!</definedName>
    <definedName name="Start_Date">#REF!</definedName>
    <definedName name="StartDateTable">#REF!</definedName>
    <definedName name="StartO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0" i="3" l="1"/>
  <c r="X5" i="3"/>
  <c r="Y5" i="3"/>
  <c r="T30" i="3"/>
  <c r="S30" i="3"/>
  <c r="R30" i="3"/>
  <c r="P30" i="3"/>
  <c r="M30" i="3"/>
  <c r="J30" i="3"/>
  <c r="N30" i="3"/>
  <c r="J5" i="3" l="1"/>
  <c r="M5" i="3"/>
  <c r="N5" i="3"/>
  <c r="O5" i="3"/>
  <c r="N6" i="3"/>
  <c r="P5" i="3" s="1"/>
  <c r="O6" i="3"/>
  <c r="Q5" i="3" s="1"/>
  <c r="N7" i="3"/>
  <c r="J7" i="3" s="1"/>
  <c r="M7" i="3" s="1"/>
  <c r="O7" i="3"/>
  <c r="Q7" i="3" s="1"/>
  <c r="J8" i="3"/>
  <c r="M8" i="3" s="1"/>
  <c r="N8" i="3"/>
  <c r="O8" i="3"/>
  <c r="J9" i="3"/>
  <c r="M9" i="3" s="1"/>
  <c r="R9" i="3" s="1"/>
  <c r="N9" i="3"/>
  <c r="O9" i="3"/>
  <c r="Q9" i="3" s="1"/>
  <c r="P9" i="3"/>
  <c r="J10" i="3"/>
  <c r="M10" i="3"/>
  <c r="N10" i="3"/>
  <c r="O10" i="3"/>
  <c r="J11" i="3"/>
  <c r="M11" i="3"/>
  <c r="N11" i="3"/>
  <c r="O11" i="3"/>
  <c r="N12" i="3"/>
  <c r="O12" i="3" s="1"/>
  <c r="Q11" i="3" s="1"/>
  <c r="N13" i="3"/>
  <c r="J13" i="3" s="1"/>
  <c r="M13" i="3" s="1"/>
  <c r="R13" i="3" s="1"/>
  <c r="O13" i="3"/>
  <c r="Q13" i="3"/>
  <c r="N14" i="3"/>
  <c r="J14" i="3" s="1"/>
  <c r="M14" i="3" s="1"/>
  <c r="R14" i="3" s="1"/>
  <c r="O14" i="3"/>
  <c r="Q14" i="3" s="1"/>
  <c r="J15" i="3"/>
  <c r="M15" i="3" s="1"/>
  <c r="R15" i="3" s="1"/>
  <c r="N15" i="3"/>
  <c r="O15" i="3"/>
  <c r="Q15" i="3" s="1"/>
  <c r="P15" i="3"/>
  <c r="G16" i="3"/>
  <c r="N16" i="3" s="1"/>
  <c r="O16" i="3"/>
  <c r="G17" i="3"/>
  <c r="N17" i="3" s="1"/>
  <c r="G18" i="3"/>
  <c r="N18" i="3" s="1"/>
  <c r="O18" i="3"/>
  <c r="G19" i="3"/>
  <c r="N19" i="3" s="1"/>
  <c r="J20" i="3"/>
  <c r="M20" i="3" s="1"/>
  <c r="R20" i="3" s="1"/>
  <c r="N20" i="3"/>
  <c r="O20" i="3"/>
  <c r="Q20" i="3" s="1"/>
  <c r="P20" i="3"/>
  <c r="J21" i="3"/>
  <c r="M21" i="3"/>
  <c r="N21" i="3"/>
  <c r="O21" i="3"/>
  <c r="J22" i="3"/>
  <c r="M22" i="3"/>
  <c r="N22" i="3"/>
  <c r="O22" i="3"/>
  <c r="N23" i="3"/>
  <c r="J23" i="3" s="1"/>
  <c r="M23" i="3" s="1"/>
  <c r="O23" i="3"/>
  <c r="Q22" i="3" s="1"/>
  <c r="N24" i="3"/>
  <c r="P24" i="3" s="1"/>
  <c r="O24" i="3"/>
  <c r="Q24" i="3" s="1"/>
  <c r="J25" i="3"/>
  <c r="M25" i="3" s="1"/>
  <c r="N25" i="3"/>
  <c r="O25" i="3"/>
  <c r="Q25" i="3" s="1"/>
  <c r="P25" i="3"/>
  <c r="S25" i="3" s="1"/>
  <c r="T25" i="3" s="1"/>
  <c r="W25" i="3" s="1"/>
  <c r="J26" i="3"/>
  <c r="M26" i="3" s="1"/>
  <c r="N26" i="3"/>
  <c r="O26" i="3"/>
  <c r="J27" i="3"/>
  <c r="M27" i="3" s="1"/>
  <c r="N27" i="3"/>
  <c r="O27" i="3"/>
  <c r="Q27" i="3" s="1"/>
  <c r="P27" i="3"/>
  <c r="S27" i="3" s="1"/>
  <c r="T27" i="3" s="1"/>
  <c r="N28" i="3"/>
  <c r="P28" i="3" s="1"/>
  <c r="S28" i="3" s="1"/>
  <c r="T28" i="3" s="1"/>
  <c r="O28" i="3"/>
  <c r="J29" i="3"/>
  <c r="M29" i="3" s="1"/>
  <c r="N29" i="3"/>
  <c r="O29" i="3"/>
  <c r="Q28" i="3" s="1"/>
  <c r="O30" i="3"/>
  <c r="O31" i="3"/>
  <c r="O32" i="3"/>
  <c r="I34" i="3"/>
  <c r="I36" i="3"/>
  <c r="I38" i="3"/>
  <c r="I39" i="3"/>
  <c r="O40" i="3"/>
  <c r="O41" i="3"/>
  <c r="O42" i="3"/>
  <c r="O43" i="3"/>
  <c r="C44" i="3"/>
  <c r="O44" i="3"/>
  <c r="C45" i="3"/>
  <c r="Q16" i="3" l="1"/>
  <c r="P16" i="3"/>
  <c r="J16" i="3"/>
  <c r="M16" i="3" s="1"/>
  <c r="R27" i="3"/>
  <c r="U27" i="3"/>
  <c r="J19" i="3"/>
  <c r="M19" i="3" s="1"/>
  <c r="O19" i="3"/>
  <c r="R7" i="3"/>
  <c r="P18" i="3"/>
  <c r="J18" i="3"/>
  <c r="M18" i="3" s="1"/>
  <c r="R18" i="3" s="1"/>
  <c r="R25" i="3"/>
  <c r="U25" i="3"/>
  <c r="Q18" i="3"/>
  <c r="I37" i="3"/>
  <c r="J17" i="3"/>
  <c r="M17" i="3" s="1"/>
  <c r="O17" i="3"/>
  <c r="J28" i="3"/>
  <c r="M28" i="3" s="1"/>
  <c r="P13" i="3"/>
  <c r="J12" i="3"/>
  <c r="M12" i="3" s="1"/>
  <c r="R11" i="3" s="1"/>
  <c r="J24" i="3"/>
  <c r="M24" i="3" s="1"/>
  <c r="R24" i="3" s="1"/>
  <c r="R22" i="3"/>
  <c r="P14" i="3"/>
  <c r="P7" i="3"/>
  <c r="J6" i="3"/>
  <c r="M6" i="3" s="1"/>
  <c r="U5" i="3" s="1"/>
  <c r="P22" i="3"/>
  <c r="S22" i="3" s="1"/>
  <c r="T22" i="3" s="1"/>
  <c r="P11" i="3"/>
  <c r="S5" i="3" s="1"/>
  <c r="T5" i="3" s="1"/>
  <c r="S16" i="3" l="1"/>
  <c r="T16" i="3" s="1"/>
  <c r="W5" i="3" s="1"/>
  <c r="I33" i="3" s="1"/>
  <c r="F32" i="3" s="1" a="1"/>
  <c r="R5" i="3"/>
  <c r="U28" i="3"/>
  <c r="V25" i="3" s="1"/>
  <c r="R28" i="3"/>
  <c r="U16" i="3"/>
  <c r="R16" i="3"/>
  <c r="U22" i="3"/>
  <c r="V5" i="3" s="1"/>
  <c r="F37" i="3" l="1"/>
  <c r="O37" i="3" s="1"/>
  <c r="F32" i="3"/>
  <c r="F35" i="3"/>
  <c r="O35" i="3" s="1"/>
  <c r="F38" i="3"/>
  <c r="O38" i="3" s="1"/>
  <c r="F33" i="3"/>
  <c r="O33" i="3" s="1"/>
  <c r="F36" i="3"/>
  <c r="O36" i="3" s="1"/>
  <c r="F34" i="3"/>
  <c r="O34" i="3" s="1"/>
  <c r="F39" i="3"/>
  <c r="O39" i="3" s="1"/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tc={151E934A-5B45-4BAA-B506-BF0A29F97459}</author>
    <author>tc={CCB0E415-AE29-46BA-BEA9-73758D38967B}</author>
    <author>tc={B7CE972C-DF03-4130-81E1-785D42041295}</author>
    <author>tc={5984AB35-A808-48F7-8C27-BD47CCF2EC94}</author>
    <author>tc={DB3A7A95-7FF9-47A2-A448-BDB778C1CDA1}</author>
    <author>tc={5DA6F40C-7074-41B8-BB04-449C18C53F88}</author>
    <author>tc={B25E5DFA-E632-4C7A-8835-E020270C1F63}</author>
    <author>tc={4BC01D74-73D5-47A1-B583-2E6F89BF52C6}</author>
    <author>tc={0918CF1D-24E5-4D44-B148-BFEEE106CF24}</author>
    <author>tc={3A962D4D-4337-405A-B050-50225A3D6F91}</author>
  </authors>
  <commentList>
    <comment ref="J33" authorId="0" shapeId="0" xr:uid="{151E934A-5B45-4BAA-B506-BF0A29F974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https://www.router-switch.com/ws-c2960l-48pq-ll.html
no promotion price</t>
      </text>
    </comment>
    <comment ref="I34" authorId="1" shapeId="0" xr:uid="{CCB0E415-AE29-46BA-BEA9-73758D3896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Aveiro: 2 buildings * 2 + 2 for Aveiro
Boston: 1 building * 2
Lisbon: 1 building * 2
Total: 6+2+2 = 10</t>
      </text>
    </comment>
    <comment ref="J34" authorId="2" shapeId="0" xr:uid="{B7CE972C-DF03-4130-81E1-785D420412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https://www.router-switch.com/c9500-40x-a.html</t>
      </text>
    </comment>
    <comment ref="I35" authorId="3" shapeId="0" xr:uid="{5984AB35-A808-48F7-8C27-BD47CCF2EC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ISPs</t>
      </text>
    </comment>
    <comment ref="J35" authorId="4" shapeId="0" xr:uid="{DB3A7A95-7FF9-47A2-A448-BDB778C1CD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https://www.router-switch.com/asr-9006-dc-p-3638.html</t>
      </text>
    </comment>
    <comment ref="I36" authorId="5" shapeId="0" xr:uid="{5DA6F40C-7074-41B8-BB04-449C18C53F88}">
      <text>
        <t>[Threaded comment]
Your version of Excel allows you to read this threaded comment; however, any edits to it will get removed if the file is opened in a newer version of Excel. Learn more: https://go.microsoft.com/fwlink/?linkid=870924
Comment:
    4 per floor
 Rentable space of 25,000 to 28,000 square feet (2,300 to 2,600 sq m) per floor plate is considered average for office buildings.
ie 50 x 50 m floors
each AP has a range of about 50 m
to ensure good quality, 4 per floor (one on each corner?)</t>
      </text>
    </comment>
    <comment ref="J36" authorId="6" shapeId="0" xr:uid="{B25E5DFA-E632-4C7A-8835-E020270C1F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new, with Wi-Fi 6 supports, internal and external antenna. price is from  https://geizhals.at/cisco-catalyst-9115-c9115axi-e-a2030618.html as of 19th April</t>
      </text>
    </comment>
    <comment ref="J37" authorId="7" shapeId="0" xr:uid="{4BC01D74-73D5-47A1-B583-2E6F89BF52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https://www.router-switch.com/ep1z01iphv.html</t>
      </text>
    </comment>
    <comment ref="J38" authorId="8" shapeId="0" xr:uid="{0918CF1D-24E5-4D44-B148-BFEEE106CF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https://www.videoconferencegear.com/logitech-meetup-4k-utralhd-video-soundbar-with-extension-tabletop-mic-perfect-for-your-huddle-rooms-and-conference-rooms/</t>
      </text>
    </comment>
    <comment ref="J39" authorId="9" shapeId="0" xr:uid="{3A962D4D-4337-405A-B050-50225A3D6F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price /hour for network enginnerers (https://work.chron.com/average-pay-network-engineers-per-hour-4859.html) for about 6 months
Reply:
    20 engineers, working 6 months (2* 8 hours/day*20 days</t>
      </text>
    </comment>
  </commentList>
</comments>
</file>

<file path=xl/sharedStrings.xml><?xml version="1.0" encoding="utf-8"?>
<sst xmlns="http://schemas.openxmlformats.org/spreadsheetml/2006/main" count="242" uniqueCount="160">
  <si>
    <t>Building</t>
  </si>
  <si>
    <t>Floor</t>
  </si>
  <si>
    <t>Salas de Contacto Com Clientes</t>
  </si>
  <si>
    <t>Salas de Reunião</t>
  </si>
  <si>
    <t>Salas de Espera</t>
  </si>
  <si>
    <t>Salas de Video Conferência</t>
  </si>
  <si>
    <t>Video-vigilância</t>
  </si>
  <si>
    <t>Total</t>
  </si>
  <si>
    <t>Num Ports</t>
  </si>
  <si>
    <t>Each person would have a max of 3 devices (1 laptop, 1 computer, 1 VoIP phone)</t>
  </si>
  <si>
    <t>Service</t>
  </si>
  <si>
    <t>Terminals</t>
  </si>
  <si>
    <t>VoIP</t>
  </si>
  <si>
    <t>Videovigilância</t>
  </si>
  <si>
    <t>2 cams (1 for backup) per floor</t>
  </si>
  <si>
    <t>Serviços</t>
  </si>
  <si>
    <t>Datacenter</t>
  </si>
  <si>
    <t>3 camaras + 3 microfones</t>
  </si>
  <si>
    <t># Service Instances</t>
  </si>
  <si>
    <t>Num Poe Ports</t>
  </si>
  <si>
    <t>Gabinetes Administrativos</t>
  </si>
  <si>
    <t>Type Devices</t>
  </si>
  <si>
    <t># Devices</t>
  </si>
  <si>
    <t>10 people, 1 device (laptop) per person</t>
  </si>
  <si>
    <t>5 phones througout the room</t>
  </si>
  <si>
    <t>/24 network?</t>
  </si>
  <si>
    <t>Num PoE Ports</t>
  </si>
  <si>
    <t>4 people, 1 device (laptop) per person</t>
  </si>
  <si>
    <t>1 phones througout the room (many rooms, probably small rooms)</t>
  </si>
  <si>
    <t>2 to 4</t>
  </si>
  <si>
    <t>Salas para equipa</t>
  </si>
  <si>
    <t>Salas para suporte técnico</t>
  </si>
  <si>
    <t>Salas para descanso/lazer</t>
  </si>
  <si>
    <t># Switches</t>
  </si>
  <si>
    <t>Videconferencia</t>
  </si>
  <si>
    <t>ie 20 gabinetes</t>
  </si>
  <si>
    <t>Bandwith Total (Mbps)</t>
  </si>
  <si>
    <t>Bandwith (Kbps)</t>
  </si>
  <si>
    <t>Datacenter?</t>
  </si>
  <si>
    <t>Funcionários/Administradores</t>
  </si>
  <si>
    <t># Portas SWL2</t>
  </si>
  <si>
    <t>Info</t>
  </si>
  <si>
    <t># Portas SWL2 PoE</t>
  </si>
  <si>
    <t>Bandwith (Mbps)</t>
  </si>
  <si>
    <t xml:space="preserve"># Switches </t>
  </si>
  <si>
    <t>definido no enunciado 8 posto de trabalho</t>
  </si>
  <si>
    <t>Each person would have a max of 3 devices (1 laptop, 1 computer, 1 VoIP phone). 1 person per cabinet</t>
  </si>
  <si>
    <t>segue regras dos gabinetes administrativos</t>
  </si>
  <si>
    <t>1 device/user, 50 users</t>
  </si>
  <si>
    <t>Laboratórios de Investigação</t>
  </si>
  <si>
    <t>mesma lógica que antes</t>
  </si>
  <si>
    <t>1 to 3</t>
  </si>
  <si>
    <t>Serviços Administrativos</t>
  </si>
  <si>
    <t>Investigação Cientifica</t>
  </si>
  <si>
    <t>mesma lógica que antes, mas para investigadores</t>
  </si>
  <si>
    <t>2 terminals, 10 people per room</t>
  </si>
  <si>
    <t>1 terminal, 10 people per room</t>
  </si>
  <si>
    <t>Simultaneity Factor</t>
  </si>
  <si>
    <t>Growth</t>
  </si>
  <si>
    <t>Effective Bandwith</t>
  </si>
  <si>
    <t>Justification for # Devices</t>
  </si>
  <si>
    <t>N Buildings</t>
  </si>
  <si>
    <t>Bandwith calculation</t>
  </si>
  <si>
    <t>Devices and Number of Devices</t>
  </si>
  <si>
    <t>Total Ports</t>
  </si>
  <si>
    <t>Price</t>
  </si>
  <si>
    <t>Quantity</t>
  </si>
  <si>
    <t># Ports</t>
  </si>
  <si>
    <t># PoE Ports</t>
  </si>
  <si>
    <t>Model</t>
  </si>
  <si>
    <t>Equipment</t>
  </si>
  <si>
    <t>VoIP phones</t>
  </si>
  <si>
    <t>Conference System</t>
  </si>
  <si>
    <t>Router</t>
  </si>
  <si>
    <t>L3 Switches</t>
  </si>
  <si>
    <t>L2 Switches</t>
  </si>
  <si>
    <t>Access Points</t>
  </si>
  <si>
    <t>Setup and assembly</t>
  </si>
  <si>
    <t>Number of APs per floor</t>
  </si>
  <si>
    <t>Value</t>
  </si>
  <si>
    <t>Number of Floors 2 to 4</t>
  </si>
  <si>
    <t>Number of Floors 1 to 3</t>
  </si>
  <si>
    <t>Effective Bandwith (Mbps)</t>
  </si>
  <si>
    <t>Per part of the floor (ie to infer SWL2 characteristics)</t>
  </si>
  <si>
    <t>Number of Service Buildings</t>
  </si>
  <si>
    <t>VLAN Partition</t>
  </si>
  <si>
    <t>All Buldings</t>
  </si>
  <si>
    <t>Per Bulding</t>
  </si>
  <si>
    <t>Per Floor</t>
  </si>
  <si>
    <t>HUAWEI EP1Z01IPHV</t>
  </si>
  <si>
    <t>CISCO WS-C2960L-48PQ-LL</t>
  </si>
  <si>
    <t>Cisco Catalyst 9115</t>
  </si>
  <si>
    <t>-</t>
  </si>
  <si>
    <t>Logitech MeetUp 4K UtralHD Video Soundbar</t>
  </si>
  <si>
    <t>Devem aguentar cerca de 3.5 Gbps, com base no Per Building</t>
  </si>
  <si>
    <t>Cisco Switch Catalyst 9500 C9500-40X-A</t>
  </si>
  <si>
    <t>Cisco ASR-9006-DC</t>
  </si>
  <si>
    <t>Devem aguentar pelo menos 15 Gbps. ASR because it's in the internet edge</t>
  </si>
  <si>
    <t>0x3</t>
  </si>
  <si>
    <t>Cliente</t>
  </si>
  <si>
    <t>0x2</t>
  </si>
  <si>
    <t>Suporte Técnico</t>
  </si>
  <si>
    <t>0x1</t>
  </si>
  <si>
    <t>Investigador</t>
  </si>
  <si>
    <t>0x0</t>
  </si>
  <si>
    <t>Administrador</t>
  </si>
  <si>
    <t>Valor</t>
  </si>
  <si>
    <t>Utilizador (2 bits)</t>
  </si>
  <si>
    <t>Livre</t>
  </si>
  <si>
    <t>Aveiro - Serviços</t>
  </si>
  <si>
    <t>Aveiro - Investigação</t>
  </si>
  <si>
    <t>Default</t>
  </si>
  <si>
    <t>Edifício (2 bits)</t>
  </si>
  <si>
    <t xml:space="preserve"> 2100:1:1:7000::/52</t>
  </si>
  <si>
    <t>200.1.1.128/26</t>
  </si>
  <si>
    <t>Video-conferências</t>
  </si>
  <si>
    <t>2100:1:1:F000::/53</t>
  </si>
  <si>
    <t>200.1.1.224/27</t>
  </si>
  <si>
    <t>Boston (USA)</t>
  </si>
  <si>
    <t>Lisboa</t>
  </si>
  <si>
    <t>2100:1:1:B000::/53</t>
  </si>
  <si>
    <t>200.1.1.192/27</t>
  </si>
  <si>
    <t>Aveiro</t>
  </si>
  <si>
    <t>200.1.1.0/25</t>
  </si>
  <si>
    <t>200.1.0.128/25</t>
  </si>
  <si>
    <t>200.1.0.0/25</t>
  </si>
  <si>
    <t>NAT</t>
  </si>
  <si>
    <t>Área (2 bits)</t>
  </si>
  <si>
    <t>IPv6 - 2100:1:1::/48</t>
  </si>
  <si>
    <t>IPv4 - 200.1.0.0/23</t>
  </si>
  <si>
    <t>Endereços Públicos</t>
  </si>
  <si>
    <t>0x7</t>
  </si>
  <si>
    <t>0x6</t>
  </si>
  <si>
    <t>Interligações</t>
  </si>
  <si>
    <t>0x5</t>
  </si>
  <si>
    <t>PCs</t>
  </si>
  <si>
    <t>Terminais</t>
  </si>
  <si>
    <t>Utilizador</t>
  </si>
  <si>
    <t>Área</t>
  </si>
  <si>
    <t>Máscara de rede</t>
  </si>
  <si>
    <t>0x4</t>
  </si>
  <si>
    <t>Video-conferência</t>
  </si>
  <si>
    <t>71 bits</t>
  </si>
  <si>
    <t>2 bits</t>
  </si>
  <si>
    <t>3 bits</t>
  </si>
  <si>
    <t>48 bits</t>
  </si>
  <si>
    <t>Rede IPv6 - 2100:1:1::/48</t>
  </si>
  <si>
    <t>WiFi</t>
  </si>
  <si>
    <t>15 bits</t>
  </si>
  <si>
    <t>8 bits</t>
  </si>
  <si>
    <t>Serviços (3 bits)</t>
  </si>
  <si>
    <t>Rede Privada IPv4 - 10.0.0.0/8</t>
  </si>
  <si>
    <t>Up to 960 Gbps</t>
  </si>
  <si>
    <t>176 Gbps</t>
  </si>
  <si>
    <t>Switching/Routing Capability</t>
  </si>
  <si>
    <t>Non Local Datacenters</t>
  </si>
  <si>
    <t>Edificio</t>
  </si>
  <si>
    <t>End-End</t>
  </si>
  <si>
    <t>&lt;- VLAN ADMIN</t>
  </si>
  <si>
    <t>Datacenter Central (IPv4)/Exterior (IPv6)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</si>
</sst>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4659260841701"/>
      <name val="Calibri"/>
      <family val="2"/>
      <scheme val="minor"/>
    </font>
    <font>
      <b/>
      <sz val="12"/>
      <color theme="4" tint="-0.24994659260841701"/>
      <name val="Calibri"/>
      <family val="2"/>
      <scheme val="minor"/>
    </font>
    <font>
      <b/>
      <sz val="16"/>
      <color theme="4" tint="-0.24994659260841701"/>
      <name val="Calibri"/>
      <family val="2"/>
      <scheme val="minor"/>
    </font>
    <font>
      <sz val="11"/>
      <color rgb="FF52525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double">
        <color rgb="FF3F3F3F"/>
      </top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3" applyNumberFormat="0" applyFill="0" applyAlignment="0" applyProtection="0"/>
    <xf numFmtId="37" fontId="1" fillId="0" borderId="0" applyFont="0" applyFill="0" applyBorder="0" applyProtection="0">
      <alignment horizontal="center"/>
    </xf>
    <xf numFmtId="14" fontId="1" fillId="0" borderId="0">
      <alignment horizontal="center" vertical="center"/>
    </xf>
    <xf numFmtId="0" fontId="9" fillId="0" borderId="0" applyNumberFormat="0" applyFill="0" applyProtection="0">
      <alignment wrapText="1"/>
    </xf>
    <xf numFmtId="0" fontId="1" fillId="7" borderId="10" applyNumberFormat="0" applyAlignment="0" applyProtection="0"/>
    <xf numFmtId="0" fontId="10" fillId="0" borderId="0" applyNumberFormat="0" applyFill="0" applyProtection="0">
      <alignment horizontal="right" vertical="center" indent="1"/>
    </xf>
    <xf numFmtId="0" fontId="11" fillId="0" borderId="0" applyNumberFormat="0" applyFill="0" applyProtection="0">
      <alignment vertical="center"/>
    </xf>
  </cellStyleXfs>
  <cellXfs count="78">
    <xf numFmtId="0" fontId="0" fillId="0" borderId="0" xfId="0"/>
    <xf numFmtId="0" fontId="1" fillId="3" borderId="0" xfId="2"/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right" vertical="top"/>
    </xf>
    <xf numFmtId="0" fontId="1" fillId="3" borderId="4" xfId="2" applyBorder="1"/>
    <xf numFmtId="0" fontId="0" fillId="0" borderId="4" xfId="0" applyBorder="1" applyAlignment="1">
      <alignment horizontal="center" vertical="center"/>
    </xf>
    <xf numFmtId="0" fontId="1" fillId="0" borderId="4" xfId="2" applyFill="1" applyBorder="1"/>
    <xf numFmtId="0" fontId="1" fillId="3" borderId="4" xfId="2" applyBorder="1" applyAlignment="1">
      <alignment horizontal="center" vertical="center"/>
    </xf>
    <xf numFmtId="0" fontId="0" fillId="3" borderId="4" xfId="2" applyFont="1" applyBorder="1"/>
    <xf numFmtId="0" fontId="0" fillId="0" borderId="4" xfId="2" applyFont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 applyAlignment="1">
      <alignment horizontal="right" vertical="top"/>
    </xf>
    <xf numFmtId="0" fontId="1" fillId="3" borderId="4" xfId="2" applyBorder="1" applyAlignment="1">
      <alignment horizontal="center"/>
    </xf>
    <xf numFmtId="0" fontId="1" fillId="3" borderId="4" xfId="2" applyBorder="1" applyAlignment="1">
      <alignment horizontal="right" vertical="top"/>
    </xf>
    <xf numFmtId="0" fontId="2" fillId="2" borderId="4" xfId="1" applyBorder="1" applyAlignment="1">
      <alignment wrapText="1"/>
    </xf>
    <xf numFmtId="1" fontId="0" fillId="0" borderId="0" xfId="0" applyNumberFormat="1"/>
    <xf numFmtId="0" fontId="2" fillId="2" borderId="4" xfId="1" applyFont="1" applyBorder="1" applyAlignment="1">
      <alignment wrapText="1"/>
    </xf>
    <xf numFmtId="0" fontId="7" fillId="0" borderId="3" xfId="6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/>
    <xf numFmtId="1" fontId="2" fillId="0" borderId="0" xfId="0" applyNumberFormat="1" applyFont="1" applyFill="1" applyAlignment="1">
      <alignment wrapText="1"/>
    </xf>
    <xf numFmtId="1" fontId="4" fillId="4" borderId="0" xfId="3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1" xfId="0" applyFont="1" applyBorder="1"/>
    <xf numFmtId="0" fontId="12" fillId="0" borderId="0" xfId="0" applyFont="1"/>
    <xf numFmtId="0" fontId="0" fillId="0" borderId="0" xfId="0" applyAlignment="1">
      <alignment horizontal="right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3" borderId="4" xfId="2" applyBorder="1" applyAlignment="1">
      <alignment horizontal="center" vertical="center"/>
    </xf>
    <xf numFmtId="0" fontId="5" fillId="5" borderId="1" xfId="4" applyAlignment="1">
      <alignment horizontal="center" vertical="center" wrapText="1"/>
    </xf>
    <xf numFmtId="0" fontId="5" fillId="5" borderId="5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5" fillId="5" borderId="1" xfId="4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164" fontId="8" fillId="0" borderId="3" xfId="6" applyNumberFormat="1" applyFont="1" applyAlignment="1">
      <alignment horizontal="left"/>
    </xf>
    <xf numFmtId="1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0" fontId="1" fillId="0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" fontId="6" fillId="6" borderId="2" xfId="5" applyNumberFormat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0" fontId="6" fillId="6" borderId="2" xfId="5" applyAlignment="1">
      <alignment horizontal="center" vertical="center"/>
    </xf>
    <xf numFmtId="0" fontId="6" fillId="6" borderId="12" xfId="5" applyBorder="1" applyAlignment="1">
      <alignment horizontal="center" vertical="center"/>
    </xf>
    <xf numFmtId="0" fontId="6" fillId="6" borderId="0" xfId="5" applyBorder="1" applyAlignment="1">
      <alignment horizontal="center" vertical="center"/>
    </xf>
    <xf numFmtId="1" fontId="6" fillId="6" borderId="12" xfId="5" applyNumberFormat="1" applyBorder="1" applyAlignment="1">
      <alignment horizontal="center" vertical="center"/>
    </xf>
    <xf numFmtId="1" fontId="6" fillId="6" borderId="0" xfId="5" applyNumberForma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4" xfId="0" applyFill="1" applyBorder="1" applyAlignment="1">
      <alignment horizontal="center" wrapText="1"/>
    </xf>
  </cellXfs>
  <cellStyles count="13">
    <cellStyle name="20% - Accent5 2" xfId="10" xr:uid="{A24551B6-1E9F-4BFC-A064-A7B92C866F8E}"/>
    <cellStyle name="40% - Accent6" xfId="2" builtinId="51"/>
    <cellStyle name="Accent6" xfId="1" builtinId="49"/>
    <cellStyle name="Check Cell" xfId="5" builtinId="23"/>
    <cellStyle name="Comma 2" xfId="7" xr:uid="{B60D7AF0-C107-4DA8-BFA3-80ED0A739C18}"/>
    <cellStyle name="Date" xfId="8" xr:uid="{5C6FC1AC-A4DA-4417-85FA-CEE17912EA37}"/>
    <cellStyle name="Explanatory Text 2" xfId="9" xr:uid="{33F255E6-AC8F-4D09-A6A4-6C5C2B9373A9}"/>
    <cellStyle name="Heading 1 2" xfId="12" xr:uid="{37A879EB-5C4D-4583-899F-B33A752FCC48}"/>
    <cellStyle name="Heading 2 2" xfId="11" xr:uid="{ABC790B8-A2C1-40B5-A316-287E1649893D}"/>
    <cellStyle name="Input" xfId="4" builtinId="20"/>
    <cellStyle name="Neutral" xfId="3" builtinId="28"/>
    <cellStyle name="Normal" xfId="0" builtinId="0"/>
    <cellStyle name="Total" xfId="6" builtinId="25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2" defaultTableStyle="TableStyleMedium2" defaultPivotStyle="PivotStyleLight16">
    <tableStyle name="Gantt Chart table style" pivot="0" count="3" xr9:uid="{3D778A60-140E-444B-A88D-DB3122A7A77C}">
      <tableStyleElement type="wholeTable" dxfId="7"/>
      <tableStyleElement type="headerRow" dxfId="6"/>
      <tableStyleElement type="firstRowStripe" dxfId="5"/>
    </tableStyle>
    <tableStyle name="Gantt Chart table style 2" pivot="0" count="3" xr9:uid="{D70EA9EB-6378-46C0-9F32-A558D20064B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Teixeira" id="{2D82E7DC-1E89-46C1-9AE8-DE1CB4C300B7}" userId="Pedro Teixei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4149-A744-45AE-B1DA-45DB690A0AA7}" name="Table1" displayName="Table1" ref="H32:N39" totalsRowShown="0" headerRowDxfId="1">
  <tableColumns count="7">
    <tableColumn id="1" xr3:uid="{C1AA1826-1EB1-45FC-9EDE-4A3BB7B7653B}" name="Equipment"/>
    <tableColumn id="2" xr3:uid="{A5C50772-0774-4EC8-9172-B8B20E774B07}" name="Quantity"/>
    <tableColumn id="3" xr3:uid="{B6421EA1-BFAA-4485-9457-C4985E8AE1AA}" name="Price"/>
    <tableColumn id="4" xr3:uid="{75A2EA46-3F49-4279-ABEF-D91481FC4E6A}" name="Model"/>
    <tableColumn id="5" xr3:uid="{9DCCD4E3-C869-436A-AB24-AA2B2347A2A0}" name="# Ports"/>
    <tableColumn id="6" xr3:uid="{136A9724-2738-4894-8410-EDED16B5C49A}" name="# PoE Ports"/>
    <tableColumn id="9" xr3:uid="{6042B9D0-D465-45D4-ADCB-72894C1F4ED4}" name="Switching/Routing Capabil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F8E2-E540-453B-832B-5026F16907C5}" name="Table2" displayName="Table2" ref="B32:C36" totalsRowShown="0" headerRowDxfId="0">
  <tableColumns count="2">
    <tableColumn id="1" xr3:uid="{21F8CE73-870F-4DA4-9026-50ED958CA951}" name="Info"/>
    <tableColumn id="2" xr3:uid="{AC28843A-0088-4692-999C-E82592BD743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3" dT="2019-04-19T17:46:04.57" personId="{2D82E7DC-1E89-46C1-9AE8-DE1CB4C300B7}" id="{151E934A-5B45-4BAA-B506-BF0A29F97459}">
    <text>https://www.router-switch.com/ws-c2960l-48pq-ll.html
no promotion price</text>
  </threadedComment>
  <threadedComment ref="I34" dT="2019-04-19T20:48:02.43" personId="{2D82E7DC-1E89-46C1-9AE8-DE1CB4C300B7}" id="{CCB0E415-AE29-46BA-BEA9-73758D38967B}">
    <text>see network diagram</text>
  </threadedComment>
  <threadedComment ref="I34" dT="2019-04-19T22:14:49.80" personId="{2D82E7DC-1E89-46C1-9AE8-DE1CB4C300B7}" id="{9DCCC571-B1CB-4646-A1A5-95899AA683D8}" parentId="{CCB0E415-AE29-46BA-BEA9-73758D38967B}">
    <text>Aveiro: 2 buildings * 2 + 2 for Aveiro
Boston: 1 building * 2
Lisbon: 1 building * 2
Total: 6+2+2 = 10</text>
  </threadedComment>
  <threadedComment ref="J34" dT="2019-04-19T20:56:42.60" personId="{2D82E7DC-1E89-46C1-9AE8-DE1CB4C300B7}" id="{B7CE972C-DF03-4130-81E1-785D42041295}">
    <text>https://www.router-switch.com/c9500-40x-a.html</text>
  </threadedComment>
  <threadedComment ref="I35" dT="2019-04-19T20:48:08.39" personId="{2D82E7DC-1E89-46C1-9AE8-DE1CB4C300B7}" id="{5984AB35-A808-48F7-8C27-BD47CCF2EC94}">
    <text>see network diagram</text>
  </threadedComment>
  <threadedComment ref="I35" dT="2019-04-19T22:15:51.84" personId="{2D82E7DC-1E89-46C1-9AE8-DE1CB4C300B7}" id="{AC8A5EA8-E444-402F-88B8-DB8ADA89A1C7}" parentId="{5984AB35-A808-48F7-8C27-BD47CCF2EC94}">
    <text>ISPs</text>
  </threadedComment>
  <threadedComment ref="J35" dT="2019-04-19T21:07:32.94" personId="{2D82E7DC-1E89-46C1-9AE8-DE1CB4C300B7}" id="{DB3A7A95-7FF9-47A2-A448-BDB778C1CDA1}">
    <text>https://www.router-switch.com/asr-9006-dc-p-3638.html</text>
  </threadedComment>
  <threadedComment ref="I36" dT="2019-04-19T21:10:36.49" personId="{2D82E7DC-1E89-46C1-9AE8-DE1CB4C300B7}" id="{5DA6F40C-7074-41B8-BB04-449C18C53F88}">
    <text>4 per floor
 Rentable space of 25,000 to 28,000 square feet (2,300 to 2,600 sq m) per floor plate is considered average for office buildings.
ie 50 x 50 m floors
each AP has a range of about 50 m
to ensure good quality, 4 per floor (one on each corner?)</text>
  </threadedComment>
  <threadedComment ref="J36" dT="2019-04-19T18:11:38.47" personId="{2D82E7DC-1E89-46C1-9AE8-DE1CB4C300B7}" id="{B25E5DFA-E632-4C7A-8835-E020270C1F63}">
    <text>new, with Wi-Fi 6 supports, internal and external antenna. price is from  https://geizhals.at/cisco-catalyst-9115-c9115axi-e-a2030618.html as of 19th April</text>
  </threadedComment>
  <threadedComment ref="J37" dT="2019-04-19T17:57:59.86" personId="{2D82E7DC-1E89-46C1-9AE8-DE1CB4C300B7}" id="{4BC01D74-73D5-47A1-B583-2E6F89BF52C6}">
    <text>https://www.router-switch.com/ep1z01iphv.html</text>
  </threadedComment>
  <threadedComment ref="J38" dT="2019-04-19T18:30:19.55" personId="{2D82E7DC-1E89-46C1-9AE8-DE1CB4C300B7}" id="{0918CF1D-24E5-4D44-B148-BFEEE106CF24}">
    <text>https://www.videoconferencegear.com/logitech-meetup-4k-utralhd-video-soundbar-with-extension-tabletop-mic-perfect-for-your-huddle-rooms-and-conference-rooms/</text>
  </threadedComment>
  <threadedComment ref="J39" dT="2019-04-19T18:16:54.70" personId="{2D82E7DC-1E89-46C1-9AE8-DE1CB4C300B7}" id="{3A962D4D-4337-405A-B050-50225A3D6F91}">
    <text>considered price /hour for network enginnerers (https://work.chron.com/average-pay-network-engineers-per-hour-4859.html) for about 6 months</text>
  </threadedComment>
  <threadedComment ref="J39" dT="2019-04-19T18:18:03.01" personId="{2D82E7DC-1E89-46C1-9AE8-DE1CB4C300B7}" id="{5E80B95F-5C76-4777-A2CF-FBB923CE8EE7}" parentId="{3A962D4D-4337-405A-B050-50225A3D6F91}">
    <text>20 engineers, working 6 months (2* 8 hours/day*20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48-FC4F-4AA8-AF34-2933769B1504}">
  <dimension ref="B3:AA45"/>
  <sheetViews>
    <sheetView tabSelected="1" topLeftCell="G26" zoomScale="111" zoomScaleNormal="70" workbookViewId="0">
      <selection activeCell="M32" sqref="M32"/>
    </sheetView>
  </sheetViews>
  <sheetFormatPr defaultRowHeight="15" x14ac:dyDescent="0.25"/>
  <cols>
    <col min="1" max="1" width="4.28515625" customWidth="1"/>
    <col min="2" max="2" width="12.28515625" customWidth="1"/>
    <col min="3" max="3" width="8.7109375" customWidth="1"/>
    <col min="4" max="4" width="32.42578125" customWidth="1"/>
    <col min="5" max="5" width="10.85546875" customWidth="1"/>
    <col min="6" max="6" width="17.140625" customWidth="1"/>
    <col min="7" max="7" width="10.7109375" customWidth="1"/>
    <col min="8" max="8" width="39.5703125" customWidth="1"/>
    <col min="9" max="9" width="12.42578125" customWidth="1"/>
    <col min="10" max="10" width="15.140625" customWidth="1"/>
    <col min="11" max="11" width="13.42578125" customWidth="1"/>
    <col min="12" max="12" width="10" customWidth="1"/>
    <col min="13" max="13" width="12" customWidth="1"/>
    <col min="14" max="14" width="12.7109375" customWidth="1"/>
    <col min="15" max="15" width="4.28515625" hidden="1" customWidth="1"/>
    <col min="16" max="16" width="12.85546875" customWidth="1"/>
    <col min="17" max="18" width="16.42578125" customWidth="1"/>
    <col min="20" max="20" width="12.7109375" customWidth="1"/>
    <col min="21" max="21" width="13.42578125" customWidth="1"/>
    <col min="22" max="22" width="13.140625" customWidth="1"/>
    <col min="23" max="23" width="11.7109375" customWidth="1"/>
    <col min="24" max="25" width="12.5703125" customWidth="1"/>
  </cols>
  <sheetData>
    <row r="3" spans="2:27" ht="37.5" customHeight="1" x14ac:dyDescent="0.25">
      <c r="B3" s="52" t="s">
        <v>85</v>
      </c>
      <c r="C3" s="53"/>
      <c r="D3" s="54"/>
      <c r="E3" s="23" t="s">
        <v>35</v>
      </c>
      <c r="F3" s="52" t="s">
        <v>63</v>
      </c>
      <c r="G3" s="53"/>
      <c r="H3" s="54"/>
      <c r="I3" s="52" t="s">
        <v>62</v>
      </c>
      <c r="J3" s="53"/>
      <c r="K3" s="53"/>
      <c r="L3" s="53"/>
      <c r="M3" s="54"/>
      <c r="N3" s="51" t="s">
        <v>83</v>
      </c>
      <c r="O3" s="51"/>
      <c r="P3" s="51"/>
      <c r="Q3" s="51"/>
      <c r="R3" s="51"/>
      <c r="S3" s="55" t="s">
        <v>88</v>
      </c>
      <c r="T3" s="55"/>
      <c r="U3" s="55"/>
      <c r="V3" s="55" t="s">
        <v>87</v>
      </c>
      <c r="W3" s="55"/>
      <c r="X3" s="55" t="s">
        <v>86</v>
      </c>
      <c r="Y3" s="55"/>
      <c r="Z3" s="22"/>
      <c r="AA3" s="22"/>
    </row>
    <row r="4" spans="2:27" ht="38.25" customHeight="1" thickBot="1" x14ac:dyDescent="0.3">
      <c r="B4" s="18" t="s">
        <v>0</v>
      </c>
      <c r="C4" s="18" t="s">
        <v>1</v>
      </c>
      <c r="D4" s="18" t="s">
        <v>10</v>
      </c>
      <c r="E4" s="18" t="s">
        <v>18</v>
      </c>
      <c r="F4" s="18" t="s">
        <v>21</v>
      </c>
      <c r="G4" s="18" t="s">
        <v>22</v>
      </c>
      <c r="H4" s="18" t="s">
        <v>60</v>
      </c>
      <c r="I4" s="18" t="s">
        <v>37</v>
      </c>
      <c r="J4" s="18" t="s">
        <v>36</v>
      </c>
      <c r="K4" s="18" t="s">
        <v>57</v>
      </c>
      <c r="L4" s="18" t="s">
        <v>58</v>
      </c>
      <c r="M4" s="18" t="s">
        <v>59</v>
      </c>
      <c r="N4" s="18" t="s">
        <v>8</v>
      </c>
      <c r="O4" s="18" t="s">
        <v>19</v>
      </c>
      <c r="P4" s="18" t="s">
        <v>64</v>
      </c>
      <c r="Q4" s="18" t="s">
        <v>26</v>
      </c>
      <c r="R4" s="18" t="s">
        <v>82</v>
      </c>
      <c r="S4" s="18" t="s">
        <v>7</v>
      </c>
      <c r="T4" s="18" t="s">
        <v>33</v>
      </c>
      <c r="U4" s="18" t="s">
        <v>43</v>
      </c>
      <c r="V4" s="18" t="s">
        <v>43</v>
      </c>
      <c r="W4" s="18" t="s">
        <v>44</v>
      </c>
      <c r="X4" s="16" t="s">
        <v>43</v>
      </c>
      <c r="Y4" s="16" t="s">
        <v>44</v>
      </c>
      <c r="Z4" s="22"/>
      <c r="AA4" s="22"/>
    </row>
    <row r="5" spans="2:27" ht="15.75" thickTop="1" x14ac:dyDescent="0.25">
      <c r="B5" s="60" t="s">
        <v>15</v>
      </c>
      <c r="C5" s="45">
        <v>1</v>
      </c>
      <c r="D5" s="45" t="s">
        <v>20</v>
      </c>
      <c r="E5" s="2">
        <v>20</v>
      </c>
      <c r="F5" s="2" t="s">
        <v>11</v>
      </c>
      <c r="G5" s="2">
        <v>2</v>
      </c>
      <c r="H5" s="49" t="s">
        <v>46</v>
      </c>
      <c r="I5" s="3">
        <v>1024</v>
      </c>
      <c r="J5" s="3">
        <f t="shared" ref="J5:J29" si="0">I5*N5/1024</f>
        <v>40</v>
      </c>
      <c r="K5" s="3">
        <v>0.5</v>
      </c>
      <c r="L5" s="3">
        <v>0.5</v>
      </c>
      <c r="M5" s="3">
        <f t="shared" ref="M5:M30" si="1">J5*K5*(1+L5)</f>
        <v>30</v>
      </c>
      <c r="N5" s="2">
        <f t="shared" ref="N5:N30" si="2">G5*E5</f>
        <v>40</v>
      </c>
      <c r="O5" s="2">
        <f t="shared" ref="O5:O29" si="3">IF(F5="VoIP", N5, 0)</f>
        <v>0</v>
      </c>
      <c r="P5" s="45">
        <f>SUM(N5:N6)</f>
        <v>60</v>
      </c>
      <c r="Q5" s="45">
        <f>SUM(O5:O6)</f>
        <v>20</v>
      </c>
      <c r="R5" s="43">
        <f>SUM(M5:M6)</f>
        <v>32.625</v>
      </c>
      <c r="S5" s="45">
        <f>SUM(P5:P15)</f>
        <v>522</v>
      </c>
      <c r="T5" s="46">
        <f>S5/$C$44</f>
        <v>10.875</v>
      </c>
      <c r="U5" s="45">
        <f>SUM(M5:M15)</f>
        <v>712.78750000000002</v>
      </c>
      <c r="V5" s="45">
        <f>U5+U16*C34+U22</f>
        <v>3324.8874999999998</v>
      </c>
      <c r="W5" s="46">
        <f>T5+T16*C34+T22</f>
        <v>39.875</v>
      </c>
      <c r="X5" s="70">
        <f>V5*AA5+T30</f>
        <v>13312.05</v>
      </c>
      <c r="Y5" s="72">
        <f>W5*AA5+T30</f>
        <v>172</v>
      </c>
      <c r="Z5" s="22" t="s">
        <v>61</v>
      </c>
      <c r="AA5" s="22">
        <v>4</v>
      </c>
    </row>
    <row r="6" spans="2:27" x14ac:dyDescent="0.25">
      <c r="B6" s="60"/>
      <c r="C6" s="45"/>
      <c r="D6" s="45"/>
      <c r="E6" s="2">
        <v>20</v>
      </c>
      <c r="F6" s="2" t="s">
        <v>12</v>
      </c>
      <c r="G6" s="2">
        <v>1</v>
      </c>
      <c r="H6" s="49"/>
      <c r="I6" s="4">
        <v>128</v>
      </c>
      <c r="J6" s="4">
        <f t="shared" si="0"/>
        <v>2.5</v>
      </c>
      <c r="K6" s="4">
        <v>0.7</v>
      </c>
      <c r="L6" s="4">
        <v>0.5</v>
      </c>
      <c r="M6" s="4">
        <f t="shared" si="1"/>
        <v>2.625</v>
      </c>
      <c r="N6" s="2">
        <f t="shared" si="2"/>
        <v>20</v>
      </c>
      <c r="O6" s="2">
        <f t="shared" si="3"/>
        <v>20</v>
      </c>
      <c r="P6" s="45"/>
      <c r="Q6" s="45"/>
      <c r="R6" s="44"/>
      <c r="S6" s="45"/>
      <c r="T6" s="46"/>
      <c r="U6" s="45"/>
      <c r="V6" s="45"/>
      <c r="W6" s="46"/>
      <c r="X6" s="71"/>
      <c r="Y6" s="73"/>
      <c r="Z6" s="22"/>
      <c r="AA6" s="22"/>
    </row>
    <row r="7" spans="2:27" x14ac:dyDescent="0.25">
      <c r="B7" s="60"/>
      <c r="C7" s="45"/>
      <c r="D7" s="50" t="s">
        <v>2</v>
      </c>
      <c r="E7" s="5">
        <v>20</v>
      </c>
      <c r="F7" s="5" t="s">
        <v>11</v>
      </c>
      <c r="G7" s="5">
        <v>4</v>
      </c>
      <c r="H7" s="5" t="s">
        <v>27</v>
      </c>
      <c r="I7" s="5">
        <v>1024</v>
      </c>
      <c r="J7" s="5">
        <f t="shared" si="0"/>
        <v>80</v>
      </c>
      <c r="K7" s="5">
        <v>0.5</v>
      </c>
      <c r="L7" s="5">
        <v>0.5</v>
      </c>
      <c r="M7" s="5">
        <f t="shared" si="1"/>
        <v>60</v>
      </c>
      <c r="N7" s="5">
        <f t="shared" si="2"/>
        <v>80</v>
      </c>
      <c r="O7" s="5">
        <f t="shared" si="3"/>
        <v>0</v>
      </c>
      <c r="P7" s="50">
        <f>SUM(N7:N8)</f>
        <v>100</v>
      </c>
      <c r="Q7" s="50">
        <f>SUM(O7:O8)</f>
        <v>20</v>
      </c>
      <c r="R7" s="47">
        <f>SUM(M7:M8)</f>
        <v>62.625</v>
      </c>
      <c r="S7" s="45"/>
      <c r="T7" s="46"/>
      <c r="U7" s="45"/>
      <c r="V7" s="45"/>
      <c r="W7" s="46"/>
      <c r="X7" s="71"/>
      <c r="Y7" s="73"/>
    </row>
    <row r="8" spans="2:27" x14ac:dyDescent="0.25">
      <c r="B8" s="60"/>
      <c r="C8" s="45"/>
      <c r="D8" s="50"/>
      <c r="E8" s="5">
        <v>20</v>
      </c>
      <c r="F8" s="5" t="s">
        <v>12</v>
      </c>
      <c r="G8" s="5">
        <v>1</v>
      </c>
      <c r="H8" s="5" t="s">
        <v>28</v>
      </c>
      <c r="I8" s="5">
        <v>128</v>
      </c>
      <c r="J8" s="5">
        <f t="shared" si="0"/>
        <v>2.5</v>
      </c>
      <c r="K8" s="5">
        <v>0.7</v>
      </c>
      <c r="L8" s="5">
        <v>0.5</v>
      </c>
      <c r="M8" s="5">
        <f t="shared" si="1"/>
        <v>2.625</v>
      </c>
      <c r="N8" s="5">
        <f t="shared" si="2"/>
        <v>20</v>
      </c>
      <c r="O8" s="5">
        <f t="shared" si="3"/>
        <v>20</v>
      </c>
      <c r="P8" s="50"/>
      <c r="Q8" s="50"/>
      <c r="R8" s="48"/>
      <c r="S8" s="45"/>
      <c r="T8" s="46"/>
      <c r="U8" s="45"/>
      <c r="V8" s="45"/>
      <c r="W8" s="46"/>
      <c r="X8" s="71"/>
      <c r="Y8" s="73"/>
    </row>
    <row r="9" spans="2:27" x14ac:dyDescent="0.25">
      <c r="B9" s="60"/>
      <c r="C9" s="45"/>
      <c r="D9" s="45" t="s">
        <v>3</v>
      </c>
      <c r="E9" s="2">
        <v>4</v>
      </c>
      <c r="F9" s="2" t="s">
        <v>11</v>
      </c>
      <c r="G9" s="2">
        <v>10</v>
      </c>
      <c r="H9" s="2" t="s">
        <v>23</v>
      </c>
      <c r="I9" s="2">
        <v>1024</v>
      </c>
      <c r="J9" s="2">
        <f t="shared" si="0"/>
        <v>40</v>
      </c>
      <c r="K9" s="2">
        <v>0.5</v>
      </c>
      <c r="L9" s="2">
        <v>0.5</v>
      </c>
      <c r="M9" s="2">
        <f t="shared" si="1"/>
        <v>30</v>
      </c>
      <c r="N9" s="2">
        <f t="shared" si="2"/>
        <v>40</v>
      </c>
      <c r="O9" s="2">
        <f t="shared" si="3"/>
        <v>0</v>
      </c>
      <c r="P9" s="45">
        <f>SUM(N9:N10)</f>
        <v>60</v>
      </c>
      <c r="Q9" s="45">
        <f>SUM(O9:O10)</f>
        <v>20</v>
      </c>
      <c r="R9" s="43">
        <f>SUM(M9:M10)</f>
        <v>32.625</v>
      </c>
      <c r="S9" s="45"/>
      <c r="T9" s="46"/>
      <c r="U9" s="45"/>
      <c r="V9" s="45"/>
      <c r="W9" s="46"/>
      <c r="X9" s="71"/>
      <c r="Y9" s="73"/>
    </row>
    <row r="10" spans="2:27" x14ac:dyDescent="0.25">
      <c r="B10" s="60"/>
      <c r="C10" s="45"/>
      <c r="D10" s="45"/>
      <c r="E10" s="2">
        <v>4</v>
      </c>
      <c r="F10" s="2" t="s">
        <v>12</v>
      </c>
      <c r="G10" s="2">
        <v>5</v>
      </c>
      <c r="H10" s="2" t="s">
        <v>24</v>
      </c>
      <c r="I10" s="2">
        <v>128</v>
      </c>
      <c r="J10" s="2">
        <f t="shared" si="0"/>
        <v>2.5</v>
      </c>
      <c r="K10" s="2">
        <v>0.7</v>
      </c>
      <c r="L10" s="2">
        <v>0.5</v>
      </c>
      <c r="M10" s="2">
        <f t="shared" si="1"/>
        <v>2.625</v>
      </c>
      <c r="N10" s="2">
        <f t="shared" si="2"/>
        <v>20</v>
      </c>
      <c r="O10" s="2">
        <f t="shared" si="3"/>
        <v>20</v>
      </c>
      <c r="P10" s="45"/>
      <c r="Q10" s="45"/>
      <c r="R10" s="44"/>
      <c r="S10" s="45"/>
      <c r="T10" s="46"/>
      <c r="U10" s="45"/>
      <c r="V10" s="45"/>
      <c r="W10" s="46"/>
      <c r="X10" s="71"/>
      <c r="Y10" s="73"/>
    </row>
    <row r="11" spans="2:27" x14ac:dyDescent="0.25">
      <c r="B11" s="60"/>
      <c r="C11" s="45"/>
      <c r="D11" s="50" t="s">
        <v>4</v>
      </c>
      <c r="E11" s="5">
        <v>2</v>
      </c>
      <c r="F11" s="5" t="s">
        <v>11</v>
      </c>
      <c r="G11" s="5">
        <v>10</v>
      </c>
      <c r="H11" s="5" t="s">
        <v>23</v>
      </c>
      <c r="I11" s="5">
        <v>1024</v>
      </c>
      <c r="J11" s="5">
        <f t="shared" si="0"/>
        <v>20</v>
      </c>
      <c r="K11" s="5">
        <v>0.5</v>
      </c>
      <c r="L11" s="5">
        <v>0.5</v>
      </c>
      <c r="M11" s="5">
        <f t="shared" si="1"/>
        <v>15</v>
      </c>
      <c r="N11" s="5">
        <f t="shared" si="2"/>
        <v>20</v>
      </c>
      <c r="O11" s="5">
        <f t="shared" si="3"/>
        <v>0</v>
      </c>
      <c r="P11" s="50">
        <f>SUM(N11:N12)</f>
        <v>30</v>
      </c>
      <c r="Q11" s="50">
        <f>SUM(O11:O12)</f>
        <v>10</v>
      </c>
      <c r="R11" s="47">
        <f>SUM(M11:M12)</f>
        <v>16.3125</v>
      </c>
      <c r="S11" s="45"/>
      <c r="T11" s="46"/>
      <c r="U11" s="45"/>
      <c r="V11" s="45"/>
      <c r="W11" s="46"/>
      <c r="X11" s="71"/>
      <c r="Y11" s="73"/>
    </row>
    <row r="12" spans="2:27" x14ac:dyDescent="0.25">
      <c r="B12" s="60"/>
      <c r="C12" s="45"/>
      <c r="D12" s="50"/>
      <c r="E12" s="5">
        <v>2</v>
      </c>
      <c r="F12" s="5" t="s">
        <v>12</v>
      </c>
      <c r="G12" s="5">
        <v>5</v>
      </c>
      <c r="H12" s="5" t="s">
        <v>24</v>
      </c>
      <c r="I12" s="5">
        <v>128</v>
      </c>
      <c r="J12" s="5">
        <f t="shared" si="0"/>
        <v>1.25</v>
      </c>
      <c r="K12" s="5">
        <v>0.7</v>
      </c>
      <c r="L12" s="5">
        <v>0.5</v>
      </c>
      <c r="M12" s="5">
        <f t="shared" si="1"/>
        <v>1.3125</v>
      </c>
      <c r="N12" s="5">
        <f t="shared" si="2"/>
        <v>10</v>
      </c>
      <c r="O12" s="5">
        <f t="shared" si="3"/>
        <v>10</v>
      </c>
      <c r="P12" s="50"/>
      <c r="Q12" s="50"/>
      <c r="R12" s="48"/>
      <c r="S12" s="45"/>
      <c r="T12" s="46"/>
      <c r="U12" s="45"/>
      <c r="V12" s="45"/>
      <c r="W12" s="46"/>
      <c r="X12" s="71"/>
      <c r="Y12" s="73"/>
    </row>
    <row r="13" spans="2:27" x14ac:dyDescent="0.25">
      <c r="B13" s="60"/>
      <c r="C13" s="45"/>
      <c r="D13" s="6" t="s">
        <v>5</v>
      </c>
      <c r="E13" s="2">
        <v>2</v>
      </c>
      <c r="F13" s="2" t="s">
        <v>34</v>
      </c>
      <c r="G13" s="2">
        <v>6</v>
      </c>
      <c r="H13" s="2" t="s">
        <v>17</v>
      </c>
      <c r="I13" s="2">
        <v>8192</v>
      </c>
      <c r="J13" s="2">
        <f t="shared" si="0"/>
        <v>96</v>
      </c>
      <c r="K13" s="7">
        <v>1</v>
      </c>
      <c r="L13" s="2">
        <v>0.1</v>
      </c>
      <c r="M13" s="2">
        <f t="shared" si="1"/>
        <v>105.60000000000001</v>
      </c>
      <c r="N13" s="2">
        <f t="shared" si="2"/>
        <v>12</v>
      </c>
      <c r="O13" s="2">
        <f t="shared" si="3"/>
        <v>0</v>
      </c>
      <c r="P13" s="6">
        <f>SUM(N13)</f>
        <v>12</v>
      </c>
      <c r="Q13" s="6">
        <f>SUM(O13)</f>
        <v>0</v>
      </c>
      <c r="R13" s="6">
        <f>M13</f>
        <v>105.60000000000001</v>
      </c>
      <c r="S13" s="45"/>
      <c r="T13" s="46"/>
      <c r="U13" s="45"/>
      <c r="V13" s="45"/>
      <c r="W13" s="46"/>
      <c r="X13" s="71"/>
      <c r="Y13" s="73"/>
    </row>
    <row r="14" spans="2:27" x14ac:dyDescent="0.25">
      <c r="B14" s="60"/>
      <c r="C14" s="45"/>
      <c r="D14" s="8" t="s">
        <v>6</v>
      </c>
      <c r="E14" s="5">
        <v>5</v>
      </c>
      <c r="F14" s="5" t="s">
        <v>13</v>
      </c>
      <c r="G14" s="5">
        <v>2</v>
      </c>
      <c r="H14" s="5" t="s">
        <v>14</v>
      </c>
      <c r="I14" s="5">
        <v>8192</v>
      </c>
      <c r="J14" s="5">
        <f t="shared" si="0"/>
        <v>80</v>
      </c>
      <c r="K14" s="5">
        <v>1</v>
      </c>
      <c r="L14" s="5">
        <v>0.1</v>
      </c>
      <c r="M14" s="5">
        <f t="shared" si="1"/>
        <v>88</v>
      </c>
      <c r="N14" s="5">
        <f t="shared" si="2"/>
        <v>10</v>
      </c>
      <c r="O14" s="5">
        <f t="shared" si="3"/>
        <v>0</v>
      </c>
      <c r="P14" s="8">
        <f>SUM(N14)</f>
        <v>10</v>
      </c>
      <c r="Q14" s="8">
        <f>SUM(O14)</f>
        <v>0</v>
      </c>
      <c r="R14" s="8">
        <f>M14</f>
        <v>88</v>
      </c>
      <c r="S14" s="45"/>
      <c r="T14" s="46"/>
      <c r="U14" s="45"/>
      <c r="V14" s="45"/>
      <c r="W14" s="46"/>
      <c r="X14" s="71"/>
      <c r="Y14" s="73"/>
    </row>
    <row r="15" spans="2:27" x14ac:dyDescent="0.25">
      <c r="B15" s="60"/>
      <c r="C15" s="45"/>
      <c r="D15" s="6" t="s">
        <v>38</v>
      </c>
      <c r="E15" s="2">
        <v>1</v>
      </c>
      <c r="F15" s="2" t="s">
        <v>16</v>
      </c>
      <c r="G15" s="2">
        <v>250</v>
      </c>
      <c r="H15" s="2" t="s">
        <v>25</v>
      </c>
      <c r="I15" s="2">
        <v>1024</v>
      </c>
      <c r="J15" s="2">
        <f t="shared" si="0"/>
        <v>250</v>
      </c>
      <c r="K15" s="7">
        <v>1</v>
      </c>
      <c r="L15" s="2">
        <v>0.5</v>
      </c>
      <c r="M15" s="2">
        <f t="shared" si="1"/>
        <v>375</v>
      </c>
      <c r="N15" s="2">
        <f t="shared" si="2"/>
        <v>250</v>
      </c>
      <c r="O15" s="2">
        <f t="shared" si="3"/>
        <v>0</v>
      </c>
      <c r="P15" s="11">
        <f>N15</f>
        <v>250</v>
      </c>
      <c r="Q15" s="11">
        <f>O15</f>
        <v>0</v>
      </c>
      <c r="R15" s="11">
        <f>M15</f>
        <v>375</v>
      </c>
      <c r="S15" s="45"/>
      <c r="T15" s="46"/>
      <c r="U15" s="45"/>
      <c r="V15" s="45"/>
      <c r="W15" s="46"/>
      <c r="X15" s="71"/>
      <c r="Y15" s="73"/>
    </row>
    <row r="16" spans="2:27" x14ac:dyDescent="0.25">
      <c r="B16" s="60"/>
      <c r="C16" s="59" t="s">
        <v>29</v>
      </c>
      <c r="D16" s="50" t="s">
        <v>30</v>
      </c>
      <c r="E16" s="5">
        <v>10</v>
      </c>
      <c r="F16" s="5" t="s">
        <v>11</v>
      </c>
      <c r="G16" s="5">
        <f>8*2</f>
        <v>16</v>
      </c>
      <c r="H16" s="9" t="s">
        <v>45</v>
      </c>
      <c r="I16" s="5">
        <v>1024</v>
      </c>
      <c r="J16" s="5">
        <f t="shared" si="0"/>
        <v>160</v>
      </c>
      <c r="K16" s="5">
        <v>0.5</v>
      </c>
      <c r="L16" s="5">
        <v>0.5</v>
      </c>
      <c r="M16" s="5">
        <f t="shared" si="1"/>
        <v>120</v>
      </c>
      <c r="N16" s="5">
        <f t="shared" si="2"/>
        <v>160</v>
      </c>
      <c r="O16" s="5">
        <f t="shared" si="3"/>
        <v>0</v>
      </c>
      <c r="P16" s="50">
        <f>SUM(N16:N17)</f>
        <v>240</v>
      </c>
      <c r="Q16" s="50">
        <f>SUM(O16:O17)</f>
        <v>80</v>
      </c>
      <c r="R16" s="47">
        <f>SUM(M16:M17)</f>
        <v>130.5</v>
      </c>
      <c r="S16" s="45">
        <f>SUM(P16:P21)</f>
        <v>410</v>
      </c>
      <c r="T16" s="46">
        <f>S16/$C$44</f>
        <v>8.5416666666666661</v>
      </c>
      <c r="U16" s="45">
        <f>SUM(M16:M21)*C34</f>
        <v>808.3125</v>
      </c>
      <c r="V16" s="45"/>
      <c r="W16" s="46"/>
      <c r="X16" s="71"/>
      <c r="Y16" s="73"/>
    </row>
    <row r="17" spans="2:25" x14ac:dyDescent="0.25">
      <c r="B17" s="60"/>
      <c r="C17" s="59"/>
      <c r="D17" s="50"/>
      <c r="E17" s="5">
        <v>10</v>
      </c>
      <c r="F17" s="5" t="s">
        <v>12</v>
      </c>
      <c r="G17" s="5">
        <f>1*8</f>
        <v>8</v>
      </c>
      <c r="H17" s="9" t="s">
        <v>47</v>
      </c>
      <c r="I17" s="5">
        <v>128</v>
      </c>
      <c r="J17" s="5">
        <f t="shared" si="0"/>
        <v>10</v>
      </c>
      <c r="K17" s="5">
        <v>0.7</v>
      </c>
      <c r="L17" s="5">
        <v>0.5</v>
      </c>
      <c r="M17" s="5">
        <f t="shared" si="1"/>
        <v>10.5</v>
      </c>
      <c r="N17" s="5">
        <f t="shared" si="2"/>
        <v>80</v>
      </c>
      <c r="O17" s="5">
        <f t="shared" si="3"/>
        <v>80</v>
      </c>
      <c r="P17" s="50"/>
      <c r="Q17" s="50"/>
      <c r="R17" s="48"/>
      <c r="S17" s="45"/>
      <c r="T17" s="46"/>
      <c r="U17" s="45"/>
      <c r="V17" s="45"/>
      <c r="W17" s="46"/>
      <c r="X17" s="71"/>
      <c r="Y17" s="73"/>
    </row>
    <row r="18" spans="2:25" ht="15.75" customHeight="1" x14ac:dyDescent="0.25">
      <c r="B18" s="60"/>
      <c r="C18" s="59"/>
      <c r="D18" s="45" t="s">
        <v>31</v>
      </c>
      <c r="E18" s="2">
        <v>2</v>
      </c>
      <c r="F18" s="2" t="s">
        <v>11</v>
      </c>
      <c r="G18" s="2">
        <f>10*2</f>
        <v>20</v>
      </c>
      <c r="H18" s="10" t="s">
        <v>55</v>
      </c>
      <c r="I18" s="7">
        <v>1024</v>
      </c>
      <c r="J18" s="2">
        <f t="shared" si="0"/>
        <v>40</v>
      </c>
      <c r="K18" s="7">
        <v>0.5</v>
      </c>
      <c r="L18" s="2">
        <v>0.5</v>
      </c>
      <c r="M18" s="2">
        <f t="shared" si="1"/>
        <v>30</v>
      </c>
      <c r="N18" s="7">
        <f t="shared" si="2"/>
        <v>40</v>
      </c>
      <c r="O18" s="5">
        <f t="shared" si="3"/>
        <v>0</v>
      </c>
      <c r="P18" s="61">
        <f>SUM(N18:N19)</f>
        <v>60</v>
      </c>
      <c r="Q18" s="61">
        <f>SUM(O18:O19)</f>
        <v>20</v>
      </c>
      <c r="R18" s="62">
        <f>SUM(M18:M19)</f>
        <v>32.625</v>
      </c>
      <c r="S18" s="45"/>
      <c r="T18" s="46"/>
      <c r="U18" s="45"/>
      <c r="V18" s="45"/>
      <c r="W18" s="46"/>
      <c r="X18" s="71"/>
      <c r="Y18" s="73"/>
    </row>
    <row r="19" spans="2:25" ht="15.75" customHeight="1" x14ac:dyDescent="0.25">
      <c r="B19" s="60"/>
      <c r="C19" s="59"/>
      <c r="D19" s="45"/>
      <c r="E19" s="2">
        <v>2</v>
      </c>
      <c r="F19" s="2" t="s">
        <v>12</v>
      </c>
      <c r="G19" s="2">
        <f>10*1</f>
        <v>10</v>
      </c>
      <c r="H19" s="10" t="s">
        <v>56</v>
      </c>
      <c r="I19" s="7">
        <v>128</v>
      </c>
      <c r="J19" s="2">
        <f t="shared" si="0"/>
        <v>2.5</v>
      </c>
      <c r="K19" s="7">
        <v>0.7</v>
      </c>
      <c r="L19" s="2">
        <v>0.5</v>
      </c>
      <c r="M19" s="2">
        <f t="shared" si="1"/>
        <v>2.625</v>
      </c>
      <c r="N19" s="7">
        <f t="shared" si="2"/>
        <v>20</v>
      </c>
      <c r="O19" s="5">
        <f t="shared" si="3"/>
        <v>20</v>
      </c>
      <c r="P19" s="61"/>
      <c r="Q19" s="61"/>
      <c r="R19" s="63"/>
      <c r="S19" s="45"/>
      <c r="T19" s="46"/>
      <c r="U19" s="45"/>
      <c r="V19" s="45"/>
      <c r="W19" s="46"/>
      <c r="X19" s="71"/>
      <c r="Y19" s="73"/>
    </row>
    <row r="20" spans="2:25" x14ac:dyDescent="0.25">
      <c r="B20" s="60"/>
      <c r="C20" s="59"/>
      <c r="D20" s="50" t="s">
        <v>32</v>
      </c>
      <c r="E20" s="5">
        <v>2</v>
      </c>
      <c r="F20" s="5" t="s">
        <v>11</v>
      </c>
      <c r="G20" s="5">
        <v>50</v>
      </c>
      <c r="H20" s="9" t="s">
        <v>48</v>
      </c>
      <c r="I20" s="5">
        <v>1024</v>
      </c>
      <c r="J20" s="5">
        <f t="shared" si="0"/>
        <v>100</v>
      </c>
      <c r="K20" s="5">
        <v>0.7</v>
      </c>
      <c r="L20" s="5">
        <v>0.5</v>
      </c>
      <c r="M20" s="5">
        <f t="shared" si="1"/>
        <v>105</v>
      </c>
      <c r="N20" s="5">
        <f t="shared" si="2"/>
        <v>100</v>
      </c>
      <c r="O20" s="5">
        <f t="shared" si="3"/>
        <v>0</v>
      </c>
      <c r="P20" s="50">
        <f>SUM(N20:N21)</f>
        <v>110</v>
      </c>
      <c r="Q20" s="50">
        <f>SUM(O20:O21)</f>
        <v>10</v>
      </c>
      <c r="R20" s="47">
        <f>SUM(M20:M21)</f>
        <v>106.3125</v>
      </c>
      <c r="S20" s="45"/>
      <c r="T20" s="46"/>
      <c r="U20" s="45"/>
      <c r="V20" s="45"/>
      <c r="W20" s="46"/>
      <c r="X20" s="71"/>
      <c r="Y20" s="73"/>
    </row>
    <row r="21" spans="2:25" x14ac:dyDescent="0.25">
      <c r="B21" s="60"/>
      <c r="C21" s="59"/>
      <c r="D21" s="50"/>
      <c r="E21" s="5">
        <v>2</v>
      </c>
      <c r="F21" s="5" t="s">
        <v>12</v>
      </c>
      <c r="G21" s="5">
        <v>5</v>
      </c>
      <c r="H21" s="9" t="s">
        <v>24</v>
      </c>
      <c r="I21" s="5">
        <v>128</v>
      </c>
      <c r="J21" s="5">
        <f t="shared" si="0"/>
        <v>1.25</v>
      </c>
      <c r="K21" s="5">
        <v>0.7</v>
      </c>
      <c r="L21" s="5">
        <v>0.5</v>
      </c>
      <c r="M21" s="5">
        <f t="shared" si="1"/>
        <v>1.3125</v>
      </c>
      <c r="N21" s="5">
        <f t="shared" si="2"/>
        <v>10</v>
      </c>
      <c r="O21" s="5">
        <f t="shared" si="3"/>
        <v>10</v>
      </c>
      <c r="P21" s="50"/>
      <c r="Q21" s="50"/>
      <c r="R21" s="48"/>
      <c r="S21" s="45"/>
      <c r="T21" s="46"/>
      <c r="U21" s="45"/>
      <c r="V21" s="45"/>
      <c r="W21" s="46"/>
      <c r="X21" s="71"/>
      <c r="Y21" s="73"/>
    </row>
    <row r="22" spans="2:25" x14ac:dyDescent="0.25">
      <c r="B22" s="60"/>
      <c r="C22" s="45">
        <v>5</v>
      </c>
      <c r="D22" s="61" t="s">
        <v>39</v>
      </c>
      <c r="E22" s="7">
        <v>50</v>
      </c>
      <c r="F22" s="2" t="s">
        <v>11</v>
      </c>
      <c r="G22" s="2">
        <v>2</v>
      </c>
      <c r="H22" s="57" t="s">
        <v>9</v>
      </c>
      <c r="I22" s="3">
        <v>1024</v>
      </c>
      <c r="J22" s="3">
        <f t="shared" si="0"/>
        <v>100</v>
      </c>
      <c r="K22" s="3">
        <v>0.5</v>
      </c>
      <c r="L22" s="3">
        <v>0.5</v>
      </c>
      <c r="M22" s="3">
        <f t="shared" si="1"/>
        <v>75</v>
      </c>
      <c r="N22" s="2">
        <f t="shared" si="2"/>
        <v>100</v>
      </c>
      <c r="O22" s="5">
        <f t="shared" si="3"/>
        <v>0</v>
      </c>
      <c r="P22" s="45">
        <f>SUM(N22:N23)</f>
        <v>150</v>
      </c>
      <c r="Q22" s="45">
        <f>SUM(O22:O23)</f>
        <v>50</v>
      </c>
      <c r="R22" s="43">
        <f>SUM(M22:M23)</f>
        <v>81.5625</v>
      </c>
      <c r="S22" s="45">
        <f>SUM(P22:P24)</f>
        <v>162</v>
      </c>
      <c r="T22" s="46">
        <f>S22/$C$44</f>
        <v>3.375</v>
      </c>
      <c r="U22" s="45">
        <f>SUM(M22:M24)</f>
        <v>187.16250000000002</v>
      </c>
      <c r="V22" s="45"/>
      <c r="W22" s="46"/>
      <c r="X22" s="71"/>
      <c r="Y22" s="73"/>
    </row>
    <row r="23" spans="2:25" x14ac:dyDescent="0.25">
      <c r="B23" s="60"/>
      <c r="C23" s="45"/>
      <c r="D23" s="61"/>
      <c r="E23" s="7">
        <v>50</v>
      </c>
      <c r="F23" s="2" t="s">
        <v>12</v>
      </c>
      <c r="G23" s="2">
        <v>1</v>
      </c>
      <c r="H23" s="57"/>
      <c r="I23" s="4">
        <v>128</v>
      </c>
      <c r="J23" s="4">
        <f t="shared" si="0"/>
        <v>6.25</v>
      </c>
      <c r="K23" s="4">
        <v>0.7</v>
      </c>
      <c r="L23" s="4">
        <v>0.5</v>
      </c>
      <c r="M23" s="4">
        <f t="shared" si="1"/>
        <v>6.5625</v>
      </c>
      <c r="N23" s="2">
        <f t="shared" si="2"/>
        <v>50</v>
      </c>
      <c r="O23" s="5">
        <f t="shared" si="3"/>
        <v>50</v>
      </c>
      <c r="P23" s="45"/>
      <c r="Q23" s="45"/>
      <c r="R23" s="44"/>
      <c r="S23" s="45"/>
      <c r="T23" s="46"/>
      <c r="U23" s="45"/>
      <c r="V23" s="45"/>
      <c r="W23" s="46"/>
      <c r="X23" s="71"/>
      <c r="Y23" s="73"/>
    </row>
    <row r="24" spans="2:25" ht="15.75" thickBot="1" x14ac:dyDescent="0.3">
      <c r="B24" s="60"/>
      <c r="C24" s="45"/>
      <c r="D24" s="8" t="s">
        <v>5</v>
      </c>
      <c r="E24" s="5">
        <v>2</v>
      </c>
      <c r="F24" s="5" t="s">
        <v>34</v>
      </c>
      <c r="G24" s="5">
        <v>6</v>
      </c>
      <c r="H24" s="5" t="s">
        <v>17</v>
      </c>
      <c r="I24" s="5">
        <v>8192</v>
      </c>
      <c r="J24" s="5">
        <f t="shared" si="0"/>
        <v>96</v>
      </c>
      <c r="K24" s="5">
        <v>1</v>
      </c>
      <c r="L24" s="5">
        <v>0.1</v>
      </c>
      <c r="M24" s="5">
        <f t="shared" si="1"/>
        <v>105.60000000000001</v>
      </c>
      <c r="N24" s="5">
        <f t="shared" si="2"/>
        <v>12</v>
      </c>
      <c r="O24" s="5">
        <f t="shared" si="3"/>
        <v>0</v>
      </c>
      <c r="P24" s="8">
        <f>SUM(N24)</f>
        <v>12</v>
      </c>
      <c r="Q24" s="8">
        <f>SUM(O24)</f>
        <v>0</v>
      </c>
      <c r="R24" s="8">
        <f>M24</f>
        <v>105.60000000000001</v>
      </c>
      <c r="S24" s="45"/>
      <c r="T24" s="46"/>
      <c r="U24" s="45"/>
      <c r="V24" s="45"/>
      <c r="W24" s="46"/>
      <c r="X24" s="71"/>
      <c r="Y24" s="73"/>
    </row>
    <row r="25" spans="2:25" ht="16.5" thickTop="1" thickBot="1" x14ac:dyDescent="0.3">
      <c r="B25" s="64" t="s">
        <v>53</v>
      </c>
      <c r="C25" s="59" t="s">
        <v>51</v>
      </c>
      <c r="D25" s="66" t="s">
        <v>49</v>
      </c>
      <c r="E25" s="7">
        <v>50</v>
      </c>
      <c r="F25" s="7" t="s">
        <v>11</v>
      </c>
      <c r="G25" s="7">
        <v>4</v>
      </c>
      <c r="H25" s="77" t="s">
        <v>54</v>
      </c>
      <c r="I25" s="12">
        <v>1024</v>
      </c>
      <c r="J25" s="12">
        <f t="shared" si="0"/>
        <v>200</v>
      </c>
      <c r="K25" s="12">
        <v>0.5</v>
      </c>
      <c r="L25" s="12">
        <v>0.5</v>
      </c>
      <c r="M25" s="12">
        <f t="shared" si="1"/>
        <v>150</v>
      </c>
      <c r="N25" s="7">
        <f t="shared" si="2"/>
        <v>200</v>
      </c>
      <c r="O25" s="5">
        <f t="shared" si="3"/>
        <v>0</v>
      </c>
      <c r="P25" s="56">
        <f>SUM(N25:N26)</f>
        <v>250</v>
      </c>
      <c r="Q25" s="56">
        <f>SUM(O25:O26)</f>
        <v>50</v>
      </c>
      <c r="R25" s="43">
        <f>SUM(M25:M26)</f>
        <v>156.5625</v>
      </c>
      <c r="S25" s="66">
        <f>SUM(P25)</f>
        <v>250</v>
      </c>
      <c r="T25" s="68">
        <f>S25/$C$44</f>
        <v>5.208333333333333</v>
      </c>
      <c r="U25" s="66">
        <f>SUM(M25:M26)</f>
        <v>156.5625</v>
      </c>
      <c r="V25" s="69">
        <f>U25*C35+U27+U28</f>
        <v>826.25</v>
      </c>
      <c r="W25" s="67">
        <f>T25+T27*C35+T28</f>
        <v>23.958333333333332</v>
      </c>
      <c r="X25" s="71"/>
      <c r="Y25" s="73"/>
    </row>
    <row r="26" spans="2:25" ht="16.5" thickTop="1" thickBot="1" x14ac:dyDescent="0.3">
      <c r="B26" s="64"/>
      <c r="C26" s="59"/>
      <c r="D26" s="66"/>
      <c r="E26" s="7">
        <v>50</v>
      </c>
      <c r="F26" s="7" t="s">
        <v>12</v>
      </c>
      <c r="G26" s="7">
        <v>1</v>
      </c>
      <c r="H26" s="77"/>
      <c r="I26" s="13">
        <v>128</v>
      </c>
      <c r="J26" s="13">
        <f t="shared" si="0"/>
        <v>6.25</v>
      </c>
      <c r="K26" s="13">
        <v>0.7</v>
      </c>
      <c r="L26" s="13">
        <v>0.5</v>
      </c>
      <c r="M26" s="13">
        <f t="shared" si="1"/>
        <v>6.5625</v>
      </c>
      <c r="N26" s="7">
        <f t="shared" si="2"/>
        <v>50</v>
      </c>
      <c r="O26" s="5">
        <f t="shared" si="3"/>
        <v>50</v>
      </c>
      <c r="P26" s="56"/>
      <c r="Q26" s="56"/>
      <c r="R26" s="44"/>
      <c r="S26" s="66"/>
      <c r="T26" s="68"/>
      <c r="U26" s="66"/>
      <c r="V26" s="69"/>
      <c r="W26" s="67"/>
      <c r="X26" s="71"/>
      <c r="Y26" s="73"/>
    </row>
    <row r="27" spans="2:25" ht="16.5" thickTop="1" thickBot="1" x14ac:dyDescent="0.3">
      <c r="B27" s="64"/>
      <c r="C27" s="8">
        <v>4</v>
      </c>
      <c r="D27" s="14" t="s">
        <v>16</v>
      </c>
      <c r="E27" s="5">
        <v>1</v>
      </c>
      <c r="F27" s="5" t="s">
        <v>16</v>
      </c>
      <c r="G27" s="5">
        <v>250</v>
      </c>
      <c r="H27" s="5" t="s">
        <v>25</v>
      </c>
      <c r="I27" s="5">
        <v>1024</v>
      </c>
      <c r="J27" s="15">
        <f t="shared" si="0"/>
        <v>250</v>
      </c>
      <c r="K27" s="15">
        <v>1</v>
      </c>
      <c r="L27" s="15">
        <v>0.1</v>
      </c>
      <c r="M27" s="15">
        <f t="shared" si="1"/>
        <v>275</v>
      </c>
      <c r="N27" s="5">
        <f t="shared" si="2"/>
        <v>250</v>
      </c>
      <c r="O27" s="5">
        <f t="shared" si="3"/>
        <v>0</v>
      </c>
      <c r="P27" s="14">
        <f>N27</f>
        <v>250</v>
      </c>
      <c r="Q27" s="14">
        <f>O27</f>
        <v>0</v>
      </c>
      <c r="R27" s="8">
        <f>M27</f>
        <v>275</v>
      </c>
      <c r="S27" s="11">
        <f>SUM(P27)</f>
        <v>250</v>
      </c>
      <c r="T27" s="42">
        <f>S27/$C$44</f>
        <v>5.208333333333333</v>
      </c>
      <c r="U27" s="11">
        <f>SUM(M27)</f>
        <v>275</v>
      </c>
      <c r="V27" s="69"/>
      <c r="W27" s="67"/>
      <c r="X27" s="71"/>
      <c r="Y27" s="73"/>
    </row>
    <row r="28" spans="2:25" ht="16.5" thickTop="1" thickBot="1" x14ac:dyDescent="0.3">
      <c r="B28" s="64"/>
      <c r="C28" s="45">
        <v>5</v>
      </c>
      <c r="D28" s="66" t="s">
        <v>52</v>
      </c>
      <c r="E28" s="7">
        <v>50</v>
      </c>
      <c r="F28" s="7" t="s">
        <v>11</v>
      </c>
      <c r="G28" s="7">
        <v>2</v>
      </c>
      <c r="H28" s="65" t="s">
        <v>50</v>
      </c>
      <c r="I28" s="12">
        <v>1024</v>
      </c>
      <c r="J28" s="12">
        <f t="shared" si="0"/>
        <v>100</v>
      </c>
      <c r="K28" s="12">
        <v>0.5</v>
      </c>
      <c r="L28" s="12">
        <v>0.5</v>
      </c>
      <c r="M28" s="12">
        <f t="shared" si="1"/>
        <v>75</v>
      </c>
      <c r="N28" s="7">
        <f t="shared" si="2"/>
        <v>100</v>
      </c>
      <c r="O28" s="5">
        <f t="shared" si="3"/>
        <v>0</v>
      </c>
      <c r="P28" s="56">
        <f>SUM(N28:N29)</f>
        <v>150</v>
      </c>
      <c r="Q28" s="56">
        <f>SUM(O28:O29)</f>
        <v>50</v>
      </c>
      <c r="R28" s="43">
        <f>SUM(M28:M29)</f>
        <v>81.5625</v>
      </c>
      <c r="S28" s="66">
        <f>SUM(P28)</f>
        <v>150</v>
      </c>
      <c r="T28" s="68">
        <f>S28/$C$44</f>
        <v>3.125</v>
      </c>
      <c r="U28" s="66">
        <f>SUM(M28:M29)</f>
        <v>81.5625</v>
      </c>
      <c r="V28" s="69"/>
      <c r="W28" s="67"/>
      <c r="X28" s="71"/>
      <c r="Y28" s="73"/>
    </row>
    <row r="29" spans="2:25" ht="16.5" thickTop="1" thickBot="1" x14ac:dyDescent="0.3">
      <c r="B29" s="64"/>
      <c r="C29" s="45"/>
      <c r="D29" s="66"/>
      <c r="E29" s="7">
        <v>50</v>
      </c>
      <c r="F29" s="7" t="s">
        <v>12</v>
      </c>
      <c r="G29" s="7">
        <v>1</v>
      </c>
      <c r="H29" s="65"/>
      <c r="I29" s="13">
        <v>128</v>
      </c>
      <c r="J29" s="13">
        <f t="shared" si="0"/>
        <v>6.25</v>
      </c>
      <c r="K29" s="13">
        <v>0.7</v>
      </c>
      <c r="L29" s="13">
        <v>0.5</v>
      </c>
      <c r="M29" s="13">
        <f t="shared" si="1"/>
        <v>6.5625</v>
      </c>
      <c r="N29" s="7">
        <f t="shared" si="2"/>
        <v>50</v>
      </c>
      <c r="O29" s="5">
        <f t="shared" si="3"/>
        <v>50</v>
      </c>
      <c r="P29" s="56"/>
      <c r="Q29" s="56"/>
      <c r="R29" s="44"/>
      <c r="S29" s="66"/>
      <c r="T29" s="68"/>
      <c r="U29" s="66"/>
      <c r="V29" s="69"/>
      <c r="W29" s="67"/>
      <c r="X29" s="71"/>
      <c r="Y29" s="73"/>
    </row>
    <row r="30" spans="2:25" ht="53.25" customHeight="1" thickTop="1" x14ac:dyDescent="0.25">
      <c r="B30" s="41" t="s">
        <v>155</v>
      </c>
      <c r="C30" s="14" t="s">
        <v>92</v>
      </c>
      <c r="D30" s="14" t="s">
        <v>92</v>
      </c>
      <c r="E30" s="14">
        <v>2</v>
      </c>
      <c r="F30" s="14"/>
      <c r="G30" s="14">
        <v>250</v>
      </c>
      <c r="H30" s="14" t="s">
        <v>25</v>
      </c>
      <c r="I30" s="14">
        <v>1024</v>
      </c>
      <c r="J30" s="14">
        <f>I30*N30/1014</f>
        <v>504.93096646942803</v>
      </c>
      <c r="K30" s="14">
        <v>0.9</v>
      </c>
      <c r="L30" s="14">
        <v>0.3</v>
      </c>
      <c r="M30" s="14">
        <f t="shared" si="1"/>
        <v>590.76923076923083</v>
      </c>
      <c r="N30" s="14">
        <f t="shared" si="2"/>
        <v>500</v>
      </c>
      <c r="O30" s="14">
        <f>IF(F29="VoIP", N30, 0)</f>
        <v>500</v>
      </c>
      <c r="P30" s="14">
        <f>N30</f>
        <v>500</v>
      </c>
      <c r="Q30" s="14">
        <v>0</v>
      </c>
      <c r="R30" s="14">
        <f>M30</f>
        <v>590.76923076923083</v>
      </c>
      <c r="S30" s="36">
        <f>N30</f>
        <v>500</v>
      </c>
      <c r="T30" s="37">
        <f>P30/L34</f>
        <v>12.5</v>
      </c>
      <c r="U30" s="36">
        <f>R30</f>
        <v>590.76923076923083</v>
      </c>
      <c r="X30" s="71"/>
      <c r="Y30" s="73"/>
    </row>
    <row r="31" spans="2:25" x14ac:dyDescent="0.25">
      <c r="O31" s="1">
        <f>IF(F31="VoIP", N31, 0)</f>
        <v>0</v>
      </c>
    </row>
    <row r="32" spans="2:25" ht="38.25" customHeight="1" x14ac:dyDescent="0.25">
      <c r="B32" s="20" t="s">
        <v>41</v>
      </c>
      <c r="C32" s="20" t="s">
        <v>79</v>
      </c>
      <c r="D32" s="20"/>
      <c r="E32" s="20"/>
      <c r="F32" s="25">
        <f t="array" ref="F32:F39">I33:I39*J33:J39</f>
        <v>846083.41708333336</v>
      </c>
      <c r="G32" s="20"/>
      <c r="H32" s="20" t="s">
        <v>70</v>
      </c>
      <c r="I32" s="20" t="s">
        <v>66</v>
      </c>
      <c r="J32" s="20" t="s">
        <v>65</v>
      </c>
      <c r="K32" s="20" t="s">
        <v>69</v>
      </c>
      <c r="L32" s="20" t="s">
        <v>67</v>
      </c>
      <c r="M32" s="20" t="s">
        <v>68</v>
      </c>
      <c r="N32" s="20" t="s">
        <v>154</v>
      </c>
      <c r="O32" s="1" t="e">
        <f>IF(#REF!="VoIP",#REF!, 0)</f>
        <v>#REF!</v>
      </c>
    </row>
    <row r="33" spans="2:19" ht="45" x14ac:dyDescent="0.25">
      <c r="B33" s="20" t="s">
        <v>78</v>
      </c>
      <c r="C33">
        <v>4</v>
      </c>
      <c r="F33" s="22">
        <v>69051.099999999991</v>
      </c>
      <c r="H33" t="s">
        <v>75</v>
      </c>
      <c r="I33" s="17">
        <f>SUM(Y5,W25)</f>
        <v>195.95833333333334</v>
      </c>
      <c r="J33" s="24">
        <v>4317.67</v>
      </c>
      <c r="K33" s="20" t="s">
        <v>90</v>
      </c>
      <c r="L33">
        <v>48</v>
      </c>
      <c r="M33">
        <v>48</v>
      </c>
      <c r="N33" s="39" t="s">
        <v>153</v>
      </c>
      <c r="O33" s="1">
        <f t="shared" ref="O33:O44" si="4">IF(F33="VoIP", N33, 0)</f>
        <v>0</v>
      </c>
    </row>
    <row r="34" spans="2:19" ht="45" x14ac:dyDescent="0.25">
      <c r="B34" s="20" t="s">
        <v>80</v>
      </c>
      <c r="C34">
        <v>3</v>
      </c>
      <c r="F34" s="22">
        <v>49250.520000000004</v>
      </c>
      <c r="H34" t="s">
        <v>74</v>
      </c>
      <c r="I34" s="26">
        <f>2*5</f>
        <v>10</v>
      </c>
      <c r="J34" s="24">
        <v>6905.11</v>
      </c>
      <c r="K34" s="20" t="s">
        <v>95</v>
      </c>
      <c r="L34">
        <v>40</v>
      </c>
      <c r="M34" s="40" t="s">
        <v>92</v>
      </c>
      <c r="N34" s="39" t="s">
        <v>152</v>
      </c>
      <c r="O34" s="1">
        <f>IF(F34="VoIP", S34, 0)</f>
        <v>0</v>
      </c>
      <c r="S34" s="38" t="s">
        <v>94</v>
      </c>
    </row>
    <row r="35" spans="2:19" ht="30" x14ac:dyDescent="0.25">
      <c r="B35" s="20" t="s">
        <v>81</v>
      </c>
      <c r="C35">
        <v>3</v>
      </c>
      <c r="F35" s="22">
        <v>89910</v>
      </c>
      <c r="H35" t="s">
        <v>73</v>
      </c>
      <c r="I35">
        <v>6</v>
      </c>
      <c r="J35" s="24">
        <v>8208.42</v>
      </c>
      <c r="K35" s="20" t="s">
        <v>96</v>
      </c>
      <c r="O35" s="1">
        <f>IF(F35="VoIP", S35, 0)</f>
        <v>0</v>
      </c>
      <c r="S35" s="38" t="s">
        <v>97</v>
      </c>
    </row>
    <row r="36" spans="2:19" ht="45" x14ac:dyDescent="0.25">
      <c r="B36" s="20" t="s">
        <v>84</v>
      </c>
      <c r="C36">
        <v>4</v>
      </c>
      <c r="F36" s="22">
        <v>300980</v>
      </c>
      <c r="H36" t="s">
        <v>76</v>
      </c>
      <c r="I36">
        <f>C36*(4+4*C34+4)+4*C35+4+4</f>
        <v>100</v>
      </c>
      <c r="J36">
        <v>899.1</v>
      </c>
      <c r="K36" s="20" t="s">
        <v>91</v>
      </c>
      <c r="L36" t="s">
        <v>92</v>
      </c>
      <c r="M36" t="s">
        <v>92</v>
      </c>
      <c r="O36" s="1">
        <f t="shared" si="4"/>
        <v>0</v>
      </c>
    </row>
    <row r="37" spans="2:19" ht="30" x14ac:dyDescent="0.25">
      <c r="F37" s="22">
        <v>11515.92</v>
      </c>
      <c r="H37" t="s">
        <v>71</v>
      </c>
      <c r="I37">
        <f>C36*(SUM(Q5:Q15)+SUM(Q16:Q21)*C34+SUM(Q22:Q24))+Q25*C35+Q27+Q28</f>
        <v>2000</v>
      </c>
      <c r="J37">
        <v>150.49</v>
      </c>
      <c r="K37" s="20" t="s">
        <v>89</v>
      </c>
      <c r="L37" t="s">
        <v>92</v>
      </c>
      <c r="M37" t="s">
        <v>92</v>
      </c>
      <c r="O37" s="1">
        <f t="shared" si="4"/>
        <v>0</v>
      </c>
    </row>
    <row r="38" spans="2:19" ht="75" x14ac:dyDescent="0.25">
      <c r="F38" s="22">
        <v>768000</v>
      </c>
      <c r="H38" t="s">
        <v>72</v>
      </c>
      <c r="I38">
        <f>SUM(G13,G24)</f>
        <v>12</v>
      </c>
      <c r="J38" s="24">
        <v>959.66</v>
      </c>
      <c r="K38" s="20" t="s">
        <v>93</v>
      </c>
      <c r="L38" t="s">
        <v>92</v>
      </c>
      <c r="M38" t="s">
        <v>92</v>
      </c>
      <c r="O38" s="1">
        <f t="shared" si="4"/>
        <v>0</v>
      </c>
    </row>
    <row r="39" spans="2:19" x14ac:dyDescent="0.25">
      <c r="F39" s="22" t="e">
        <v>#N/A</v>
      </c>
      <c r="H39" t="s">
        <v>77</v>
      </c>
      <c r="I39">
        <f>20*6*20*8</f>
        <v>19200</v>
      </c>
      <c r="J39">
        <v>40</v>
      </c>
      <c r="K39" t="s">
        <v>92</v>
      </c>
      <c r="L39" t="s">
        <v>92</v>
      </c>
      <c r="M39" t="s">
        <v>92</v>
      </c>
      <c r="O39" s="1" t="e">
        <f t="shared" si="4"/>
        <v>#N/A</v>
      </c>
    </row>
    <row r="40" spans="2:19" x14ac:dyDescent="0.25">
      <c r="O40" s="1">
        <f t="shared" si="4"/>
        <v>0</v>
      </c>
    </row>
    <row r="41" spans="2:19" x14ac:dyDescent="0.25">
      <c r="B41" s="21"/>
      <c r="C41" s="21"/>
      <c r="O41" s="1">
        <f t="shared" si="4"/>
        <v>0</v>
      </c>
    </row>
    <row r="42" spans="2:19" ht="19.5" thickBot="1" x14ac:dyDescent="0.35">
      <c r="B42" s="21"/>
      <c r="C42" s="21"/>
      <c r="H42" s="19" t="s">
        <v>7</v>
      </c>
      <c r="I42" s="58">
        <f>SUM(F32:F38)</f>
        <v>2134790.9570833333</v>
      </c>
      <c r="J42" s="58"/>
      <c r="K42" s="58"/>
      <c r="O42" s="1">
        <f t="shared" si="4"/>
        <v>0</v>
      </c>
    </row>
    <row r="43" spans="2:19" ht="15.75" customHeight="1" thickTop="1" x14ac:dyDescent="0.25">
      <c r="B43" s="21" t="s">
        <v>41</v>
      </c>
      <c r="C43" s="21"/>
      <c r="O43" s="1">
        <f t="shared" si="4"/>
        <v>0</v>
      </c>
    </row>
    <row r="44" spans="2:19" x14ac:dyDescent="0.25">
      <c r="B44" s="21" t="s">
        <v>40</v>
      </c>
      <c r="C44" s="21">
        <f>L33</f>
        <v>48</v>
      </c>
      <c r="O44" s="1">
        <f t="shared" si="4"/>
        <v>0</v>
      </c>
    </row>
    <row r="45" spans="2:19" x14ac:dyDescent="0.25">
      <c r="B45" s="21" t="s">
        <v>42</v>
      </c>
      <c r="C45" s="21">
        <f>M33</f>
        <v>48</v>
      </c>
    </row>
  </sheetData>
  <mergeCells count="80">
    <mergeCell ref="X5:X30"/>
    <mergeCell ref="Y5:Y30"/>
    <mergeCell ref="C22:C24"/>
    <mergeCell ref="D22:D23"/>
    <mergeCell ref="C5:C15"/>
    <mergeCell ref="Q9:Q10"/>
    <mergeCell ref="W25:W29"/>
    <mergeCell ref="S28:S29"/>
    <mergeCell ref="T28:T29"/>
    <mergeCell ref="U28:U29"/>
    <mergeCell ref="S25:S26"/>
    <mergeCell ref="T25:T26"/>
    <mergeCell ref="U25:U26"/>
    <mergeCell ref="V25:V29"/>
    <mergeCell ref="C28:C29"/>
    <mergeCell ref="C25:C26"/>
    <mergeCell ref="B25:B29"/>
    <mergeCell ref="H28:H29"/>
    <mergeCell ref="Q28:Q29"/>
    <mergeCell ref="D25:D26"/>
    <mergeCell ref="H25:H26"/>
    <mergeCell ref="P25:P26"/>
    <mergeCell ref="Q25:Q26"/>
    <mergeCell ref="D28:D29"/>
    <mergeCell ref="V3:W3"/>
    <mergeCell ref="X3:Y3"/>
    <mergeCell ref="P20:P21"/>
    <mergeCell ref="Q20:Q21"/>
    <mergeCell ref="W5:W24"/>
    <mergeCell ref="U16:U21"/>
    <mergeCell ref="T16:T21"/>
    <mergeCell ref="R22:R23"/>
    <mergeCell ref="V5:V24"/>
    <mergeCell ref="T22:T24"/>
    <mergeCell ref="U22:U24"/>
    <mergeCell ref="S5:S15"/>
    <mergeCell ref="Q5:Q6"/>
    <mergeCell ref="Q7:Q8"/>
    <mergeCell ref="S16:S21"/>
    <mergeCell ref="R7:R8"/>
    <mergeCell ref="I42:K42"/>
    <mergeCell ref="C16:C21"/>
    <mergeCell ref="B5:B24"/>
    <mergeCell ref="R28:R29"/>
    <mergeCell ref="S22:S24"/>
    <mergeCell ref="D16:D17"/>
    <mergeCell ref="D18:D19"/>
    <mergeCell ref="P16:P17"/>
    <mergeCell ref="Q16:Q17"/>
    <mergeCell ref="Q18:Q19"/>
    <mergeCell ref="P18:P19"/>
    <mergeCell ref="P9:P10"/>
    <mergeCell ref="P11:P12"/>
    <mergeCell ref="R16:R17"/>
    <mergeCell ref="R18:R19"/>
    <mergeCell ref="R20:R21"/>
    <mergeCell ref="R25:R26"/>
    <mergeCell ref="P28:P29"/>
    <mergeCell ref="D7:D8"/>
    <mergeCell ref="D9:D10"/>
    <mergeCell ref="D11:D12"/>
    <mergeCell ref="P7:P8"/>
    <mergeCell ref="D20:D21"/>
    <mergeCell ref="H22:H23"/>
    <mergeCell ref="P22:P23"/>
    <mergeCell ref="Q22:Q23"/>
    <mergeCell ref="N3:R3"/>
    <mergeCell ref="B3:D3"/>
    <mergeCell ref="I3:M3"/>
    <mergeCell ref="F3:H3"/>
    <mergeCell ref="S3:U3"/>
    <mergeCell ref="R5:R6"/>
    <mergeCell ref="P5:P6"/>
    <mergeCell ref="D5:D6"/>
    <mergeCell ref="T5:T15"/>
    <mergeCell ref="U5:U15"/>
    <mergeCell ref="R9:R10"/>
    <mergeCell ref="R11:R12"/>
    <mergeCell ref="H5:H6"/>
    <mergeCell ref="Q11:Q12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7538-D672-446F-8A79-1AEB16E3380F}">
  <dimension ref="A1:M37"/>
  <sheetViews>
    <sheetView zoomScale="99" zoomScaleNormal="100" workbookViewId="0">
      <selection activeCell="C10" sqref="C10"/>
    </sheetView>
  </sheetViews>
  <sheetFormatPr defaultRowHeight="15" x14ac:dyDescent="0.25"/>
  <cols>
    <col min="1" max="1" width="2.7109375" customWidth="1"/>
    <col min="3" max="3" width="24.7109375" customWidth="1"/>
    <col min="6" max="6" width="2.7109375" customWidth="1"/>
    <col min="8" max="13" width="16.7109375" customWidth="1"/>
    <col min="15" max="16" width="15.7109375" customWidth="1"/>
    <col min="17" max="18" width="25.7109375" customWidth="1"/>
  </cols>
  <sheetData>
    <row r="1" spans="1:13" x14ac:dyDescent="0.25">
      <c r="A1" s="27"/>
      <c r="B1" s="27"/>
      <c r="C1" s="27"/>
      <c r="D1" s="27"/>
      <c r="E1" s="27"/>
      <c r="F1" s="27"/>
    </row>
    <row r="2" spans="1:13" x14ac:dyDescent="0.25">
      <c r="A2" s="27"/>
      <c r="F2" s="27"/>
      <c r="H2" s="75" t="s">
        <v>151</v>
      </c>
      <c r="I2" s="75"/>
      <c r="J2" s="75"/>
      <c r="K2" s="75"/>
      <c r="L2" s="75"/>
      <c r="M2" s="75"/>
    </row>
    <row r="3" spans="1:13" x14ac:dyDescent="0.25">
      <c r="A3" s="27"/>
      <c r="C3" s="30" t="s">
        <v>150</v>
      </c>
      <c r="D3" s="30" t="s">
        <v>106</v>
      </c>
      <c r="F3" s="27"/>
      <c r="H3" s="35" t="s">
        <v>149</v>
      </c>
      <c r="I3" s="34" t="s">
        <v>143</v>
      </c>
      <c r="J3" s="35" t="s">
        <v>144</v>
      </c>
      <c r="K3" s="34" t="s">
        <v>143</v>
      </c>
      <c r="L3" s="35" t="s">
        <v>143</v>
      </c>
      <c r="M3" s="34" t="s">
        <v>148</v>
      </c>
    </row>
    <row r="4" spans="1:13" x14ac:dyDescent="0.25">
      <c r="A4" s="27"/>
      <c r="C4" s="29" t="s">
        <v>147</v>
      </c>
      <c r="D4" s="29" t="s">
        <v>104</v>
      </c>
      <c r="E4" t="s">
        <v>157</v>
      </c>
      <c r="F4" s="27"/>
      <c r="H4" s="35" t="s">
        <v>139</v>
      </c>
      <c r="I4" s="34" t="s">
        <v>138</v>
      </c>
      <c r="J4" s="35" t="s">
        <v>15</v>
      </c>
      <c r="K4" s="34" t="s">
        <v>137</v>
      </c>
      <c r="L4" s="35" t="s">
        <v>156</v>
      </c>
      <c r="M4" s="34" t="s">
        <v>136</v>
      </c>
    </row>
    <row r="5" spans="1:13" x14ac:dyDescent="0.25">
      <c r="A5" s="27"/>
      <c r="C5" s="28" t="s">
        <v>16</v>
      </c>
      <c r="D5" s="28" t="s">
        <v>102</v>
      </c>
      <c r="F5" s="27"/>
    </row>
    <row r="6" spans="1:13" x14ac:dyDescent="0.25">
      <c r="A6" s="27"/>
      <c r="C6" s="29" t="s">
        <v>6</v>
      </c>
      <c r="D6" s="29" t="s">
        <v>100</v>
      </c>
      <c r="F6" s="27"/>
      <c r="H6" s="75" t="s">
        <v>146</v>
      </c>
      <c r="I6" s="75"/>
      <c r="J6" s="75"/>
      <c r="K6" s="75"/>
      <c r="L6" s="75"/>
      <c r="M6" s="75"/>
    </row>
    <row r="7" spans="1:13" x14ac:dyDescent="0.25">
      <c r="A7" s="27"/>
      <c r="C7" s="28" t="s">
        <v>12</v>
      </c>
      <c r="D7" s="28" t="s">
        <v>98</v>
      </c>
      <c r="F7" s="27"/>
      <c r="H7" s="35" t="s">
        <v>145</v>
      </c>
      <c r="I7" s="34" t="s">
        <v>143</v>
      </c>
      <c r="J7" s="35" t="s">
        <v>144</v>
      </c>
      <c r="K7" s="34" t="s">
        <v>143</v>
      </c>
      <c r="L7" s="35" t="s">
        <v>143</v>
      </c>
      <c r="M7" s="34" t="s">
        <v>142</v>
      </c>
    </row>
    <row r="8" spans="1:13" x14ac:dyDescent="0.25">
      <c r="A8" s="27"/>
      <c r="C8" s="29" t="s">
        <v>141</v>
      </c>
      <c r="D8" s="29" t="s">
        <v>140</v>
      </c>
      <c r="F8" s="27"/>
      <c r="H8" s="35" t="s">
        <v>139</v>
      </c>
      <c r="I8" s="34" t="s">
        <v>138</v>
      </c>
      <c r="J8" s="35" t="s">
        <v>15</v>
      </c>
      <c r="K8" s="34" t="s">
        <v>137</v>
      </c>
      <c r="L8" s="35" t="s">
        <v>156</v>
      </c>
      <c r="M8" s="34" t="s">
        <v>136</v>
      </c>
    </row>
    <row r="9" spans="1:13" x14ac:dyDescent="0.25">
      <c r="A9" s="27"/>
      <c r="C9" s="28" t="s">
        <v>135</v>
      </c>
      <c r="D9" s="28" t="s">
        <v>134</v>
      </c>
      <c r="F9" s="27"/>
    </row>
    <row r="10" spans="1:13" x14ac:dyDescent="0.25">
      <c r="A10" s="27"/>
      <c r="C10" s="29" t="s">
        <v>133</v>
      </c>
      <c r="D10" s="29" t="s">
        <v>132</v>
      </c>
      <c r="F10" s="27"/>
    </row>
    <row r="11" spans="1:13" x14ac:dyDescent="0.25">
      <c r="A11" s="27"/>
      <c r="C11" s="28" t="s">
        <v>159</v>
      </c>
      <c r="D11" s="28" t="s">
        <v>131</v>
      </c>
      <c r="F11" s="27"/>
    </row>
    <row r="12" spans="1:13" x14ac:dyDescent="0.25">
      <c r="A12" s="27"/>
      <c r="F12" s="27"/>
    </row>
    <row r="13" spans="1:13" x14ac:dyDescent="0.25">
      <c r="A13" s="27"/>
      <c r="B13" s="27"/>
      <c r="C13" s="27"/>
      <c r="D13" s="27"/>
      <c r="E13" s="27"/>
      <c r="F13" s="27"/>
      <c r="J13" s="76" t="s">
        <v>130</v>
      </c>
      <c r="K13" s="76"/>
    </row>
    <row r="14" spans="1:13" x14ac:dyDescent="0.25">
      <c r="A14" s="27"/>
      <c r="F14" s="27"/>
      <c r="J14" s="33" t="s">
        <v>129</v>
      </c>
      <c r="K14" s="33" t="s">
        <v>128</v>
      </c>
    </row>
    <row r="15" spans="1:13" x14ac:dyDescent="0.25">
      <c r="A15" s="27"/>
      <c r="C15" s="30" t="s">
        <v>127</v>
      </c>
      <c r="D15" s="30" t="s">
        <v>106</v>
      </c>
      <c r="F15" s="27"/>
      <c r="H15" s="74" t="s">
        <v>126</v>
      </c>
      <c r="I15" s="33" t="s">
        <v>122</v>
      </c>
      <c r="J15" s="32" t="s">
        <v>125</v>
      </c>
      <c r="K15" s="32"/>
    </row>
    <row r="16" spans="1:13" x14ac:dyDescent="0.25">
      <c r="A16" s="27"/>
      <c r="C16" s="29" t="s">
        <v>108</v>
      </c>
      <c r="D16" s="29" t="s">
        <v>104</v>
      </c>
      <c r="F16" s="27"/>
      <c r="H16" s="74"/>
      <c r="I16" s="33" t="s">
        <v>118</v>
      </c>
      <c r="J16" s="31" t="s">
        <v>124</v>
      </c>
      <c r="K16" s="31"/>
    </row>
    <row r="17" spans="1:11" x14ac:dyDescent="0.25">
      <c r="A17" s="27"/>
      <c r="C17" s="28" t="s">
        <v>122</v>
      </c>
      <c r="D17" s="28" t="s">
        <v>102</v>
      </c>
      <c r="F17" s="27"/>
      <c r="H17" s="74"/>
      <c r="I17" s="33" t="s">
        <v>119</v>
      </c>
      <c r="J17" s="32" t="s">
        <v>123</v>
      </c>
      <c r="K17" s="32"/>
    </row>
    <row r="18" spans="1:11" x14ac:dyDescent="0.25">
      <c r="A18" s="27"/>
      <c r="C18" s="29" t="s">
        <v>118</v>
      </c>
      <c r="D18" s="29" t="s">
        <v>100</v>
      </c>
      <c r="F18" s="27"/>
      <c r="H18" s="74" t="s">
        <v>16</v>
      </c>
      <c r="I18" s="33" t="s">
        <v>122</v>
      </c>
      <c r="J18" s="31" t="s">
        <v>121</v>
      </c>
      <c r="K18" s="31" t="s">
        <v>120</v>
      </c>
    </row>
    <row r="19" spans="1:11" x14ac:dyDescent="0.25">
      <c r="A19" s="27"/>
      <c r="C19" s="28" t="s">
        <v>119</v>
      </c>
      <c r="D19" s="28" t="s">
        <v>98</v>
      </c>
      <c r="F19" s="27"/>
      <c r="H19" s="74"/>
      <c r="I19" s="33" t="s">
        <v>118</v>
      </c>
      <c r="J19" s="32" t="s">
        <v>117</v>
      </c>
      <c r="K19" s="32" t="s">
        <v>116</v>
      </c>
    </row>
    <row r="20" spans="1:11" x14ac:dyDescent="0.25">
      <c r="A20" s="27"/>
      <c r="F20" s="27"/>
      <c r="H20" s="74" t="s">
        <v>115</v>
      </c>
      <c r="I20" s="74"/>
      <c r="J20" s="31" t="s">
        <v>114</v>
      </c>
      <c r="K20" s="31" t="s">
        <v>113</v>
      </c>
    </row>
    <row r="21" spans="1:11" x14ac:dyDescent="0.25">
      <c r="A21" s="27"/>
      <c r="B21" s="27"/>
      <c r="C21" s="27"/>
      <c r="D21" s="27"/>
      <c r="E21" s="27"/>
      <c r="F21" s="27"/>
    </row>
    <row r="22" spans="1:11" x14ac:dyDescent="0.25">
      <c r="A22" s="27"/>
      <c r="F22" s="27"/>
    </row>
    <row r="23" spans="1:11" x14ac:dyDescent="0.25">
      <c r="A23" s="27"/>
      <c r="C23" s="30" t="s">
        <v>112</v>
      </c>
      <c r="D23" s="30" t="s">
        <v>106</v>
      </c>
      <c r="F23" s="27"/>
    </row>
    <row r="24" spans="1:11" x14ac:dyDescent="0.25">
      <c r="A24" s="27"/>
      <c r="C24" s="29" t="s">
        <v>111</v>
      </c>
      <c r="D24" s="29" t="s">
        <v>104</v>
      </c>
      <c r="F24" s="27"/>
    </row>
    <row r="25" spans="1:11" x14ac:dyDescent="0.25">
      <c r="A25" s="27"/>
      <c r="C25" s="28" t="s">
        <v>110</v>
      </c>
      <c r="D25" s="28" t="s">
        <v>102</v>
      </c>
      <c r="F25" s="27"/>
    </row>
    <row r="26" spans="1:11" x14ac:dyDescent="0.25">
      <c r="A26" s="27"/>
      <c r="C26" s="29" t="s">
        <v>109</v>
      </c>
      <c r="D26" s="29" t="s">
        <v>100</v>
      </c>
      <c r="F26" s="27"/>
    </row>
    <row r="27" spans="1:11" x14ac:dyDescent="0.25">
      <c r="A27" s="27"/>
      <c r="C27" s="28" t="s">
        <v>108</v>
      </c>
      <c r="D27" s="28" t="s">
        <v>98</v>
      </c>
      <c r="E27" t="s">
        <v>158</v>
      </c>
      <c r="F27" s="27"/>
    </row>
    <row r="28" spans="1:11" x14ac:dyDescent="0.25">
      <c r="A28" s="27"/>
      <c r="F28" s="27"/>
    </row>
    <row r="29" spans="1:11" x14ac:dyDescent="0.25">
      <c r="A29" s="27"/>
      <c r="B29" s="27"/>
      <c r="C29" s="27"/>
      <c r="D29" s="27"/>
      <c r="E29" s="27"/>
      <c r="F29" s="27"/>
    </row>
    <row r="30" spans="1:11" x14ac:dyDescent="0.25">
      <c r="A30" s="27"/>
      <c r="F30" s="27"/>
    </row>
    <row r="31" spans="1:11" x14ac:dyDescent="0.25">
      <c r="A31" s="27"/>
      <c r="C31" s="30" t="s">
        <v>107</v>
      </c>
      <c r="D31" s="30" t="s">
        <v>106</v>
      </c>
      <c r="F31" s="27"/>
    </row>
    <row r="32" spans="1:11" x14ac:dyDescent="0.25">
      <c r="A32" s="27"/>
      <c r="C32" s="29" t="s">
        <v>105</v>
      </c>
      <c r="D32" s="29" t="s">
        <v>104</v>
      </c>
      <c r="F32" s="27"/>
    </row>
    <row r="33" spans="1:6" x14ac:dyDescent="0.25">
      <c r="A33" s="27"/>
      <c r="C33" s="28" t="s">
        <v>103</v>
      </c>
      <c r="D33" s="28" t="s">
        <v>102</v>
      </c>
      <c r="F33" s="27"/>
    </row>
    <row r="34" spans="1:6" x14ac:dyDescent="0.25">
      <c r="A34" s="27"/>
      <c r="C34" s="29" t="s">
        <v>101</v>
      </c>
      <c r="D34" s="29" t="s">
        <v>100</v>
      </c>
      <c r="F34" s="27"/>
    </row>
    <row r="35" spans="1:6" x14ac:dyDescent="0.25">
      <c r="A35" s="27"/>
      <c r="C35" s="28" t="s">
        <v>99</v>
      </c>
      <c r="D35" s="28" t="s">
        <v>98</v>
      </c>
      <c r="F35" s="27"/>
    </row>
    <row r="36" spans="1:6" x14ac:dyDescent="0.25">
      <c r="A36" s="27"/>
      <c r="F36" s="27"/>
    </row>
    <row r="37" spans="1:6" x14ac:dyDescent="0.25">
      <c r="A37" s="27"/>
      <c r="B37" s="27"/>
      <c r="C37" s="27"/>
      <c r="D37" s="27"/>
      <c r="E37" s="27"/>
      <c r="F37" s="27"/>
    </row>
  </sheetData>
  <mergeCells count="6">
    <mergeCell ref="H20:I20"/>
    <mergeCell ref="H2:M2"/>
    <mergeCell ref="H6:M6"/>
    <mergeCell ref="J13:K13"/>
    <mergeCell ref="H15:H17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VLANs and 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2019-04-17T17:44:43Z</dcterms:created>
  <dcterms:modified xsi:type="dcterms:W3CDTF">2019-04-24T17:59:42Z</dcterms:modified>
</cp:coreProperties>
</file>