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al\Desktop\parallel_computing\deliverable2\"/>
    </mc:Choice>
  </mc:AlternateContent>
  <xr:revisionPtr revIDLastSave="0" documentId="13_ncr:1_{53D1C5F9-DB2B-4025-9473-4EFF9ED33872}" xr6:coauthVersionLast="47" xr6:coauthVersionMax="47" xr10:uidLastSave="{00000000-0000-0000-0000-000000000000}"/>
  <bookViews>
    <workbookView xWindow="-103" yWindow="-103" windowWidth="24892" windowHeight="14914" xr2:uid="{2A4E048A-BF38-4882-8758-AFC653BDD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58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16" i="1"/>
  <c r="AL49" i="1"/>
  <c r="AL50" i="1"/>
  <c r="AL51" i="1"/>
  <c r="Z46" i="1"/>
  <c r="Z45" i="1"/>
  <c r="N46" i="1"/>
  <c r="N47" i="1"/>
  <c r="N48" i="1"/>
  <c r="N49" i="1"/>
  <c r="N50" i="1"/>
  <c r="N51" i="1"/>
  <c r="N45" i="1"/>
  <c r="N64" i="1"/>
  <c r="N63" i="1"/>
  <c r="N62" i="1"/>
  <c r="N61" i="1"/>
  <c r="N60" i="1"/>
  <c r="N59" i="1"/>
  <c r="N58" i="1"/>
  <c r="Z64" i="1"/>
  <c r="Z51" i="1" s="1"/>
  <c r="Z63" i="1"/>
  <c r="Z50" i="1" s="1"/>
  <c r="Z62" i="1"/>
  <c r="Z49" i="1" s="1"/>
  <c r="Z61" i="1"/>
  <c r="Z48" i="1" s="1"/>
  <c r="Z60" i="1"/>
  <c r="Z47" i="1" s="1"/>
  <c r="Z59" i="1"/>
  <c r="Z58" i="1"/>
  <c r="AL64" i="1"/>
  <c r="AL63" i="1"/>
  <c r="AL62" i="1"/>
  <c r="AL61" i="1"/>
  <c r="AL48" i="1" s="1"/>
  <c r="AL60" i="1"/>
  <c r="AL47" i="1" s="1"/>
  <c r="AL59" i="1"/>
  <c r="AL46" i="1" s="1"/>
  <c r="AL58" i="1"/>
  <c r="AL45" i="1" s="1"/>
  <c r="N4" i="1"/>
  <c r="N5" i="1"/>
  <c r="N6" i="1"/>
  <c r="N9" i="1"/>
  <c r="Z9" i="1"/>
  <c r="Z4" i="1"/>
  <c r="AL22" i="1"/>
  <c r="AL9" i="1" s="1"/>
  <c r="AL21" i="1"/>
  <c r="AL8" i="1" s="1"/>
  <c r="AL20" i="1"/>
  <c r="AL7" i="1" s="1"/>
  <c r="AL19" i="1"/>
  <c r="AL6" i="1" s="1"/>
  <c r="AL18" i="1"/>
  <c r="AL5" i="1" s="1"/>
  <c r="AL17" i="1"/>
  <c r="AL4" i="1" s="1"/>
  <c r="AL16" i="1"/>
  <c r="AL3" i="1" s="1"/>
  <c r="Z22" i="1"/>
  <c r="Z21" i="1"/>
  <c r="Z8" i="1" s="1"/>
  <c r="Z20" i="1"/>
  <c r="Z7" i="1" s="1"/>
  <c r="Z19" i="1"/>
  <c r="Z6" i="1" s="1"/>
  <c r="Z18" i="1"/>
  <c r="Z5" i="1" s="1"/>
  <c r="Z17" i="1"/>
  <c r="Z16" i="1"/>
  <c r="Z3" i="1" s="1"/>
  <c r="N22" i="1"/>
  <c r="N21" i="1"/>
  <c r="N8" i="1" s="1"/>
  <c r="N20" i="1"/>
  <c r="N7" i="1" s="1"/>
  <c r="N19" i="1"/>
  <c r="N18" i="1"/>
  <c r="N17" i="1"/>
  <c r="N16" i="1"/>
  <c r="N3" i="1" s="1"/>
  <c r="AM4" i="1"/>
  <c r="AM5" i="1"/>
  <c r="AM6" i="1"/>
  <c r="AM7" i="1"/>
  <c r="AA5" i="1"/>
  <c r="AA6" i="1"/>
  <c r="AA3" i="1"/>
  <c r="O22" i="1"/>
  <c r="O9" i="1" s="1"/>
  <c r="O21" i="1"/>
  <c r="O8" i="1" s="1"/>
  <c r="O20" i="1"/>
  <c r="O7" i="1" s="1"/>
  <c r="O19" i="1"/>
  <c r="O6" i="1" s="1"/>
  <c r="O18" i="1"/>
  <c r="O5" i="1" s="1"/>
  <c r="O17" i="1"/>
  <c r="O4" i="1" s="1"/>
  <c r="O16" i="1"/>
  <c r="O3" i="1" s="1"/>
  <c r="AM16" i="1"/>
  <c r="AM3" i="1" s="1"/>
  <c r="AA19" i="1"/>
  <c r="AA18" i="1"/>
  <c r="AA17" i="1"/>
  <c r="AA4" i="1" s="1"/>
  <c r="AA16" i="1"/>
  <c r="AA20" i="1"/>
  <c r="AA7" i="1" s="1"/>
  <c r="AA21" i="1"/>
  <c r="AA8" i="1" s="1"/>
  <c r="AA22" i="1"/>
  <c r="AA9" i="1" s="1"/>
  <c r="AM22" i="1"/>
  <c r="AM9" i="1" s="1"/>
  <c r="AM21" i="1"/>
  <c r="AM8" i="1" s="1"/>
  <c r="AM20" i="1"/>
  <c r="AM19" i="1"/>
  <c r="AM18" i="1"/>
  <c r="AM17" i="1"/>
</calcChain>
</file>

<file path=xl/sharedStrings.xml><?xml version="1.0" encoding="utf-8"?>
<sst xmlns="http://schemas.openxmlformats.org/spreadsheetml/2006/main" count="89" uniqueCount="33">
  <si>
    <t>Fig.1 __Transposition times</t>
  </si>
  <si>
    <t>Sequential</t>
  </si>
  <si>
    <t>OpenMP</t>
  </si>
  <si>
    <t>MPI_one</t>
  </si>
  <si>
    <t>MPI_two</t>
  </si>
  <si>
    <t>Fig.2 __Transposition speedup</t>
  </si>
  <si>
    <t>Fig.4 __Symmetry check times</t>
  </si>
  <si>
    <t>Fig.5 __Symmetry check speedup</t>
  </si>
  <si>
    <t>num_proc</t>
  </si>
  <si>
    <t>size</t>
  </si>
  <si>
    <t>Fig.3b __Transposition strong scaling (1024)</t>
  </si>
  <si>
    <t>Fig.3b __Transposition strong scaling (2048)</t>
  </si>
  <si>
    <t>Fig.3a __Transposition efficiency (1024)</t>
  </si>
  <si>
    <t>Fig.3a __Transposition efficiency (2048)</t>
  </si>
  <si>
    <t>Fig.3b __Transposition strong scaling (4096)</t>
  </si>
  <si>
    <t>Fig.3a __Transposition efficiency (4096)</t>
  </si>
  <si>
    <t>Fig.3a __Symmetry check efficiency (1024)</t>
  </si>
  <si>
    <t>Fig.3b __Symmetry check strong scaling (1024)</t>
  </si>
  <si>
    <t>Fig.3b __Symmetry check strong scaling (2048)</t>
  </si>
  <si>
    <t>Fig.3a __Symmetry check efficiency (2048)</t>
  </si>
  <si>
    <t>Fig.3a __Symmetry check efficiency (4096)</t>
  </si>
  <si>
    <t>Fig.3b __Symmetry check strong scaling (4096)</t>
  </si>
  <si>
    <t>1024 1 CPU tras time MPI_one</t>
  </si>
  <si>
    <t>1024 1 CPU tras time MPI_two</t>
  </si>
  <si>
    <t>2048 1 CPU tras time MPI_two</t>
  </si>
  <si>
    <t>2048 1 CPU tras time MPI_one</t>
  </si>
  <si>
    <t>4096 1 CPU tras time MPI_one</t>
  </si>
  <si>
    <t>4096 1 CPU tras time MPI_two</t>
  </si>
  <si>
    <t>Fig.3c __Transposition weak scaling (32 rows)</t>
  </si>
  <si>
    <t>Fig.3c __Symmetry check weak scaling (16 rows)</t>
  </si>
  <si>
    <t>Fig.3c __Transposition weak scaling (16 rows)</t>
  </si>
  <si>
    <t>Fig.3c __Symmetry check weak scaling (32 rows)</t>
  </si>
  <si>
    <t>1024 1 CPU sum time MPI_one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</si>
</sst>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64" fontId="0" fillId="0" borderId="0" xfId="1" applyNumberFormat="1" applyFont="1"/>
    <xf numFmtId="164" fontId="0" fillId="2" borderId="0" xfId="1" applyNumberFormat="1" applyFont="1" applyFill="1"/>
    <xf numFmtId="164" fontId="0" fillId="0" borderId="0" xfId="0" applyNumberFormat="1"/>
    <xf numFmtId="164" fontId="0" fillId="2" borderId="0" xfId="0" applyNumberFormat="1" applyFill="1"/>
    <xf numFmtId="0" fontId="2" fillId="0" borderId="0" xfId="0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/>
              <a:t>Transposition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Sequential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Sheet1!$A$3:$A$11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Sheet1!$B$3:$B$11</c:f>
              <c:numCache>
                <c:formatCode>0.000000</c:formatCode>
                <c:ptCount val="9"/>
                <c:pt idx="0">
                  <c:v>1.6000000000000001E-3</c:v>
                </c:pt>
                <c:pt idx="1">
                  <c:v>2.467E-3</c:v>
                </c:pt>
                <c:pt idx="2">
                  <c:v>9.1999999999999998E-3</c:v>
                </c:pt>
                <c:pt idx="3">
                  <c:v>3.7767000000000002E-2</c:v>
                </c:pt>
                <c:pt idx="4">
                  <c:v>0.1583</c:v>
                </c:pt>
                <c:pt idx="5">
                  <c:v>0.76196699999999995</c:v>
                </c:pt>
                <c:pt idx="6">
                  <c:v>3.1821000000000002</c:v>
                </c:pt>
                <c:pt idx="7">
                  <c:v>21.434867000000001</c:v>
                </c:pt>
                <c:pt idx="8">
                  <c:v>123.259467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4-4C37-B3B7-68BA3B57705C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OpenMP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numRef>
              <c:f>Sheet1!$A$3:$A$11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Sheet1!$C$3:$C$11</c:f>
              <c:numCache>
                <c:formatCode>0.000000</c:formatCode>
                <c:ptCount val="9"/>
                <c:pt idx="0">
                  <c:v>1.7500000000000002E-2</c:v>
                </c:pt>
                <c:pt idx="1">
                  <c:v>3.4867000000000002E-2</c:v>
                </c:pt>
                <c:pt idx="2">
                  <c:v>8.5967000000000002E-2</c:v>
                </c:pt>
                <c:pt idx="3">
                  <c:v>6.6532999999999995E-2</c:v>
                </c:pt>
                <c:pt idx="4">
                  <c:v>6.2799999999999995E-2</c:v>
                </c:pt>
                <c:pt idx="5">
                  <c:v>0.26933299999999999</c:v>
                </c:pt>
                <c:pt idx="6">
                  <c:v>0.59140000000000004</c:v>
                </c:pt>
                <c:pt idx="7">
                  <c:v>4.4160000000000004</c:v>
                </c:pt>
                <c:pt idx="8">
                  <c:v>19.731767000000001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4-4C37-B3B7-68BA3B57705C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MPI_one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Sheet1!$A$3:$A$11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Sheet1!$D$3:$D$11</c:f>
              <c:numCache>
                <c:formatCode>0.000000</c:formatCode>
                <c:ptCount val="9"/>
                <c:pt idx="1">
                  <c:v>2.3300999999999999E-2</c:v>
                </c:pt>
                <c:pt idx="2">
                  <c:v>4.6023000000000001E-2</c:v>
                </c:pt>
                <c:pt idx="3">
                  <c:v>0.11160399999999999</c:v>
                </c:pt>
                <c:pt idx="4">
                  <c:v>0.27566000000000002</c:v>
                </c:pt>
                <c:pt idx="5">
                  <c:v>1.227975</c:v>
                </c:pt>
                <c:pt idx="6">
                  <c:v>4.2115289999999996</c:v>
                </c:pt>
                <c:pt idx="7">
                  <c:v>25.919414</c:v>
                </c:pt>
                <c:pt idx="8">
                  <c:v>181.52352999999999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4-4C37-B3B7-68BA3B57705C}"/>
            </c:ext>
          </c:extLst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MPI_two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Sheet1!$A$3:$A$11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Sheet1!$E$3:$E$11</c:f>
              <c:numCache>
                <c:formatCode>0.000000</c:formatCode>
                <c:ptCount val="9"/>
                <c:pt idx="1">
                  <c:v>0.103196</c:v>
                </c:pt>
                <c:pt idx="2">
                  <c:v>0.17039799999999999</c:v>
                </c:pt>
                <c:pt idx="3">
                  <c:v>0.43548700000000001</c:v>
                </c:pt>
                <c:pt idx="4">
                  <c:v>1.4448319999999999</c:v>
                </c:pt>
                <c:pt idx="5">
                  <c:v>4.5082969999999998</c:v>
                </c:pt>
                <c:pt idx="6">
                  <c:v>10.349385</c:v>
                </c:pt>
                <c:pt idx="7">
                  <c:v>27.875271999999999</c:v>
                </c:pt>
                <c:pt idx="8">
                  <c:v>103.786845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4-4C37-B3B7-68BA3B577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295888"/>
        <c:axId val="1665274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814-4C37-B3B7-68BA3B57705C}"/>
                  </c:ext>
                </c:extLst>
              </c15:ser>
            </c15:filteredLineSeries>
          </c:ext>
        </c:extLst>
      </c:lineChart>
      <c:catAx>
        <c:axId val="166529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Matrix size (2^n)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65274288"/>
        <c:crosses val="autoZero"/>
        <c:auto val="1"/>
        <c:lblAlgn val="ctr"/>
        <c:lblOffset val="100"/>
        <c:noMultiLvlLbl val="0"/>
      </c:catAx>
      <c:valAx>
        <c:axId val="1665274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6529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/>
              <a:t>SymCheck weak</a:t>
            </a:r>
            <a:r>
              <a:rPr lang="en-US" baseline="0"/>
              <a:t> scaling (32 rows)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Sheet1!$AA$70</c:f>
              <c:strCache>
                <c:ptCount val="1"/>
                <c:pt idx="0">
                  <c:v>MPI_one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Sheet1!$Y$71:$Y$77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96</c:v>
                </c:pt>
              </c:numCache>
            </c:numRef>
          </c:cat>
          <c:val>
            <c:numRef>
              <c:f>Sheet1!$AA$71:$AA$77</c:f>
              <c:numCache>
                <c:formatCode>0.000000</c:formatCode>
                <c:ptCount val="7"/>
                <c:pt idx="0">
                  <c:v>1.232E-3</c:v>
                </c:pt>
                <c:pt idx="1">
                  <c:v>8.9569999999999997E-3</c:v>
                </c:pt>
                <c:pt idx="2">
                  <c:v>2.5002E-2</c:v>
                </c:pt>
                <c:pt idx="3">
                  <c:v>7.0587999999999998E-2</c:v>
                </c:pt>
                <c:pt idx="4">
                  <c:v>0.28371000000000002</c:v>
                </c:pt>
                <c:pt idx="5">
                  <c:v>1.2942229999999999</c:v>
                </c:pt>
                <c:pt idx="6">
                  <c:v>5.6711669999999996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3-4F07-9B89-A9C78DAB5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295888"/>
        <c:axId val="1665274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Sheet1!$Y$70</c15:sqref>
                        </c15:formulaRef>
                      </c:ext>
                    </c:extLst>
                    <c:strCache>
                      <c:ptCount val="1"/>
                      <c:pt idx="0">
                        <c:v>num_proc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Sheet1!$Y$71:$Y$77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Sheet1!$Y$71:$Y$77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A83-4F07-9B89-A9C78DAB560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Sheet1!$Z$70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Sheet1!$Y$71:$Y$77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Sheet1!$Z$71:$Z$77</c15:sqref>
                        </c15:formulaRef>
                      </c:ext>
                    </c:extLst>
                    <c:numCache>
                      <c:formatCode>0.000000</c:formatCode>
                      <c:ptCount val="7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A83-4F07-9B89-A9C78DAB560E}"/>
                  </c:ext>
                </c:extLst>
              </c15:ser>
            </c15:filteredLineSeries>
          </c:ext>
        </c:extLst>
      </c:lineChart>
      <c:catAx>
        <c:axId val="166529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65274288"/>
        <c:crosses val="autoZero"/>
        <c:auto val="1"/>
        <c:lblAlgn val="ctr"/>
        <c:lblOffset val="100"/>
        <c:noMultiLvlLbl val="0"/>
      </c:catAx>
      <c:valAx>
        <c:axId val="16652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Scaling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6529588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/>
              <a:t>Transposition</a:t>
            </a:r>
            <a:r>
              <a:rPr lang="en-US" baseline="0"/>
              <a:t> s</a:t>
            </a:r>
            <a:r>
              <a:rPr lang="en-US"/>
              <a:t>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Sheet1!$B$15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Sheet1!$A$16:$A$24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Sheet1!$B$16:$B$24</c:f>
              <c:numCache>
                <c:formatCode>General</c:formatCode>
                <c:ptCount val="9"/>
                <c:pt idx="0">
                  <c:v>-993.75</c:v>
                </c:pt>
                <c:pt idx="1">
                  <c:v>-1313.3360356708556</c:v>
                </c:pt>
                <c:pt idx="2">
                  <c:v>-834.42391304347825</c:v>
                </c:pt>
                <c:pt idx="3">
                  <c:v>-76.167024121587616</c:v>
                </c:pt>
                <c:pt idx="4">
                  <c:v>60.328490208464949</c:v>
                </c:pt>
                <c:pt idx="5">
                  <c:v>64.652931163685565</c:v>
                </c:pt>
                <c:pt idx="6">
                  <c:v>81.414788975833559</c:v>
                </c:pt>
                <c:pt idx="7">
                  <c:v>79.398052714766081</c:v>
                </c:pt>
                <c:pt idx="8">
                  <c:v>83.991682358970451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27A-40CD-96EF-47F944552CC4}"/>
            </c:ext>
          </c:extLst>
        </c:ser>
        <c:ser>
          <c:idx val="2"/>
          <c:order val="2"/>
          <c:tx>
            <c:strRef>
              <c:f>Sheet1!$C$15</c:f>
              <c:strCache>
                <c:ptCount val="1"/>
                <c:pt idx="0">
                  <c:v>MPI_one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Sheet1!$A$16:$A$24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Sheet1!$C$16:$C$24</c:f>
              <c:numCache>
                <c:formatCode>General</c:formatCode>
                <c:ptCount val="9"/>
                <c:pt idx="1">
                  <c:v>-844.50749898662332</c:v>
                </c:pt>
                <c:pt idx="2">
                  <c:v>-400.25</c:v>
                </c:pt>
                <c:pt idx="3">
                  <c:v>-195.50665925278676</c:v>
                </c:pt>
                <c:pt idx="4">
                  <c:v>-74.137713202779551</c:v>
                </c:pt>
                <c:pt idx="5">
                  <c:v>-61.158554110611099</c:v>
                </c:pt>
                <c:pt idx="6">
                  <c:v>-32.350617516734218</c:v>
                </c:pt>
                <c:pt idx="7">
                  <c:v>-20.92173933246238</c:v>
                </c:pt>
                <c:pt idx="8">
                  <c:v>-47.26944259786552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27A-40CD-96EF-47F944552CC4}"/>
            </c:ext>
          </c:extLst>
        </c:ser>
        <c:ser>
          <c:idx val="3"/>
          <c:order val="3"/>
          <c:tx>
            <c:strRef>
              <c:f>Sheet1!$D$15</c:f>
              <c:strCache>
                <c:ptCount val="1"/>
                <c:pt idx="0">
                  <c:v>MPI_two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Sheet1!$A$16:$A$24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Sheet1!$D$16:$D$24</c:f>
              <c:numCache>
                <c:formatCode>General</c:formatCode>
                <c:ptCount val="9"/>
                <c:pt idx="1">
                  <c:v>-4083.056343737333</c:v>
                </c:pt>
                <c:pt idx="2">
                  <c:v>-1752.1521739130437</c:v>
                </c:pt>
                <c:pt idx="3">
                  <c:v>-1053.0886752985409</c:v>
                </c:pt>
                <c:pt idx="4">
                  <c:v>-812.71762476310789</c:v>
                </c:pt>
                <c:pt idx="5">
                  <c:v>-491.66564956225142</c:v>
                </c:pt>
                <c:pt idx="6">
                  <c:v>-225.23757895729233</c:v>
                </c:pt>
                <c:pt idx="7">
                  <c:v>-30.04639590252647</c:v>
                </c:pt>
                <c:pt idx="8">
                  <c:v>15.798074155228987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27A-40CD-96EF-47F94455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295888"/>
        <c:axId val="1665274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Sheet1!$A$16:$A$24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Sheet1!$A$16:$A$24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27A-40CD-96EF-47F944552CC4}"/>
                  </c:ext>
                </c:extLst>
              </c15:ser>
            </c15:filteredBarSeries>
          </c:ext>
        </c:extLst>
      </c:barChart>
      <c:catAx>
        <c:axId val="166529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Matrix size (2^n)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65274288"/>
        <c:crosses val="autoZero"/>
        <c:auto val="1"/>
        <c:lblAlgn val="ctr"/>
        <c:lblOffset val="100"/>
        <c:noMultiLvlLbl val="0"/>
      </c:catAx>
      <c:valAx>
        <c:axId val="1665274288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Speedup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6529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/>
              <a:t>Transposition efficiency (4096)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Sheet1!$AL$2</c:f>
              <c:strCache>
                <c:ptCount val="1"/>
                <c:pt idx="0">
                  <c:v>MPI_one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numRef>
              <c:f>Sheet1!$AK$3:$AK$9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Sheet1!$AL$3:$AL$9</c:f>
              <c:numCache>
                <c:formatCode>0.000000</c:formatCode>
                <c:ptCount val="7"/>
                <c:pt idx="0">
                  <c:v>1</c:v>
                </c:pt>
                <c:pt idx="1">
                  <c:v>0.61320592339322599</c:v>
                </c:pt>
                <c:pt idx="2">
                  <c:v>0.32483795873421095</c:v>
                </c:pt>
                <c:pt idx="3">
                  <c:v>0.1739596400028407</c:v>
                </c:pt>
                <c:pt idx="4">
                  <c:v>9.5285041227239645E-2</c:v>
                </c:pt>
                <c:pt idx="5">
                  <c:v>4.7803758835334408E-2</c:v>
                </c:pt>
                <c:pt idx="6">
                  <c:v>2.2595150313795647E-2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7-4D5F-913A-B60D1BDEBA79}"/>
            </c:ext>
          </c:extLst>
        </c:ser>
        <c:ser>
          <c:idx val="2"/>
          <c:order val="2"/>
          <c:tx>
            <c:strRef>
              <c:f>Sheet1!$AM$2</c:f>
              <c:strCache>
                <c:ptCount val="1"/>
                <c:pt idx="0">
                  <c:v>MPI_two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Sheet1!$AK$3:$AK$9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Sheet1!$AM$3:$AM$9</c:f>
              <c:numCache>
                <c:formatCode>0.000000</c:formatCode>
                <c:ptCount val="7"/>
                <c:pt idx="0">
                  <c:v>1</c:v>
                </c:pt>
                <c:pt idx="1">
                  <c:v>0.65157177494458074</c:v>
                </c:pt>
                <c:pt idx="2">
                  <c:v>0.49371987371361953</c:v>
                </c:pt>
                <c:pt idx="3">
                  <c:v>0.19242590327616621</c:v>
                </c:pt>
                <c:pt idx="4">
                  <c:v>6.4825412768265936E-2</c:v>
                </c:pt>
                <c:pt idx="5">
                  <c:v>7.6283839849838386E-2</c:v>
                </c:pt>
                <c:pt idx="6">
                  <c:v>2.7142278709081005E-2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7-4D5F-913A-B60D1BDE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295888"/>
        <c:axId val="1665274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Sheet1!$AK$2</c15:sqref>
                        </c15:formulaRef>
                      </c:ext>
                    </c:extLst>
                    <c:strCache>
                      <c:ptCount val="1"/>
                      <c:pt idx="0">
                        <c:v>num_proc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Sheet1!$AK$3:$AK$9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Sheet1!$AK$3:$AK$9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DF7-4D5F-913A-B60D1BDEBA79}"/>
                  </c:ext>
                </c:extLst>
              </c15:ser>
            </c15:filteredLineSeries>
          </c:ext>
        </c:extLst>
      </c:lineChart>
      <c:catAx>
        <c:axId val="166529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65274288"/>
        <c:crosses val="autoZero"/>
        <c:auto val="1"/>
        <c:lblAlgn val="ctr"/>
        <c:lblOffset val="100"/>
        <c:noMultiLvlLbl val="0"/>
      </c:catAx>
      <c:valAx>
        <c:axId val="16652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6529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/>
              <a:t>Transposition strong</a:t>
            </a:r>
            <a:r>
              <a:rPr lang="en-US" baseline="0"/>
              <a:t> scaling (4096)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Sheet1!$AL$15</c:f>
              <c:strCache>
                <c:ptCount val="1"/>
                <c:pt idx="0">
                  <c:v>MPI_one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numRef>
              <c:f>Sheet1!$AK$16:$AK$22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Sheet1!$AL$16:$AL$22</c:f>
              <c:numCache>
                <c:formatCode>0.000000</c:formatCode>
                <c:ptCount val="7"/>
                <c:pt idx="0">
                  <c:v>1</c:v>
                </c:pt>
                <c:pt idx="1">
                  <c:v>1.226411846786452</c:v>
                </c:pt>
                <c:pt idx="2">
                  <c:v>1.2993518349368438</c:v>
                </c:pt>
                <c:pt idx="3">
                  <c:v>1.3916771200227256</c:v>
                </c:pt>
                <c:pt idx="4">
                  <c:v>1.5245606596358343</c:v>
                </c:pt>
                <c:pt idx="5">
                  <c:v>1.529720282730701</c:v>
                </c:pt>
                <c:pt idx="6">
                  <c:v>1.4460896200829214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2-4D98-B76E-D1A618F4B1D2}"/>
            </c:ext>
          </c:extLst>
        </c:ser>
        <c:ser>
          <c:idx val="2"/>
          <c:order val="2"/>
          <c:tx>
            <c:strRef>
              <c:f>Sheet1!$AM$15</c:f>
              <c:strCache>
                <c:ptCount val="1"/>
                <c:pt idx="0">
                  <c:v>MPI_two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Sheet1!$AK$16:$AK$22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Sheet1!$AM$16:$AM$22</c:f>
              <c:numCache>
                <c:formatCode>0.000000</c:formatCode>
                <c:ptCount val="7"/>
                <c:pt idx="0">
                  <c:v>1</c:v>
                </c:pt>
                <c:pt idx="1">
                  <c:v>1.3031435498891615</c:v>
                </c:pt>
                <c:pt idx="2">
                  <c:v>1.9748794948544781</c:v>
                </c:pt>
                <c:pt idx="3">
                  <c:v>1.5394072262093297</c:v>
                </c:pt>
                <c:pt idx="4">
                  <c:v>1.037206604292255</c:v>
                </c:pt>
                <c:pt idx="5">
                  <c:v>2.4410828751948284</c:v>
                </c:pt>
                <c:pt idx="6">
                  <c:v>1.7371058373811843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2-4D98-B76E-D1A618F4B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295888"/>
        <c:axId val="1665274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Sheet1!$AK$15</c15:sqref>
                        </c15:formulaRef>
                      </c:ext>
                    </c:extLst>
                    <c:strCache>
                      <c:ptCount val="1"/>
                      <c:pt idx="0">
                        <c:v>num_proc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Sheet1!$AK$16:$AK$22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Sheet1!$AK$16:$AK$22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822-4D98-B76E-D1A618F4B1D2}"/>
                  </c:ext>
                </c:extLst>
              </c15:ser>
            </c15:filteredLineSeries>
          </c:ext>
        </c:extLst>
      </c:lineChart>
      <c:catAx>
        <c:axId val="166529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65274288"/>
        <c:crosses val="autoZero"/>
        <c:auto val="1"/>
        <c:lblAlgn val="ctr"/>
        <c:lblOffset val="100"/>
        <c:noMultiLvlLbl val="0"/>
      </c:catAx>
      <c:valAx>
        <c:axId val="1665274288"/>
        <c:scaling>
          <c:orientation val="minMax"/>
          <c:max val="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Scaling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6529588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/>
              <a:t>Transposition weak</a:t>
            </a:r>
            <a:r>
              <a:rPr lang="en-US" baseline="0"/>
              <a:t> scaling (32 rows)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Sheet1!$AA$28</c:f>
              <c:strCache>
                <c:ptCount val="1"/>
                <c:pt idx="0">
                  <c:v>MPI_one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numRef>
              <c:f>Sheet1!$Y$29:$Y$35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Sheet1!$AA$29:$AA$35</c:f>
              <c:numCache>
                <c:formatCode>0.000000</c:formatCode>
                <c:ptCount val="7"/>
                <c:pt idx="0">
                  <c:v>3.568E-3</c:v>
                </c:pt>
                <c:pt idx="1">
                  <c:v>2.8634E-2</c:v>
                </c:pt>
                <c:pt idx="2">
                  <c:v>7.8042E-2</c:v>
                </c:pt>
                <c:pt idx="3">
                  <c:v>0.26160099999999997</c:v>
                </c:pt>
                <c:pt idx="4">
                  <c:v>1.2433609999999999</c:v>
                </c:pt>
                <c:pt idx="5">
                  <c:v>5.3066570000000004</c:v>
                </c:pt>
                <c:pt idx="6">
                  <c:v>35.209727000000001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D-464D-BF4D-1FCD60AA5A54}"/>
            </c:ext>
          </c:extLst>
        </c:ser>
        <c:ser>
          <c:idx val="3"/>
          <c:order val="3"/>
          <c:tx>
            <c:strRef>
              <c:f>Sheet1!$AB$28</c:f>
              <c:strCache>
                <c:ptCount val="1"/>
                <c:pt idx="0">
                  <c:v>MPI_two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Sheet1!$Y$29:$Y$35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Sheet1!$AB$29:$AB$35</c:f>
              <c:numCache>
                <c:formatCode>0.000000</c:formatCode>
                <c:ptCount val="7"/>
                <c:pt idx="0">
                  <c:v>6.4530000000000004E-3</c:v>
                </c:pt>
                <c:pt idx="1">
                  <c:v>5.4970999999999999E-2</c:v>
                </c:pt>
                <c:pt idx="2">
                  <c:v>0.22650600000000001</c:v>
                </c:pt>
                <c:pt idx="3">
                  <c:v>0.94404200000000005</c:v>
                </c:pt>
                <c:pt idx="4">
                  <c:v>4.1080160000000001</c:v>
                </c:pt>
                <c:pt idx="5">
                  <c:v>18.881844999999998</c:v>
                </c:pt>
                <c:pt idx="6">
                  <c:v>90.902376000000004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7D-464D-BF4D-1FCD60AA5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295888"/>
        <c:axId val="1665274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Sheet1!$Y$28</c15:sqref>
                        </c15:formulaRef>
                      </c:ext>
                    </c:extLst>
                    <c:strCache>
                      <c:ptCount val="1"/>
                      <c:pt idx="0">
                        <c:v>num_proc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Sheet1!$Y$29:$Y$35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Sheet1!$Y$29:$Y$35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47D-464D-BF4D-1FCD60AA5A5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Sheet1!$Z$28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4"/>
                    </a:solidFill>
                    <a:ln w="9525">
                      <a:noFill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Sheet1!$Y$29:$Y$35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Sheet1!$Z$29:$Z$35</c15:sqref>
                        </c15:formulaRef>
                      </c:ext>
                    </c:extLst>
                    <c:numCache>
                      <c:formatCode>0.000000</c:formatCode>
                      <c:ptCount val="7"/>
                      <c:pt idx="0">
                        <c:v>5</c:v>
                      </c:pt>
                      <c:pt idx="1">
                        <c:v>6.0202020000000003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47D-464D-BF4D-1FCD60AA5A5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Sheet1!$Z$28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Sheet1!$Z$29:$Z$35</c15:sqref>
                        </c15:formulaRef>
                      </c:ext>
                    </c:extLst>
                    <c:numCache>
                      <c:formatCode>0.000000</c:formatCode>
                      <c:ptCount val="7"/>
                      <c:pt idx="0">
                        <c:v>5</c:v>
                      </c:pt>
                      <c:pt idx="1">
                        <c:v>6.0202020000000003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8B9-4716-876B-FE67044B4BD7}"/>
                  </c:ext>
                </c:extLst>
              </c15:ser>
            </c15:filteredLineSeries>
          </c:ext>
        </c:extLst>
      </c:lineChart>
      <c:catAx>
        <c:axId val="166529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65274288"/>
        <c:crosses val="autoZero"/>
        <c:auto val="1"/>
        <c:lblAlgn val="ctr"/>
        <c:lblOffset val="100"/>
        <c:noMultiLvlLbl val="0"/>
      </c:catAx>
      <c:valAx>
        <c:axId val="16652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Scaling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652958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/>
              <a:t>SymCheck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Sheet1!$B$44</c:f>
              <c:strCache>
                <c:ptCount val="1"/>
                <c:pt idx="0">
                  <c:v>Sequential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Sheet1!$A$45:$A$53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Sheet1!$B$45:$B$53</c:f>
              <c:numCache>
                <c:formatCode>0.000000</c:formatCode>
                <c:ptCount val="9"/>
                <c:pt idx="0">
                  <c:v>4.3100000000000001E-4</c:v>
                </c:pt>
                <c:pt idx="1">
                  <c:v>1.348E-3</c:v>
                </c:pt>
                <c:pt idx="2">
                  <c:v>5.646E-3</c:v>
                </c:pt>
                <c:pt idx="3">
                  <c:v>2.4962999999999999E-2</c:v>
                </c:pt>
                <c:pt idx="4">
                  <c:v>2.4962999999999999E-2</c:v>
                </c:pt>
                <c:pt idx="5">
                  <c:v>0.406555</c:v>
                </c:pt>
                <c:pt idx="6">
                  <c:v>2.6621610000000002</c:v>
                </c:pt>
                <c:pt idx="7">
                  <c:v>15.576879</c:v>
                </c:pt>
                <c:pt idx="8">
                  <c:v>76.933626000000004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1-4E38-985E-EF4AE2B6FDE2}"/>
            </c:ext>
          </c:extLst>
        </c:ser>
        <c:ser>
          <c:idx val="2"/>
          <c:order val="2"/>
          <c:tx>
            <c:strRef>
              <c:f>Sheet1!$C$44</c:f>
              <c:strCache>
                <c:ptCount val="1"/>
                <c:pt idx="0">
                  <c:v>OpenMP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Sheet1!$A$45:$A$53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Sheet1!$C$45:$C$53</c:f>
              <c:numCache>
                <c:formatCode>0.000000</c:formatCode>
                <c:ptCount val="9"/>
                <c:pt idx="0">
                  <c:v>3.5400000000000001E-2</c:v>
                </c:pt>
                <c:pt idx="1">
                  <c:v>4.2000000000000003E-2</c:v>
                </c:pt>
                <c:pt idx="2">
                  <c:v>5.5566999999999998E-2</c:v>
                </c:pt>
                <c:pt idx="3">
                  <c:v>3.3000000000000002E-2</c:v>
                </c:pt>
                <c:pt idx="4">
                  <c:v>8.7166999999999994E-2</c:v>
                </c:pt>
                <c:pt idx="5">
                  <c:v>0.31206699999999998</c:v>
                </c:pt>
                <c:pt idx="6">
                  <c:v>0.97403300000000004</c:v>
                </c:pt>
                <c:pt idx="7">
                  <c:v>3.6301000000000001</c:v>
                </c:pt>
                <c:pt idx="8">
                  <c:v>15.174433000000001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1-4E38-985E-EF4AE2B6FDE2}"/>
            </c:ext>
          </c:extLst>
        </c:ser>
        <c:ser>
          <c:idx val="3"/>
          <c:order val="3"/>
          <c:tx>
            <c:strRef>
              <c:f>Sheet1!$D$44</c:f>
              <c:strCache>
                <c:ptCount val="1"/>
                <c:pt idx="0">
                  <c:v>MPI_one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Sheet1!$A$45:$A$53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Sheet1!$D$45:$D$53</c:f>
              <c:numCache>
                <c:formatCode>0.000000</c:formatCode>
                <c:ptCount val="9"/>
                <c:pt idx="1">
                  <c:v>2.5010000000000001E-2</c:v>
                </c:pt>
                <c:pt idx="2">
                  <c:v>4.0363999999999997E-2</c:v>
                </c:pt>
                <c:pt idx="3">
                  <c:v>9.7075999999999996E-2</c:v>
                </c:pt>
                <c:pt idx="4">
                  <c:v>0.25433699999999998</c:v>
                </c:pt>
                <c:pt idx="5">
                  <c:v>0.87582300000000002</c:v>
                </c:pt>
                <c:pt idx="6">
                  <c:v>3.5282369999999998</c:v>
                </c:pt>
                <c:pt idx="7">
                  <c:v>18.116036999999999</c:v>
                </c:pt>
                <c:pt idx="8">
                  <c:v>157.81096600000001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1-4E38-985E-EF4AE2B6F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295888"/>
        <c:axId val="1665274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Sheet1!$A$45:$A$53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C21-4E38-985E-EF4AE2B6FDE2}"/>
                  </c:ext>
                </c:extLst>
              </c15:ser>
            </c15:filteredLineSeries>
          </c:ext>
        </c:extLst>
      </c:lineChart>
      <c:catAx>
        <c:axId val="166529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Matrix size (2^n)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65274288"/>
        <c:crosses val="autoZero"/>
        <c:auto val="1"/>
        <c:lblAlgn val="ctr"/>
        <c:lblOffset val="100"/>
        <c:noMultiLvlLbl val="0"/>
      </c:catAx>
      <c:valAx>
        <c:axId val="1665274288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6529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 baseline="0"/>
              <a:t>SymCheck s</a:t>
            </a:r>
            <a:r>
              <a:rPr lang="en-US"/>
              <a:t>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Sheet1!$B$57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Sheet1!$A$58:$A$66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Sheet1!$B$58:$B$66</c:f>
              <c:numCache>
                <c:formatCode>0.000000</c:formatCode>
                <c:ptCount val="9"/>
                <c:pt idx="0">
                  <c:v>-8113.4570765661256</c:v>
                </c:pt>
                <c:pt idx="1">
                  <c:v>-3015.7270029673591</c:v>
                </c:pt>
                <c:pt idx="2">
                  <c:v>-884.18349273822173</c:v>
                </c:pt>
                <c:pt idx="3">
                  <c:v>-32.195649561350812</c:v>
                </c:pt>
                <c:pt idx="4">
                  <c:v>-249.18479349437166</c:v>
                </c:pt>
                <c:pt idx="5">
                  <c:v>23.241135885673529</c:v>
                </c:pt>
                <c:pt idx="6">
                  <c:v>63.411942403182984</c:v>
                </c:pt>
                <c:pt idx="7">
                  <c:v>76.695588378134019</c:v>
                </c:pt>
                <c:pt idx="8">
                  <c:v>80.275942017863557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E-4C5C-9982-318EECF85017}"/>
            </c:ext>
          </c:extLst>
        </c:ser>
        <c:ser>
          <c:idx val="2"/>
          <c:order val="2"/>
          <c:tx>
            <c:strRef>
              <c:f>Sheet1!$C$57</c:f>
              <c:strCache>
                <c:ptCount val="1"/>
                <c:pt idx="0">
                  <c:v>MPI_one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Sheet1!$A$58:$A$66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Sheet1!$C$58:$C$66</c:f>
              <c:numCache>
                <c:formatCode>0.000000</c:formatCode>
                <c:ptCount val="9"/>
                <c:pt idx="1">
                  <c:v>-1755.3412462908011</c:v>
                </c:pt>
                <c:pt idx="2">
                  <c:v>-614.91321289408427</c:v>
                </c:pt>
                <c:pt idx="3">
                  <c:v>-288.87954172174818</c:v>
                </c:pt>
                <c:pt idx="4">
                  <c:v>-918.85590674197806</c:v>
                </c:pt>
                <c:pt idx="5">
                  <c:v>-115.42546518921179</c:v>
                </c:pt>
                <c:pt idx="6">
                  <c:v>-32.532818263057699</c:v>
                </c:pt>
                <c:pt idx="7">
                  <c:v>-16.300813532672358</c:v>
                </c:pt>
                <c:pt idx="8">
                  <c:v>-105.12612521344047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E-4C5C-9982-318EECF85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295888"/>
        <c:axId val="1665274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Sheet1!$A$57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Sheet1!$A$58:$A$66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Sheet1!$A$58:$A$66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54E-4C5C-9982-318EECF85017}"/>
                  </c:ext>
                </c:extLst>
              </c15:ser>
            </c15:filteredBarSeries>
          </c:ext>
        </c:extLst>
      </c:barChart>
      <c:catAx>
        <c:axId val="166529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Matrix size (2^n)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65274288"/>
        <c:crosses val="autoZero"/>
        <c:auto val="1"/>
        <c:lblAlgn val="ctr"/>
        <c:lblOffset val="100"/>
        <c:noMultiLvlLbl val="0"/>
      </c:catAx>
      <c:valAx>
        <c:axId val="1665274288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Speedup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6529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/>
              <a:t>SymCheck efficiency (4096)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Sheet1!$AL$44</c:f>
              <c:strCache>
                <c:ptCount val="1"/>
                <c:pt idx="0">
                  <c:v>MPI_one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Sheet1!$AK$45:$AK$51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Sheet1!$AL$45:$AL$51</c:f>
              <c:numCache>
                <c:formatCode>0.000000</c:formatCode>
                <c:ptCount val="7"/>
                <c:pt idx="0">
                  <c:v>1</c:v>
                </c:pt>
                <c:pt idx="1">
                  <c:v>0.61101501967157645</c:v>
                </c:pt>
                <c:pt idx="2">
                  <c:v>0.23259531118722232</c:v>
                </c:pt>
                <c:pt idx="3">
                  <c:v>0.13451473676881823</c:v>
                </c:pt>
                <c:pt idx="4">
                  <c:v>6.2717404417988384E-2</c:v>
                </c:pt>
                <c:pt idx="5">
                  <c:v>3.3955463501178257E-2</c:v>
                </c:pt>
                <c:pt idx="6">
                  <c:v>1.3724497825214576E-2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AF6-A046-B1D731931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295888"/>
        <c:axId val="1665274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Sheet1!$AK$44</c15:sqref>
                        </c15:formulaRef>
                      </c:ext>
                    </c:extLst>
                    <c:strCache>
                      <c:ptCount val="1"/>
                      <c:pt idx="0">
                        <c:v>num_proc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Sheet1!$AK$45:$AK$51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Sheet1!$AK$45:$AK$51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7B4-4AF6-A046-B1D731931ABE}"/>
                  </c:ext>
                </c:extLst>
              </c15:ser>
            </c15:filteredLineSeries>
          </c:ext>
        </c:extLst>
      </c:lineChart>
      <c:catAx>
        <c:axId val="166529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65274288"/>
        <c:crosses val="autoZero"/>
        <c:auto val="1"/>
        <c:lblAlgn val="ctr"/>
        <c:lblOffset val="100"/>
        <c:noMultiLvlLbl val="0"/>
      </c:catAx>
      <c:valAx>
        <c:axId val="16652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6529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/>
              <a:t>SymCheck strong</a:t>
            </a:r>
            <a:r>
              <a:rPr lang="en-US" baseline="0"/>
              <a:t> scaling (4096)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Sheet1!$AL$57</c:f>
              <c:strCache>
                <c:ptCount val="1"/>
                <c:pt idx="0">
                  <c:v>MPI_one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Sheet1!$AK$58:$AK$64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Sheet1!$AL$58:$AL$64</c:f>
              <c:numCache>
                <c:formatCode>0.000000</c:formatCode>
                <c:ptCount val="7"/>
                <c:pt idx="0">
                  <c:v>1</c:v>
                </c:pt>
                <c:pt idx="1">
                  <c:v>1.2220300393431529</c:v>
                </c:pt>
                <c:pt idx="2">
                  <c:v>0.93038124474888928</c:v>
                </c:pt>
                <c:pt idx="3">
                  <c:v>1.0761178941505458</c:v>
                </c:pt>
                <c:pt idx="4">
                  <c:v>1.0034784706878142</c:v>
                </c:pt>
                <c:pt idx="5">
                  <c:v>1.0865748320377042</c:v>
                </c:pt>
                <c:pt idx="6">
                  <c:v>0.87836786081373286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7-4D1C-B20A-CCA5B532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295888"/>
        <c:axId val="1665274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Sheet1!$AK$57</c15:sqref>
                        </c15:formulaRef>
                      </c:ext>
                    </c:extLst>
                    <c:strCache>
                      <c:ptCount val="1"/>
                      <c:pt idx="0">
                        <c:v>num_proc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Sheet1!$AK$58:$AK$64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Sheet1!$AK$58:$AK$64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857-4D1C-B20A-CCA5B532B994}"/>
                  </c:ext>
                </c:extLst>
              </c15:ser>
            </c15:filteredLineSeries>
          </c:ext>
        </c:extLst>
      </c:lineChart>
      <c:catAx>
        <c:axId val="166529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65274288"/>
        <c:crosses val="autoZero"/>
        <c:auto val="1"/>
        <c:lblAlgn val="ctr"/>
        <c:lblOffset val="100"/>
        <c:noMultiLvlLbl val="0"/>
      </c:catAx>
      <c:valAx>
        <c:axId val="16652742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Scaling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65295888"/>
        <c:crosses val="autoZero"/>
        <c:crossBetween val="between"/>
        <c:majorUnit val="0.25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23446</xdr:colOff>
      <xdr:row>1</xdr:row>
      <xdr:rowOff>12141</xdr:rowOff>
    </xdr:from>
    <xdr:to>
      <xdr:col>11</xdr:col>
      <xdr:colOff>312603</xdr:colOff>
      <xdr:row>17</xdr:row>
      <xdr:rowOff>21227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57BEA3-9047-4CC9-985A-F933CF55C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11</xdr:col>
      <xdr:colOff>289157</xdr:colOff>
      <xdr:row>34</xdr:row>
      <xdr:rowOff>9087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62ACB-E070-41B2-A9D6-95639E690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7507</xdr:colOff>
      <xdr:row>1</xdr:row>
      <xdr:rowOff>37537</xdr:rowOff>
    </xdr:from>
    <xdr:to>
      <xdr:col>49</xdr:col>
      <xdr:colOff>184053</xdr:colOff>
      <xdr:row>17</xdr:row>
      <xdr:rowOff>46623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FD25FE-5034-4326-8ADB-4250996BD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20</xdr:row>
      <xdr:rowOff>0</xdr:rowOff>
    </xdr:from>
    <xdr:to>
      <xdr:col>49</xdr:col>
      <xdr:colOff>176546</xdr:colOff>
      <xdr:row>36</xdr:row>
      <xdr:rowOff>9088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9016EE-A5D7-42FA-AD8C-1134CEED3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619559</xdr:colOff>
      <xdr:row>18</xdr:row>
      <xdr:rowOff>179498</xdr:rowOff>
    </xdr:from>
    <xdr:to>
      <xdr:col>35</xdr:col>
      <xdr:colOff>118644</xdr:colOff>
      <xdr:row>35</xdr:row>
      <xdr:rowOff>3297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D406F7-29AD-417A-981F-6304D39CB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393738</xdr:colOff>
      <xdr:row>42</xdr:row>
      <xdr:rowOff>69483</xdr:rowOff>
    </xdr:from>
    <xdr:to>
      <xdr:col>10</xdr:col>
      <xdr:colOff>538139</xdr:colOff>
      <xdr:row>58</xdr:row>
      <xdr:rowOff>78570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324E47-5088-48C9-B6E9-7F4F6D5C1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357673</xdr:colOff>
      <xdr:row>60</xdr:row>
      <xdr:rowOff>20734</xdr:rowOff>
    </xdr:from>
    <xdr:to>
      <xdr:col>10</xdr:col>
      <xdr:colOff>501686</xdr:colOff>
      <xdr:row>76</xdr:row>
      <xdr:rowOff>29821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C1484F-2B7C-4411-BD45-5F0E9986F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0</xdr:colOff>
      <xdr:row>43</xdr:row>
      <xdr:rowOff>0</xdr:rowOff>
    </xdr:from>
    <xdr:to>
      <xdr:col>49</xdr:col>
      <xdr:colOff>176546</xdr:colOff>
      <xdr:row>59</xdr:row>
      <xdr:rowOff>9087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13230C-5873-4914-88FA-45534045A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0</xdr:colOff>
      <xdr:row>61</xdr:row>
      <xdr:rowOff>0</xdr:rowOff>
    </xdr:from>
    <xdr:to>
      <xdr:col>49</xdr:col>
      <xdr:colOff>176546</xdr:colOff>
      <xdr:row>77</xdr:row>
      <xdr:rowOff>9088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DD0F31-B2D0-4841-96C9-A1255974E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61</xdr:row>
      <xdr:rowOff>0</xdr:rowOff>
    </xdr:from>
    <xdr:to>
      <xdr:col>35</xdr:col>
      <xdr:colOff>153327</xdr:colOff>
      <xdr:row>77</xdr:row>
      <xdr:rowOff>10725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A225A5-B3C5-4253-B02E-5BB906BAF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DCF6A-7FD4-4286-8227-D11FEF6BFA96}">
  <dimension ref="A1:AU77"/>
  <sheetViews>
    <sheetView tabSelected="1" topLeftCell="AB42" zoomScale="96" zoomScaleNormal="94" workbookViewId="0">
      <selection activeCell="AI54" sqref="AI54"/>
    </sheetView>
  </sheetViews>
  <sheetFormatPr defaultRowHeight="14.6" x14ac:dyDescent="0.4"/>
  <cols>
    <col min="1" max="1" width="4" bestFit="1" customWidth="1"/>
    <col min="2" max="4" width="12.61328125" style="2" bestFit="1" customWidth="1"/>
    <col min="5" max="5" width="10.921875" style="2" bestFit="1" customWidth="1"/>
    <col min="10" max="10" width="26.4609375" bestFit="1" customWidth="1"/>
    <col min="11" max="11" width="8.84375" bestFit="1" customWidth="1"/>
    <col min="13" max="13" width="26.23046875" bestFit="1" customWidth="1"/>
    <col min="14" max="15" width="9.84375" style="4" bestFit="1" customWidth="1"/>
    <col min="16" max="16" width="9.84375" bestFit="1" customWidth="1"/>
    <col min="22" max="22" width="26.4609375" bestFit="1" customWidth="1"/>
    <col min="23" max="23" width="9.84375" bestFit="1" customWidth="1"/>
    <col min="25" max="25" width="26.23046875" bestFit="1" customWidth="1"/>
    <col min="26" max="27" width="9.84375" style="4" bestFit="1" customWidth="1"/>
    <col min="28" max="28" width="9.84375" bestFit="1" customWidth="1"/>
    <col min="34" max="34" width="26.4609375" bestFit="1" customWidth="1"/>
    <col min="35" max="35" width="10.921875" bestFit="1" customWidth="1"/>
    <col min="37" max="37" width="26.23046875" bestFit="1" customWidth="1"/>
    <col min="38" max="38" width="10.921875" style="4" bestFit="1" customWidth="1"/>
    <col min="39" max="39" width="8.84375" style="4" bestFit="1" customWidth="1"/>
  </cols>
  <sheetData>
    <row r="1" spans="1:41" x14ac:dyDescent="0.4">
      <c r="A1" s="8" t="s">
        <v>0</v>
      </c>
      <c r="B1" s="8"/>
      <c r="C1" s="8"/>
      <c r="D1" s="8"/>
      <c r="E1" s="8"/>
      <c r="M1" s="8" t="s">
        <v>12</v>
      </c>
      <c r="N1" s="8"/>
      <c r="O1" s="8"/>
      <c r="P1" s="8"/>
      <c r="Q1" s="8"/>
      <c r="Y1" s="8" t="s">
        <v>13</v>
      </c>
      <c r="Z1" s="8"/>
      <c r="AA1" s="8"/>
      <c r="AB1" s="8"/>
      <c r="AC1" s="8"/>
      <c r="AK1" s="8" t="s">
        <v>15</v>
      </c>
      <c r="AL1" s="8"/>
      <c r="AM1" s="8"/>
      <c r="AN1" s="8"/>
      <c r="AO1" s="8"/>
    </row>
    <row r="2" spans="1:41" x14ac:dyDescent="0.4">
      <c r="A2" t="s">
        <v>9</v>
      </c>
      <c r="B2" s="2" t="s">
        <v>1</v>
      </c>
      <c r="C2" s="2" t="s">
        <v>2</v>
      </c>
      <c r="D2" s="2" t="s">
        <v>3</v>
      </c>
      <c r="E2" s="2" t="s">
        <v>4</v>
      </c>
      <c r="M2" t="s">
        <v>8</v>
      </c>
      <c r="N2" s="4" t="s">
        <v>3</v>
      </c>
      <c r="O2" s="4" t="s">
        <v>4</v>
      </c>
      <c r="Y2" t="s">
        <v>8</v>
      </c>
      <c r="Z2" s="4" t="s">
        <v>3</v>
      </c>
      <c r="AA2" s="4" t="s">
        <v>4</v>
      </c>
      <c r="AK2" t="s">
        <v>8</v>
      </c>
      <c r="AL2" s="4" t="s">
        <v>3</v>
      </c>
      <c r="AM2" s="4" t="s">
        <v>4</v>
      </c>
    </row>
    <row r="3" spans="1:41" x14ac:dyDescent="0.4">
      <c r="A3">
        <v>4</v>
      </c>
      <c r="B3" s="2">
        <v>1.6000000000000001E-3</v>
      </c>
      <c r="C3" s="2">
        <v>1.7500000000000002E-2</v>
      </c>
      <c r="M3">
        <v>1</v>
      </c>
      <c r="N3" s="4">
        <f>N16/M16</f>
        <v>1</v>
      </c>
      <c r="O3" s="4">
        <f>O16/M16</f>
        <v>1</v>
      </c>
      <c r="Y3">
        <v>1</v>
      </c>
      <c r="Z3" s="4">
        <f>Z16/Y16</f>
        <v>1</v>
      </c>
      <c r="AA3" s="4">
        <f>AA16/Y16</f>
        <v>1</v>
      </c>
      <c r="AK3">
        <v>1</v>
      </c>
      <c r="AL3" s="4">
        <f>AL16/AK16</f>
        <v>1</v>
      </c>
      <c r="AM3" s="4">
        <f>AM16/AK16</f>
        <v>1</v>
      </c>
    </row>
    <row r="4" spans="1:41" x14ac:dyDescent="0.4">
      <c r="A4">
        <v>5</v>
      </c>
      <c r="B4" s="2">
        <v>2.467E-3</v>
      </c>
      <c r="C4" s="2">
        <v>3.4867000000000002E-2</v>
      </c>
      <c r="D4" s="2">
        <v>2.3300999999999999E-2</v>
      </c>
      <c r="E4" s="2">
        <v>0.103196</v>
      </c>
      <c r="M4">
        <v>2</v>
      </c>
      <c r="N4" s="4">
        <f t="shared" ref="N4:N9" si="0">N17/M17</f>
        <v>0.68020555590273435</v>
      </c>
      <c r="O4" s="4">
        <f>O17/M17</f>
        <v>0.68014603647603677</v>
      </c>
      <c r="Y4">
        <v>2</v>
      </c>
      <c r="Z4" s="4">
        <f t="shared" ref="Z4:Z9" si="1">Z17/Y17</f>
        <v>0.56090554514037005</v>
      </c>
      <c r="AA4" s="4">
        <f t="shared" ref="AA4:AA9" si="2">AA17/Y17</f>
        <v>0.84172305600741892</v>
      </c>
      <c r="AK4">
        <v>2</v>
      </c>
      <c r="AL4" s="4">
        <f t="shared" ref="AL4:AL9" si="3">AL17/AK17</f>
        <v>0.61320592339322599</v>
      </c>
      <c r="AM4" s="4">
        <f t="shared" ref="AM4:AM9" si="4">AM17/AK17</f>
        <v>0.65157177494458074</v>
      </c>
    </row>
    <row r="5" spans="1:41" x14ac:dyDescent="0.4">
      <c r="A5">
        <v>6</v>
      </c>
      <c r="B5" s="2">
        <v>9.1999999999999998E-3</v>
      </c>
      <c r="C5" s="2">
        <v>8.5967000000000002E-2</v>
      </c>
      <c r="D5" s="2">
        <v>4.6023000000000001E-2</v>
      </c>
      <c r="E5" s="2">
        <v>0.17039799999999999</v>
      </c>
      <c r="M5">
        <v>4</v>
      </c>
      <c r="N5" s="4">
        <f t="shared" si="0"/>
        <v>0.37949876965936163</v>
      </c>
      <c r="O5" s="4">
        <f t="shared" ref="O5:O9" si="5">O18/M18</f>
        <v>0.32521780032971309</v>
      </c>
      <c r="Y5">
        <v>4</v>
      </c>
      <c r="Z5" s="4">
        <f t="shared" si="1"/>
        <v>0.34651929601162906</v>
      </c>
      <c r="AA5" s="4">
        <f t="shared" si="2"/>
        <v>0.48752476004318257</v>
      </c>
      <c r="AK5">
        <v>4</v>
      </c>
      <c r="AL5" s="4">
        <f t="shared" si="3"/>
        <v>0.32483795873421095</v>
      </c>
      <c r="AM5" s="4">
        <f t="shared" si="4"/>
        <v>0.49371987371361953</v>
      </c>
    </row>
    <row r="6" spans="1:41" x14ac:dyDescent="0.4">
      <c r="A6">
        <v>7</v>
      </c>
      <c r="B6" s="2">
        <v>3.7767000000000002E-2</v>
      </c>
      <c r="C6" s="2">
        <v>6.6532999999999995E-2</v>
      </c>
      <c r="D6" s="2">
        <v>0.11160399999999999</v>
      </c>
      <c r="E6" s="2">
        <v>0.43548700000000001</v>
      </c>
      <c r="M6">
        <v>8</v>
      </c>
      <c r="N6" s="4">
        <f t="shared" si="0"/>
        <v>0.18797236257681924</v>
      </c>
      <c r="O6" s="4">
        <f t="shared" si="5"/>
        <v>0.13329390683897377</v>
      </c>
      <c r="Y6">
        <v>8</v>
      </c>
      <c r="Z6" s="4">
        <f t="shared" si="1"/>
        <v>0.14775945820813549</v>
      </c>
      <c r="AA6" s="4">
        <f t="shared" si="2"/>
        <v>0.2410427911736116</v>
      </c>
      <c r="AK6">
        <v>8</v>
      </c>
      <c r="AL6" s="4">
        <f t="shared" si="3"/>
        <v>0.1739596400028407</v>
      </c>
      <c r="AM6" s="4">
        <f t="shared" si="4"/>
        <v>0.19242590327616621</v>
      </c>
    </row>
    <row r="7" spans="1:41" x14ac:dyDescent="0.4">
      <c r="A7">
        <v>8</v>
      </c>
      <c r="B7" s="2">
        <v>0.1583</v>
      </c>
      <c r="C7" s="2">
        <v>6.2799999999999995E-2</v>
      </c>
      <c r="D7" s="2">
        <v>0.27566000000000002</v>
      </c>
      <c r="E7" s="2">
        <v>1.4448319999999999</v>
      </c>
      <c r="M7">
        <v>16</v>
      </c>
      <c r="N7" s="4">
        <f t="shared" si="0"/>
        <v>8.630759917235778E-2</v>
      </c>
      <c r="O7" s="4">
        <f t="shared" si="5"/>
        <v>4.5675405384242508E-2</v>
      </c>
      <c r="Y7">
        <v>16</v>
      </c>
      <c r="Z7" s="4">
        <f t="shared" si="1"/>
        <v>6.4823990957084396E-2</v>
      </c>
      <c r="AA7" s="4">
        <f t="shared" si="2"/>
        <v>9.5522241282358269E-2</v>
      </c>
      <c r="AK7">
        <v>16</v>
      </c>
      <c r="AL7" s="4">
        <f t="shared" si="3"/>
        <v>9.5285041227239645E-2</v>
      </c>
      <c r="AM7" s="4">
        <f t="shared" si="4"/>
        <v>6.4825412768265936E-2</v>
      </c>
    </row>
    <row r="8" spans="1:41" x14ac:dyDescent="0.4">
      <c r="A8">
        <v>9</v>
      </c>
      <c r="B8" s="2">
        <v>0.76196699999999995</v>
      </c>
      <c r="C8" s="2">
        <v>0.26933299999999999</v>
      </c>
      <c r="D8" s="2">
        <v>1.227975</v>
      </c>
      <c r="E8" s="2">
        <v>4.5082969999999998</v>
      </c>
      <c r="M8">
        <v>32</v>
      </c>
      <c r="N8" s="4">
        <f t="shared" si="0"/>
        <v>3.6601662979231862E-2</v>
      </c>
      <c r="O8" s="4">
        <f t="shared" si="5"/>
        <v>1.436630813692865E-2</v>
      </c>
      <c r="Y8">
        <v>32</v>
      </c>
      <c r="Z8" s="4">
        <f t="shared" si="1"/>
        <v>3.1399124287289179E-2</v>
      </c>
      <c r="AA8" s="4">
        <f t="shared" si="2"/>
        <v>4.0493843396381388E-2</v>
      </c>
      <c r="AK8">
        <v>32</v>
      </c>
      <c r="AL8" s="4">
        <f t="shared" si="3"/>
        <v>4.7803758835334408E-2</v>
      </c>
      <c r="AM8" s="4">
        <f t="shared" si="4"/>
        <v>7.6283839849838386E-2</v>
      </c>
    </row>
    <row r="9" spans="1:41" x14ac:dyDescent="0.4">
      <c r="A9">
        <v>10</v>
      </c>
      <c r="B9" s="2">
        <v>3.1821000000000002</v>
      </c>
      <c r="C9" s="2">
        <v>0.59140000000000004</v>
      </c>
      <c r="D9" s="2">
        <v>4.2115289999999996</v>
      </c>
      <c r="E9" s="2">
        <v>10.349385</v>
      </c>
      <c r="M9">
        <v>64</v>
      </c>
      <c r="N9" s="4">
        <f t="shared" si="0"/>
        <v>1.3581146760411231E-2</v>
      </c>
      <c r="O9" s="4">
        <f t="shared" si="5"/>
        <v>4.3090826970437193E-3</v>
      </c>
      <c r="Y9">
        <v>64</v>
      </c>
      <c r="Z9" s="4">
        <f t="shared" si="1"/>
        <v>9.4911466487751645E-3</v>
      </c>
      <c r="AA9" s="4">
        <f t="shared" si="2"/>
        <v>1.0442580704678411E-2</v>
      </c>
      <c r="AK9">
        <v>64</v>
      </c>
      <c r="AL9" s="4">
        <f t="shared" si="3"/>
        <v>2.2595150313795647E-2</v>
      </c>
      <c r="AM9" s="4">
        <f t="shared" si="4"/>
        <v>2.7142278709081005E-2</v>
      </c>
    </row>
    <row r="10" spans="1:41" x14ac:dyDescent="0.4">
      <c r="A10">
        <v>11</v>
      </c>
      <c r="B10" s="2">
        <v>21.434867000000001</v>
      </c>
      <c r="C10" s="2">
        <v>4.4160000000000004</v>
      </c>
      <c r="D10" s="2">
        <v>25.919414</v>
      </c>
      <c r="E10" s="2">
        <v>27.875271999999999</v>
      </c>
    </row>
    <row r="11" spans="1:41" x14ac:dyDescent="0.4">
      <c r="A11">
        <v>12</v>
      </c>
      <c r="B11" s="2">
        <v>123.259467</v>
      </c>
      <c r="C11" s="2">
        <v>19.731767000000001</v>
      </c>
      <c r="D11" s="2">
        <v>181.52352999999999</v>
      </c>
      <c r="E11" s="2">
        <v>103.786845</v>
      </c>
    </row>
    <row r="12" spans="1:41" x14ac:dyDescent="0.4">
      <c r="M12" t="s">
        <v>22</v>
      </c>
      <c r="N12" s="4">
        <v>6.269558</v>
      </c>
      <c r="Y12" t="s">
        <v>25</v>
      </c>
      <c r="Z12" s="4">
        <v>24.974767</v>
      </c>
      <c r="AK12" t="s">
        <v>26</v>
      </c>
      <c r="AL12" s="6">
        <v>271.83797299999998</v>
      </c>
    </row>
    <row r="13" spans="1:41" x14ac:dyDescent="0.4">
      <c r="M13" t="s">
        <v>23</v>
      </c>
      <c r="N13" s="4">
        <v>8.7171079999999996</v>
      </c>
      <c r="Y13" t="s">
        <v>24</v>
      </c>
      <c r="Z13">
        <v>50.71942</v>
      </c>
      <c r="AK13" t="s">
        <v>27</v>
      </c>
      <c r="AL13" s="4">
        <v>253.35229000000001</v>
      </c>
    </row>
    <row r="14" spans="1:41" x14ac:dyDescent="0.4">
      <c r="A14" s="8" t="s">
        <v>5</v>
      </c>
      <c r="B14" s="8"/>
      <c r="C14" s="8"/>
      <c r="D14" s="8"/>
      <c r="E14" s="8"/>
      <c r="M14" s="8" t="s">
        <v>10</v>
      </c>
      <c r="N14" s="8"/>
      <c r="O14" s="8"/>
      <c r="P14" s="8"/>
      <c r="Q14" s="8"/>
      <c r="Y14" s="8" t="s">
        <v>11</v>
      </c>
      <c r="Z14" s="8"/>
      <c r="AA14" s="8"/>
      <c r="AB14" s="8"/>
      <c r="AC14" s="8"/>
      <c r="AK14" s="8" t="s">
        <v>14</v>
      </c>
      <c r="AL14" s="8"/>
      <c r="AM14" s="8"/>
      <c r="AN14" s="8"/>
      <c r="AO14" s="8"/>
    </row>
    <row r="15" spans="1:41" x14ac:dyDescent="0.4">
      <c r="A15" t="s">
        <v>9</v>
      </c>
      <c r="B15" s="2" t="s">
        <v>2</v>
      </c>
      <c r="C15" s="2" t="s">
        <v>3</v>
      </c>
      <c r="D15" s="2" t="s">
        <v>4</v>
      </c>
      <c r="M15" t="s">
        <v>8</v>
      </c>
      <c r="N15" s="4" t="s">
        <v>3</v>
      </c>
      <c r="O15" s="4" t="s">
        <v>4</v>
      </c>
      <c r="Y15" t="s">
        <v>8</v>
      </c>
      <c r="Z15" s="4" t="s">
        <v>3</v>
      </c>
      <c r="AA15" s="4" t="s">
        <v>4</v>
      </c>
      <c r="AK15" t="s">
        <v>8</v>
      </c>
      <c r="AL15" s="4" t="s">
        <v>3</v>
      </c>
      <c r="AM15" s="4" t="s">
        <v>4</v>
      </c>
    </row>
    <row r="16" spans="1:41" x14ac:dyDescent="0.4">
      <c r="A16">
        <v>4</v>
      </c>
      <c r="B16">
        <f>(B3-C3)*100/B3</f>
        <v>-993.75</v>
      </c>
      <c r="C16"/>
      <c r="D16"/>
      <c r="M16">
        <v>1</v>
      </c>
      <c r="N16" s="4">
        <f>N12/6.269558</f>
        <v>1</v>
      </c>
      <c r="O16" s="4">
        <f>N13/8.717108</f>
        <v>1</v>
      </c>
      <c r="Y16">
        <v>1</v>
      </c>
      <c r="Z16" s="4">
        <f>Z12/24.974767</f>
        <v>1</v>
      </c>
      <c r="AA16" s="4">
        <f>Z13/50.71942</f>
        <v>1</v>
      </c>
      <c r="AK16">
        <v>1</v>
      </c>
      <c r="AL16" s="7">
        <f>AL12/271.837973</f>
        <v>1</v>
      </c>
      <c r="AM16" s="4">
        <f>AL13/253.35229</f>
        <v>1</v>
      </c>
    </row>
    <row r="17" spans="1:41" x14ac:dyDescent="0.4">
      <c r="A17">
        <v>5</v>
      </c>
      <c r="B17">
        <f t="shared" ref="B17:B24" si="6">(B4-C4)*100/B4</f>
        <v>-1313.3360356708556</v>
      </c>
      <c r="C17">
        <f t="shared" ref="C17:C24" si="7">(B4-D4)*100/B4</f>
        <v>-844.50749898662332</v>
      </c>
      <c r="D17">
        <f t="shared" ref="D17:D24" si="8">(B4-E4)*100/B4</f>
        <v>-4083.056343737333</v>
      </c>
      <c r="M17">
        <v>2</v>
      </c>
      <c r="N17" s="4">
        <f>N12/4.608576</f>
        <v>1.3604111118054687</v>
      </c>
      <c r="O17" s="4">
        <f>N13/6.408262</f>
        <v>1.3602920729520735</v>
      </c>
      <c r="Y17">
        <v>2</v>
      </c>
      <c r="Z17" s="4">
        <f>Z12/22.262899</f>
        <v>1.1218110902807401</v>
      </c>
      <c r="AA17" s="4">
        <f>Z13/30.12833</f>
        <v>1.6834461120148378</v>
      </c>
      <c r="AK17">
        <v>2</v>
      </c>
      <c r="AL17" s="7">
        <f>AL12/221.653088</f>
        <v>1.226411846786452</v>
      </c>
      <c r="AM17" s="4">
        <f>AL13/194.416256</f>
        <v>1.3031435498891615</v>
      </c>
    </row>
    <row r="18" spans="1:41" x14ac:dyDescent="0.4">
      <c r="A18">
        <v>6</v>
      </c>
      <c r="B18">
        <f t="shared" si="6"/>
        <v>-834.42391304347825</v>
      </c>
      <c r="C18">
        <f t="shared" si="7"/>
        <v>-400.25</v>
      </c>
      <c r="D18">
        <f t="shared" si="8"/>
        <v>-1752.1521739130437</v>
      </c>
      <c r="M18">
        <v>4</v>
      </c>
      <c r="N18" s="4">
        <f>N12/4.130157</f>
        <v>1.5179950786374465</v>
      </c>
      <c r="O18" s="4">
        <f>N13/6.700977</f>
        <v>1.3008712013188524</v>
      </c>
      <c r="Y18">
        <v>4</v>
      </c>
      <c r="Z18" s="4">
        <f>Z12/18.018309</f>
        <v>1.3860771840465163</v>
      </c>
      <c r="AA18" s="4">
        <f>Z13/26.008638</f>
        <v>1.9500990401727303</v>
      </c>
      <c r="AK18">
        <v>4</v>
      </c>
      <c r="AL18" s="7">
        <f>AL12/209.210443</f>
        <v>1.2993518349368438</v>
      </c>
      <c r="AM18" s="4">
        <f>AL13/128.287468</f>
        <v>1.9748794948544781</v>
      </c>
    </row>
    <row r="19" spans="1:41" x14ac:dyDescent="0.4">
      <c r="A19">
        <v>7</v>
      </c>
      <c r="B19">
        <f t="shared" si="6"/>
        <v>-76.167024121587616</v>
      </c>
      <c r="C19">
        <f t="shared" si="7"/>
        <v>-195.50665925278676</v>
      </c>
      <c r="D19">
        <f t="shared" si="8"/>
        <v>-1053.0886752985409</v>
      </c>
      <c r="M19">
        <v>8</v>
      </c>
      <c r="N19" s="4">
        <f>N12/4.169202</f>
        <v>1.5037789006145539</v>
      </c>
      <c r="O19" s="4">
        <f>N13/8.174706</f>
        <v>1.0663512547117902</v>
      </c>
      <c r="Y19">
        <v>8</v>
      </c>
      <c r="Z19" s="4">
        <f>Z12/21.127892</f>
        <v>1.1820756656650839</v>
      </c>
      <c r="AA19" s="4">
        <f>Z13/26.302083</f>
        <v>1.9283423293888928</v>
      </c>
      <c r="AK19">
        <v>8</v>
      </c>
      <c r="AL19" s="7">
        <f>AL12/195.331208</f>
        <v>1.3916771200227256</v>
      </c>
      <c r="AM19" s="4">
        <f>AL13/164.577823</f>
        <v>1.5394072262093297</v>
      </c>
    </row>
    <row r="20" spans="1:41" x14ac:dyDescent="0.4">
      <c r="A20">
        <v>8</v>
      </c>
      <c r="B20">
        <f t="shared" si="6"/>
        <v>60.328490208464949</v>
      </c>
      <c r="C20">
        <f t="shared" si="7"/>
        <v>-74.137713202779551</v>
      </c>
      <c r="D20">
        <f t="shared" si="8"/>
        <v>-812.71762476310789</v>
      </c>
      <c r="M20">
        <v>16</v>
      </c>
      <c r="N20" s="4">
        <f>N12/4.540126</f>
        <v>1.3809215867577245</v>
      </c>
      <c r="O20" s="4">
        <f>N13/11.928066</f>
        <v>0.73080648614788013</v>
      </c>
      <c r="Y20">
        <v>16</v>
      </c>
      <c r="Z20" s="4">
        <f>Z12/24.079402</f>
        <v>1.0371838553133503</v>
      </c>
      <c r="AA20" s="4">
        <f>Z13/33.185609</f>
        <v>1.5283558605177323</v>
      </c>
      <c r="AK20">
        <v>16</v>
      </c>
      <c r="AL20" s="7">
        <f>AL12/178.305777</f>
        <v>1.5245606596358343</v>
      </c>
      <c r="AM20" s="4">
        <f>AL13/244.264054</f>
        <v>1.037206604292255</v>
      </c>
    </row>
    <row r="21" spans="1:41" x14ac:dyDescent="0.4">
      <c r="A21">
        <v>9</v>
      </c>
      <c r="B21">
        <f t="shared" si="6"/>
        <v>64.652931163685565</v>
      </c>
      <c r="C21">
        <f t="shared" si="7"/>
        <v>-61.158554110611099</v>
      </c>
      <c r="D21">
        <f t="shared" si="8"/>
        <v>-491.66564956225142</v>
      </c>
      <c r="M21">
        <v>32</v>
      </c>
      <c r="N21" s="4">
        <f>N12/5.352863</f>
        <v>1.1712532153354196</v>
      </c>
      <c r="O21" s="4">
        <f>N13/18.9617</f>
        <v>0.45972186038171681</v>
      </c>
      <c r="Y21">
        <v>32</v>
      </c>
      <c r="Z21" s="4">
        <f>Z12/24.856154</f>
        <v>1.0047719771932537</v>
      </c>
      <c r="AA21" s="4">
        <f>Z13/39.141305</f>
        <v>1.2958029886842044</v>
      </c>
      <c r="AK21">
        <v>32</v>
      </c>
      <c r="AL21" s="7">
        <f>AL12/177.704366</f>
        <v>1.529720282730701</v>
      </c>
      <c r="AM21" s="4">
        <f>AL13/103.786845</f>
        <v>2.4410828751948284</v>
      </c>
    </row>
    <row r="22" spans="1:41" x14ac:dyDescent="0.4">
      <c r="A22">
        <v>10</v>
      </c>
      <c r="B22">
        <f t="shared" si="6"/>
        <v>81.414788975833559</v>
      </c>
      <c r="C22">
        <f t="shared" si="7"/>
        <v>-32.350617516734218</v>
      </c>
      <c r="D22">
        <f t="shared" si="8"/>
        <v>-225.23757895729233</v>
      </c>
      <c r="M22">
        <v>64</v>
      </c>
      <c r="N22" s="4">
        <f>N12/7.213076</f>
        <v>0.86919339266631879</v>
      </c>
      <c r="O22" s="4">
        <f>N13/31.608772</f>
        <v>0.27578129261079803</v>
      </c>
      <c r="Y22">
        <v>64</v>
      </c>
      <c r="Z22" s="4">
        <f>Z12/41.115236</f>
        <v>0.60743338552161052</v>
      </c>
      <c r="AA22" s="4">
        <f>Z13/75.890334</f>
        <v>0.66832516509941831</v>
      </c>
      <c r="AK22">
        <v>64</v>
      </c>
      <c r="AL22" s="7">
        <f>AL12/187.981415</f>
        <v>1.4460896200829214</v>
      </c>
      <c r="AM22" s="4">
        <f>AL13/145.847354</f>
        <v>1.7371058373811843</v>
      </c>
    </row>
    <row r="23" spans="1:41" x14ac:dyDescent="0.4">
      <c r="A23">
        <v>11</v>
      </c>
      <c r="B23">
        <f t="shared" si="6"/>
        <v>79.398052714766081</v>
      </c>
      <c r="C23">
        <f t="shared" si="7"/>
        <v>-20.92173933246238</v>
      </c>
      <c r="D23">
        <f t="shared" si="8"/>
        <v>-30.04639590252647</v>
      </c>
    </row>
    <row r="24" spans="1:41" x14ac:dyDescent="0.4">
      <c r="A24">
        <v>12</v>
      </c>
      <c r="B24">
        <f t="shared" si="6"/>
        <v>83.991682358970451</v>
      </c>
      <c r="C24">
        <f t="shared" si="7"/>
        <v>-47.26944259786552</v>
      </c>
      <c r="D24">
        <f t="shared" si="8"/>
        <v>15.798074155228987</v>
      </c>
    </row>
    <row r="27" spans="1:41" x14ac:dyDescent="0.4">
      <c r="M27" s="8" t="s">
        <v>30</v>
      </c>
      <c r="N27" s="8"/>
      <c r="O27" s="8"/>
      <c r="P27" s="8"/>
      <c r="Q27" s="8"/>
      <c r="Y27" s="8" t="s">
        <v>28</v>
      </c>
      <c r="Z27" s="8"/>
      <c r="AA27" s="8"/>
      <c r="AB27" s="8"/>
      <c r="AC27" s="8"/>
      <c r="AK27" s="8"/>
      <c r="AL27" s="8"/>
      <c r="AM27" s="8"/>
      <c r="AN27" s="8"/>
      <c r="AO27" s="8"/>
    </row>
    <row r="28" spans="1:41" x14ac:dyDescent="0.4">
      <c r="M28" t="s">
        <v>8</v>
      </c>
      <c r="N28" s="4" t="s">
        <v>9</v>
      </c>
      <c r="O28" s="4" t="s">
        <v>3</v>
      </c>
      <c r="P28" s="4" t="s">
        <v>4</v>
      </c>
      <c r="Y28" t="s">
        <v>8</v>
      </c>
      <c r="Z28" s="4" t="s">
        <v>9</v>
      </c>
      <c r="AA28" s="4" t="s">
        <v>3</v>
      </c>
      <c r="AB28" s="4" t="s">
        <v>4</v>
      </c>
    </row>
    <row r="29" spans="1:41" x14ac:dyDescent="0.4">
      <c r="M29">
        <v>1</v>
      </c>
      <c r="N29" s="4">
        <v>4</v>
      </c>
      <c r="O29" s="4">
        <v>1.2080000000000001E-3</v>
      </c>
      <c r="P29" s="4">
        <v>2.6940000000000002E-3</v>
      </c>
      <c r="Y29">
        <v>1</v>
      </c>
      <c r="Z29" s="4">
        <v>5</v>
      </c>
      <c r="AA29" s="4">
        <v>3.568E-3</v>
      </c>
      <c r="AB29" s="4">
        <v>6.4530000000000004E-3</v>
      </c>
    </row>
    <row r="30" spans="1:41" x14ac:dyDescent="0.4">
      <c r="M30">
        <v>2</v>
      </c>
      <c r="N30" s="4">
        <v>5</v>
      </c>
      <c r="O30" s="4">
        <v>1.3034E-2</v>
      </c>
      <c r="P30" s="4">
        <v>2.7466000000000001E-2</v>
      </c>
      <c r="Y30">
        <v>2</v>
      </c>
      <c r="Z30" s="4">
        <v>6.0202020000000003</v>
      </c>
      <c r="AA30" s="4">
        <v>2.8634E-2</v>
      </c>
      <c r="AB30" s="4">
        <v>5.4970999999999999E-2</v>
      </c>
    </row>
    <row r="31" spans="1:41" x14ac:dyDescent="0.4">
      <c r="M31">
        <v>4</v>
      </c>
      <c r="N31" s="4">
        <v>6</v>
      </c>
      <c r="O31" s="4">
        <v>3.2599999999999997E-2</v>
      </c>
      <c r="P31" s="4">
        <v>0.10167</v>
      </c>
      <c r="Y31">
        <v>4</v>
      </c>
      <c r="Z31" s="4">
        <v>7</v>
      </c>
      <c r="AA31" s="4">
        <v>7.8042E-2</v>
      </c>
      <c r="AB31" s="4">
        <v>0.22650600000000001</v>
      </c>
    </row>
    <row r="32" spans="1:41" x14ac:dyDescent="0.4">
      <c r="M32">
        <v>8</v>
      </c>
      <c r="N32" s="4">
        <v>7</v>
      </c>
      <c r="O32" s="4">
        <v>8.4820999999999994E-2</v>
      </c>
      <c r="P32" s="4">
        <v>0.30809199999999998</v>
      </c>
      <c r="Y32">
        <v>8</v>
      </c>
      <c r="Z32" s="4">
        <v>8</v>
      </c>
      <c r="AA32" s="4">
        <v>0.26160099999999997</v>
      </c>
      <c r="AB32" s="4">
        <v>0.94404200000000005</v>
      </c>
    </row>
    <row r="33" spans="1:47" x14ac:dyDescent="0.4">
      <c r="M33">
        <v>16</v>
      </c>
      <c r="N33" s="4">
        <v>8</v>
      </c>
      <c r="O33" s="4">
        <v>0.35418699999999997</v>
      </c>
      <c r="P33" s="4">
        <v>1.275253</v>
      </c>
      <c r="Y33">
        <v>16</v>
      </c>
      <c r="Z33" s="4">
        <v>9</v>
      </c>
      <c r="AA33" s="4">
        <v>1.2433609999999999</v>
      </c>
      <c r="AB33" s="4">
        <v>4.1080160000000001</v>
      </c>
    </row>
    <row r="34" spans="1:47" x14ac:dyDescent="0.4">
      <c r="M34">
        <v>32</v>
      </c>
      <c r="N34" s="4">
        <v>9</v>
      </c>
      <c r="O34" s="4">
        <v>1.5464070000000001</v>
      </c>
      <c r="P34" s="4">
        <v>6.943981</v>
      </c>
      <c r="Y34">
        <v>32</v>
      </c>
      <c r="Z34" s="4">
        <v>10</v>
      </c>
      <c r="AA34" s="4">
        <v>5.3066570000000004</v>
      </c>
      <c r="AB34" s="4">
        <v>18.881844999999998</v>
      </c>
    </row>
    <row r="35" spans="1:47" x14ac:dyDescent="0.4">
      <c r="M35">
        <v>64</v>
      </c>
      <c r="N35" s="4">
        <v>10</v>
      </c>
      <c r="O35" s="4">
        <v>7.0743400000000003</v>
      </c>
      <c r="P35" s="4">
        <v>25.340136000000001</v>
      </c>
      <c r="Y35">
        <v>64</v>
      </c>
      <c r="Z35" s="4">
        <v>11</v>
      </c>
      <c r="AA35" s="4">
        <v>35.209727000000001</v>
      </c>
      <c r="AB35" s="4">
        <v>90.902376000000004</v>
      </c>
    </row>
    <row r="40" spans="1:47" x14ac:dyDescent="0.4">
      <c r="A40" s="1"/>
      <c r="B40" s="3"/>
      <c r="C40" s="3"/>
      <c r="D40" s="3"/>
      <c r="E40" s="3"/>
      <c r="F40" s="1"/>
      <c r="G40" s="1"/>
      <c r="H40" s="1"/>
      <c r="I40" s="1"/>
      <c r="J40" s="1"/>
      <c r="K40" s="1"/>
      <c r="L40" s="1"/>
      <c r="M40" s="1"/>
      <c r="N40" s="5"/>
      <c r="O40" s="5"/>
      <c r="P40" s="1"/>
      <c r="Q40" s="1"/>
      <c r="R40" s="1"/>
      <c r="S40" s="1"/>
      <c r="T40" s="1"/>
      <c r="U40" s="1"/>
      <c r="V40" s="1"/>
      <c r="W40" s="1"/>
      <c r="X40" s="1"/>
      <c r="Y40" s="1"/>
      <c r="Z40" s="5"/>
      <c r="AA40" s="5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5"/>
      <c r="AM40" s="5"/>
      <c r="AN40" s="1"/>
      <c r="AO40" s="1"/>
      <c r="AP40" s="1"/>
      <c r="AQ40" s="1"/>
      <c r="AR40" s="1"/>
      <c r="AS40" s="1"/>
      <c r="AT40" s="1"/>
      <c r="AU40" s="1"/>
    </row>
    <row r="43" spans="1:47" x14ac:dyDescent="0.4">
      <c r="A43" s="8" t="s">
        <v>6</v>
      </c>
      <c r="B43" s="8"/>
      <c r="C43" s="8"/>
      <c r="D43" s="8"/>
      <c r="E43" s="8"/>
      <c r="M43" s="8" t="s">
        <v>16</v>
      </c>
      <c r="N43" s="8"/>
      <c r="O43" s="8"/>
      <c r="P43" s="8"/>
      <c r="Q43" s="8"/>
      <c r="Y43" s="8" t="s">
        <v>19</v>
      </c>
      <c r="Z43" s="8"/>
      <c r="AA43" s="8"/>
      <c r="AB43" s="8"/>
      <c r="AC43" s="8"/>
      <c r="AK43" s="8" t="s">
        <v>20</v>
      </c>
      <c r="AL43" s="8"/>
      <c r="AM43" s="8"/>
      <c r="AN43" s="8"/>
      <c r="AO43" s="8"/>
    </row>
    <row r="44" spans="1:47" x14ac:dyDescent="0.4">
      <c r="A44" t="s">
        <v>9</v>
      </c>
      <c r="B44" s="2" t="s">
        <v>1</v>
      </c>
      <c r="C44" s="2" t="s">
        <v>2</v>
      </c>
      <c r="D44" s="2" t="s">
        <v>3</v>
      </c>
      <c r="M44" t="s">
        <v>8</v>
      </c>
      <c r="N44" s="4" t="s">
        <v>3</v>
      </c>
      <c r="Y44" t="s">
        <v>8</v>
      </c>
      <c r="Z44" s="4" t="s">
        <v>3</v>
      </c>
      <c r="AK44" t="s">
        <v>8</v>
      </c>
      <c r="AL44" s="4" t="s">
        <v>3</v>
      </c>
    </row>
    <row r="45" spans="1:47" x14ac:dyDescent="0.4">
      <c r="A45">
        <v>4</v>
      </c>
      <c r="B45" s="2">
        <v>4.3100000000000001E-4</v>
      </c>
      <c r="C45" s="2">
        <v>3.5400000000000001E-2</v>
      </c>
      <c r="M45">
        <v>1</v>
      </c>
      <c r="N45" s="4">
        <f>N58/M58</f>
        <v>1</v>
      </c>
      <c r="Y45">
        <v>1</v>
      </c>
      <c r="Z45" s="4">
        <f>Z58/Y58</f>
        <v>1</v>
      </c>
      <c r="AK45">
        <v>1</v>
      </c>
      <c r="AL45" s="4">
        <f>AL58/AK58</f>
        <v>1</v>
      </c>
    </row>
    <row r="46" spans="1:47" x14ac:dyDescent="0.4">
      <c r="A46">
        <v>5</v>
      </c>
      <c r="B46" s="2">
        <v>1.348E-3</v>
      </c>
      <c r="C46" s="2">
        <v>4.2000000000000003E-2</v>
      </c>
      <c r="D46" s="2">
        <v>2.5010000000000001E-2</v>
      </c>
      <c r="M46">
        <v>2</v>
      </c>
      <c r="N46" s="4">
        <f t="shared" ref="N46:N51" si="9">N59/M59</f>
        <v>0.50767265315340093</v>
      </c>
      <c r="Y46">
        <v>2</v>
      </c>
      <c r="Z46" s="4">
        <f t="shared" ref="Z46:Z51" si="10">Z59/Y59</f>
        <v>0.45462778349321381</v>
      </c>
      <c r="AK46">
        <v>2</v>
      </c>
      <c r="AL46" s="4">
        <f t="shared" ref="AL46:AL51" si="11">AL59/AK59</f>
        <v>0.61101501967157645</v>
      </c>
    </row>
    <row r="47" spans="1:47" x14ac:dyDescent="0.4">
      <c r="A47">
        <v>6</v>
      </c>
      <c r="B47" s="2">
        <v>5.646E-3</v>
      </c>
      <c r="C47" s="2">
        <v>5.5566999999999998E-2</v>
      </c>
      <c r="D47" s="2">
        <v>4.0363999999999997E-2</v>
      </c>
      <c r="M47">
        <v>4</v>
      </c>
      <c r="N47" s="4">
        <f t="shared" si="9"/>
        <v>0.27345373365230763</v>
      </c>
      <c r="Y47">
        <v>4</v>
      </c>
      <c r="Z47" s="4">
        <f t="shared" si="10"/>
        <v>0.24758843838701874</v>
      </c>
      <c r="AK47">
        <v>4</v>
      </c>
      <c r="AL47" s="4">
        <f t="shared" si="11"/>
        <v>0.23259531118722232</v>
      </c>
    </row>
    <row r="48" spans="1:47" x14ac:dyDescent="0.4">
      <c r="A48">
        <v>7</v>
      </c>
      <c r="B48" s="2">
        <v>2.4962999999999999E-2</v>
      </c>
      <c r="C48" s="2">
        <v>3.3000000000000002E-2</v>
      </c>
      <c r="D48" s="2">
        <v>9.7075999999999996E-2</v>
      </c>
      <c r="M48">
        <v>8</v>
      </c>
      <c r="N48" s="4">
        <f t="shared" si="9"/>
        <v>0.1431761832999531</v>
      </c>
      <c r="Y48">
        <v>8</v>
      </c>
      <c r="Z48" s="4">
        <f t="shared" si="10"/>
        <v>0.12170368683386582</v>
      </c>
      <c r="AK48">
        <v>8</v>
      </c>
      <c r="AL48" s="4">
        <f t="shared" si="11"/>
        <v>0.13451473676881823</v>
      </c>
    </row>
    <row r="49" spans="1:41" x14ac:dyDescent="0.4">
      <c r="A49">
        <v>8</v>
      </c>
      <c r="B49" s="2">
        <v>2.4962999999999999E-2</v>
      </c>
      <c r="C49" s="2">
        <v>8.7166999999999994E-2</v>
      </c>
      <c r="D49" s="2">
        <v>0.25433699999999998</v>
      </c>
      <c r="M49">
        <v>16</v>
      </c>
      <c r="N49" s="4">
        <f t="shared" si="9"/>
        <v>5.9743844097349612E-2</v>
      </c>
      <c r="Y49">
        <v>16</v>
      </c>
      <c r="Z49" s="4">
        <f t="shared" si="10"/>
        <v>4.9569085676996548E-2</v>
      </c>
      <c r="AK49">
        <v>16</v>
      </c>
      <c r="AL49" s="4">
        <f t="shared" si="11"/>
        <v>6.2717404417988384E-2</v>
      </c>
    </row>
    <row r="50" spans="1:41" x14ac:dyDescent="0.4">
      <c r="A50">
        <v>9</v>
      </c>
      <c r="B50" s="2">
        <v>0.406555</v>
      </c>
      <c r="C50" s="2">
        <v>0.31206699999999998</v>
      </c>
      <c r="D50" s="2">
        <v>0.87582300000000002</v>
      </c>
      <c r="M50">
        <v>32</v>
      </c>
      <c r="N50" s="4">
        <f t="shared" si="9"/>
        <v>2.635663080389997E-2</v>
      </c>
      <c r="Y50">
        <v>32</v>
      </c>
      <c r="Z50" s="4">
        <f t="shared" si="10"/>
        <v>2.2686459221765622E-2</v>
      </c>
      <c r="AK50">
        <v>32</v>
      </c>
      <c r="AL50" s="4">
        <f t="shared" si="11"/>
        <v>3.3955463501178257E-2</v>
      </c>
    </row>
    <row r="51" spans="1:41" x14ac:dyDescent="0.4">
      <c r="A51">
        <v>10</v>
      </c>
      <c r="B51" s="2">
        <v>2.6621610000000002</v>
      </c>
      <c r="C51" s="2">
        <v>0.97403300000000004</v>
      </c>
      <c r="D51" s="2">
        <v>3.5282369999999998</v>
      </c>
      <c r="M51">
        <v>64</v>
      </c>
      <c r="N51" s="4">
        <f t="shared" si="9"/>
        <v>9.6069064797456114E-3</v>
      </c>
      <c r="Y51">
        <v>64</v>
      </c>
      <c r="Z51" s="4">
        <f t="shared" si="10"/>
        <v>7.1316509434471249E-3</v>
      </c>
      <c r="AK51">
        <v>64</v>
      </c>
      <c r="AL51" s="4">
        <f t="shared" si="11"/>
        <v>1.3724497825214576E-2</v>
      </c>
    </row>
    <row r="52" spans="1:41" x14ac:dyDescent="0.4">
      <c r="A52">
        <v>11</v>
      </c>
      <c r="B52" s="2">
        <v>15.576879</v>
      </c>
      <c r="C52" s="2">
        <v>3.6301000000000001</v>
      </c>
      <c r="D52" s="2">
        <v>18.116036999999999</v>
      </c>
    </row>
    <row r="53" spans="1:41" x14ac:dyDescent="0.4">
      <c r="A53">
        <v>12</v>
      </c>
      <c r="B53" s="2">
        <v>76.933626000000004</v>
      </c>
      <c r="C53" s="2">
        <v>15.174433000000001</v>
      </c>
      <c r="D53" s="2">
        <v>157.81096600000001</v>
      </c>
    </row>
    <row r="55" spans="1:41" x14ac:dyDescent="0.4">
      <c r="M55" t="s">
        <v>32</v>
      </c>
      <c r="N55" s="4">
        <v>3.506891</v>
      </c>
      <c r="Y55" t="s">
        <v>32</v>
      </c>
      <c r="Z55" s="4">
        <v>14.381527999999999</v>
      </c>
      <c r="AK55" t="s">
        <v>32</v>
      </c>
      <c r="AL55" s="4">
        <v>168.39771300000001</v>
      </c>
    </row>
    <row r="56" spans="1:41" x14ac:dyDescent="0.4">
      <c r="A56" s="8" t="s">
        <v>7</v>
      </c>
      <c r="B56" s="8"/>
      <c r="C56" s="8"/>
      <c r="D56" s="8"/>
      <c r="E56" s="8"/>
      <c r="M56" s="8" t="s">
        <v>17</v>
      </c>
      <c r="N56" s="8"/>
      <c r="O56" s="8"/>
      <c r="P56" s="8"/>
      <c r="Q56" s="8"/>
      <c r="Y56" s="8" t="s">
        <v>18</v>
      </c>
      <c r="Z56" s="8"/>
      <c r="AA56" s="8"/>
      <c r="AB56" s="8"/>
      <c r="AC56" s="8"/>
      <c r="AK56" s="8" t="s">
        <v>21</v>
      </c>
      <c r="AL56" s="8"/>
      <c r="AM56" s="8"/>
      <c r="AN56" s="8"/>
      <c r="AO56" s="8"/>
    </row>
    <row r="57" spans="1:41" x14ac:dyDescent="0.4">
      <c r="A57" t="s">
        <v>9</v>
      </c>
      <c r="B57" s="2" t="s">
        <v>2</v>
      </c>
      <c r="C57" s="2" t="s">
        <v>3</v>
      </c>
      <c r="K57" s="4"/>
      <c r="M57" t="s">
        <v>8</v>
      </c>
      <c r="N57" s="4" t="s">
        <v>3</v>
      </c>
      <c r="Y57" t="s">
        <v>8</v>
      </c>
      <c r="Z57" s="4" t="s">
        <v>3</v>
      </c>
      <c r="AK57" t="s">
        <v>8</v>
      </c>
      <c r="AL57" s="4" t="s">
        <v>3</v>
      </c>
    </row>
    <row r="58" spans="1:41" x14ac:dyDescent="0.4">
      <c r="A58">
        <v>4</v>
      </c>
      <c r="B58" s="2">
        <f>(B45-C45)*100/B45</f>
        <v>-8113.4570765661256</v>
      </c>
      <c r="M58">
        <v>1</v>
      </c>
      <c r="N58" s="4">
        <f>N55/3.506891</f>
        <v>1</v>
      </c>
      <c r="Y58">
        <v>1</v>
      </c>
      <c r="Z58" s="4">
        <f>Z55/14.381528</f>
        <v>1</v>
      </c>
      <c r="AK58">
        <v>1</v>
      </c>
      <c r="AL58" s="4">
        <f>AL55/168.397713</f>
        <v>1</v>
      </c>
    </row>
    <row r="59" spans="1:41" x14ac:dyDescent="0.4">
      <c r="A59">
        <v>5</v>
      </c>
      <c r="B59" s="2">
        <f t="shared" ref="B59:B66" si="12">(B46-C46)*100/B46</f>
        <v>-3015.7270029673591</v>
      </c>
      <c r="C59" s="2">
        <f t="shared" ref="C59:C66" si="13">(B46-D46)*100/B46</f>
        <v>-1755.3412462908011</v>
      </c>
      <c r="M59">
        <v>2</v>
      </c>
      <c r="N59" s="4">
        <f>N55/3.45389</f>
        <v>1.0153453063068019</v>
      </c>
      <c r="Y59">
        <v>2</v>
      </c>
      <c r="Z59" s="4">
        <f>Z55/15.816816</f>
        <v>0.90925556698642762</v>
      </c>
      <c r="AK59">
        <v>2</v>
      </c>
      <c r="AL59" s="4">
        <f>AL55/137.801615</f>
        <v>1.2220300393431529</v>
      </c>
    </row>
    <row r="60" spans="1:41" x14ac:dyDescent="0.4">
      <c r="A60">
        <v>6</v>
      </c>
      <c r="B60" s="2">
        <f t="shared" si="12"/>
        <v>-884.18349273822173</v>
      </c>
      <c r="C60" s="2">
        <f t="shared" si="13"/>
        <v>-614.91321289408427</v>
      </c>
      <c r="M60">
        <v>4</v>
      </c>
      <c r="N60" s="4">
        <f>N55/3.20611</f>
        <v>1.0938149346092305</v>
      </c>
      <c r="Y60">
        <v>4</v>
      </c>
      <c r="Z60" s="4">
        <f>Z55/14.521607</f>
        <v>0.99035375354807498</v>
      </c>
      <c r="AK60">
        <v>4</v>
      </c>
      <c r="AL60" s="4">
        <f>AL55/180.998611</f>
        <v>0.93038124474888928</v>
      </c>
    </row>
    <row r="61" spans="1:41" x14ac:dyDescent="0.4">
      <c r="A61">
        <v>7</v>
      </c>
      <c r="B61" s="2">
        <f t="shared" si="12"/>
        <v>-32.195649561350812</v>
      </c>
      <c r="C61" s="2">
        <f t="shared" si="13"/>
        <v>-288.87954172174818</v>
      </c>
      <c r="M61">
        <v>8</v>
      </c>
      <c r="N61" s="4">
        <f>N55/3.061692</f>
        <v>1.1454094663996248</v>
      </c>
      <c r="Y61">
        <v>8</v>
      </c>
      <c r="Z61" s="4">
        <f>Z55/14.771048</f>
        <v>0.97362949467092652</v>
      </c>
      <c r="AK61">
        <v>8</v>
      </c>
      <c r="AL61" s="4">
        <f>AL55/156.486305</f>
        <v>1.0761178941505458</v>
      </c>
    </row>
    <row r="62" spans="1:41" x14ac:dyDescent="0.4">
      <c r="A62">
        <v>8</v>
      </c>
      <c r="B62" s="2">
        <f t="shared" si="12"/>
        <v>-249.18479349437166</v>
      </c>
      <c r="C62" s="2">
        <f t="shared" si="13"/>
        <v>-918.85590674197806</v>
      </c>
      <c r="M62">
        <v>16</v>
      </c>
      <c r="N62" s="4">
        <f>N55/3.668674</f>
        <v>0.95590150555759379</v>
      </c>
      <c r="Y62">
        <v>16</v>
      </c>
      <c r="Z62" s="4">
        <f>Z55/18.133187</f>
        <v>0.79310537083194477</v>
      </c>
      <c r="AK62">
        <v>16</v>
      </c>
      <c r="AL62" s="4">
        <f>AL55/167.813977</f>
        <v>1.0034784706878142</v>
      </c>
    </row>
    <row r="63" spans="1:41" x14ac:dyDescent="0.4">
      <c r="A63">
        <v>9</v>
      </c>
      <c r="B63" s="2">
        <f t="shared" si="12"/>
        <v>23.241135885673529</v>
      </c>
      <c r="C63" s="2">
        <f t="shared" si="13"/>
        <v>-115.42546518921179</v>
      </c>
      <c r="M63">
        <v>32</v>
      </c>
      <c r="N63" s="4">
        <f>N55/4.15798</f>
        <v>0.84341218572479904</v>
      </c>
      <c r="Y63">
        <v>32</v>
      </c>
      <c r="Z63" s="4">
        <f>Z55/19.810176</f>
        <v>0.72596669509649991</v>
      </c>
      <c r="AK63">
        <v>32</v>
      </c>
      <c r="AL63" s="4">
        <f>AL55/154.980318</f>
        <v>1.0865748320377042</v>
      </c>
    </row>
    <row r="64" spans="1:41" x14ac:dyDescent="0.4">
      <c r="A64">
        <v>10</v>
      </c>
      <c r="B64" s="2">
        <f t="shared" si="12"/>
        <v>63.411942403182984</v>
      </c>
      <c r="C64" s="2">
        <f t="shared" si="13"/>
        <v>-32.532818263057699</v>
      </c>
      <c r="M64">
        <v>64</v>
      </c>
      <c r="N64" s="4">
        <f>N55/5.703727</f>
        <v>0.61484201470371913</v>
      </c>
      <c r="Y64">
        <v>64</v>
      </c>
      <c r="Z64" s="4">
        <f>Z55/31.509026</f>
        <v>0.45642566038061599</v>
      </c>
      <c r="AK64">
        <v>64</v>
      </c>
      <c r="AL64" s="4">
        <f>AL55/191.716615</f>
        <v>0.87836786081373286</v>
      </c>
    </row>
    <row r="65" spans="1:41" x14ac:dyDescent="0.4">
      <c r="A65">
        <v>11</v>
      </c>
      <c r="B65" s="2">
        <f t="shared" si="12"/>
        <v>76.695588378134019</v>
      </c>
      <c r="C65" s="2">
        <f t="shared" si="13"/>
        <v>-16.300813532672358</v>
      </c>
    </row>
    <row r="66" spans="1:41" x14ac:dyDescent="0.4">
      <c r="A66">
        <v>12</v>
      </c>
      <c r="B66" s="2">
        <f t="shared" si="12"/>
        <v>80.275942017863557</v>
      </c>
      <c r="C66" s="2">
        <f t="shared" si="13"/>
        <v>-105.12612521344047</v>
      </c>
    </row>
    <row r="69" spans="1:41" x14ac:dyDescent="0.4">
      <c r="M69" s="8" t="s">
        <v>29</v>
      </c>
      <c r="N69" s="8"/>
      <c r="O69" s="8"/>
      <c r="P69" s="8"/>
      <c r="Q69" s="8"/>
      <c r="Y69" s="8" t="s">
        <v>31</v>
      </c>
      <c r="Z69" s="8"/>
      <c r="AA69" s="8"/>
      <c r="AB69" s="8"/>
      <c r="AC69" s="8"/>
      <c r="AK69" s="8"/>
      <c r="AL69" s="8"/>
      <c r="AM69" s="8"/>
      <c r="AN69" s="8"/>
      <c r="AO69" s="8"/>
    </row>
    <row r="70" spans="1:41" x14ac:dyDescent="0.4">
      <c r="M70" t="s">
        <v>8</v>
      </c>
      <c r="N70" s="4" t="s">
        <v>9</v>
      </c>
      <c r="O70" s="4" t="s">
        <v>3</v>
      </c>
      <c r="Y70" t="s">
        <v>8</v>
      </c>
      <c r="Z70" s="4" t="s">
        <v>9</v>
      </c>
      <c r="AA70" s="4" t="s">
        <v>3</v>
      </c>
    </row>
    <row r="71" spans="1:41" x14ac:dyDescent="0.4">
      <c r="M71">
        <v>2</v>
      </c>
      <c r="N71" s="4">
        <v>4</v>
      </c>
      <c r="O71" s="4">
        <v>2.3999999999999998E-3</v>
      </c>
      <c r="Y71">
        <v>2</v>
      </c>
      <c r="Z71" s="4">
        <v>5</v>
      </c>
      <c r="AA71" s="4">
        <v>1.232E-3</v>
      </c>
    </row>
    <row r="72" spans="1:41" x14ac:dyDescent="0.4">
      <c r="M72">
        <v>4</v>
      </c>
      <c r="N72" s="4">
        <v>5</v>
      </c>
      <c r="O72" s="4">
        <v>1.5251000000000001E-2</v>
      </c>
      <c r="Y72">
        <v>4</v>
      </c>
      <c r="Z72" s="4">
        <v>6</v>
      </c>
      <c r="AA72" s="4">
        <v>8.9569999999999997E-3</v>
      </c>
    </row>
    <row r="73" spans="1:41" x14ac:dyDescent="0.4">
      <c r="M73">
        <v>8</v>
      </c>
      <c r="N73" s="4">
        <v>6</v>
      </c>
      <c r="O73" s="4">
        <v>5.8826000000000003E-2</v>
      </c>
      <c r="Y73">
        <v>8</v>
      </c>
      <c r="Z73" s="4">
        <v>7</v>
      </c>
      <c r="AA73" s="4">
        <v>2.5002E-2</v>
      </c>
    </row>
    <row r="74" spans="1:41" x14ac:dyDescent="0.4">
      <c r="M74">
        <v>16</v>
      </c>
      <c r="N74" s="4">
        <v>7</v>
      </c>
      <c r="O74" s="4">
        <v>0.17527699999999999</v>
      </c>
      <c r="Y74">
        <v>16</v>
      </c>
      <c r="Z74" s="4">
        <v>8</v>
      </c>
      <c r="AA74" s="4">
        <v>7.0587999999999998E-2</v>
      </c>
    </row>
    <row r="75" spans="1:41" x14ac:dyDescent="0.4">
      <c r="M75">
        <v>32</v>
      </c>
      <c r="N75" s="4">
        <v>8</v>
      </c>
      <c r="O75" s="4">
        <v>0.92918900000000004</v>
      </c>
      <c r="Y75">
        <v>32</v>
      </c>
      <c r="Z75" s="4">
        <v>9</v>
      </c>
      <c r="AA75" s="4">
        <v>0.28371000000000002</v>
      </c>
    </row>
    <row r="76" spans="1:41" x14ac:dyDescent="0.4">
      <c r="M76">
        <v>64</v>
      </c>
      <c r="N76" s="4">
        <v>9</v>
      </c>
      <c r="O76" s="4">
        <v>4.1392639999999998</v>
      </c>
      <c r="Y76">
        <v>64</v>
      </c>
      <c r="Z76" s="4">
        <v>10</v>
      </c>
      <c r="AA76" s="4">
        <v>1.2942229999999999</v>
      </c>
    </row>
    <row r="77" spans="1:41" x14ac:dyDescent="0.4">
      <c r="M77">
        <v>96</v>
      </c>
      <c r="N77" s="4">
        <v>10</v>
      </c>
      <c r="O77" s="4">
        <v>28.763404999999999</v>
      </c>
      <c r="Y77">
        <v>96</v>
      </c>
      <c r="Z77" s="4">
        <v>11</v>
      </c>
      <c r="AA77" s="4">
        <v>5.6711669999999996</v>
      </c>
    </row>
  </sheetData>
  <sortState xmlns:xlrd2="http://schemas.microsoft.com/office/spreadsheetml/2017/richdata2" ref="A85:A102">
    <sortCondition ref="A85:A102"/>
  </sortState>
  <mergeCells count="22">
    <mergeCell ref="Y43:AC43"/>
    <mergeCell ref="AK43:AO43"/>
    <mergeCell ref="Y56:AC56"/>
    <mergeCell ref="AK56:AO56"/>
    <mergeCell ref="M69:Q69"/>
    <mergeCell ref="Y69:AC69"/>
    <mergeCell ref="AK69:AO69"/>
    <mergeCell ref="Y14:AC14"/>
    <mergeCell ref="Y27:AC27"/>
    <mergeCell ref="Y1:AC1"/>
    <mergeCell ref="AK14:AO14"/>
    <mergeCell ref="AK27:AO27"/>
    <mergeCell ref="AK1:AO1"/>
    <mergeCell ref="A43:E43"/>
    <mergeCell ref="M43:Q43"/>
    <mergeCell ref="A56:E56"/>
    <mergeCell ref="M56:Q56"/>
    <mergeCell ref="A1:E1"/>
    <mergeCell ref="A14:E14"/>
    <mergeCell ref="M1:Q1"/>
    <mergeCell ref="M14:Q14"/>
    <mergeCell ref="M27:Q27"/>
  </mergeCells>
  <phoneticPr fontId="3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Pedrolli</dc:creator>
  <cp:lastModifiedBy>Daniele Pedrolli</cp:lastModifiedBy>
  <dcterms:created xsi:type="dcterms:W3CDTF">2025-02-06T13:25:10Z</dcterms:created>
  <dcterms:modified xsi:type="dcterms:W3CDTF">2025-02-09T08:56:00Z</dcterms:modified>
</cp:coreProperties>
</file>