
<file path=[Content_Types].xml><?xml version="1.0" encoding="utf-8"?>
<Types xmlns="http://schemas.openxmlformats.org/package/2006/content-types">
  <Default Extension="bin" ContentType="application/vnd.openxmlformats-officedocument.spreadsheetml.printerSettings"/>
  <Default Extension="jpeg" ContentType="image/jpeg"/>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worksheets/sheet12.xml" ContentType="application/vnd.openxmlformats-officedocument.spreadsheetml.worksheet+xml"/>
  <Override PartName="/xl/worksheets/sheet13.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metadata.xml" ContentType="application/vnd.openxmlformats-officedocument.spreadsheetml.sheetMetadata+xml"/>
  <Override PartName="/xl/drawings/drawing1.xml" ContentType="application/vnd.openxmlformats-officedocument.drawing+xml"/>
  <Override PartName="/xl/drawings/drawing2.xml" ContentType="application/vnd.openxmlformats-officedocument.drawing+xml"/>
  <Override PartName="/xl/drawings/drawing3.xml" ContentType="application/vnd.openxmlformats-officedocument.drawing+xml"/>
  <Override PartName="/xl/charts/chart1.xml" ContentType="application/vnd.openxmlformats-officedocument.drawingml.chart+xml"/>
  <Override PartName="/xl/theme/themeOverride1.xml" ContentType="application/vnd.openxmlformats-officedocument.themeOverride+xml"/>
  <Override PartName="/xl/drawings/drawing4.xml" ContentType="application/vnd.openxmlformats-officedocument.drawing+xml"/>
  <Override PartName="/xl/charts/chart2.xml" ContentType="application/vnd.openxmlformats-officedocument.drawingml.chart+xml"/>
  <Override PartName="/xl/charts/style1.xml" ContentType="application/vnd.ms-office.chartstyle+xml"/>
  <Override PartName="/xl/charts/colors1.xml" ContentType="application/vnd.ms-office.chartcolorstyle+xml"/>
  <Override PartName="/xl/calcChain.xml" ContentType="application/vnd.openxmlformats-officedocument.spreadsheetml.calcChain+xml"/>
  <Override PartName="/customXml/itemProps1.xml" ContentType="application/vnd.openxmlformats-officedocument.customXmlProperties+xml"/>
  <Override PartName="/customXml/itemProps2.xml" ContentType="application/vnd.openxmlformats-officedocument.customXmlProperties+xml"/>
  <Override PartName="/customXml/itemProps3.xml" ContentType="application/vnd.openxmlformats-officedocument.customXmlProperties+xml"/>
  <Override PartName="/xl/webextensions/taskpanes.xml" ContentType="application/vnd.ms-office.webextensiontaskpanes+xml"/>
  <Override PartName="/xl/webextensions/webextension1.xml" ContentType="application/vnd.ms-office.webextension+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package/2006/relationships/metadata/core-properties" Target="docProps/core.xml"/><Relationship Id="rId2" Type="http://schemas.microsoft.com/office/2011/relationships/webextensiontaskpanes" Target="xl/webextensions/taskpanes.xml"/><Relationship Id="rId1" Type="http://schemas.openxmlformats.org/officeDocument/2006/relationships/officeDocument" Target="xl/workbook.xml"/><Relationship Id="rId5" Type="http://schemas.openxmlformats.org/officeDocument/2006/relationships/custom-properties" Target="docProps/custom.xml"/><Relationship Id="rId4"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8623"/>
  <workbookPr codeName="ThisWorkbook" defaultThemeVersion="124226"/>
  <mc:AlternateContent xmlns:mc="http://schemas.openxmlformats.org/markup-compatibility/2006">
    <mc:Choice Requires="x15">
      <x15ac:absPath xmlns:x15ac="http://schemas.microsoft.com/office/spreadsheetml/2010/11/ac" url="C:\Users\peetu.keskinen\Downloads\eu-debt-sustainability-analysis-main\eu-debt-sustainability-analysis-main\Final\Main 5.1v\"/>
    </mc:Choice>
  </mc:AlternateContent>
  <xr:revisionPtr revIDLastSave="0" documentId="13_ncr:1_{56837418-A543-4B63-AA0F-C23F49C040DD}" xr6:coauthVersionLast="47" xr6:coauthVersionMax="47" xr10:uidLastSave="{00000000-0000-0000-0000-000000000000}"/>
  <bookViews>
    <workbookView xWindow="-105" yWindow="0" windowWidth="26010" windowHeight="20985" tabRatio="788" activeTab="3" xr2:uid="{00000000-000D-0000-FFFF-FFFF00000000}"/>
  </bookViews>
  <sheets>
    <sheet name="Read me" sheetId="32" r:id="rId1"/>
    <sheet name="Criteria results" sheetId="20" r:id="rId2"/>
    <sheet name="Input data" sheetId="8" r:id="rId3"/>
    <sheet name="Baseline NFPC" sheetId="9" r:id="rId4"/>
    <sheet name="Adjustment scenario" sheetId="21" r:id="rId5"/>
    <sheet name="Adjust. no safeguard" sheetId="40" r:id="rId6"/>
    <sheet name="Financial stress" sheetId="17" r:id="rId7"/>
    <sheet name="Lower SPB" sheetId="18" r:id="rId8"/>
    <sheet name="Adverse (r-g)" sheetId="19" r:id="rId9"/>
    <sheet name="Stochastic" sheetId="22" r:id="rId10"/>
    <sheet name="FASTOP reporting" sheetId="44" r:id="rId11"/>
    <sheet name="Data_stochastic" sheetId="43" r:id="rId12"/>
    <sheet name="STOCH" sheetId="45" r:id="rId13"/>
  </sheets>
  <calcPr calcId="191028"/>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calcChain.xml><?xml version="1.0" encoding="utf-8"?>
<calcChain xmlns="http://schemas.openxmlformats.org/spreadsheetml/2006/main">
  <c r="N41" i="9" l="1"/>
  <c r="H13" i="21"/>
  <c r="G13" i="21"/>
  <c r="G25" i="9" l="1"/>
  <c r="H25" i="9"/>
  <c r="I25" i="9"/>
  <c r="J25" i="9"/>
  <c r="K25" i="9"/>
  <c r="L25" i="9"/>
  <c r="M25" i="9"/>
  <c r="N25" i="9"/>
  <c r="O25" i="9"/>
  <c r="P25" i="9"/>
  <c r="Q25" i="9"/>
  <c r="R25" i="9"/>
  <c r="S25" i="9"/>
  <c r="T25" i="9"/>
  <c r="U25" i="9"/>
  <c r="V25" i="9"/>
  <c r="W25" i="9"/>
  <c r="F25" i="9"/>
  <c r="G29" i="9"/>
  <c r="D51" i="45" l="1"/>
  <c r="E51" i="45"/>
  <c r="C51" i="45"/>
  <c r="S3" i="45"/>
  <c r="F3" i="45"/>
  <c r="C3" i="45" l="1"/>
  <c r="C58" i="8"/>
  <c r="E9" i="45"/>
  <c r="S49" i="45"/>
  <c r="F49" i="45"/>
  <c r="E49" i="45"/>
  <c r="D49" i="45"/>
  <c r="C49" i="45"/>
  <c r="S48" i="45"/>
  <c r="F48" i="45"/>
  <c r="E48" i="45"/>
  <c r="D48" i="45"/>
  <c r="C48" i="45"/>
  <c r="S47" i="45"/>
  <c r="F47" i="45"/>
  <c r="E47" i="45"/>
  <c r="D47" i="45"/>
  <c r="C47" i="45"/>
  <c r="S46" i="45"/>
  <c r="F46" i="45"/>
  <c r="E46" i="45"/>
  <c r="D46" i="45"/>
  <c r="C46" i="45"/>
  <c r="S45" i="45"/>
  <c r="F45" i="45"/>
  <c r="E45" i="45"/>
  <c r="D45" i="45"/>
  <c r="C45" i="45"/>
  <c r="S44" i="45"/>
  <c r="F44" i="45"/>
  <c r="E44" i="45"/>
  <c r="D44" i="45"/>
  <c r="C44" i="45"/>
  <c r="S43" i="45"/>
  <c r="F43" i="45"/>
  <c r="E43" i="45"/>
  <c r="D43" i="45"/>
  <c r="C43" i="45"/>
  <c r="S42" i="45"/>
  <c r="F42" i="45"/>
  <c r="E42" i="45"/>
  <c r="D42" i="45"/>
  <c r="C42" i="45"/>
  <c r="S41" i="45"/>
  <c r="F41" i="45"/>
  <c r="E41" i="45"/>
  <c r="D41" i="45"/>
  <c r="C41" i="45"/>
  <c r="S40" i="45"/>
  <c r="F40" i="45"/>
  <c r="E40" i="45"/>
  <c r="D40" i="45"/>
  <c r="C40" i="45"/>
  <c r="S39" i="45"/>
  <c r="F39" i="45"/>
  <c r="E39" i="45"/>
  <c r="D39" i="45"/>
  <c r="C39" i="45"/>
  <c r="S38" i="45"/>
  <c r="F38" i="45"/>
  <c r="E38" i="45"/>
  <c r="D38" i="45"/>
  <c r="C38" i="45"/>
  <c r="S37" i="45"/>
  <c r="F37" i="45"/>
  <c r="E37" i="45"/>
  <c r="D37" i="45"/>
  <c r="C37" i="45"/>
  <c r="S36" i="45"/>
  <c r="F36" i="45"/>
  <c r="E36" i="45"/>
  <c r="D36" i="45"/>
  <c r="C36" i="45"/>
  <c r="S35" i="45"/>
  <c r="F35" i="45"/>
  <c r="E35" i="45"/>
  <c r="D35" i="45"/>
  <c r="C35" i="45"/>
  <c r="S34" i="45"/>
  <c r="F34" i="45"/>
  <c r="E34" i="45"/>
  <c r="D34" i="45"/>
  <c r="C34" i="45"/>
  <c r="S33" i="45"/>
  <c r="F33" i="45"/>
  <c r="E33" i="45"/>
  <c r="D33" i="45"/>
  <c r="C33" i="45"/>
  <c r="S32" i="45"/>
  <c r="F32" i="45"/>
  <c r="E32" i="45"/>
  <c r="D32" i="45"/>
  <c r="C32" i="45"/>
  <c r="S31" i="45"/>
  <c r="F31" i="45"/>
  <c r="E31" i="45"/>
  <c r="D31" i="45"/>
  <c r="C31" i="45"/>
  <c r="S30" i="45"/>
  <c r="F30" i="45"/>
  <c r="E30" i="45"/>
  <c r="D30" i="45"/>
  <c r="C30" i="45"/>
  <c r="S29" i="45"/>
  <c r="F29" i="45"/>
  <c r="E29" i="45"/>
  <c r="D29" i="45"/>
  <c r="C29" i="45"/>
  <c r="S28" i="45"/>
  <c r="F28" i="45"/>
  <c r="E28" i="45"/>
  <c r="D28" i="45"/>
  <c r="C28" i="45"/>
  <c r="S27" i="45"/>
  <c r="F27" i="45"/>
  <c r="E27" i="45"/>
  <c r="D27" i="45"/>
  <c r="C27" i="45"/>
  <c r="S26" i="45"/>
  <c r="F26" i="45"/>
  <c r="E26" i="45"/>
  <c r="D26" i="45"/>
  <c r="C26" i="45"/>
  <c r="S25" i="45"/>
  <c r="F25" i="45"/>
  <c r="E25" i="45"/>
  <c r="D25" i="45"/>
  <c r="C25" i="45"/>
  <c r="S24" i="45"/>
  <c r="F24" i="45"/>
  <c r="E24" i="45"/>
  <c r="D24" i="45"/>
  <c r="C24" i="45"/>
  <c r="S23" i="45"/>
  <c r="F23" i="45"/>
  <c r="E23" i="45"/>
  <c r="D23" i="45"/>
  <c r="C23" i="45"/>
  <c r="S22" i="45"/>
  <c r="F22" i="45"/>
  <c r="E22" i="45"/>
  <c r="D22" i="45"/>
  <c r="C22" i="45"/>
  <c r="S21" i="45"/>
  <c r="F21" i="45"/>
  <c r="E21" i="45"/>
  <c r="D21" i="45"/>
  <c r="C21" i="45"/>
  <c r="S20" i="45"/>
  <c r="F20" i="45"/>
  <c r="E20" i="45"/>
  <c r="D20" i="45"/>
  <c r="C20" i="45"/>
  <c r="S19" i="45"/>
  <c r="F19" i="45"/>
  <c r="E19" i="45"/>
  <c r="D19" i="45"/>
  <c r="C19" i="45"/>
  <c r="S18" i="45"/>
  <c r="F18" i="45"/>
  <c r="E18" i="45"/>
  <c r="D18" i="45"/>
  <c r="C18" i="45"/>
  <c r="S17" i="45"/>
  <c r="F17" i="45"/>
  <c r="E17" i="45"/>
  <c r="D17" i="45"/>
  <c r="C17" i="45"/>
  <c r="S16" i="45"/>
  <c r="F16" i="45"/>
  <c r="E16" i="45"/>
  <c r="D16" i="45"/>
  <c r="C16" i="45"/>
  <c r="S15" i="45"/>
  <c r="F15" i="45"/>
  <c r="E15" i="45"/>
  <c r="D15" i="45"/>
  <c r="C15" i="45"/>
  <c r="S14" i="45"/>
  <c r="F14" i="45"/>
  <c r="E14" i="45"/>
  <c r="D14" i="45"/>
  <c r="C14" i="45"/>
  <c r="S13" i="45"/>
  <c r="F13" i="45"/>
  <c r="E13" i="45"/>
  <c r="D13" i="45"/>
  <c r="C13" i="45"/>
  <c r="S12" i="45"/>
  <c r="F12" i="45"/>
  <c r="E12" i="45"/>
  <c r="D12" i="45"/>
  <c r="C12" i="45"/>
  <c r="S11" i="45"/>
  <c r="F11" i="45"/>
  <c r="E11" i="45"/>
  <c r="D11" i="45"/>
  <c r="C11" i="45"/>
  <c r="S10" i="45"/>
  <c r="F10" i="45"/>
  <c r="E10" i="45"/>
  <c r="D10" i="45"/>
  <c r="C10" i="45"/>
  <c r="S9" i="45"/>
  <c r="F9" i="45"/>
  <c r="D9" i="45"/>
  <c r="C9" i="45"/>
  <c r="S8" i="45"/>
  <c r="F8" i="45"/>
  <c r="E8" i="45"/>
  <c r="D8" i="45"/>
  <c r="C8" i="45"/>
  <c r="S7" i="45"/>
  <c r="F7" i="45"/>
  <c r="E7" i="45"/>
  <c r="D7" i="45"/>
  <c r="C7" i="45"/>
  <c r="S6" i="45"/>
  <c r="F6" i="45"/>
  <c r="E6" i="45"/>
  <c r="D6" i="45"/>
  <c r="C6" i="45"/>
  <c r="S5" i="45"/>
  <c r="F5" i="45"/>
  <c r="E5" i="45"/>
  <c r="D5" i="45"/>
  <c r="C5" i="45"/>
  <c r="S4" i="45"/>
  <c r="F4" i="45"/>
  <c r="E4" i="45"/>
  <c r="D4" i="45"/>
  <c r="C4" i="45"/>
  <c r="E3" i="45"/>
  <c r="D3" i="45"/>
  <c r="G15" i="21"/>
  <c r="E87" i="9"/>
  <c r="C57" i="21"/>
  <c r="U14" i="40" l="1"/>
  <c r="V14" i="40"/>
  <c r="W14" i="40"/>
  <c r="F53" i="44"/>
  <c r="F57" i="44"/>
  <c r="G57" i="44" s="1"/>
  <c r="H57" i="44" s="1"/>
  <c r="I57" i="44" s="1"/>
  <c r="J57" i="44" s="1"/>
  <c r="K57" i="44" s="1"/>
  <c r="L57" i="44" s="1"/>
  <c r="M57" i="44" s="1"/>
  <c r="N57" i="44" s="1"/>
  <c r="O57" i="44" s="1"/>
  <c r="P57" i="44" s="1"/>
  <c r="Q57" i="44" s="1"/>
  <c r="R57" i="44" s="1"/>
  <c r="S57" i="44" s="1"/>
  <c r="T57" i="44" s="1"/>
  <c r="U57" i="44" s="1"/>
  <c r="V57" i="44" s="1"/>
  <c r="W57" i="44" s="1"/>
  <c r="X57" i="44" s="1"/>
  <c r="F40" i="44"/>
  <c r="G40" i="44" s="1"/>
  <c r="H40" i="44" s="1"/>
  <c r="I40" i="44" s="1"/>
  <c r="J40" i="44" s="1"/>
  <c r="K40" i="44" s="1"/>
  <c r="L40" i="44" s="1"/>
  <c r="M40" i="44" s="1"/>
  <c r="N40" i="44" s="1"/>
  <c r="O40" i="44" s="1"/>
  <c r="P40" i="44" s="1"/>
  <c r="Q40" i="44" s="1"/>
  <c r="R40" i="44" s="1"/>
  <c r="S40" i="44" s="1"/>
  <c r="T40" i="44" s="1"/>
  <c r="U40" i="44" s="1"/>
  <c r="V40" i="44" s="1"/>
  <c r="W40" i="44" s="1"/>
  <c r="X40" i="44" s="1"/>
  <c r="F29" i="44"/>
  <c r="G29" i="44" s="1"/>
  <c r="H29" i="44" s="1"/>
  <c r="I29" i="44" s="1"/>
  <c r="J29" i="44" s="1"/>
  <c r="K29" i="44" s="1"/>
  <c r="L29" i="44" s="1"/>
  <c r="M29" i="44" s="1"/>
  <c r="N29" i="44" s="1"/>
  <c r="O29" i="44" s="1"/>
  <c r="P29" i="44" s="1"/>
  <c r="Q29" i="44" s="1"/>
  <c r="R29" i="44" s="1"/>
  <c r="S29" i="44" s="1"/>
  <c r="T29" i="44" s="1"/>
  <c r="U29" i="44" s="1"/>
  <c r="V29" i="44" s="1"/>
  <c r="W29" i="44" s="1"/>
  <c r="X29" i="44" s="1"/>
  <c r="F26" i="44"/>
  <c r="G26" i="44" s="1"/>
  <c r="H26" i="44" s="1"/>
  <c r="I26" i="44" s="1"/>
  <c r="J26" i="44" s="1"/>
  <c r="K26" i="44" s="1"/>
  <c r="L26" i="44" s="1"/>
  <c r="M26" i="44" s="1"/>
  <c r="N26" i="44" s="1"/>
  <c r="O26" i="44" s="1"/>
  <c r="P26" i="44" s="1"/>
  <c r="Q26" i="44" s="1"/>
  <c r="R26" i="44" s="1"/>
  <c r="S26" i="44" s="1"/>
  <c r="T26" i="44" s="1"/>
  <c r="U26" i="44" s="1"/>
  <c r="V26" i="44" s="1"/>
  <c r="W26" i="44" s="1"/>
  <c r="X26" i="44" s="1"/>
  <c r="F22" i="44"/>
  <c r="G22" i="44" s="1"/>
  <c r="H22" i="44" s="1"/>
  <c r="I22" i="44" s="1"/>
  <c r="J22" i="44" s="1"/>
  <c r="K22" i="44" s="1"/>
  <c r="L22" i="44" s="1"/>
  <c r="M22" i="44" s="1"/>
  <c r="N22" i="44" s="1"/>
  <c r="O22" i="44" s="1"/>
  <c r="P22" i="44" s="1"/>
  <c r="Q22" i="44" s="1"/>
  <c r="R22" i="44" s="1"/>
  <c r="S22" i="44" s="1"/>
  <c r="T22" i="44" s="1"/>
  <c r="U22" i="44" s="1"/>
  <c r="V22" i="44" s="1"/>
  <c r="W22" i="44" s="1"/>
  <c r="X22" i="44" s="1"/>
  <c r="F4" i="44"/>
  <c r="G4" i="44" s="1"/>
  <c r="H4" i="44" s="1"/>
  <c r="I4" i="44" s="1"/>
  <c r="J4" i="44" s="1"/>
  <c r="K4" i="44" s="1"/>
  <c r="L4" i="44" s="1"/>
  <c r="M4" i="44" s="1"/>
  <c r="N4" i="44" s="1"/>
  <c r="O4" i="44" s="1"/>
  <c r="P4" i="44" s="1"/>
  <c r="Q4" i="44" s="1"/>
  <c r="R4" i="44" s="1"/>
  <c r="S4" i="44" s="1"/>
  <c r="T4" i="44" s="1"/>
  <c r="U4" i="44" s="1"/>
  <c r="V4" i="44" s="1"/>
  <c r="W4" i="44" s="1"/>
  <c r="X4" i="44" s="1"/>
  <c r="B59" i="44"/>
  <c r="B60" i="44" s="1"/>
  <c r="B61" i="44" s="1"/>
  <c r="B62" i="44" s="1"/>
  <c r="E4" i="44" l="1"/>
  <c r="E22" i="44"/>
  <c r="E26" i="44"/>
  <c r="E29" i="44"/>
  <c r="C6" i="8" l="1"/>
  <c r="F35" i="44" l="1"/>
  <c r="E35" i="44" s="1"/>
  <c r="W104" i="40"/>
  <c r="V104" i="40"/>
  <c r="U104" i="40"/>
  <c r="T104" i="40"/>
  <c r="S104" i="40"/>
  <c r="R104" i="40"/>
  <c r="Q104" i="40"/>
  <c r="P104" i="40"/>
  <c r="O104" i="40"/>
  <c r="N104" i="40"/>
  <c r="M104" i="40"/>
  <c r="L104" i="40"/>
  <c r="K104" i="40"/>
  <c r="J104" i="40"/>
  <c r="I104" i="40"/>
  <c r="H104" i="40"/>
  <c r="G104" i="40"/>
  <c r="F104" i="40"/>
  <c r="E104" i="40"/>
  <c r="D51" i="40"/>
  <c r="C47" i="40"/>
  <c r="B17" i="40"/>
  <c r="W63" i="40"/>
  <c r="V63" i="40"/>
  <c r="U63" i="40"/>
  <c r="T14" i="40"/>
  <c r="T63" i="40" s="1"/>
  <c r="S14" i="40"/>
  <c r="S63" i="40" s="1"/>
  <c r="R14" i="40"/>
  <c r="R63" i="40" s="1"/>
  <c r="Q14" i="40"/>
  <c r="Q63" i="40" s="1"/>
  <c r="P14" i="40"/>
  <c r="P63" i="40" s="1"/>
  <c r="O14" i="40"/>
  <c r="O63" i="40" s="1"/>
  <c r="N14" i="40"/>
  <c r="N63" i="40" s="1"/>
  <c r="M14" i="40"/>
  <c r="M63" i="40" s="1"/>
  <c r="L14" i="40"/>
  <c r="L63" i="40" s="1"/>
  <c r="K14" i="40"/>
  <c r="K63" i="40" s="1"/>
  <c r="J14" i="40"/>
  <c r="J63" i="40" s="1"/>
  <c r="I14" i="40"/>
  <c r="I63" i="40" s="1"/>
  <c r="H14" i="40"/>
  <c r="H63" i="40" s="1"/>
  <c r="C5" i="40"/>
  <c r="D65" i="40" s="1"/>
  <c r="B5" i="40"/>
  <c r="C7" i="40" l="1"/>
  <c r="C6" i="40"/>
  <c r="J64" i="40" s="1"/>
  <c r="E65" i="40"/>
  <c r="F65" i="40"/>
  <c r="E64" i="40" l="1"/>
  <c r="J65" i="40"/>
  <c r="I65" i="40"/>
  <c r="H65" i="40"/>
  <c r="G65" i="40"/>
  <c r="I64" i="40"/>
  <c r="H64" i="40"/>
  <c r="G64" i="40"/>
  <c r="F64" i="40"/>
  <c r="D64" i="40"/>
  <c r="B5" i="22" l="1"/>
  <c r="B5" i="19"/>
  <c r="B5" i="18"/>
  <c r="B5" i="17"/>
  <c r="B5" i="21"/>
  <c r="B5" i="9"/>
  <c r="I99" i="9" l="1"/>
  <c r="J99" i="9"/>
  <c r="K99" i="9"/>
  <c r="L99" i="9"/>
  <c r="M99" i="9"/>
  <c r="N99" i="9"/>
  <c r="O99" i="9"/>
  <c r="P99" i="9"/>
  <c r="Q99" i="9"/>
  <c r="R99" i="9"/>
  <c r="S99" i="9"/>
  <c r="T99" i="9"/>
  <c r="U99" i="9"/>
  <c r="V99" i="9"/>
  <c r="W99" i="9"/>
  <c r="H99" i="9"/>
  <c r="H62" i="9"/>
  <c r="E99" i="9" l="1"/>
  <c r="F99" i="9"/>
  <c r="G99" i="9"/>
  <c r="L14" i="21"/>
  <c r="M9" i="44" s="1"/>
  <c r="B17" i="21" l="1"/>
  <c r="B16" i="19"/>
  <c r="B16" i="18"/>
  <c r="B16" i="17"/>
  <c r="B16" i="9"/>
  <c r="E96" i="19" l="1"/>
  <c r="F96" i="19"/>
  <c r="G96" i="19"/>
  <c r="E95" i="18"/>
  <c r="F95" i="18"/>
  <c r="G95" i="18"/>
  <c r="E95" i="17"/>
  <c r="F95" i="17"/>
  <c r="G95" i="17"/>
  <c r="H13" i="17" l="1"/>
  <c r="F87" i="21" l="1"/>
  <c r="C27" i="40"/>
  <c r="C19" i="40"/>
  <c r="Q72" i="40"/>
  <c r="F15" i="40"/>
  <c r="F73" i="40" s="1"/>
  <c r="C57" i="40"/>
  <c r="D42" i="40"/>
  <c r="P72" i="40"/>
  <c r="U15" i="40"/>
  <c r="U73" i="40" s="1"/>
  <c r="E15" i="40"/>
  <c r="E73" i="40" s="1"/>
  <c r="O72" i="40"/>
  <c r="D15" i="40"/>
  <c r="D73" i="40" s="1"/>
  <c r="N72" i="40"/>
  <c r="C15" i="40"/>
  <c r="M72" i="40"/>
  <c r="Q15" i="40"/>
  <c r="Q73" i="40" s="1"/>
  <c r="F14" i="40"/>
  <c r="F63" i="40" s="1"/>
  <c r="O15" i="40"/>
  <c r="O73" i="40" s="1"/>
  <c r="D14" i="40"/>
  <c r="D63" i="40" s="1"/>
  <c r="N15" i="40"/>
  <c r="N73" i="40" s="1"/>
  <c r="I19" i="40"/>
  <c r="C24" i="40"/>
  <c r="F36" i="40"/>
  <c r="U72" i="40"/>
  <c r="C12" i="40"/>
  <c r="E36" i="40"/>
  <c r="C42" i="40"/>
  <c r="T15" i="40"/>
  <c r="T73" i="40" s="1"/>
  <c r="G37" i="40"/>
  <c r="S15" i="40"/>
  <c r="S73" i="40" s="1"/>
  <c r="F37" i="40"/>
  <c r="R15" i="40"/>
  <c r="R73" i="40" s="1"/>
  <c r="G14" i="40"/>
  <c r="G63" i="40" s="1"/>
  <c r="E37" i="40"/>
  <c r="L72" i="40"/>
  <c r="J19" i="40"/>
  <c r="M15" i="40"/>
  <c r="M73" i="40" s="1"/>
  <c r="L15" i="40"/>
  <c r="L73" i="40" s="1"/>
  <c r="V72" i="40"/>
  <c r="D12" i="40"/>
  <c r="G19" i="40"/>
  <c r="J15" i="40"/>
  <c r="J73" i="40" s="1"/>
  <c r="F19" i="40"/>
  <c r="O41" i="9"/>
  <c r="D37" i="40"/>
  <c r="C23" i="40"/>
  <c r="K72" i="40"/>
  <c r="P15" i="40"/>
  <c r="P73" i="40" s="1"/>
  <c r="E14" i="40"/>
  <c r="E63" i="40" s="1"/>
  <c r="J72" i="40"/>
  <c r="I72" i="40"/>
  <c r="C14" i="40"/>
  <c r="H72" i="40"/>
  <c r="D38" i="40"/>
  <c r="W72" i="40"/>
  <c r="H19" i="40"/>
  <c r="K15" i="40"/>
  <c r="K73" i="40" s="1"/>
  <c r="O37" i="40"/>
  <c r="E72" i="40"/>
  <c r="C48" i="40"/>
  <c r="F42" i="40"/>
  <c r="D36" i="40"/>
  <c r="C36" i="40"/>
  <c r="E19" i="40"/>
  <c r="R72" i="40"/>
  <c r="D71" i="9"/>
  <c r="W15" i="40"/>
  <c r="W73" i="40" s="1"/>
  <c r="I15" i="40"/>
  <c r="I73" i="40" s="1"/>
  <c r="T72" i="40"/>
  <c r="S72" i="40"/>
  <c r="D19" i="40"/>
  <c r="H15" i="40"/>
  <c r="H73" i="40" s="1"/>
  <c r="D79" i="40"/>
  <c r="C3" i="40"/>
  <c r="E42" i="40"/>
  <c r="P51" i="44" l="1"/>
  <c r="F79" i="40"/>
  <c r="E79" i="40"/>
  <c r="V15" i="40"/>
  <c r="V73" i="40" s="1"/>
  <c r="V74" i="40" s="1"/>
  <c r="E12" i="40"/>
  <c r="E52" i="40" s="1"/>
  <c r="D50" i="40"/>
  <c r="E51" i="40" s="1"/>
  <c r="O42" i="21"/>
  <c r="O42" i="40"/>
  <c r="H2" i="43" a="1"/>
  <c r="H2" i="43" s="1"/>
  <c r="C11" i="22"/>
  <c r="D79" i="21"/>
  <c r="D78" i="9"/>
  <c r="L74" i="40"/>
  <c r="F79" i="21"/>
  <c r="F78" i="9"/>
  <c r="E79" i="21"/>
  <c r="E78" i="9"/>
  <c r="W74" i="40"/>
  <c r="K19" i="40"/>
  <c r="K65" i="40"/>
  <c r="L19" i="40"/>
  <c r="L65" i="40"/>
  <c r="C33" i="40"/>
  <c r="M19" i="40"/>
  <c r="M65" i="40"/>
  <c r="C30" i="40"/>
  <c r="E74" i="40"/>
  <c r="R74" i="40"/>
  <c r="U74" i="40"/>
  <c r="H74" i="40"/>
  <c r="D72" i="40"/>
  <c r="D74" i="40" s="1"/>
  <c r="I74" i="40"/>
  <c r="S74" i="40"/>
  <c r="P19" i="40"/>
  <c r="P65" i="40"/>
  <c r="G15" i="40"/>
  <c r="G73" i="40" s="1"/>
  <c r="G36" i="19"/>
  <c r="G36" i="40"/>
  <c r="O38" i="19"/>
  <c r="O38" i="40"/>
  <c r="M74" i="40"/>
  <c r="F12" i="21"/>
  <c r="F12" i="40"/>
  <c r="R19" i="40"/>
  <c r="R65" i="40"/>
  <c r="W19" i="40"/>
  <c r="W65" i="40"/>
  <c r="F71" i="9"/>
  <c r="F72" i="40"/>
  <c r="K74" i="40"/>
  <c r="S19" i="40"/>
  <c r="S65" i="40"/>
  <c r="G23" i="9"/>
  <c r="H50" i="44" s="1"/>
  <c r="N19" i="40"/>
  <c r="N65" i="40"/>
  <c r="U19" i="40"/>
  <c r="U65" i="40"/>
  <c r="P74" i="40"/>
  <c r="V19" i="40"/>
  <c r="V65" i="40"/>
  <c r="E37" i="9"/>
  <c r="F47" i="44" s="1"/>
  <c r="E38" i="40"/>
  <c r="F37" i="9"/>
  <c r="G47" i="44" s="1"/>
  <c r="F38" i="40"/>
  <c r="Q19" i="40"/>
  <c r="Q65" i="40"/>
  <c r="G71" i="9"/>
  <c r="G72" i="40"/>
  <c r="G37" i="9"/>
  <c r="H47" i="44" s="1"/>
  <c r="G38" i="40"/>
  <c r="H37" i="40"/>
  <c r="I37" i="40" s="1"/>
  <c r="J37" i="40" s="1"/>
  <c r="K37" i="40" s="1"/>
  <c r="L37" i="40" s="1"/>
  <c r="M37" i="40" s="1"/>
  <c r="N37" i="40" s="1"/>
  <c r="D60" i="40"/>
  <c r="Q74" i="40"/>
  <c r="J74" i="40"/>
  <c r="T19" i="40"/>
  <c r="T65" i="40"/>
  <c r="G42" i="19"/>
  <c r="G42" i="40"/>
  <c r="O19" i="40"/>
  <c r="O65" i="40"/>
  <c r="T74" i="40"/>
  <c r="D27" i="40"/>
  <c r="E27" i="40" s="1"/>
  <c r="F27" i="40" s="1"/>
  <c r="G27" i="40" s="1"/>
  <c r="H27" i="40" s="1"/>
  <c r="I27" i="40" s="1"/>
  <c r="J27" i="40" s="1"/>
  <c r="K27" i="40" s="1"/>
  <c r="L27" i="40" s="1"/>
  <c r="M27" i="40" s="1"/>
  <c r="N27" i="40" s="1"/>
  <c r="O27" i="40" s="1"/>
  <c r="P27" i="40" s="1"/>
  <c r="Q27" i="40" s="1"/>
  <c r="R27" i="40" s="1"/>
  <c r="S27" i="40" s="1"/>
  <c r="T27" i="40" s="1"/>
  <c r="U27" i="40" s="1"/>
  <c r="V27" i="40" s="1"/>
  <c r="W27" i="40" s="1"/>
  <c r="C92" i="40"/>
  <c r="D70" i="40"/>
  <c r="O74" i="40"/>
  <c r="N74" i="40"/>
  <c r="D52" i="40"/>
  <c r="O37" i="19"/>
  <c r="V14" i="9"/>
  <c r="V14" i="19"/>
  <c r="V14" i="18"/>
  <c r="V14" i="17"/>
  <c r="V15" i="21"/>
  <c r="L14" i="19"/>
  <c r="L14" i="18"/>
  <c r="L15" i="21"/>
  <c r="L14" i="17"/>
  <c r="W14" i="9"/>
  <c r="W14" i="19"/>
  <c r="W14" i="18"/>
  <c r="W14" i="17"/>
  <c r="W15" i="21"/>
  <c r="M14" i="9"/>
  <c r="M14" i="19"/>
  <c r="M14" i="18"/>
  <c r="M14" i="17"/>
  <c r="M15" i="21"/>
  <c r="N14" i="9"/>
  <c r="N14" i="18"/>
  <c r="N14" i="17"/>
  <c r="N15" i="21"/>
  <c r="N14" i="19"/>
  <c r="Q14" i="9"/>
  <c r="Q14" i="19"/>
  <c r="Q14" i="18"/>
  <c r="Q14" i="17"/>
  <c r="Q15" i="21"/>
  <c r="T14" i="9"/>
  <c r="T15" i="21"/>
  <c r="T14" i="18"/>
  <c r="T14" i="17"/>
  <c r="T14" i="19"/>
  <c r="K14" i="19"/>
  <c r="K15" i="21"/>
  <c r="K14" i="17"/>
  <c r="K14" i="18"/>
  <c r="J14" i="19"/>
  <c r="J14" i="17"/>
  <c r="J14" i="18"/>
  <c r="J15" i="21"/>
  <c r="S14" i="9"/>
  <c r="S14" i="19"/>
  <c r="S15" i="21"/>
  <c r="S14" i="18"/>
  <c r="S14" i="17"/>
  <c r="U14" i="9"/>
  <c r="U14" i="19"/>
  <c r="U14" i="18"/>
  <c r="U14" i="17"/>
  <c r="U15" i="21"/>
  <c r="R14" i="9"/>
  <c r="R14" i="18"/>
  <c r="R14" i="17"/>
  <c r="R14" i="19"/>
  <c r="R15" i="21"/>
  <c r="H72" i="9"/>
  <c r="H14" i="19"/>
  <c r="H14" i="17"/>
  <c r="H14" i="18"/>
  <c r="H15" i="21"/>
  <c r="P14" i="9"/>
  <c r="P14" i="19"/>
  <c r="P14" i="18"/>
  <c r="P14" i="17"/>
  <c r="P15" i="21"/>
  <c r="I14" i="19"/>
  <c r="I14" i="18"/>
  <c r="I15" i="21"/>
  <c r="I14" i="17"/>
  <c r="O14" i="9"/>
  <c r="O14" i="19"/>
  <c r="O14" i="18"/>
  <c r="O14" i="17"/>
  <c r="O15" i="21"/>
  <c r="F37" i="19"/>
  <c r="F36" i="18"/>
  <c r="G37" i="18"/>
  <c r="G38" i="19"/>
  <c r="E37" i="19"/>
  <c r="E36" i="18"/>
  <c r="F37" i="18"/>
  <c r="F38" i="19"/>
  <c r="E38" i="19"/>
  <c r="E37" i="18"/>
  <c r="D38" i="19"/>
  <c r="D37" i="18"/>
  <c r="G37" i="19"/>
  <c r="G36" i="18"/>
  <c r="D37" i="19"/>
  <c r="D36" i="18"/>
  <c r="F37" i="21"/>
  <c r="G11" i="44" s="1"/>
  <c r="F36" i="17"/>
  <c r="F36" i="9"/>
  <c r="G46" i="44" s="1"/>
  <c r="G38" i="21"/>
  <c r="H12" i="44" s="1"/>
  <c r="G37" i="17"/>
  <c r="E36" i="17"/>
  <c r="E37" i="21"/>
  <c r="F11" i="44" s="1"/>
  <c r="E36" i="9"/>
  <c r="F46" i="44" s="1"/>
  <c r="E38" i="21"/>
  <c r="F12" i="44" s="1"/>
  <c r="E37" i="17"/>
  <c r="D38" i="21"/>
  <c r="D37" i="17"/>
  <c r="F37" i="17"/>
  <c r="F38" i="21"/>
  <c r="G12" i="44" s="1"/>
  <c r="G36" i="17"/>
  <c r="G36" i="9"/>
  <c r="H46" i="44" s="1"/>
  <c r="G37" i="21"/>
  <c r="H11" i="44" s="1"/>
  <c r="D36" i="17"/>
  <c r="D37" i="21"/>
  <c r="U41" i="9"/>
  <c r="V41" i="9"/>
  <c r="W41" i="9"/>
  <c r="G13" i="17"/>
  <c r="G13" i="18"/>
  <c r="G13" i="19"/>
  <c r="G14" i="17"/>
  <c r="G14" i="18"/>
  <c r="G14" i="19"/>
  <c r="O36" i="18"/>
  <c r="O37" i="18"/>
  <c r="G35" i="9"/>
  <c r="H48" i="44" s="1"/>
  <c r="G35" i="18"/>
  <c r="G35" i="17"/>
  <c r="G41" i="17"/>
  <c r="G41" i="18"/>
  <c r="Q41" i="9"/>
  <c r="R41" i="9"/>
  <c r="S41" i="9"/>
  <c r="T41" i="9"/>
  <c r="P41" i="9"/>
  <c r="O38" i="21"/>
  <c r="P12" i="44" s="1"/>
  <c r="O37" i="9"/>
  <c r="P47" i="44" s="1"/>
  <c r="G42" i="21"/>
  <c r="G41" i="9"/>
  <c r="O37" i="21"/>
  <c r="P11" i="44" s="1"/>
  <c r="O36" i="9"/>
  <c r="P46" i="44" s="1"/>
  <c r="G14" i="21"/>
  <c r="H9" i="44" s="1"/>
  <c r="G13" i="9"/>
  <c r="G36" i="21"/>
  <c r="C5" i="9"/>
  <c r="C6" i="9" s="1"/>
  <c r="G52" i="21" l="1"/>
  <c r="F74" i="40"/>
  <c r="H13" i="44"/>
  <c r="E60" i="40"/>
  <c r="E50" i="40"/>
  <c r="F50" i="40" s="1"/>
  <c r="G7" i="44"/>
  <c r="P17" i="44"/>
  <c r="H17" i="44"/>
  <c r="H24" i="44"/>
  <c r="F25" i="44"/>
  <c r="F24" i="44"/>
  <c r="G32" i="44"/>
  <c r="F32" i="44"/>
  <c r="P32" i="44"/>
  <c r="H25" i="44"/>
  <c r="F31" i="44"/>
  <c r="H32" i="44"/>
  <c r="H31" i="44"/>
  <c r="G24" i="44"/>
  <c r="G31" i="44"/>
  <c r="P31" i="44"/>
  <c r="G25" i="44"/>
  <c r="H41" i="9"/>
  <c r="H51" i="44"/>
  <c r="P42" i="40"/>
  <c r="Q51" i="44"/>
  <c r="T42" i="40"/>
  <c r="U51" i="44"/>
  <c r="S42" i="40"/>
  <c r="T51" i="44"/>
  <c r="R42" i="40"/>
  <c r="S51" i="44"/>
  <c r="Q42" i="40"/>
  <c r="R51" i="44"/>
  <c r="W42" i="40"/>
  <c r="X51" i="44"/>
  <c r="V42" i="40"/>
  <c r="W51" i="44"/>
  <c r="U42" i="40"/>
  <c r="V51" i="44"/>
  <c r="I2" i="43" a="1"/>
  <c r="I2" i="43" s="1"/>
  <c r="F12" i="18"/>
  <c r="H64" i="9"/>
  <c r="H38" i="40"/>
  <c r="I38" i="40" s="1"/>
  <c r="J38" i="40" s="1"/>
  <c r="K38" i="40" s="1"/>
  <c r="L38" i="40" s="1"/>
  <c r="M38" i="40" s="1"/>
  <c r="N38" i="40" s="1"/>
  <c r="F60" i="40"/>
  <c r="F52" i="40"/>
  <c r="G74" i="40"/>
  <c r="H37" i="9"/>
  <c r="G98" i="9"/>
  <c r="I37" i="19"/>
  <c r="H37" i="19"/>
  <c r="N38" i="19"/>
  <c r="H38" i="19"/>
  <c r="H37" i="21"/>
  <c r="N37" i="19"/>
  <c r="M37" i="19"/>
  <c r="F63" i="9"/>
  <c r="H36" i="18"/>
  <c r="I36" i="18" s="1"/>
  <c r="J36" i="18" s="1"/>
  <c r="K36" i="18" s="1"/>
  <c r="L36" i="18" s="1"/>
  <c r="M36" i="18" s="1"/>
  <c r="N36" i="18" s="1"/>
  <c r="J37" i="19"/>
  <c r="L37" i="19"/>
  <c r="K37" i="19"/>
  <c r="J38" i="19"/>
  <c r="L38" i="19"/>
  <c r="I38" i="19"/>
  <c r="M38" i="19"/>
  <c r="K38" i="19"/>
  <c r="L37" i="17"/>
  <c r="M37" i="17"/>
  <c r="H37" i="18"/>
  <c r="I37" i="18" s="1"/>
  <c r="J37" i="18" s="1"/>
  <c r="K37" i="18" s="1"/>
  <c r="L37" i="18" s="1"/>
  <c r="M37" i="18" s="1"/>
  <c r="N37" i="18" s="1"/>
  <c r="L36" i="17"/>
  <c r="M36" i="17"/>
  <c r="H36" i="9"/>
  <c r="H38" i="21"/>
  <c r="F64" i="9"/>
  <c r="V37" i="9"/>
  <c r="W37" i="9"/>
  <c r="U37" i="9"/>
  <c r="O36" i="17"/>
  <c r="W36" i="9"/>
  <c r="U36" i="9"/>
  <c r="V36" i="9"/>
  <c r="S37" i="9"/>
  <c r="T37" i="9"/>
  <c r="Q37" i="9"/>
  <c r="P37" i="9"/>
  <c r="R37" i="9"/>
  <c r="Q36" i="9"/>
  <c r="R46" i="44" s="1"/>
  <c r="S36" i="9"/>
  <c r="T36" i="9"/>
  <c r="P36" i="9"/>
  <c r="R36" i="9"/>
  <c r="I41" i="9"/>
  <c r="J41" i="9"/>
  <c r="K41" i="9"/>
  <c r="L41" i="9"/>
  <c r="M41" i="9"/>
  <c r="G32" i="9"/>
  <c r="H52" i="44" s="1"/>
  <c r="D23" i="9"/>
  <c r="D24" i="40" s="1"/>
  <c r="F41" i="17"/>
  <c r="E23" i="9"/>
  <c r="F23" i="9"/>
  <c r="C56" i="17"/>
  <c r="C3" i="9"/>
  <c r="H13" i="19"/>
  <c r="I13" i="19"/>
  <c r="J13" i="19"/>
  <c r="K13" i="19"/>
  <c r="L13" i="19"/>
  <c r="M13" i="19"/>
  <c r="N13" i="19"/>
  <c r="O13" i="19"/>
  <c r="P13" i="19"/>
  <c r="Q13" i="19"/>
  <c r="R13" i="19"/>
  <c r="S13" i="19"/>
  <c r="T13" i="19"/>
  <c r="U13" i="19"/>
  <c r="V13" i="19"/>
  <c r="W13" i="19"/>
  <c r="H13" i="18"/>
  <c r="I13" i="18"/>
  <c r="J13" i="18"/>
  <c r="K13" i="18"/>
  <c r="L13" i="18"/>
  <c r="M13" i="18"/>
  <c r="N13" i="18"/>
  <c r="O13" i="18"/>
  <c r="P13" i="18"/>
  <c r="Q13" i="18"/>
  <c r="R13" i="18"/>
  <c r="S13" i="18"/>
  <c r="T13" i="18"/>
  <c r="U13" i="18"/>
  <c r="V13" i="18"/>
  <c r="W13" i="18"/>
  <c r="I13" i="17"/>
  <c r="J13" i="17"/>
  <c r="K13" i="17"/>
  <c r="L13" i="17"/>
  <c r="M13" i="17"/>
  <c r="N13" i="17"/>
  <c r="O13" i="17"/>
  <c r="P13" i="17"/>
  <c r="Q13" i="17"/>
  <c r="R13" i="17"/>
  <c r="S13" i="17"/>
  <c r="T13" i="17"/>
  <c r="U13" i="17"/>
  <c r="V13" i="17"/>
  <c r="W13" i="17"/>
  <c r="H14" i="21"/>
  <c r="I9" i="44" s="1"/>
  <c r="I14" i="21"/>
  <c r="J9" i="44" s="1"/>
  <c r="J14" i="21"/>
  <c r="K9" i="44" s="1"/>
  <c r="K14" i="21"/>
  <c r="L9" i="44" s="1"/>
  <c r="M14" i="21"/>
  <c r="N9" i="44" s="1"/>
  <c r="N14" i="21"/>
  <c r="O9" i="44" s="1"/>
  <c r="O14" i="21"/>
  <c r="P9" i="44" s="1"/>
  <c r="P14" i="21"/>
  <c r="Q9" i="44" s="1"/>
  <c r="Q14" i="21"/>
  <c r="R9" i="44" s="1"/>
  <c r="R14" i="21"/>
  <c r="S9" i="44" s="1"/>
  <c r="S14" i="21"/>
  <c r="T9" i="44" s="1"/>
  <c r="T14" i="21"/>
  <c r="U9" i="44" s="1"/>
  <c r="U14" i="21"/>
  <c r="V9" i="44" s="1"/>
  <c r="V14" i="21"/>
  <c r="W9" i="44" s="1"/>
  <c r="W14" i="21"/>
  <c r="X9" i="44" s="1"/>
  <c r="O51" i="44" l="1"/>
  <c r="F51" i="40"/>
  <c r="N38" i="9"/>
  <c r="C43" i="40"/>
  <c r="D39" i="40"/>
  <c r="C39" i="40"/>
  <c r="G43" i="40"/>
  <c r="E43" i="40"/>
  <c r="D43" i="40"/>
  <c r="F43" i="40"/>
  <c r="H41" i="17"/>
  <c r="M24" i="44"/>
  <c r="N25" i="44"/>
  <c r="O32" i="44"/>
  <c r="M25" i="44"/>
  <c r="I31" i="44"/>
  <c r="L32" i="44"/>
  <c r="J31" i="44"/>
  <c r="N32" i="44"/>
  <c r="J32" i="44"/>
  <c r="M32" i="44"/>
  <c r="K32" i="44"/>
  <c r="L31" i="44"/>
  <c r="N24" i="44"/>
  <c r="I32" i="44"/>
  <c r="M31" i="44"/>
  <c r="O31" i="44"/>
  <c r="K31" i="44"/>
  <c r="N31" i="44"/>
  <c r="R37" i="40"/>
  <c r="S46" i="44"/>
  <c r="U38" i="40"/>
  <c r="V47" i="44"/>
  <c r="P37" i="40"/>
  <c r="Q46" i="44"/>
  <c r="W38" i="40"/>
  <c r="X47" i="44"/>
  <c r="I37" i="9"/>
  <c r="I47" i="44"/>
  <c r="U37" i="40"/>
  <c r="V46" i="44"/>
  <c r="S37" i="40"/>
  <c r="T46" i="44"/>
  <c r="T37" i="40"/>
  <c r="U46" i="44"/>
  <c r="R38" i="40"/>
  <c r="S47" i="44"/>
  <c r="I36" i="9"/>
  <c r="I46" i="44"/>
  <c r="V38" i="40"/>
  <c r="W47" i="44"/>
  <c r="P38" i="40"/>
  <c r="Q47" i="44"/>
  <c r="Q38" i="40"/>
  <c r="R47" i="44"/>
  <c r="W37" i="40"/>
  <c r="X46" i="44"/>
  <c r="I42" i="40"/>
  <c r="J51" i="44"/>
  <c r="F24" i="40"/>
  <c r="F33" i="40" s="1"/>
  <c r="G50" i="44"/>
  <c r="T38" i="40"/>
  <c r="U47" i="44"/>
  <c r="M42" i="40"/>
  <c r="N51" i="44"/>
  <c r="S38" i="40"/>
  <c r="T47" i="44"/>
  <c r="L42" i="40"/>
  <c r="M51" i="44"/>
  <c r="K42" i="40"/>
  <c r="L51" i="44"/>
  <c r="E24" i="40"/>
  <c r="E33" i="40" s="1"/>
  <c r="F50" i="44"/>
  <c r="J42" i="40"/>
  <c r="K51" i="44"/>
  <c r="V37" i="40"/>
  <c r="W46" i="44"/>
  <c r="H42" i="40"/>
  <c r="I51" i="44"/>
  <c r="P24" i="44"/>
  <c r="I38" i="21"/>
  <c r="I12" i="44"/>
  <c r="G28" i="44"/>
  <c r="I37" i="21"/>
  <c r="I11" i="44"/>
  <c r="H36" i="17"/>
  <c r="G51" i="40"/>
  <c r="D33" i="40"/>
  <c r="D68" i="40" s="1"/>
  <c r="N42" i="40"/>
  <c r="Q37" i="21"/>
  <c r="R11" i="44" s="1"/>
  <c r="Q37" i="40"/>
  <c r="G96" i="9"/>
  <c r="V38" i="9"/>
  <c r="V39" i="40" s="1"/>
  <c r="W38" i="9"/>
  <c r="W39" i="40" s="1"/>
  <c r="U38" i="9"/>
  <c r="O38" i="9"/>
  <c r="O39" i="40" s="1"/>
  <c r="P38" i="9"/>
  <c r="P39" i="40" s="1"/>
  <c r="N41" i="17"/>
  <c r="P37" i="21"/>
  <c r="Q11" i="44" s="1"/>
  <c r="P36" i="17"/>
  <c r="P36" i="18"/>
  <c r="H42" i="21"/>
  <c r="N42" i="21"/>
  <c r="E24" i="21"/>
  <c r="F16" i="44" s="1"/>
  <c r="E23" i="17"/>
  <c r="F23" i="17"/>
  <c r="F24" i="21"/>
  <c r="D24" i="21"/>
  <c r="D23" i="17"/>
  <c r="G12" i="40" l="1"/>
  <c r="G79" i="40" s="1"/>
  <c r="G16" i="44"/>
  <c r="G38" i="9"/>
  <c r="G39" i="40" s="1"/>
  <c r="M38" i="9"/>
  <c r="M39" i="40" s="1"/>
  <c r="L38" i="9"/>
  <c r="L39" i="40" s="1"/>
  <c r="K38" i="9"/>
  <c r="K39" i="40" s="1"/>
  <c r="J38" i="9"/>
  <c r="I38" i="9"/>
  <c r="I39" i="40" s="1"/>
  <c r="H38" i="9"/>
  <c r="H39" i="40" s="1"/>
  <c r="I17" i="44"/>
  <c r="Q24" i="44"/>
  <c r="J37" i="9"/>
  <c r="J47" i="44"/>
  <c r="J36" i="9"/>
  <c r="J46" i="44"/>
  <c r="O17" i="44"/>
  <c r="J37" i="21"/>
  <c r="J11" i="44"/>
  <c r="I24" i="44"/>
  <c r="J38" i="21"/>
  <c r="J12" i="44"/>
  <c r="G2" i="43" a="1"/>
  <c r="G2" i="43" s="1"/>
  <c r="G101" i="40"/>
  <c r="G101" i="9"/>
  <c r="I36" i="17"/>
  <c r="D69" i="40"/>
  <c r="H43" i="21"/>
  <c r="H43" i="40"/>
  <c r="N39" i="40"/>
  <c r="E39" i="40"/>
  <c r="U39" i="21"/>
  <c r="U39" i="40"/>
  <c r="U43" i="21"/>
  <c r="U43" i="40"/>
  <c r="I43" i="21"/>
  <c r="I43" i="40"/>
  <c r="R43" i="21"/>
  <c r="R43" i="40"/>
  <c r="Q43" i="21"/>
  <c r="Q43" i="40"/>
  <c r="V43" i="21"/>
  <c r="V43" i="40"/>
  <c r="K43" i="21"/>
  <c r="K43" i="40"/>
  <c r="S43" i="21"/>
  <c r="S43" i="40"/>
  <c r="L43" i="21"/>
  <c r="L43" i="40"/>
  <c r="J43" i="21"/>
  <c r="J43" i="40"/>
  <c r="M43" i="21"/>
  <c r="M43" i="40"/>
  <c r="N43" i="21"/>
  <c r="N43" i="40"/>
  <c r="T43" i="21"/>
  <c r="T43" i="40"/>
  <c r="D78" i="40"/>
  <c r="W43" i="21"/>
  <c r="W43" i="40"/>
  <c r="O43" i="21"/>
  <c r="O43" i="40"/>
  <c r="P43" i="21"/>
  <c r="P43" i="40"/>
  <c r="F39" i="40"/>
  <c r="F43" i="21"/>
  <c r="F42" i="17"/>
  <c r="G43" i="21"/>
  <c r="G42" i="17"/>
  <c r="C38" i="17"/>
  <c r="C39" i="19"/>
  <c r="C39" i="21"/>
  <c r="C38" i="18"/>
  <c r="E43" i="21"/>
  <c r="E42" i="17"/>
  <c r="D38" i="17"/>
  <c r="D39" i="19"/>
  <c r="D39" i="21"/>
  <c r="D38" i="18"/>
  <c r="C42" i="17"/>
  <c r="C43" i="21"/>
  <c r="D43" i="21"/>
  <c r="D42" i="17"/>
  <c r="J11" i="20"/>
  <c r="C5" i="22"/>
  <c r="C5" i="19"/>
  <c r="C6" i="19" s="1"/>
  <c r="C5" i="18"/>
  <c r="C6" i="18" s="1"/>
  <c r="C5" i="17"/>
  <c r="C6" i="17" s="1"/>
  <c r="G50" i="40" l="1"/>
  <c r="K36" i="9"/>
  <c r="K46" i="44"/>
  <c r="K37" i="9"/>
  <c r="K47" i="44"/>
  <c r="H12" i="40"/>
  <c r="H79" i="40" s="1"/>
  <c r="K38" i="21"/>
  <c r="K12" i="44"/>
  <c r="J24" i="44"/>
  <c r="K37" i="21"/>
  <c r="K11" i="44"/>
  <c r="G12" i="17"/>
  <c r="G60" i="40"/>
  <c r="G12" i="18"/>
  <c r="G12" i="19"/>
  <c r="G52" i="40"/>
  <c r="G13" i="40"/>
  <c r="J36" i="17"/>
  <c r="J39" i="21"/>
  <c r="J39" i="40"/>
  <c r="C3" i="22"/>
  <c r="C3" i="17"/>
  <c r="C3" i="18"/>
  <c r="C3" i="19"/>
  <c r="U70" i="17"/>
  <c r="U71" i="19"/>
  <c r="V71" i="19"/>
  <c r="W71" i="19"/>
  <c r="U70" i="18"/>
  <c r="V70" i="18"/>
  <c r="W70" i="18"/>
  <c r="V70" i="17"/>
  <c r="W70" i="17"/>
  <c r="N24" i="19"/>
  <c r="H12" i="19" l="1"/>
  <c r="H52" i="40"/>
  <c r="I12" i="40"/>
  <c r="I79" i="40" s="1"/>
  <c r="H60" i="40"/>
  <c r="K24" i="44"/>
  <c r="H13" i="40"/>
  <c r="H50" i="40"/>
  <c r="H12" i="17"/>
  <c r="H28" i="44"/>
  <c r="H12" i="18"/>
  <c r="L37" i="9"/>
  <c r="L47" i="44"/>
  <c r="L36" i="9"/>
  <c r="L46" i="44"/>
  <c r="L37" i="21"/>
  <c r="L11" i="44"/>
  <c r="L38" i="21"/>
  <c r="L12" i="44"/>
  <c r="S38" i="9"/>
  <c r="S39" i="40" s="1"/>
  <c r="Q38" i="9"/>
  <c r="Q39" i="40" s="1"/>
  <c r="R38" i="9"/>
  <c r="R39" i="40" s="1"/>
  <c r="T38" i="9"/>
  <c r="C35" i="18"/>
  <c r="C36" i="21"/>
  <c r="C36" i="19"/>
  <c r="C35" i="17"/>
  <c r="D35" i="9"/>
  <c r="D35" i="18"/>
  <c r="D36" i="21"/>
  <c r="D36" i="19"/>
  <c r="D35" i="17"/>
  <c r="E36" i="19"/>
  <c r="E35" i="17"/>
  <c r="E36" i="21"/>
  <c r="F13" i="44" s="1"/>
  <c r="E35" i="18"/>
  <c r="F35" i="18"/>
  <c r="F36" i="21"/>
  <c r="F36" i="19"/>
  <c r="F35" i="17"/>
  <c r="C12" i="19"/>
  <c r="C12" i="21"/>
  <c r="C12" i="17"/>
  <c r="C12" i="9"/>
  <c r="D12" i="19"/>
  <c r="D12" i="21"/>
  <c r="D12" i="17"/>
  <c r="D12" i="9"/>
  <c r="E12" i="19"/>
  <c r="E12" i="21"/>
  <c r="E12" i="9"/>
  <c r="E12" i="17"/>
  <c r="F12" i="19"/>
  <c r="F12" i="17"/>
  <c r="F12" i="9"/>
  <c r="G12" i="9" s="1"/>
  <c r="S70" i="17"/>
  <c r="G13" i="44" l="1"/>
  <c r="I52" i="40"/>
  <c r="D49" i="17"/>
  <c r="E49" i="17" s="1"/>
  <c r="F49" i="17" s="1"/>
  <c r="G49" i="17" s="1"/>
  <c r="H49" i="17" s="1"/>
  <c r="I12" i="19"/>
  <c r="I50" i="40"/>
  <c r="I13" i="40"/>
  <c r="I60" i="40"/>
  <c r="I12" i="18"/>
  <c r="J12" i="40"/>
  <c r="J79" i="40" s="1"/>
  <c r="D50" i="19"/>
  <c r="E50" i="19" s="1"/>
  <c r="F50" i="19" s="1"/>
  <c r="G50" i="19" s="1"/>
  <c r="H50" i="19" s="1"/>
  <c r="I12" i="17"/>
  <c r="F43" i="44"/>
  <c r="F7" i="44"/>
  <c r="D49" i="9"/>
  <c r="E49" i="9" s="1"/>
  <c r="F49" i="9" s="1"/>
  <c r="I28" i="44"/>
  <c r="G43" i="44"/>
  <c r="M36" i="9"/>
  <c r="M46" i="44"/>
  <c r="M37" i="9"/>
  <c r="M47" i="44"/>
  <c r="M38" i="21"/>
  <c r="M12" i="44"/>
  <c r="M37" i="21"/>
  <c r="M11" i="44"/>
  <c r="T39" i="21"/>
  <c r="T39" i="40"/>
  <c r="D96" i="9"/>
  <c r="G78" i="9"/>
  <c r="H96" i="19"/>
  <c r="P96" i="19"/>
  <c r="O95" i="18"/>
  <c r="W95" i="18"/>
  <c r="N95" i="17"/>
  <c r="V95" i="17"/>
  <c r="O95" i="17"/>
  <c r="O96" i="19"/>
  <c r="N95" i="18"/>
  <c r="V95" i="18"/>
  <c r="M95" i="17"/>
  <c r="U95" i="17"/>
  <c r="I96" i="19"/>
  <c r="Q96" i="19"/>
  <c r="H95" i="18"/>
  <c r="P95" i="18"/>
  <c r="W95" i="17"/>
  <c r="J96" i="19"/>
  <c r="R96" i="19"/>
  <c r="I95" i="18"/>
  <c r="Q95" i="18"/>
  <c r="H95" i="17"/>
  <c r="P95" i="17"/>
  <c r="K96" i="19"/>
  <c r="S96" i="19"/>
  <c r="J95" i="18"/>
  <c r="R95" i="18"/>
  <c r="I95" i="17"/>
  <c r="Q95" i="17"/>
  <c r="L96" i="19"/>
  <c r="T96" i="19"/>
  <c r="K95" i="18"/>
  <c r="S95" i="18"/>
  <c r="J95" i="17"/>
  <c r="R95" i="17"/>
  <c r="M96" i="19"/>
  <c r="U96" i="19"/>
  <c r="L95" i="18"/>
  <c r="T95" i="18"/>
  <c r="K95" i="17"/>
  <c r="S95" i="17"/>
  <c r="N96" i="19"/>
  <c r="V96" i="19"/>
  <c r="M95" i="18"/>
  <c r="U95" i="18"/>
  <c r="L95" i="17"/>
  <c r="T95" i="17"/>
  <c r="W96" i="19"/>
  <c r="C6" i="22"/>
  <c r="C7" i="22" s="1"/>
  <c r="E25" i="22"/>
  <c r="G25" i="22"/>
  <c r="I25" i="22"/>
  <c r="F25" i="22"/>
  <c r="H25" i="22"/>
  <c r="V24" i="19"/>
  <c r="W24" i="19"/>
  <c r="U24" i="19"/>
  <c r="C35" i="9"/>
  <c r="C96" i="9" s="1"/>
  <c r="J12" i="18" l="1"/>
  <c r="K28" i="44" s="1"/>
  <c r="I50" i="19"/>
  <c r="J13" i="40"/>
  <c r="J28" i="44"/>
  <c r="J50" i="40"/>
  <c r="J60" i="40"/>
  <c r="K12" i="40"/>
  <c r="K79" i="40" s="1"/>
  <c r="J52" i="40"/>
  <c r="J12" i="17"/>
  <c r="J12" i="19"/>
  <c r="I49" i="17"/>
  <c r="H43" i="44"/>
  <c r="G49" i="9"/>
  <c r="N37" i="9"/>
  <c r="O47" i="44" s="1"/>
  <c r="N47" i="44"/>
  <c r="N36" i="9"/>
  <c r="O46" i="44" s="1"/>
  <c r="N46" i="44"/>
  <c r="N37" i="21"/>
  <c r="N11" i="44"/>
  <c r="N38" i="21"/>
  <c r="N12" i="44"/>
  <c r="C101" i="40"/>
  <c r="C106" i="40" s="1"/>
  <c r="D101" i="40"/>
  <c r="D106" i="40" s="1"/>
  <c r="H12" i="9"/>
  <c r="H78" i="9" s="1"/>
  <c r="E26" i="22"/>
  <c r="F26" i="22"/>
  <c r="G26" i="22"/>
  <c r="H26" i="22"/>
  <c r="F24" i="22"/>
  <c r="F23" i="22"/>
  <c r="H23" i="22"/>
  <c r="H24" i="22"/>
  <c r="G23" i="22"/>
  <c r="G24" i="22"/>
  <c r="I26" i="22"/>
  <c r="E23" i="22"/>
  <c r="E24" i="22"/>
  <c r="I23" i="22"/>
  <c r="I24" i="22"/>
  <c r="J50" i="19" l="1"/>
  <c r="J49" i="17"/>
  <c r="K13" i="40"/>
  <c r="L12" i="40"/>
  <c r="L79" i="40" s="1"/>
  <c r="K52" i="40"/>
  <c r="K50" i="40"/>
  <c r="K12" i="19"/>
  <c r="K60" i="40"/>
  <c r="K12" i="18"/>
  <c r="K12" i="17"/>
  <c r="H49" i="9"/>
  <c r="H59" i="9"/>
  <c r="I43" i="44"/>
  <c r="O12" i="44"/>
  <c r="O11" i="44"/>
  <c r="I12" i="9"/>
  <c r="I78" i="9" s="1"/>
  <c r="C46" i="17"/>
  <c r="C46" i="18"/>
  <c r="C47" i="19"/>
  <c r="C47" i="21"/>
  <c r="C46" i="9"/>
  <c r="K49" i="17" l="1"/>
  <c r="K50" i="19"/>
  <c r="L12" i="18"/>
  <c r="M28" i="44" s="1"/>
  <c r="L12" i="19"/>
  <c r="L13" i="40"/>
  <c r="L28" i="44"/>
  <c r="L50" i="40"/>
  <c r="L52" i="40"/>
  <c r="L60" i="40"/>
  <c r="M12" i="40"/>
  <c r="M79" i="40" s="1"/>
  <c r="L12" i="17"/>
  <c r="I49" i="9"/>
  <c r="J12" i="9"/>
  <c r="J78" i="9" s="1"/>
  <c r="J43" i="44"/>
  <c r="F51" i="9"/>
  <c r="G51" i="9"/>
  <c r="H51" i="9"/>
  <c r="C7" i="18"/>
  <c r="C7" i="17"/>
  <c r="C7" i="19"/>
  <c r="C21" i="22"/>
  <c r="E21" i="22"/>
  <c r="H21" i="22"/>
  <c r="G21" i="22"/>
  <c r="F21" i="22"/>
  <c r="I21" i="22"/>
  <c r="D21" i="22"/>
  <c r="K24" i="19"/>
  <c r="L24" i="19"/>
  <c r="M24" i="19"/>
  <c r="T70" i="18"/>
  <c r="S70" i="18"/>
  <c r="R70" i="18"/>
  <c r="Q70" i="18"/>
  <c r="P70" i="18"/>
  <c r="O70" i="18"/>
  <c r="N70" i="18"/>
  <c r="M70" i="18"/>
  <c r="L70" i="18"/>
  <c r="K70" i="18"/>
  <c r="J70" i="18"/>
  <c r="I70" i="18"/>
  <c r="H70" i="18"/>
  <c r="D50" i="18"/>
  <c r="D50" i="9"/>
  <c r="B18" i="9"/>
  <c r="L49" i="17" l="1"/>
  <c r="L50" i="19"/>
  <c r="M13" i="40"/>
  <c r="M12" i="18"/>
  <c r="M60" i="40"/>
  <c r="D81" i="40"/>
  <c r="N12" i="40"/>
  <c r="N79" i="40" s="1"/>
  <c r="J49" i="9"/>
  <c r="M12" i="17"/>
  <c r="M12" i="19"/>
  <c r="M50" i="40"/>
  <c r="M52" i="40"/>
  <c r="K12" i="9"/>
  <c r="K78" i="9" s="1"/>
  <c r="K43" i="44"/>
  <c r="G63" i="17"/>
  <c r="J63" i="17"/>
  <c r="H63" i="17"/>
  <c r="I63" i="17"/>
  <c r="B21" i="22"/>
  <c r="E63" i="9"/>
  <c r="D64" i="9"/>
  <c r="D63" i="9"/>
  <c r="E64" i="9"/>
  <c r="F64" i="18"/>
  <c r="E64" i="18"/>
  <c r="D64" i="18"/>
  <c r="M49" i="17" l="1"/>
  <c r="M50" i="19"/>
  <c r="N28" i="44"/>
  <c r="N13" i="40"/>
  <c r="N50" i="40"/>
  <c r="N60" i="40"/>
  <c r="K49" i="9"/>
  <c r="N52" i="40"/>
  <c r="O12" i="40"/>
  <c r="O79" i="40" s="1"/>
  <c r="N12" i="18"/>
  <c r="L12" i="9"/>
  <c r="L78" i="9" s="1"/>
  <c r="L43" i="44"/>
  <c r="D51" i="21"/>
  <c r="C5" i="21"/>
  <c r="O12" i="18" l="1"/>
  <c r="L49" i="9"/>
  <c r="O50" i="40"/>
  <c r="P51" i="40" s="1"/>
  <c r="O52" i="40"/>
  <c r="O28" i="44"/>
  <c r="O13" i="40"/>
  <c r="O60" i="40"/>
  <c r="P12" i="40"/>
  <c r="P79" i="40" s="1"/>
  <c r="D50" i="21"/>
  <c r="E50" i="21" s="1"/>
  <c r="F50" i="21" s="1"/>
  <c r="M12" i="9"/>
  <c r="M43" i="44"/>
  <c r="C6" i="21"/>
  <c r="C7" i="21"/>
  <c r="D65" i="21"/>
  <c r="F65" i="21"/>
  <c r="E65" i="21"/>
  <c r="T71" i="19"/>
  <c r="S71" i="19"/>
  <c r="R71" i="19"/>
  <c r="Q71" i="19"/>
  <c r="P71" i="19"/>
  <c r="O71" i="19"/>
  <c r="N71" i="19"/>
  <c r="M71" i="19"/>
  <c r="L71" i="19"/>
  <c r="K71" i="19"/>
  <c r="J71" i="19"/>
  <c r="I71" i="19"/>
  <c r="H71" i="19"/>
  <c r="D51" i="19"/>
  <c r="T70" i="17"/>
  <c r="R70" i="17"/>
  <c r="Q70" i="17"/>
  <c r="P70" i="17"/>
  <c r="O70" i="17"/>
  <c r="N70" i="17"/>
  <c r="M70" i="17"/>
  <c r="L70" i="17"/>
  <c r="K70" i="17"/>
  <c r="J70" i="17"/>
  <c r="I70" i="17"/>
  <c r="H70" i="17"/>
  <c r="D50" i="17"/>
  <c r="F64" i="17"/>
  <c r="P28" i="44" l="1"/>
  <c r="M49" i="9"/>
  <c r="M78" i="9"/>
  <c r="P52" i="40"/>
  <c r="P60" i="40"/>
  <c r="P12" i="18"/>
  <c r="P13" i="40"/>
  <c r="Q12" i="40"/>
  <c r="Q79" i="40" s="1"/>
  <c r="P50" i="40"/>
  <c r="N12" i="9"/>
  <c r="N43" i="44"/>
  <c r="I64" i="21"/>
  <c r="G64" i="21"/>
  <c r="H64" i="21"/>
  <c r="J64" i="21"/>
  <c r="F64" i="21"/>
  <c r="D64" i="21"/>
  <c r="D64" i="17"/>
  <c r="E64" i="17"/>
  <c r="E65" i="19"/>
  <c r="D65" i="19"/>
  <c r="F65" i="19"/>
  <c r="N49" i="9" l="1"/>
  <c r="N78" i="9"/>
  <c r="Q28" i="44"/>
  <c r="Q13" i="40"/>
  <c r="R12" i="40"/>
  <c r="Q60" i="40"/>
  <c r="Q52" i="40"/>
  <c r="Q12" i="18"/>
  <c r="Q51" i="40"/>
  <c r="Q50" i="40"/>
  <c r="O12" i="9"/>
  <c r="O43" i="44"/>
  <c r="C47" i="18"/>
  <c r="C48" i="19"/>
  <c r="C48" i="21"/>
  <c r="C47" i="17"/>
  <c r="C47" i="9"/>
  <c r="E35" i="9"/>
  <c r="F48" i="44" s="1"/>
  <c r="F35" i="9"/>
  <c r="G48" i="44" s="1"/>
  <c r="C3" i="21"/>
  <c r="Q24" i="19"/>
  <c r="R60" i="40" l="1"/>
  <c r="R79" i="40"/>
  <c r="O49" i="9"/>
  <c r="O78" i="9"/>
  <c r="R52" i="40"/>
  <c r="S12" i="40"/>
  <c r="R13" i="40"/>
  <c r="R12" i="18"/>
  <c r="R28" i="44"/>
  <c r="R50" i="40"/>
  <c r="R51" i="40"/>
  <c r="P12" i="9"/>
  <c r="P43" i="44"/>
  <c r="A7" i="43"/>
  <c r="A12" i="43"/>
  <c r="A8" i="43"/>
  <c r="A22" i="43"/>
  <c r="A6" i="43"/>
  <c r="A5" i="43"/>
  <c r="A21" i="43"/>
  <c r="A20" i="43"/>
  <c r="A4" i="43"/>
  <c r="A19" i="43"/>
  <c r="A3" i="43"/>
  <c r="A13" i="43"/>
  <c r="A9" i="43"/>
  <c r="A18" i="43"/>
  <c r="A2" i="43"/>
  <c r="A11" i="43"/>
  <c r="A17" i="43"/>
  <c r="A15" i="43"/>
  <c r="A16" i="43"/>
  <c r="A14" i="43"/>
  <c r="A10" i="43"/>
  <c r="F98" i="9"/>
  <c r="E98" i="9"/>
  <c r="E96" i="9" s="1"/>
  <c r="C109" i="21"/>
  <c r="D109" i="21"/>
  <c r="C22" i="19"/>
  <c r="C22" i="17"/>
  <c r="C22" i="9"/>
  <c r="D22" i="9" s="1"/>
  <c r="D23" i="40" s="1"/>
  <c r="D30" i="40" s="1"/>
  <c r="D62" i="40" s="1"/>
  <c r="C23" i="21"/>
  <c r="C22" i="18"/>
  <c r="C27" i="21"/>
  <c r="D27" i="21" s="1"/>
  <c r="E27" i="21" s="1"/>
  <c r="C26" i="17"/>
  <c r="D26" i="17" s="1"/>
  <c r="E26" i="17" s="1"/>
  <c r="F26" i="17" s="1"/>
  <c r="G26" i="17" s="1"/>
  <c r="H26" i="17" s="1"/>
  <c r="I26" i="17" s="1"/>
  <c r="J26" i="17" s="1"/>
  <c r="K26" i="17" s="1"/>
  <c r="L26" i="17" s="1"/>
  <c r="M26" i="17" s="1"/>
  <c r="N26" i="17" s="1"/>
  <c r="O26" i="17" s="1"/>
  <c r="P26" i="17" s="1"/>
  <c r="Q26" i="17" s="1"/>
  <c r="R26" i="17" s="1"/>
  <c r="S26" i="17" s="1"/>
  <c r="T26" i="17" s="1"/>
  <c r="U26" i="17" s="1"/>
  <c r="V26" i="17" s="1"/>
  <c r="W26" i="17" s="1"/>
  <c r="C26" i="18"/>
  <c r="D26" i="18" s="1"/>
  <c r="E26" i="18" s="1"/>
  <c r="F26" i="18" s="1"/>
  <c r="G26" i="18" s="1"/>
  <c r="H26" i="18" s="1"/>
  <c r="I26" i="18" s="1"/>
  <c r="J26" i="18" s="1"/>
  <c r="K26" i="18" s="1"/>
  <c r="L26" i="18" s="1"/>
  <c r="M26" i="18" s="1"/>
  <c r="N26" i="18" s="1"/>
  <c r="O26" i="18" s="1"/>
  <c r="P26" i="18" s="1"/>
  <c r="Q26" i="18" s="1"/>
  <c r="R26" i="18" s="1"/>
  <c r="S26" i="18" s="1"/>
  <c r="T26" i="18" s="1"/>
  <c r="U26" i="18" s="1"/>
  <c r="V26" i="18" s="1"/>
  <c r="W26" i="18" s="1"/>
  <c r="C27" i="19"/>
  <c r="D27" i="19" s="1"/>
  <c r="C26" i="9"/>
  <c r="G59" i="9"/>
  <c r="O24" i="19"/>
  <c r="O51" i="9"/>
  <c r="J59" i="9"/>
  <c r="S24" i="19"/>
  <c r="I59" i="9"/>
  <c r="L51" i="9"/>
  <c r="L59" i="9"/>
  <c r="D59" i="9"/>
  <c r="D51" i="9"/>
  <c r="E59" i="9"/>
  <c r="N59" i="9"/>
  <c r="R24" i="19"/>
  <c r="F59" i="9"/>
  <c r="E51" i="9"/>
  <c r="M59" i="9"/>
  <c r="J51" i="9"/>
  <c r="K51" i="9"/>
  <c r="M51" i="9"/>
  <c r="O59" i="9"/>
  <c r="K59" i="9"/>
  <c r="I51" i="9"/>
  <c r="N51" i="9"/>
  <c r="C23" i="18"/>
  <c r="C23" i="9"/>
  <c r="P24" i="19"/>
  <c r="T24" i="19"/>
  <c r="C12" i="18"/>
  <c r="E12" i="18"/>
  <c r="C24" i="21"/>
  <c r="C23" i="17"/>
  <c r="C23" i="19"/>
  <c r="D12" i="18"/>
  <c r="D59" i="17"/>
  <c r="S12" i="18" l="1"/>
  <c r="S79" i="40"/>
  <c r="P49" i="9"/>
  <c r="P78" i="9"/>
  <c r="S52" i="40"/>
  <c r="S13" i="40"/>
  <c r="T12" i="40"/>
  <c r="S60" i="40"/>
  <c r="S28" i="44"/>
  <c r="P51" i="9"/>
  <c r="P59" i="9"/>
  <c r="S50" i="40"/>
  <c r="S51" i="40"/>
  <c r="F28" i="44"/>
  <c r="D49" i="18"/>
  <c r="E49" i="18" s="1"/>
  <c r="F49" i="18" s="1"/>
  <c r="G49" i="18" s="1"/>
  <c r="H49" i="18" s="1"/>
  <c r="I49" i="18" s="1"/>
  <c r="J49" i="18" s="1"/>
  <c r="K49" i="18" s="1"/>
  <c r="L49" i="18" s="1"/>
  <c r="M49" i="18" s="1"/>
  <c r="N49" i="18" s="1"/>
  <c r="O49" i="18" s="1"/>
  <c r="P49" i="18" s="1"/>
  <c r="Q49" i="18" s="1"/>
  <c r="R49" i="18" s="1"/>
  <c r="S49" i="18" s="1"/>
  <c r="Q12" i="9"/>
  <c r="Q43" i="44"/>
  <c r="F27" i="21"/>
  <c r="F15" i="44"/>
  <c r="D59" i="40"/>
  <c r="D77" i="40" s="1"/>
  <c r="E101" i="40"/>
  <c r="E106" i="40" s="1"/>
  <c r="E27" i="19"/>
  <c r="F96" i="9"/>
  <c r="D22" i="17"/>
  <c r="D23" i="21"/>
  <c r="E22" i="9"/>
  <c r="E23" i="40" s="1"/>
  <c r="E30" i="40" s="1"/>
  <c r="E62" i="40" s="1"/>
  <c r="E59" i="40" s="1"/>
  <c r="D26" i="9"/>
  <c r="H38" i="17"/>
  <c r="M39" i="21"/>
  <c r="M38" i="18"/>
  <c r="M38" i="17"/>
  <c r="M39" i="19"/>
  <c r="F52" i="19"/>
  <c r="F51" i="17"/>
  <c r="C29" i="9"/>
  <c r="F52" i="21"/>
  <c r="C30" i="21"/>
  <c r="C29" i="18"/>
  <c r="E51" i="18"/>
  <c r="D59" i="18"/>
  <c r="D51" i="18"/>
  <c r="F50" i="9"/>
  <c r="E50" i="9"/>
  <c r="G50" i="9"/>
  <c r="E59" i="18"/>
  <c r="E52" i="19"/>
  <c r="E59" i="17"/>
  <c r="F60" i="21"/>
  <c r="F59" i="17"/>
  <c r="E60" i="21"/>
  <c r="E51" i="17"/>
  <c r="D60" i="19"/>
  <c r="C29" i="17"/>
  <c r="E52" i="21"/>
  <c r="D52" i="21"/>
  <c r="D60" i="21"/>
  <c r="D52" i="19"/>
  <c r="C30" i="19"/>
  <c r="D51" i="17"/>
  <c r="E60" i="19"/>
  <c r="F60" i="19"/>
  <c r="U12" i="40" l="1"/>
  <c r="U60" i="40" s="1"/>
  <c r="T79" i="40"/>
  <c r="T28" i="44"/>
  <c r="Q49" i="9"/>
  <c r="Q78" i="9"/>
  <c r="T12" i="18"/>
  <c r="T60" i="40"/>
  <c r="T13" i="40"/>
  <c r="T52" i="40"/>
  <c r="T50" i="40"/>
  <c r="T51" i="40"/>
  <c r="F49" i="44"/>
  <c r="R12" i="9"/>
  <c r="R43" i="44"/>
  <c r="Q51" i="9"/>
  <c r="Q59" i="9"/>
  <c r="F34" i="44"/>
  <c r="G27" i="21"/>
  <c r="G15" i="44"/>
  <c r="F101" i="40"/>
  <c r="F106" i="40" s="1"/>
  <c r="F59" i="18"/>
  <c r="F27" i="19"/>
  <c r="F22" i="9"/>
  <c r="F23" i="40" s="1"/>
  <c r="E22" i="17"/>
  <c r="E23" i="21"/>
  <c r="E50" i="17"/>
  <c r="H38" i="18"/>
  <c r="H39" i="21"/>
  <c r="H39" i="19"/>
  <c r="V39" i="19"/>
  <c r="V39" i="21"/>
  <c r="V38" i="18"/>
  <c r="V38" i="17"/>
  <c r="S38" i="18"/>
  <c r="S38" i="17"/>
  <c r="S39" i="19"/>
  <c r="S39" i="21"/>
  <c r="L38" i="18"/>
  <c r="L38" i="17"/>
  <c r="L39" i="19"/>
  <c r="L39" i="21"/>
  <c r="W39" i="21"/>
  <c r="W39" i="19"/>
  <c r="W38" i="18"/>
  <c r="W38" i="17"/>
  <c r="E38" i="17"/>
  <c r="E39" i="19"/>
  <c r="E39" i="21"/>
  <c r="E38" i="18"/>
  <c r="R38" i="17"/>
  <c r="R39" i="19"/>
  <c r="R39" i="21"/>
  <c r="R38" i="18"/>
  <c r="Q38" i="17"/>
  <c r="Q39" i="19"/>
  <c r="Q39" i="21"/>
  <c r="Q38" i="18"/>
  <c r="P38" i="17"/>
  <c r="P39" i="19"/>
  <c r="P39" i="21"/>
  <c r="P38" i="18"/>
  <c r="N39" i="19"/>
  <c r="N39" i="21"/>
  <c r="N38" i="18"/>
  <c r="N38" i="17"/>
  <c r="T38" i="18"/>
  <c r="T38" i="17"/>
  <c r="T39" i="19"/>
  <c r="G39" i="21"/>
  <c r="G39" i="19"/>
  <c r="G38" i="18"/>
  <c r="G38" i="17"/>
  <c r="F39" i="19"/>
  <c r="F39" i="21"/>
  <c r="F38" i="18"/>
  <c r="F38" i="17"/>
  <c r="K38" i="18"/>
  <c r="K38" i="17"/>
  <c r="K39" i="19"/>
  <c r="K39" i="21"/>
  <c r="I38" i="17"/>
  <c r="I39" i="19"/>
  <c r="I39" i="21"/>
  <c r="I38" i="18"/>
  <c r="O39" i="19"/>
  <c r="O39" i="21"/>
  <c r="O38" i="18"/>
  <c r="O38" i="17"/>
  <c r="J38" i="17"/>
  <c r="J39" i="19"/>
  <c r="J38" i="18"/>
  <c r="U38" i="18"/>
  <c r="U38" i="17"/>
  <c r="U39" i="19"/>
  <c r="F51" i="18"/>
  <c r="I64" i="19"/>
  <c r="G63" i="18"/>
  <c r="I64" i="17"/>
  <c r="H65" i="21"/>
  <c r="I65" i="21"/>
  <c r="F63" i="18"/>
  <c r="J63" i="18"/>
  <c r="G64" i="17"/>
  <c r="H64" i="17"/>
  <c r="D64" i="19"/>
  <c r="H64" i="19"/>
  <c r="G64" i="19"/>
  <c r="J64" i="17"/>
  <c r="H64" i="18"/>
  <c r="D63" i="18"/>
  <c r="J64" i="19"/>
  <c r="G64" i="18"/>
  <c r="E64" i="19"/>
  <c r="E63" i="17"/>
  <c r="E63" i="18"/>
  <c r="F63" i="17"/>
  <c r="H63" i="18"/>
  <c r="D63" i="17"/>
  <c r="I63" i="18"/>
  <c r="I65" i="19"/>
  <c r="I64" i="18"/>
  <c r="J64" i="18"/>
  <c r="G65" i="19"/>
  <c r="H65" i="19"/>
  <c r="J65" i="19"/>
  <c r="F64" i="19"/>
  <c r="G65" i="21"/>
  <c r="E64" i="21"/>
  <c r="J65" i="21"/>
  <c r="F50" i="18"/>
  <c r="E29" i="9"/>
  <c r="E61" i="9" s="1"/>
  <c r="F44" i="44" s="1"/>
  <c r="H50" i="9"/>
  <c r="D22" i="18"/>
  <c r="E50" i="18"/>
  <c r="D29" i="9"/>
  <c r="D61" i="9" s="1"/>
  <c r="F51" i="21"/>
  <c r="D22" i="19"/>
  <c r="E51" i="19"/>
  <c r="E51" i="21"/>
  <c r="V12" i="40" l="1"/>
  <c r="V79" i="40" s="1"/>
  <c r="U28" i="44"/>
  <c r="T49" i="18"/>
  <c r="U13" i="40"/>
  <c r="U79" i="40"/>
  <c r="U12" i="18"/>
  <c r="U52" i="40"/>
  <c r="R49" i="9"/>
  <c r="R78" i="9"/>
  <c r="U51" i="40"/>
  <c r="U50" i="40"/>
  <c r="S12" i="9"/>
  <c r="S43" i="44"/>
  <c r="R59" i="9"/>
  <c r="R51" i="9"/>
  <c r="G49" i="44"/>
  <c r="G34" i="44"/>
  <c r="H27" i="21"/>
  <c r="H15" i="44"/>
  <c r="G27" i="19"/>
  <c r="F30" i="40"/>
  <c r="F62" i="40" s="1"/>
  <c r="G23" i="40"/>
  <c r="G22" i="9"/>
  <c r="F22" i="17"/>
  <c r="F23" i="21"/>
  <c r="F50" i="17"/>
  <c r="D29" i="17"/>
  <c r="D61" i="17" s="1"/>
  <c r="G50" i="18"/>
  <c r="I50" i="9"/>
  <c r="E22" i="18"/>
  <c r="F22" i="18" s="1"/>
  <c r="D29" i="18"/>
  <c r="D61" i="18" s="1"/>
  <c r="D23" i="18"/>
  <c r="F29" i="9"/>
  <c r="F61" i="9" s="1"/>
  <c r="G44" i="44" s="1"/>
  <c r="G50" i="17"/>
  <c r="E30" i="21"/>
  <c r="E62" i="21" s="1"/>
  <c r="F8" i="44" s="1"/>
  <c r="E22" i="19"/>
  <c r="D30" i="19"/>
  <c r="D62" i="19" s="1"/>
  <c r="D23" i="19"/>
  <c r="D30" i="21"/>
  <c r="D62" i="21" s="1"/>
  <c r="F51" i="19"/>
  <c r="G51" i="21"/>
  <c r="V12" i="18" l="1"/>
  <c r="W28" i="44" s="1"/>
  <c r="V60" i="40"/>
  <c r="V13" i="40"/>
  <c r="V52" i="40"/>
  <c r="W12" i="40"/>
  <c r="W79" i="40" s="1"/>
  <c r="V28" i="44"/>
  <c r="U49" i="18"/>
  <c r="V49" i="18" s="1"/>
  <c r="S49" i="9"/>
  <c r="S78" i="9"/>
  <c r="V50" i="40"/>
  <c r="V51" i="40"/>
  <c r="H49" i="44"/>
  <c r="T12" i="9"/>
  <c r="T43" i="44"/>
  <c r="S59" i="9"/>
  <c r="S51" i="9"/>
  <c r="H34" i="44"/>
  <c r="I27" i="21"/>
  <c r="I15" i="44"/>
  <c r="F59" i="40"/>
  <c r="H27" i="19"/>
  <c r="G24" i="40"/>
  <c r="G30" i="40"/>
  <c r="H22" i="9"/>
  <c r="H23" i="9" s="1"/>
  <c r="H32" i="9" s="1"/>
  <c r="G61" i="9"/>
  <c r="H44" i="44" s="1"/>
  <c r="F29" i="18"/>
  <c r="F61" i="18" s="1"/>
  <c r="F23" i="18"/>
  <c r="E29" i="18"/>
  <c r="E61" i="18" s="1"/>
  <c r="E23" i="18"/>
  <c r="J50" i="9"/>
  <c r="E29" i="17"/>
  <c r="E61" i="17" s="1"/>
  <c r="G51" i="19"/>
  <c r="F22" i="19"/>
  <c r="F30" i="21"/>
  <c r="F62" i="21" s="1"/>
  <c r="G8" i="44" s="1"/>
  <c r="E23" i="19"/>
  <c r="E30" i="19"/>
  <c r="E62" i="19" s="1"/>
  <c r="C2" i="43" l="1" a="1"/>
  <c r="C2" i="43" s="1"/>
  <c r="W12" i="18"/>
  <c r="X28" i="44" s="1"/>
  <c r="W13" i="40"/>
  <c r="W60" i="40"/>
  <c r="W52" i="40"/>
  <c r="T49" i="9"/>
  <c r="T78" i="9"/>
  <c r="W50" i="40"/>
  <c r="W51" i="40"/>
  <c r="F33" i="44"/>
  <c r="U12" i="9"/>
  <c r="U43" i="44"/>
  <c r="T51" i="9"/>
  <c r="T59" i="9"/>
  <c r="I52" i="44"/>
  <c r="I50" i="44"/>
  <c r="I49" i="44"/>
  <c r="I34" i="44"/>
  <c r="J27" i="21"/>
  <c r="J15" i="44"/>
  <c r="G106" i="40"/>
  <c r="I27" i="19"/>
  <c r="G62" i="40"/>
  <c r="H51" i="40"/>
  <c r="H23" i="40" s="1"/>
  <c r="G33" i="40"/>
  <c r="H29" i="9"/>
  <c r="H61" i="9" s="1"/>
  <c r="I44" i="44" s="1"/>
  <c r="I22" i="9"/>
  <c r="I23" i="9" s="1"/>
  <c r="J50" i="44" s="1"/>
  <c r="F29" i="17"/>
  <c r="F61" i="17" s="1"/>
  <c r="K50" i="9"/>
  <c r="F30" i="19"/>
  <c r="F62" i="19" s="1"/>
  <c r="F23" i="19"/>
  <c r="W49" i="18" l="1"/>
  <c r="U49" i="9"/>
  <c r="U78" i="9"/>
  <c r="G33" i="44"/>
  <c r="V43" i="44"/>
  <c r="V12" i="9"/>
  <c r="U59" i="9"/>
  <c r="U51" i="9"/>
  <c r="J49" i="44"/>
  <c r="J34" i="44"/>
  <c r="K27" i="21"/>
  <c r="K15" i="44"/>
  <c r="G59" i="40"/>
  <c r="J27" i="19"/>
  <c r="H24" i="40"/>
  <c r="H30" i="40"/>
  <c r="J22" i="9"/>
  <c r="K22" i="9" s="1"/>
  <c r="I29" i="9"/>
  <c r="I61" i="9" s="1"/>
  <c r="J44" i="44" s="1"/>
  <c r="L50" i="9"/>
  <c r="V49" i="9" l="1"/>
  <c r="V78" i="9"/>
  <c r="H33" i="40"/>
  <c r="K29" i="9"/>
  <c r="K61" i="9" s="1"/>
  <c r="L44" i="44" s="1"/>
  <c r="K49" i="44"/>
  <c r="V51" i="9"/>
  <c r="W43" i="44"/>
  <c r="W12" i="9"/>
  <c r="V59" i="9"/>
  <c r="K34" i="44"/>
  <c r="L27" i="21"/>
  <c r="L15" i="44"/>
  <c r="K27" i="19"/>
  <c r="H62" i="40"/>
  <c r="I51" i="40"/>
  <c r="I23" i="40" s="1"/>
  <c r="J23" i="9"/>
  <c r="K50" i="44" s="1"/>
  <c r="J29" i="9"/>
  <c r="J61" i="9" s="1"/>
  <c r="K44" i="44" s="1"/>
  <c r="K23" i="9"/>
  <c r="L50" i="44" s="1"/>
  <c r="M50" i="9"/>
  <c r="L22" i="9"/>
  <c r="W49" i="9" l="1"/>
  <c r="W78" i="9"/>
  <c r="X43" i="44"/>
  <c r="W51" i="9"/>
  <c r="W59" i="9"/>
  <c r="L29" i="9"/>
  <c r="L61" i="9" s="1"/>
  <c r="M44" i="44" s="1"/>
  <c r="L49" i="44"/>
  <c r="L34" i="44"/>
  <c r="M27" i="21"/>
  <c r="M15" i="44"/>
  <c r="H59" i="40"/>
  <c r="L27" i="19"/>
  <c r="I24" i="40"/>
  <c r="I30" i="40"/>
  <c r="M22" i="9"/>
  <c r="N50" i="9"/>
  <c r="L23" i="9"/>
  <c r="M50" i="44" s="1"/>
  <c r="I33" i="40" l="1"/>
  <c r="M29" i="9"/>
  <c r="M61" i="9" s="1"/>
  <c r="N44" i="44" s="1"/>
  <c r="M49" i="44"/>
  <c r="M34" i="44"/>
  <c r="N27" i="21"/>
  <c r="N15" i="44"/>
  <c r="M27" i="19"/>
  <c r="I62" i="40"/>
  <c r="I59" i="40" s="1"/>
  <c r="J51" i="40"/>
  <c r="J23" i="40" s="1"/>
  <c r="O50" i="9"/>
  <c r="N22" i="9"/>
  <c r="M23" i="9"/>
  <c r="N50" i="44" s="1"/>
  <c r="N29" i="9" l="1"/>
  <c r="N61" i="9" s="1"/>
  <c r="O44" i="44" s="1"/>
  <c r="N49" i="44"/>
  <c r="N34" i="44"/>
  <c r="O27" i="21"/>
  <c r="O15" i="44"/>
  <c r="N27" i="19"/>
  <c r="J30" i="40"/>
  <c r="J24" i="40"/>
  <c r="O22" i="9"/>
  <c r="P50" i="9"/>
  <c r="N23" i="9"/>
  <c r="O50" i="44" s="1"/>
  <c r="J33" i="40" l="1"/>
  <c r="O29" i="9"/>
  <c r="O61" i="9" s="1"/>
  <c r="P44" i="44" s="1"/>
  <c r="O49" i="44"/>
  <c r="O34" i="44"/>
  <c r="P27" i="21"/>
  <c r="P15" i="44"/>
  <c r="O27" i="19"/>
  <c r="J62" i="40"/>
  <c r="J59" i="40" s="1"/>
  <c r="K51" i="40"/>
  <c r="K23" i="40" s="1"/>
  <c r="P22" i="9"/>
  <c r="Q50" i="9"/>
  <c r="O23" i="9"/>
  <c r="P50" i="44" s="1"/>
  <c r="P29" i="9" l="1"/>
  <c r="P61" i="9" s="1"/>
  <c r="Q44" i="44" s="1"/>
  <c r="P49" i="44"/>
  <c r="P34" i="44"/>
  <c r="Q27" i="21"/>
  <c r="Q15" i="44"/>
  <c r="P27" i="19"/>
  <c r="K30" i="40"/>
  <c r="K24" i="40"/>
  <c r="R50" i="9"/>
  <c r="Q22" i="9"/>
  <c r="P23" i="9"/>
  <c r="Q50" i="44" s="1"/>
  <c r="K33" i="40" l="1"/>
  <c r="Q49" i="44"/>
  <c r="Q34" i="44"/>
  <c r="R27" i="21"/>
  <c r="R15" i="44"/>
  <c r="Q27" i="19"/>
  <c r="K62" i="40"/>
  <c r="L51" i="40"/>
  <c r="L23" i="40" s="1"/>
  <c r="S50" i="9"/>
  <c r="R22" i="9"/>
  <c r="Q29" i="9"/>
  <c r="Q61" i="9" s="1"/>
  <c r="R44" i="44" s="1"/>
  <c r="Q23" i="9"/>
  <c r="R50" i="44" s="1"/>
  <c r="R29" i="9" l="1"/>
  <c r="R61" i="9" s="1"/>
  <c r="S44" i="44" s="1"/>
  <c r="R49" i="44"/>
  <c r="R34" i="44"/>
  <c r="S27" i="21"/>
  <c r="S15" i="44"/>
  <c r="R27" i="19"/>
  <c r="L30" i="40"/>
  <c r="L24" i="40"/>
  <c r="L33" i="40" s="1"/>
  <c r="R23" i="9"/>
  <c r="S50" i="44" s="1"/>
  <c r="T50" i="9"/>
  <c r="S22" i="9"/>
  <c r="S29" i="9" l="1"/>
  <c r="S61" i="9" s="1"/>
  <c r="T44" i="44" s="1"/>
  <c r="S49" i="44"/>
  <c r="S34" i="44"/>
  <c r="T27" i="21"/>
  <c r="T15" i="44"/>
  <c r="S27" i="19"/>
  <c r="L62" i="40"/>
  <c r="M51" i="40"/>
  <c r="M23" i="40" s="1"/>
  <c r="U50" i="9"/>
  <c r="S23" i="9"/>
  <c r="T50" i="44" s="1"/>
  <c r="T22" i="9"/>
  <c r="T29" i="9" l="1"/>
  <c r="T61" i="9" s="1"/>
  <c r="U44" i="44" s="1"/>
  <c r="T49" i="44"/>
  <c r="T34" i="44"/>
  <c r="U15" i="44"/>
  <c r="U27" i="21"/>
  <c r="T27" i="19"/>
  <c r="M30" i="40"/>
  <c r="M24" i="40"/>
  <c r="M33" i="40" s="1"/>
  <c r="V50" i="9"/>
  <c r="U22" i="9"/>
  <c r="U23" i="9" s="1"/>
  <c r="V50" i="44" s="1"/>
  <c r="T23" i="9"/>
  <c r="U50" i="44" s="1"/>
  <c r="U29" i="9" l="1"/>
  <c r="U61" i="9" s="1"/>
  <c r="V44" i="44" s="1"/>
  <c r="U49" i="44"/>
  <c r="U34" i="44"/>
  <c r="V27" i="21"/>
  <c r="V15" i="44"/>
  <c r="U27" i="19"/>
  <c r="M62" i="40"/>
  <c r="N51" i="40"/>
  <c r="N23" i="40" s="1"/>
  <c r="O51" i="40"/>
  <c r="V22" i="9"/>
  <c r="V23" i="9" s="1"/>
  <c r="W50" i="44" s="1"/>
  <c r="W50" i="9"/>
  <c r="V34" i="44" l="1"/>
  <c r="V49" i="44"/>
  <c r="W27" i="21"/>
  <c r="X15" i="44" s="1"/>
  <c r="W15" i="44"/>
  <c r="V27" i="19"/>
  <c r="O23" i="40"/>
  <c r="N24" i="40"/>
  <c r="N33" i="40" s="1"/>
  <c r="N30" i="40"/>
  <c r="N62" i="40" s="1"/>
  <c r="W22" i="9"/>
  <c r="W23" i="9" s="1"/>
  <c r="X50" i="44" s="1"/>
  <c r="V29" i="9" l="1"/>
  <c r="V61" i="9" s="1"/>
  <c r="W44" i="44" s="1"/>
  <c r="W34" i="44"/>
  <c r="X49" i="44"/>
  <c r="W49" i="44"/>
  <c r="W27" i="19"/>
  <c r="O24" i="40"/>
  <c r="O33" i="40" s="1"/>
  <c r="P23" i="40"/>
  <c r="O30" i="40"/>
  <c r="O62" i="40" s="1"/>
  <c r="W29" i="9" l="1"/>
  <c r="W61" i="9" s="1"/>
  <c r="X44" i="44" s="1"/>
  <c r="X34" i="44"/>
  <c r="P30" i="40"/>
  <c r="P62" i="40" s="1"/>
  <c r="Q23" i="40"/>
  <c r="P24" i="40"/>
  <c r="P33" i="40" s="1"/>
  <c r="M71" i="17"/>
  <c r="M72" i="21"/>
  <c r="N14" i="44" s="1"/>
  <c r="M71" i="9"/>
  <c r="M71" i="18"/>
  <c r="M72" i="19"/>
  <c r="R71" i="18"/>
  <c r="R71" i="9"/>
  <c r="R72" i="21"/>
  <c r="S14" i="44" s="1"/>
  <c r="R71" i="17"/>
  <c r="R72" i="19"/>
  <c r="Q72" i="21"/>
  <c r="R14" i="44" s="1"/>
  <c r="Q71" i="17"/>
  <c r="Q71" i="9"/>
  <c r="Q71" i="18"/>
  <c r="Q72" i="19"/>
  <c r="J72" i="21"/>
  <c r="K14" i="44" s="1"/>
  <c r="J71" i="17"/>
  <c r="J71" i="9"/>
  <c r="J72" i="19"/>
  <c r="J71" i="18"/>
  <c r="S72" i="21"/>
  <c r="T14" i="44" s="1"/>
  <c r="S72" i="19"/>
  <c r="S71" i="9"/>
  <c r="S71" i="17"/>
  <c r="S71" i="18"/>
  <c r="P72" i="19"/>
  <c r="P71" i="17"/>
  <c r="P71" i="18"/>
  <c r="P71" i="9"/>
  <c r="P72" i="21"/>
  <c r="Q14" i="44" s="1"/>
  <c r="G71" i="18"/>
  <c r="G71" i="17"/>
  <c r="G72" i="21"/>
  <c r="H14" i="44" s="1"/>
  <c r="G72" i="19"/>
  <c r="K71" i="9"/>
  <c r="K72" i="21"/>
  <c r="L14" i="44" s="1"/>
  <c r="K71" i="17"/>
  <c r="K71" i="18"/>
  <c r="K72" i="19"/>
  <c r="H71" i="9"/>
  <c r="H72" i="21"/>
  <c r="I14" i="44" s="1"/>
  <c r="H71" i="18"/>
  <c r="H72" i="19"/>
  <c r="H71" i="17"/>
  <c r="U71" i="9"/>
  <c r="U72" i="21"/>
  <c r="V14" i="44" s="1"/>
  <c r="U71" i="18"/>
  <c r="U72" i="19"/>
  <c r="U71" i="17"/>
  <c r="V71" i="17"/>
  <c r="V72" i="19"/>
  <c r="V71" i="9"/>
  <c r="V72" i="21"/>
  <c r="W14" i="44" s="1"/>
  <c r="V71" i="18"/>
  <c r="I72" i="19"/>
  <c r="I71" i="17"/>
  <c r="I71" i="9"/>
  <c r="I72" i="21"/>
  <c r="J14" i="44" s="1"/>
  <c r="I71" i="18"/>
  <c r="T72" i="21"/>
  <c r="U14" i="44" s="1"/>
  <c r="T71" i="17"/>
  <c r="T72" i="19"/>
  <c r="T71" i="18"/>
  <c r="T71" i="9"/>
  <c r="N71" i="18"/>
  <c r="N72" i="19"/>
  <c r="N71" i="9"/>
  <c r="N71" i="17"/>
  <c r="N72" i="21"/>
  <c r="O14" i="44" s="1"/>
  <c r="W72" i="19"/>
  <c r="W71" i="17"/>
  <c r="W72" i="21"/>
  <c r="X14" i="44" s="1"/>
  <c r="W71" i="9"/>
  <c r="W71" i="18"/>
  <c r="O72" i="19"/>
  <c r="O72" i="21"/>
  <c r="P14" i="44" s="1"/>
  <c r="O71" i="18"/>
  <c r="O71" i="17"/>
  <c r="O71" i="9"/>
  <c r="L71" i="17"/>
  <c r="L72" i="19"/>
  <c r="L72" i="21"/>
  <c r="M14" i="44" s="1"/>
  <c r="L71" i="9"/>
  <c r="L71" i="18"/>
  <c r="Q24" i="40" l="1"/>
  <c r="Q33" i="40" s="1"/>
  <c r="Q30" i="40"/>
  <c r="Q62" i="40" s="1"/>
  <c r="R23" i="40"/>
  <c r="Q72" i="17"/>
  <c r="Q73" i="17" s="1"/>
  <c r="Q73" i="21"/>
  <c r="Q74" i="21" s="1"/>
  <c r="Q72" i="18"/>
  <c r="Q73" i="18" s="1"/>
  <c r="Q72" i="9"/>
  <c r="Q73" i="9" s="1"/>
  <c r="Q73" i="19"/>
  <c r="Q74" i="19" s="1"/>
  <c r="L73" i="21"/>
  <c r="L74" i="21" s="1"/>
  <c r="L72" i="9"/>
  <c r="L73" i="9" s="1"/>
  <c r="L73" i="19"/>
  <c r="L74" i="19" s="1"/>
  <c r="L72" i="18"/>
  <c r="L73" i="18" s="1"/>
  <c r="L72" i="17"/>
  <c r="L73" i="17" s="1"/>
  <c r="I63" i="19"/>
  <c r="I63" i="21"/>
  <c r="I62" i="18"/>
  <c r="I62" i="17"/>
  <c r="I62" i="9"/>
  <c r="K73" i="19"/>
  <c r="K74" i="19" s="1"/>
  <c r="K73" i="21"/>
  <c r="K74" i="21" s="1"/>
  <c r="K72" i="9"/>
  <c r="K73" i="9" s="1"/>
  <c r="K72" i="18"/>
  <c r="K73" i="18" s="1"/>
  <c r="K72" i="17"/>
  <c r="K73" i="17" s="1"/>
  <c r="G72" i="9"/>
  <c r="G73" i="9" s="1"/>
  <c r="G73" i="19"/>
  <c r="G74" i="19" s="1"/>
  <c r="G73" i="21"/>
  <c r="G74" i="21" s="1"/>
  <c r="G72" i="17"/>
  <c r="G73" i="17" s="1"/>
  <c r="G72" i="18"/>
  <c r="G73" i="18" s="1"/>
  <c r="O73" i="19"/>
  <c r="O74" i="19" s="1"/>
  <c r="O72" i="17"/>
  <c r="O73" i="17" s="1"/>
  <c r="O72" i="18"/>
  <c r="O73" i="18" s="1"/>
  <c r="O72" i="9"/>
  <c r="O73" i="9" s="1"/>
  <c r="O73" i="21"/>
  <c r="O74" i="21" s="1"/>
  <c r="Q63" i="21"/>
  <c r="Q62" i="18"/>
  <c r="Q62" i="17"/>
  <c r="Q63" i="19"/>
  <c r="Q62" i="9"/>
  <c r="K63" i="21"/>
  <c r="K62" i="17"/>
  <c r="K62" i="18"/>
  <c r="K62" i="9"/>
  <c r="K63" i="19"/>
  <c r="W62" i="17"/>
  <c r="W63" i="21"/>
  <c r="W63" i="19"/>
  <c r="W62" i="9"/>
  <c r="W62" i="18"/>
  <c r="N62" i="17"/>
  <c r="N62" i="18"/>
  <c r="N62" i="9"/>
  <c r="N63" i="21"/>
  <c r="N63" i="19"/>
  <c r="J73" i="19"/>
  <c r="J74" i="19" s="1"/>
  <c r="J72" i="17"/>
  <c r="J73" i="17" s="1"/>
  <c r="J72" i="9"/>
  <c r="J73" i="9" s="1"/>
  <c r="J73" i="21"/>
  <c r="J74" i="21" s="1"/>
  <c r="J72" i="18"/>
  <c r="J73" i="18" s="1"/>
  <c r="W73" i="21"/>
  <c r="W74" i="21" s="1"/>
  <c r="W72" i="18"/>
  <c r="W73" i="18" s="1"/>
  <c r="W72" i="9"/>
  <c r="W73" i="9" s="1"/>
  <c r="W73" i="19"/>
  <c r="W74" i="19" s="1"/>
  <c r="W72" i="17"/>
  <c r="W73" i="17" s="1"/>
  <c r="P73" i="19"/>
  <c r="P74" i="19" s="1"/>
  <c r="P72" i="9"/>
  <c r="P73" i="9" s="1"/>
  <c r="P72" i="18"/>
  <c r="P73" i="18" s="1"/>
  <c r="P73" i="21"/>
  <c r="P74" i="21" s="1"/>
  <c r="P72" i="17"/>
  <c r="P73" i="17" s="1"/>
  <c r="M72" i="17"/>
  <c r="M73" i="17" s="1"/>
  <c r="M72" i="18"/>
  <c r="M73" i="18" s="1"/>
  <c r="M72" i="9"/>
  <c r="M73" i="9" s="1"/>
  <c r="M73" i="21"/>
  <c r="M74" i="21" s="1"/>
  <c r="M73" i="19"/>
  <c r="M74" i="19" s="1"/>
  <c r="U62" i="18"/>
  <c r="U63" i="19"/>
  <c r="U62" i="17"/>
  <c r="U62" i="9"/>
  <c r="U63" i="21"/>
  <c r="O62" i="18"/>
  <c r="O63" i="19"/>
  <c r="O63" i="21"/>
  <c r="O62" i="9"/>
  <c r="O62" i="17"/>
  <c r="L63" i="19"/>
  <c r="L62" i="17"/>
  <c r="L62" i="9"/>
  <c r="L63" i="21"/>
  <c r="L62" i="18"/>
  <c r="N72" i="9"/>
  <c r="N73" i="9" s="1"/>
  <c r="N73" i="19"/>
  <c r="N74" i="19" s="1"/>
  <c r="N72" i="17"/>
  <c r="N73" i="17" s="1"/>
  <c r="N72" i="18"/>
  <c r="N73" i="18" s="1"/>
  <c r="N73" i="21"/>
  <c r="N74" i="21" s="1"/>
  <c r="S72" i="9"/>
  <c r="S73" i="9" s="1"/>
  <c r="S72" i="17"/>
  <c r="S73" i="17" s="1"/>
  <c r="S73" i="19"/>
  <c r="S74" i="19" s="1"/>
  <c r="S72" i="18"/>
  <c r="S73" i="18" s="1"/>
  <c r="S73" i="21"/>
  <c r="S74" i="21" s="1"/>
  <c r="V73" i="21"/>
  <c r="V74" i="21" s="1"/>
  <c r="V72" i="9"/>
  <c r="V73" i="9" s="1"/>
  <c r="V72" i="18"/>
  <c r="V73" i="18" s="1"/>
  <c r="V73" i="19"/>
  <c r="V74" i="19" s="1"/>
  <c r="V72" i="17"/>
  <c r="V73" i="17" s="1"/>
  <c r="S62" i="18"/>
  <c r="S63" i="21"/>
  <c r="S62" i="17"/>
  <c r="S63" i="19"/>
  <c r="S62" i="9"/>
  <c r="M62" i="18"/>
  <c r="M63" i="21"/>
  <c r="M62" i="9"/>
  <c r="M62" i="17"/>
  <c r="M63" i="19"/>
  <c r="T72" i="9"/>
  <c r="T73" i="9" s="1"/>
  <c r="T73" i="21"/>
  <c r="T74" i="21" s="1"/>
  <c r="T72" i="17"/>
  <c r="T73" i="17" s="1"/>
  <c r="T73" i="19"/>
  <c r="T74" i="19" s="1"/>
  <c r="T72" i="18"/>
  <c r="T73" i="18" s="1"/>
  <c r="R63" i="21"/>
  <c r="R63" i="19"/>
  <c r="R62" i="17"/>
  <c r="R62" i="18"/>
  <c r="R62" i="9"/>
  <c r="J63" i="19"/>
  <c r="J62" i="17"/>
  <c r="J62" i="18"/>
  <c r="J62" i="9"/>
  <c r="J63" i="21"/>
  <c r="H63" i="21"/>
  <c r="H62" i="17"/>
  <c r="H63" i="19"/>
  <c r="H62" i="18"/>
  <c r="G62" i="18"/>
  <c r="G62" i="9"/>
  <c r="G63" i="21"/>
  <c r="G62" i="17"/>
  <c r="G63" i="19"/>
  <c r="U72" i="9"/>
  <c r="U73" i="9" s="1"/>
  <c r="U72" i="18"/>
  <c r="U73" i="18" s="1"/>
  <c r="U73" i="19"/>
  <c r="U74" i="19" s="1"/>
  <c r="U72" i="17"/>
  <c r="U73" i="17" s="1"/>
  <c r="U73" i="21"/>
  <c r="U74" i="21" s="1"/>
  <c r="T63" i="19"/>
  <c r="T62" i="18"/>
  <c r="T63" i="21"/>
  <c r="T62" i="9"/>
  <c r="T62" i="17"/>
  <c r="V62" i="9"/>
  <c r="V62" i="17"/>
  <c r="V62" i="18"/>
  <c r="V63" i="21"/>
  <c r="V63" i="19"/>
  <c r="H73" i="19"/>
  <c r="H74" i="19" s="1"/>
  <c r="H73" i="9"/>
  <c r="H72" i="18"/>
  <c r="H73" i="18" s="1"/>
  <c r="H73" i="21"/>
  <c r="H74" i="21" s="1"/>
  <c r="H72" i="17"/>
  <c r="H73" i="17" s="1"/>
  <c r="R72" i="9"/>
  <c r="R73" i="9" s="1"/>
  <c r="R73" i="19"/>
  <c r="R74" i="19" s="1"/>
  <c r="R73" i="21"/>
  <c r="R74" i="21" s="1"/>
  <c r="R72" i="18"/>
  <c r="R73" i="18" s="1"/>
  <c r="R72" i="17"/>
  <c r="R73" i="17" s="1"/>
  <c r="I73" i="21"/>
  <c r="I74" i="21" s="1"/>
  <c r="I73" i="19"/>
  <c r="I74" i="19" s="1"/>
  <c r="I72" i="17"/>
  <c r="I73" i="17" s="1"/>
  <c r="I72" i="18"/>
  <c r="I73" i="18" s="1"/>
  <c r="I72" i="9"/>
  <c r="I73" i="9" s="1"/>
  <c r="P62" i="17"/>
  <c r="P62" i="18"/>
  <c r="P62" i="9"/>
  <c r="P63" i="19"/>
  <c r="P63" i="21"/>
  <c r="S23" i="40" l="1"/>
  <c r="R24" i="40"/>
  <c r="R33" i="40" s="1"/>
  <c r="R30" i="40"/>
  <c r="R62" i="40" s="1"/>
  <c r="D93" i="19"/>
  <c r="C93" i="19"/>
  <c r="S24" i="40" l="1"/>
  <c r="S33" i="40" s="1"/>
  <c r="T23" i="40"/>
  <c r="S30" i="40"/>
  <c r="S62" i="40" s="1"/>
  <c r="F71" i="18"/>
  <c r="F72" i="19"/>
  <c r="F72" i="21"/>
  <c r="G14" i="44" s="1"/>
  <c r="F71" i="17"/>
  <c r="E72" i="19"/>
  <c r="E71" i="17"/>
  <c r="E71" i="9"/>
  <c r="E72" i="21"/>
  <c r="F14" i="44" s="1"/>
  <c r="E71" i="18"/>
  <c r="D72" i="19"/>
  <c r="D71" i="17"/>
  <c r="D72" i="21"/>
  <c r="D71" i="18"/>
  <c r="U23" i="40" l="1"/>
  <c r="T24" i="40"/>
  <c r="T30" i="40"/>
  <c r="T62" i="40" s="1"/>
  <c r="C20" i="8"/>
  <c r="C17" i="18" s="1"/>
  <c r="W20" i="8"/>
  <c r="D20" i="8"/>
  <c r="U20" i="8"/>
  <c r="J20" i="8"/>
  <c r="T20" i="8"/>
  <c r="S20" i="8"/>
  <c r="H42" i="18"/>
  <c r="H43" i="19"/>
  <c r="H42" i="17"/>
  <c r="E42" i="18"/>
  <c r="E43" i="19"/>
  <c r="D15" i="21"/>
  <c r="D73" i="21" s="1"/>
  <c r="D74" i="21" s="1"/>
  <c r="D14" i="19"/>
  <c r="D73" i="19" s="1"/>
  <c r="D74" i="19" s="1"/>
  <c r="D72" i="9"/>
  <c r="D73" i="9" s="1"/>
  <c r="D14" i="17"/>
  <c r="D72" i="17" s="1"/>
  <c r="D73" i="17" s="1"/>
  <c r="D14" i="18"/>
  <c r="D72" i="18" s="1"/>
  <c r="D73" i="18" s="1"/>
  <c r="Q20" i="8"/>
  <c r="J18" i="9"/>
  <c r="J18" i="19"/>
  <c r="J18" i="17"/>
  <c r="J64" i="9"/>
  <c r="J18" i="18"/>
  <c r="J19" i="21"/>
  <c r="U42" i="17"/>
  <c r="U42" i="18"/>
  <c r="U43" i="19"/>
  <c r="D42" i="18"/>
  <c r="D43" i="19"/>
  <c r="N20" i="8"/>
  <c r="M20" i="8"/>
  <c r="N42" i="19"/>
  <c r="N41" i="18"/>
  <c r="N32" i="9"/>
  <c r="O52" i="44" s="1"/>
  <c r="E20" i="8"/>
  <c r="E18" i="40" s="1"/>
  <c r="L18" i="19"/>
  <c r="L18" i="9"/>
  <c r="L64" i="9"/>
  <c r="L19" i="21"/>
  <c r="L64" i="17"/>
  <c r="L18" i="17"/>
  <c r="L65" i="19"/>
  <c r="L64" i="18"/>
  <c r="L18" i="18"/>
  <c r="L65" i="21"/>
  <c r="Q18" i="19"/>
  <c r="Q18" i="17"/>
  <c r="Q65" i="21"/>
  <c r="Q18" i="9"/>
  <c r="Q64" i="18"/>
  <c r="Q19" i="21"/>
  <c r="Q18" i="18"/>
  <c r="Q64" i="17"/>
  <c r="Q64" i="9"/>
  <c r="Q65" i="19"/>
  <c r="V20" i="8"/>
  <c r="K43" i="19"/>
  <c r="K42" i="17"/>
  <c r="K42" i="18"/>
  <c r="O42" i="17"/>
  <c r="O43" i="19"/>
  <c r="O42" i="18"/>
  <c r="K20" i="8"/>
  <c r="U18" i="9"/>
  <c r="U64" i="18"/>
  <c r="U18" i="18"/>
  <c r="U18" i="17"/>
  <c r="U19" i="21"/>
  <c r="U64" i="9"/>
  <c r="U65" i="21"/>
  <c r="U64" i="17"/>
  <c r="U18" i="19"/>
  <c r="U65" i="19"/>
  <c r="G20" i="8"/>
  <c r="G18" i="40" s="1"/>
  <c r="R20" i="8"/>
  <c r="H18" i="9"/>
  <c r="H18" i="17"/>
  <c r="H18" i="19"/>
  <c r="H19" i="21"/>
  <c r="H18" i="18"/>
  <c r="R65" i="21"/>
  <c r="R64" i="9"/>
  <c r="R65" i="19"/>
  <c r="R64" i="18"/>
  <c r="R18" i="19"/>
  <c r="R18" i="9"/>
  <c r="R18" i="17"/>
  <c r="R64" i="17"/>
  <c r="R18" i="18"/>
  <c r="R19" i="21"/>
  <c r="C56" i="9"/>
  <c r="C56" i="18"/>
  <c r="C57" i="19"/>
  <c r="S42" i="18"/>
  <c r="S43" i="19"/>
  <c r="S42" i="17"/>
  <c r="G18" i="18"/>
  <c r="G18" i="17"/>
  <c r="G19" i="21"/>
  <c r="G64" i="9"/>
  <c r="G18" i="19"/>
  <c r="G18" i="9"/>
  <c r="L20" i="8"/>
  <c r="P64" i="9"/>
  <c r="P19" i="21"/>
  <c r="P65" i="21"/>
  <c r="P64" i="17"/>
  <c r="P18" i="9"/>
  <c r="P65" i="19"/>
  <c r="P18" i="19"/>
  <c r="P64" i="18"/>
  <c r="P18" i="18"/>
  <c r="P18" i="17"/>
  <c r="N42" i="17"/>
  <c r="N43" i="19"/>
  <c r="N42" i="18"/>
  <c r="D14" i="21"/>
  <c r="D63" i="21" s="1"/>
  <c r="D59" i="21" s="1"/>
  <c r="D13" i="18"/>
  <c r="D62" i="18" s="1"/>
  <c r="D58" i="18" s="1"/>
  <c r="D13" i="19"/>
  <c r="D63" i="19" s="1"/>
  <c r="D59" i="19" s="1"/>
  <c r="D13" i="9"/>
  <c r="D62" i="9" s="1"/>
  <c r="D58" i="9" s="1"/>
  <c r="D13" i="17"/>
  <c r="D62" i="17" s="1"/>
  <c r="D58" i="17" s="1"/>
  <c r="S64" i="17"/>
  <c r="S64" i="18"/>
  <c r="S65" i="19"/>
  <c r="S18" i="19"/>
  <c r="S18" i="9"/>
  <c r="S18" i="18"/>
  <c r="S18" i="17"/>
  <c r="S19" i="21"/>
  <c r="S64" i="9"/>
  <c r="S65" i="21"/>
  <c r="K18" i="18"/>
  <c r="K19" i="21"/>
  <c r="K64" i="18"/>
  <c r="K18" i="19"/>
  <c r="K65" i="19"/>
  <c r="K65" i="21"/>
  <c r="K18" i="9"/>
  <c r="K64" i="17"/>
  <c r="K64" i="9"/>
  <c r="K18" i="17"/>
  <c r="H20" i="8"/>
  <c r="H18" i="40" s="1"/>
  <c r="D18" i="9"/>
  <c r="D18" i="17"/>
  <c r="D18" i="19"/>
  <c r="D19" i="21"/>
  <c r="D18" i="18"/>
  <c r="I20" i="8"/>
  <c r="I18" i="40" s="1"/>
  <c r="P42" i="17"/>
  <c r="P43" i="19"/>
  <c r="P42" i="18"/>
  <c r="Q43" i="19"/>
  <c r="Q42" i="18"/>
  <c r="Q42" i="17"/>
  <c r="F42" i="18"/>
  <c r="F43" i="19"/>
  <c r="I18" i="9"/>
  <c r="I64" i="9"/>
  <c r="I19" i="21"/>
  <c r="I18" i="17"/>
  <c r="I18" i="19"/>
  <c r="I18" i="18"/>
  <c r="M64" i="17"/>
  <c r="M18" i="17"/>
  <c r="M18" i="9"/>
  <c r="M65" i="19"/>
  <c r="M64" i="9"/>
  <c r="M65" i="21"/>
  <c r="M19" i="21"/>
  <c r="M18" i="19"/>
  <c r="M64" i="18"/>
  <c r="M18" i="18"/>
  <c r="N64" i="9"/>
  <c r="N65" i="21"/>
  <c r="N18" i="9"/>
  <c r="N64" i="17"/>
  <c r="N18" i="18"/>
  <c r="N65" i="19"/>
  <c r="N18" i="17"/>
  <c r="N18" i="19"/>
  <c r="N64" i="18"/>
  <c r="N19" i="21"/>
  <c r="F32" i="17"/>
  <c r="F41" i="9"/>
  <c r="F42" i="21"/>
  <c r="F41" i="18"/>
  <c r="F42" i="19"/>
  <c r="R42" i="17"/>
  <c r="R43" i="19"/>
  <c r="R42" i="18"/>
  <c r="V42" i="18"/>
  <c r="V42" i="17"/>
  <c r="V43" i="19"/>
  <c r="F13" i="19"/>
  <c r="F63" i="19" s="1"/>
  <c r="F59" i="19" s="1"/>
  <c r="F14" i="21"/>
  <c r="G9" i="44" s="1"/>
  <c r="F13" i="18"/>
  <c r="F62" i="18" s="1"/>
  <c r="F58" i="18" s="1"/>
  <c r="F13" i="17"/>
  <c r="F62" i="17" s="1"/>
  <c r="F58" i="17" s="1"/>
  <c r="F13" i="9"/>
  <c r="F62" i="9" s="1"/>
  <c r="F58" i="9" s="1"/>
  <c r="C42" i="18"/>
  <c r="C43" i="19"/>
  <c r="W42" i="18"/>
  <c r="W42" i="17"/>
  <c r="W43" i="19"/>
  <c r="W65" i="19"/>
  <c r="W64" i="9"/>
  <c r="W18" i="18"/>
  <c r="W18" i="19"/>
  <c r="W19" i="21"/>
  <c r="W18" i="17"/>
  <c r="W65" i="21"/>
  <c r="W64" i="18"/>
  <c r="W18" i="9"/>
  <c r="W64" i="17"/>
  <c r="E14" i="19"/>
  <c r="E73" i="19" s="1"/>
  <c r="E74" i="19" s="1"/>
  <c r="E14" i="17"/>
  <c r="E72" i="17" s="1"/>
  <c r="E73" i="17" s="1"/>
  <c r="E15" i="21"/>
  <c r="E73" i="21" s="1"/>
  <c r="E74" i="21" s="1"/>
  <c r="E72" i="9"/>
  <c r="E73" i="9" s="1"/>
  <c r="E14" i="18"/>
  <c r="E72" i="18" s="1"/>
  <c r="E73" i="18" s="1"/>
  <c r="F15" i="21"/>
  <c r="F73" i="21" s="1"/>
  <c r="F74" i="21" s="1"/>
  <c r="F72" i="9"/>
  <c r="F73" i="9" s="1"/>
  <c r="F14" i="17"/>
  <c r="F72" i="17" s="1"/>
  <c r="F73" i="17" s="1"/>
  <c r="F14" i="18"/>
  <c r="F72" i="18" s="1"/>
  <c r="F73" i="18" s="1"/>
  <c r="F14" i="19"/>
  <c r="F73" i="19" s="1"/>
  <c r="F74" i="19" s="1"/>
  <c r="P20" i="8"/>
  <c r="I42" i="17"/>
  <c r="I43" i="19"/>
  <c r="I42" i="18"/>
  <c r="F20" i="8"/>
  <c r="F18" i="40" s="1"/>
  <c r="M43" i="19"/>
  <c r="M42" i="18"/>
  <c r="M42" i="17"/>
  <c r="C14" i="18"/>
  <c r="C15" i="21"/>
  <c r="C14" i="9"/>
  <c r="C14" i="19"/>
  <c r="C14" i="17"/>
  <c r="F18" i="17"/>
  <c r="F18" i="9"/>
  <c r="F18" i="19"/>
  <c r="F19" i="21"/>
  <c r="F18" i="18"/>
  <c r="E13" i="17"/>
  <c r="E62" i="17" s="1"/>
  <c r="E58" i="17" s="1"/>
  <c r="E13" i="19"/>
  <c r="E63" i="19" s="1"/>
  <c r="E59" i="19" s="1"/>
  <c r="E14" i="21"/>
  <c r="E13" i="9"/>
  <c r="E62" i="9" s="1"/>
  <c r="E58" i="9" s="1"/>
  <c r="E13" i="18"/>
  <c r="E62" i="18" s="1"/>
  <c r="E58" i="18" s="1"/>
  <c r="T18" i="19"/>
  <c r="T19" i="21"/>
  <c r="T18" i="17"/>
  <c r="T64" i="18"/>
  <c r="T65" i="19"/>
  <c r="T18" i="18"/>
  <c r="T65" i="21"/>
  <c r="T18" i="9"/>
  <c r="T64" i="17"/>
  <c r="T64" i="9"/>
  <c r="E18" i="18"/>
  <c r="E19" i="21"/>
  <c r="E18" i="9"/>
  <c r="E18" i="17"/>
  <c r="E18" i="19"/>
  <c r="L42" i="18"/>
  <c r="L42" i="17"/>
  <c r="L43" i="19"/>
  <c r="T43" i="19"/>
  <c r="T42" i="17"/>
  <c r="T42" i="18"/>
  <c r="C14" i="21"/>
  <c r="C13" i="18"/>
  <c r="C13" i="19"/>
  <c r="C13" i="17"/>
  <c r="C13" i="9"/>
  <c r="O65" i="21"/>
  <c r="O18" i="18"/>
  <c r="O64" i="18"/>
  <c r="O18" i="17"/>
  <c r="O19" i="21"/>
  <c r="O65" i="19"/>
  <c r="O18" i="9"/>
  <c r="O64" i="9"/>
  <c r="O18" i="19"/>
  <c r="O64" i="17"/>
  <c r="C18" i="17"/>
  <c r="C18" i="19"/>
  <c r="C18" i="18"/>
  <c r="C19" i="21"/>
  <c r="C18" i="9"/>
  <c r="J43" i="19"/>
  <c r="J42" i="18"/>
  <c r="J42" i="17"/>
  <c r="G42" i="18"/>
  <c r="G43" i="19"/>
  <c r="E41" i="17"/>
  <c r="E32" i="17" s="1"/>
  <c r="E41" i="9"/>
  <c r="E41" i="18"/>
  <c r="E32" i="18" s="1"/>
  <c r="E42" i="21"/>
  <c r="F17" i="44" s="1"/>
  <c r="E42" i="19"/>
  <c r="C41" i="9"/>
  <c r="C101" i="9" s="1"/>
  <c r="C42" i="19"/>
  <c r="C98" i="19" s="1"/>
  <c r="C42" i="21"/>
  <c r="C113" i="21" s="1"/>
  <c r="C41" i="18"/>
  <c r="C41" i="17"/>
  <c r="O20" i="8"/>
  <c r="D42" i="21"/>
  <c r="D113" i="21" s="1"/>
  <c r="D42" i="19"/>
  <c r="D98" i="19" s="1"/>
  <c r="D41" i="17"/>
  <c r="D41" i="9"/>
  <c r="D101" i="9" s="1"/>
  <c r="D41" i="18"/>
  <c r="V65" i="19"/>
  <c r="V18" i="19"/>
  <c r="V65" i="21"/>
  <c r="V64" i="9"/>
  <c r="V19" i="21"/>
  <c r="V64" i="17"/>
  <c r="V18" i="18"/>
  <c r="V18" i="9"/>
  <c r="V18" i="17"/>
  <c r="V64" i="18"/>
  <c r="T33" i="40" l="1"/>
  <c r="F101" i="9"/>
  <c r="G51" i="44"/>
  <c r="E101" i="9"/>
  <c r="F51" i="44"/>
  <c r="F33" i="21"/>
  <c r="G18" i="44" s="1"/>
  <c r="G17" i="44"/>
  <c r="E63" i="21"/>
  <c r="E59" i="21" s="1"/>
  <c r="F9" i="44"/>
  <c r="D32" i="18"/>
  <c r="D68" i="18" s="1"/>
  <c r="D97" i="18"/>
  <c r="D32" i="17"/>
  <c r="D67" i="17" s="1"/>
  <c r="D97" i="17"/>
  <c r="C32" i="17"/>
  <c r="C97" i="17"/>
  <c r="C32" i="18"/>
  <c r="C97" i="18"/>
  <c r="F63" i="21"/>
  <c r="L18" i="40"/>
  <c r="L64" i="40"/>
  <c r="L59" i="40" s="1"/>
  <c r="K18" i="40"/>
  <c r="K64" i="40"/>
  <c r="M18" i="40"/>
  <c r="M64" i="40"/>
  <c r="M59" i="40" s="1"/>
  <c r="U24" i="40"/>
  <c r="U33" i="40" s="1"/>
  <c r="U30" i="40"/>
  <c r="U62" i="40" s="1"/>
  <c r="V23" i="40"/>
  <c r="N18" i="40"/>
  <c r="N64" i="40"/>
  <c r="N59" i="40" s="1"/>
  <c r="R18" i="40"/>
  <c r="R64" i="40"/>
  <c r="R59" i="40" s="1"/>
  <c r="V18" i="40"/>
  <c r="V64" i="40"/>
  <c r="S18" i="40"/>
  <c r="S64" i="40"/>
  <c r="S59" i="40" s="1"/>
  <c r="T18" i="40"/>
  <c r="T64" i="40"/>
  <c r="T59" i="40" s="1"/>
  <c r="J18" i="21"/>
  <c r="J18" i="40"/>
  <c r="U18" i="40"/>
  <c r="U64" i="40"/>
  <c r="D17" i="17"/>
  <c r="D18" i="40"/>
  <c r="P18" i="40"/>
  <c r="P64" i="40"/>
  <c r="P59" i="40" s="1"/>
  <c r="O18" i="40"/>
  <c r="O64" i="40"/>
  <c r="O59" i="40" s="1"/>
  <c r="Q18" i="40"/>
  <c r="Q64" i="40"/>
  <c r="Q59" i="40" s="1"/>
  <c r="W18" i="40"/>
  <c r="W64" i="40"/>
  <c r="C17" i="19"/>
  <c r="C18" i="40"/>
  <c r="H63" i="9"/>
  <c r="H58" i="9" s="1"/>
  <c r="K63" i="17"/>
  <c r="K64" i="21"/>
  <c r="M64" i="21"/>
  <c r="M63" i="17"/>
  <c r="N63" i="17"/>
  <c r="N64" i="21"/>
  <c r="R63" i="17"/>
  <c r="R64" i="21"/>
  <c r="L64" i="21"/>
  <c r="L63" i="17"/>
  <c r="V63" i="17"/>
  <c r="V64" i="21"/>
  <c r="S18" i="21"/>
  <c r="S63" i="17"/>
  <c r="S64" i="21"/>
  <c r="T63" i="17"/>
  <c r="T64" i="21"/>
  <c r="U63" i="17"/>
  <c r="U64" i="21"/>
  <c r="P64" i="21"/>
  <c r="P63" i="17"/>
  <c r="O63" i="17"/>
  <c r="O64" i="21"/>
  <c r="Q63" i="17"/>
  <c r="Q64" i="21"/>
  <c r="W17" i="17"/>
  <c r="W64" i="21"/>
  <c r="W63" i="17"/>
  <c r="T17" i="18"/>
  <c r="U17" i="9"/>
  <c r="G63" i="9"/>
  <c r="G58" i="9" s="1"/>
  <c r="U17" i="19"/>
  <c r="C18" i="21"/>
  <c r="C17" i="9"/>
  <c r="C17" i="17"/>
  <c r="T63" i="18"/>
  <c r="W17" i="9"/>
  <c r="T17" i="17"/>
  <c r="T17" i="9"/>
  <c r="T17" i="19"/>
  <c r="S63" i="9"/>
  <c r="S58" i="9" s="1"/>
  <c r="S17" i="18"/>
  <c r="T18" i="21"/>
  <c r="U17" i="18"/>
  <c r="J17" i="19"/>
  <c r="S17" i="9"/>
  <c r="J17" i="9"/>
  <c r="D17" i="19"/>
  <c r="J17" i="17"/>
  <c r="D17" i="9"/>
  <c r="J17" i="18"/>
  <c r="D18" i="21"/>
  <c r="D17" i="18"/>
  <c r="S17" i="17"/>
  <c r="U17" i="17"/>
  <c r="U18" i="21"/>
  <c r="S63" i="18"/>
  <c r="T64" i="19"/>
  <c r="S64" i="19"/>
  <c r="S17" i="19"/>
  <c r="W17" i="18"/>
  <c r="W64" i="19"/>
  <c r="W18" i="21"/>
  <c r="W63" i="18"/>
  <c r="W17" i="19"/>
  <c r="W63" i="9"/>
  <c r="W58" i="9" s="1"/>
  <c r="U63" i="18"/>
  <c r="U64" i="19"/>
  <c r="T63" i="9"/>
  <c r="T58" i="9" s="1"/>
  <c r="D33" i="19"/>
  <c r="D69" i="19" s="1"/>
  <c r="E32" i="9"/>
  <c r="F52" i="44" s="1"/>
  <c r="O63" i="9"/>
  <c r="O58" i="9" s="1"/>
  <c r="F17" i="19"/>
  <c r="F17" i="17"/>
  <c r="F17" i="9"/>
  <c r="F17" i="18"/>
  <c r="F18" i="21"/>
  <c r="F33" i="19"/>
  <c r="L17" i="18"/>
  <c r="L18" i="21"/>
  <c r="L17" i="9"/>
  <c r="L63" i="18"/>
  <c r="L64" i="19"/>
  <c r="L17" i="19"/>
  <c r="L17" i="17"/>
  <c r="L63" i="9"/>
  <c r="L58" i="9" s="1"/>
  <c r="V42" i="21"/>
  <c r="V42" i="19"/>
  <c r="V41" i="18"/>
  <c r="V41" i="17"/>
  <c r="V32" i="9"/>
  <c r="W52" i="44" s="1"/>
  <c r="O41" i="18"/>
  <c r="O42" i="19"/>
  <c r="O32" i="9"/>
  <c r="P52" i="44" s="1"/>
  <c r="O41" i="17"/>
  <c r="D33" i="21"/>
  <c r="D69" i="21" s="1"/>
  <c r="F32" i="18"/>
  <c r="C84" i="19"/>
  <c r="D70" i="19"/>
  <c r="R41" i="18"/>
  <c r="R42" i="21"/>
  <c r="R41" i="17"/>
  <c r="R42" i="19"/>
  <c r="R32" i="9"/>
  <c r="S52" i="44" s="1"/>
  <c r="W42" i="21"/>
  <c r="W32" i="9"/>
  <c r="X52" i="44" s="1"/>
  <c r="W41" i="17"/>
  <c r="W41" i="18"/>
  <c r="W42" i="19"/>
  <c r="D69" i="17"/>
  <c r="C83" i="17"/>
  <c r="V63" i="18"/>
  <c r="V18" i="21"/>
  <c r="V17" i="9"/>
  <c r="V17" i="19"/>
  <c r="V64" i="19"/>
  <c r="V17" i="17"/>
  <c r="V17" i="18"/>
  <c r="V63" i="9"/>
  <c r="V58" i="9" s="1"/>
  <c r="C33" i="21"/>
  <c r="F32" i="9"/>
  <c r="G52" i="44" s="1"/>
  <c r="C100" i="21"/>
  <c r="D70" i="21"/>
  <c r="S41" i="17"/>
  <c r="S42" i="21"/>
  <c r="S42" i="19"/>
  <c r="S32" i="9"/>
  <c r="T52" i="44" s="1"/>
  <c r="S41" i="18"/>
  <c r="C33" i="19"/>
  <c r="P18" i="21"/>
  <c r="P63" i="9"/>
  <c r="P58" i="9" s="1"/>
  <c r="P63" i="18"/>
  <c r="P17" i="19"/>
  <c r="P17" i="18"/>
  <c r="P17" i="17"/>
  <c r="P17" i="9"/>
  <c r="P64" i="19"/>
  <c r="I17" i="19"/>
  <c r="I17" i="17"/>
  <c r="I18" i="21"/>
  <c r="I17" i="9"/>
  <c r="I17" i="18"/>
  <c r="I63" i="9"/>
  <c r="I58" i="9" s="1"/>
  <c r="C83" i="18"/>
  <c r="D69" i="18"/>
  <c r="U42" i="21"/>
  <c r="U41" i="17"/>
  <c r="U41" i="18"/>
  <c r="U42" i="19"/>
  <c r="U32" i="9"/>
  <c r="V52" i="44" s="1"/>
  <c r="M63" i="18"/>
  <c r="M17" i="9"/>
  <c r="M17" i="18"/>
  <c r="M17" i="19"/>
  <c r="M17" i="17"/>
  <c r="M64" i="19"/>
  <c r="M63" i="9"/>
  <c r="M58" i="9" s="1"/>
  <c r="M18" i="21"/>
  <c r="J63" i="9"/>
  <c r="J58" i="9" s="1"/>
  <c r="C32" i="9"/>
  <c r="E33" i="19"/>
  <c r="C87" i="9"/>
  <c r="D69" i="9"/>
  <c r="R63" i="18"/>
  <c r="R18" i="21"/>
  <c r="R17" i="19"/>
  <c r="R17" i="9"/>
  <c r="R63" i="9"/>
  <c r="R58" i="9" s="1"/>
  <c r="R64" i="19"/>
  <c r="R17" i="18"/>
  <c r="R17" i="17"/>
  <c r="Q41" i="17"/>
  <c r="Q32" i="9"/>
  <c r="R52" i="44" s="1"/>
  <c r="Q42" i="19"/>
  <c r="Q41" i="18"/>
  <c r="Q42" i="21"/>
  <c r="N17" i="19"/>
  <c r="N63" i="9"/>
  <c r="N58" i="9" s="1"/>
  <c r="N17" i="18"/>
  <c r="N17" i="9"/>
  <c r="N18" i="21"/>
  <c r="N17" i="17"/>
  <c r="N64" i="19"/>
  <c r="N63" i="18"/>
  <c r="U63" i="9"/>
  <c r="U58" i="9" s="1"/>
  <c r="Q63" i="9"/>
  <c r="Q58" i="9" s="1"/>
  <c r="Q17" i="18"/>
  <c r="Q17" i="9"/>
  <c r="Q18" i="21"/>
  <c r="Q64" i="19"/>
  <c r="Q63" i="18"/>
  <c r="Q17" i="17"/>
  <c r="Q17" i="19"/>
  <c r="D32" i="9"/>
  <c r="D68" i="9" s="1"/>
  <c r="O17" i="17"/>
  <c r="O17" i="9"/>
  <c r="O18" i="21"/>
  <c r="O17" i="19"/>
  <c r="O17" i="18"/>
  <c r="O63" i="18"/>
  <c r="O64" i="19"/>
  <c r="E33" i="21"/>
  <c r="F18" i="44" s="1"/>
  <c r="H17" i="9"/>
  <c r="H17" i="17"/>
  <c r="H17" i="18"/>
  <c r="H17" i="19"/>
  <c r="H18" i="21"/>
  <c r="G17" i="9"/>
  <c r="G17" i="19"/>
  <c r="G17" i="18"/>
  <c r="G17" i="17"/>
  <c r="G18" i="21"/>
  <c r="P42" i="19"/>
  <c r="P42" i="21"/>
  <c r="P41" i="17"/>
  <c r="P32" i="9"/>
  <c r="Q52" i="44" s="1"/>
  <c r="P41" i="18"/>
  <c r="K17" i="18"/>
  <c r="K17" i="17"/>
  <c r="K63" i="18"/>
  <c r="K63" i="9"/>
  <c r="K58" i="9" s="1"/>
  <c r="K17" i="19"/>
  <c r="K17" i="9"/>
  <c r="K64" i="19"/>
  <c r="K18" i="21"/>
  <c r="E18" i="21"/>
  <c r="E17" i="18"/>
  <c r="E17" i="19"/>
  <c r="E17" i="17"/>
  <c r="E17" i="9"/>
  <c r="T41" i="17"/>
  <c r="T41" i="18"/>
  <c r="T32" i="9"/>
  <c r="U52" i="44" s="1"/>
  <c r="T42" i="21"/>
  <c r="T42" i="19"/>
  <c r="D67" i="18" l="1"/>
  <c r="X17" i="44"/>
  <c r="Q17" i="44"/>
  <c r="R17" i="44"/>
  <c r="V17" i="44"/>
  <c r="S17" i="44"/>
  <c r="W17" i="44"/>
  <c r="U17" i="44"/>
  <c r="T17" i="44"/>
  <c r="J2" i="43" a="1"/>
  <c r="J2" i="43" s="1"/>
  <c r="K59" i="40"/>
  <c r="D68" i="17"/>
  <c r="U59" i="40"/>
  <c r="W23" i="40"/>
  <c r="V24" i="40"/>
  <c r="V33" i="40" s="1"/>
  <c r="V30" i="40"/>
  <c r="V62" i="40" s="1"/>
  <c r="V59" i="40" s="1"/>
  <c r="D68" i="19"/>
  <c r="D68" i="21"/>
  <c r="D67" i="9"/>
  <c r="D66" i="9" s="1"/>
  <c r="L41" i="18"/>
  <c r="L42" i="19"/>
  <c r="L41" i="17"/>
  <c r="L32" i="9"/>
  <c r="M52" i="44" s="1"/>
  <c r="L42" i="21"/>
  <c r="Q37" i="17"/>
  <c r="Q38" i="19"/>
  <c r="Q38" i="21"/>
  <c r="R12" i="44" s="1"/>
  <c r="Q37" i="18"/>
  <c r="R36" i="17"/>
  <c r="R36" i="18"/>
  <c r="R37" i="19"/>
  <c r="R37" i="21"/>
  <c r="S11" i="44" s="1"/>
  <c r="K42" i="21"/>
  <c r="K41" i="17"/>
  <c r="K41" i="18"/>
  <c r="K32" i="9"/>
  <c r="L52" i="44" s="1"/>
  <c r="K42" i="19"/>
  <c r="O37" i="17"/>
  <c r="U37" i="21"/>
  <c r="V11" i="44" s="1"/>
  <c r="U36" i="17"/>
  <c r="U36" i="18"/>
  <c r="U37" i="19"/>
  <c r="J42" i="21"/>
  <c r="J41" i="18"/>
  <c r="J32" i="9"/>
  <c r="K52" i="44" s="1"/>
  <c r="J42" i="19"/>
  <c r="J41" i="17"/>
  <c r="W38" i="21"/>
  <c r="X12" i="44" s="1"/>
  <c r="W38" i="19"/>
  <c r="W37" i="17"/>
  <c r="W37" i="18"/>
  <c r="S36" i="17"/>
  <c r="S37" i="21"/>
  <c r="T11" i="44" s="1"/>
  <c r="S37" i="19"/>
  <c r="S36" i="18"/>
  <c r="V37" i="17"/>
  <c r="V38" i="19"/>
  <c r="V38" i="21"/>
  <c r="W12" i="44" s="1"/>
  <c r="V37" i="18"/>
  <c r="U38" i="19"/>
  <c r="U37" i="18"/>
  <c r="U38" i="21"/>
  <c r="V12" i="44" s="1"/>
  <c r="U37" i="17"/>
  <c r="V37" i="21"/>
  <c r="W11" i="44" s="1"/>
  <c r="V37" i="19"/>
  <c r="V36" i="18"/>
  <c r="V36" i="17"/>
  <c r="M41" i="17"/>
  <c r="M42" i="21"/>
  <c r="M41" i="18"/>
  <c r="M32" i="9"/>
  <c r="N52" i="44" s="1"/>
  <c r="M42" i="19"/>
  <c r="T37" i="17"/>
  <c r="T38" i="21"/>
  <c r="U12" i="44" s="1"/>
  <c r="T38" i="19"/>
  <c r="T37" i="18"/>
  <c r="R37" i="18"/>
  <c r="R38" i="19"/>
  <c r="R38" i="21"/>
  <c r="S12" i="44" s="1"/>
  <c r="R37" i="17"/>
  <c r="T36" i="18"/>
  <c r="T37" i="19"/>
  <c r="T36" i="17"/>
  <c r="T37" i="21"/>
  <c r="U11" i="44" s="1"/>
  <c r="C14" i="22"/>
  <c r="C15" i="22"/>
  <c r="C18" i="22"/>
  <c r="C17" i="22"/>
  <c r="C16" i="22"/>
  <c r="I32" i="9"/>
  <c r="J52" i="44" s="1"/>
  <c r="I42" i="19"/>
  <c r="I41" i="18"/>
  <c r="I42" i="21"/>
  <c r="I41" i="17"/>
  <c r="S37" i="17"/>
  <c r="S38" i="19"/>
  <c r="S37" i="18"/>
  <c r="S38" i="21"/>
  <c r="T12" i="44" s="1"/>
  <c r="Q36" i="17"/>
  <c r="Q36" i="18"/>
  <c r="Q37" i="19"/>
  <c r="P37" i="19"/>
  <c r="H41" i="18"/>
  <c r="H42" i="19"/>
  <c r="P38" i="21"/>
  <c r="Q12" i="44" s="1"/>
  <c r="P37" i="18"/>
  <c r="P38" i="19"/>
  <c r="P37" i="17"/>
  <c r="W37" i="19"/>
  <c r="W37" i="21"/>
  <c r="X11" i="44" s="1"/>
  <c r="W36" i="18"/>
  <c r="W36" i="17"/>
  <c r="D71" i="40" l="1"/>
  <c r="D67" i="40" s="1"/>
  <c r="D58" i="40" s="1"/>
  <c r="D57" i="40" s="1"/>
  <c r="D70" i="17"/>
  <c r="D66" i="17" s="1"/>
  <c r="D57" i="17" s="1"/>
  <c r="D56" i="17" s="1"/>
  <c r="D83" i="17" s="1"/>
  <c r="D71" i="21"/>
  <c r="D67" i="21" s="1"/>
  <c r="D58" i="21" s="1"/>
  <c r="D57" i="21" s="1"/>
  <c r="D70" i="18"/>
  <c r="D66" i="18" s="1"/>
  <c r="D57" i="18" s="1"/>
  <c r="D56" i="18" s="1"/>
  <c r="D83" i="18" s="1"/>
  <c r="D85" i="18" s="1"/>
  <c r="D71" i="19"/>
  <c r="D67" i="19" s="1"/>
  <c r="X24" i="44"/>
  <c r="W31" i="44"/>
  <c r="X32" i="44"/>
  <c r="V25" i="44"/>
  <c r="V32" i="44"/>
  <c r="W32" i="44"/>
  <c r="W25" i="44"/>
  <c r="V31" i="44"/>
  <c r="X31" i="44"/>
  <c r="V24" i="44"/>
  <c r="W24" i="44"/>
  <c r="X25" i="44"/>
  <c r="J17" i="44"/>
  <c r="K17" i="44"/>
  <c r="U31" i="44"/>
  <c r="T32" i="44"/>
  <c r="T25" i="44"/>
  <c r="S25" i="44"/>
  <c r="S32" i="44"/>
  <c r="S24" i="44"/>
  <c r="U32" i="44"/>
  <c r="S31" i="44"/>
  <c r="Q25" i="44"/>
  <c r="U25" i="44"/>
  <c r="Q31" i="44"/>
  <c r="R31" i="44"/>
  <c r="R32" i="44"/>
  <c r="Q32" i="44"/>
  <c r="T31" i="44"/>
  <c r="R25" i="44"/>
  <c r="R24" i="44"/>
  <c r="U24" i="44"/>
  <c r="T24" i="44"/>
  <c r="L17" i="44"/>
  <c r="N17" i="44"/>
  <c r="M17" i="44"/>
  <c r="P25" i="44"/>
  <c r="H37" i="17"/>
  <c r="W30" i="40"/>
  <c r="W62" i="40" s="1"/>
  <c r="E2" i="43" s="1" a="1"/>
  <c r="E2" i="43" s="1"/>
  <c r="W24" i="40"/>
  <c r="D77" i="21"/>
  <c r="D78" i="21"/>
  <c r="D76" i="9"/>
  <c r="D77" i="9"/>
  <c r="D86" i="18" l="1"/>
  <c r="D84" i="18"/>
  <c r="D87" i="18"/>
  <c r="D88" i="18"/>
  <c r="E69" i="18"/>
  <c r="E67" i="18"/>
  <c r="E68" i="18"/>
  <c r="D11" i="22"/>
  <c r="D15" i="22" s="1"/>
  <c r="E68" i="40"/>
  <c r="E69" i="40"/>
  <c r="D92" i="40"/>
  <c r="E70" i="40"/>
  <c r="F2" i="43" a="1"/>
  <c r="F2" i="43" s="1"/>
  <c r="I25" i="44"/>
  <c r="W33" i="40"/>
  <c r="W59" i="40"/>
  <c r="I37" i="17"/>
  <c r="D57" i="9"/>
  <c r="D56" i="9" s="1"/>
  <c r="D85" i="17"/>
  <c r="D88" i="17"/>
  <c r="D87" i="17"/>
  <c r="D84" i="17"/>
  <c r="D86" i="17"/>
  <c r="D58" i="19"/>
  <c r="D57" i="19" s="1"/>
  <c r="E68" i="21"/>
  <c r="E69" i="21"/>
  <c r="E70" i="21"/>
  <c r="D100" i="21"/>
  <c r="E67" i="17"/>
  <c r="E68" i="17"/>
  <c r="E69" i="17"/>
  <c r="E93" i="18" l="1"/>
  <c r="E94" i="18" s="1"/>
  <c r="E92" i="18" s="1"/>
  <c r="E97" i="18" s="1"/>
  <c r="D95" i="40"/>
  <c r="D93" i="40"/>
  <c r="D87" i="40"/>
  <c r="D88" i="40" s="1"/>
  <c r="D94" i="40"/>
  <c r="D96" i="40"/>
  <c r="D97" i="40"/>
  <c r="E77" i="40"/>
  <c r="E78" i="40"/>
  <c r="J25" i="44"/>
  <c r="F10" i="44"/>
  <c r="E93" i="17"/>
  <c r="E94" i="17" s="1"/>
  <c r="E92" i="17" s="1"/>
  <c r="E97" i="17" s="1"/>
  <c r="D95" i="21"/>
  <c r="D96" i="21" s="1"/>
  <c r="J37" i="17"/>
  <c r="D87" i="9"/>
  <c r="E68" i="9"/>
  <c r="E67" i="9"/>
  <c r="E77" i="9" s="1"/>
  <c r="E69" i="9"/>
  <c r="D17" i="22"/>
  <c r="D16" i="22"/>
  <c r="D14" i="22"/>
  <c r="D18" i="22"/>
  <c r="D102" i="21"/>
  <c r="D105" i="21"/>
  <c r="D104" i="21"/>
  <c r="D101" i="21"/>
  <c r="D103" i="21"/>
  <c r="E77" i="21"/>
  <c r="E78" i="21"/>
  <c r="E68" i="19"/>
  <c r="D84" i="19"/>
  <c r="E70" i="19"/>
  <c r="E69" i="19"/>
  <c r="F6" i="44" l="1"/>
  <c r="E102" i="40"/>
  <c r="E103" i="40" s="1"/>
  <c r="F45" i="44"/>
  <c r="K25" i="44"/>
  <c r="E110" i="21"/>
  <c r="E111" i="21" s="1"/>
  <c r="E76" i="9"/>
  <c r="D88" i="9"/>
  <c r="D89" i="9"/>
  <c r="D90" i="9"/>
  <c r="D92" i="9"/>
  <c r="D91" i="9"/>
  <c r="D83" i="9"/>
  <c r="D84" i="9" s="1"/>
  <c r="D87" i="19"/>
  <c r="D89" i="19"/>
  <c r="D85" i="19"/>
  <c r="D86" i="19"/>
  <c r="D88" i="19"/>
  <c r="E66" i="9" l="1"/>
  <c r="E57" i="9" s="1"/>
  <c r="E71" i="21"/>
  <c r="E67" i="21" s="1"/>
  <c r="E58" i="21" s="1"/>
  <c r="E71" i="19"/>
  <c r="E67" i="19" s="1"/>
  <c r="E58" i="19" s="1"/>
  <c r="E57" i="19" s="1"/>
  <c r="F69" i="19" s="1"/>
  <c r="E70" i="18"/>
  <c r="E66" i="18" s="1"/>
  <c r="E57" i="18" s="1"/>
  <c r="E56" i="18" s="1"/>
  <c r="E70" i="17"/>
  <c r="E66" i="17" s="1"/>
  <c r="E57" i="17" s="1"/>
  <c r="E56" i="17" s="1"/>
  <c r="E71" i="40"/>
  <c r="E67" i="40" s="1"/>
  <c r="E58" i="40" s="1"/>
  <c r="E57" i="40" s="1"/>
  <c r="F42" i="44"/>
  <c r="E94" i="19"/>
  <c r="E95" i="19" s="1"/>
  <c r="E93" i="19" s="1"/>
  <c r="E98" i="19" s="1"/>
  <c r="D94" i="9"/>
  <c r="E97" i="9"/>
  <c r="F41" i="44" l="1"/>
  <c r="F30" i="44"/>
  <c r="F70" i="19"/>
  <c r="F68" i="19"/>
  <c r="E84" i="19"/>
  <c r="E80" i="19" s="1"/>
  <c r="F67" i="9"/>
  <c r="F76" i="9" s="1"/>
  <c r="F68" i="9"/>
  <c r="F69" i="9"/>
  <c r="F68" i="40"/>
  <c r="E11" i="22"/>
  <c r="F69" i="40"/>
  <c r="F70" i="40"/>
  <c r="E92" i="40"/>
  <c r="F67" i="17"/>
  <c r="F69" i="17"/>
  <c r="E83" i="17"/>
  <c r="F23" i="44"/>
  <c r="F68" i="17"/>
  <c r="F69" i="18"/>
  <c r="F67" i="18"/>
  <c r="F27" i="44"/>
  <c r="F68" i="18"/>
  <c r="E83" i="18"/>
  <c r="F5" i="44"/>
  <c r="F68" i="21"/>
  <c r="F69" i="21"/>
  <c r="F70" i="21"/>
  <c r="F90" i="21"/>
  <c r="E100" i="21"/>
  <c r="D91" i="19"/>
  <c r="D99" i="40"/>
  <c r="D107" i="21"/>
  <c r="D90" i="17"/>
  <c r="D90" i="18"/>
  <c r="D93" i="9"/>
  <c r="D89" i="18" s="1"/>
  <c r="G45" i="44" l="1"/>
  <c r="E83" i="9"/>
  <c r="E92" i="9" s="1"/>
  <c r="F70" i="17"/>
  <c r="F66" i="17" s="1"/>
  <c r="F57" i="17" s="1"/>
  <c r="F56" i="17" s="1"/>
  <c r="F77" i="9"/>
  <c r="E79" i="17"/>
  <c r="E87" i="17" s="1"/>
  <c r="E87" i="40"/>
  <c r="E97" i="40" s="1"/>
  <c r="E95" i="21"/>
  <c r="E104" i="21" s="1"/>
  <c r="E79" i="18"/>
  <c r="E88" i="18" s="1"/>
  <c r="G10" i="44"/>
  <c r="E15" i="22"/>
  <c r="E16" i="22"/>
  <c r="E14" i="22"/>
  <c r="E17" i="22"/>
  <c r="E18" i="22"/>
  <c r="F77" i="40"/>
  <c r="F78" i="40"/>
  <c r="G42" i="44"/>
  <c r="D98" i="40"/>
  <c r="D89" i="17"/>
  <c r="D90" i="19"/>
  <c r="E81" i="19" s="1"/>
  <c r="E87" i="19" s="1"/>
  <c r="D106" i="21"/>
  <c r="E89" i="19"/>
  <c r="E88" i="19"/>
  <c r="E91" i="9" l="1"/>
  <c r="E84" i="9"/>
  <c r="E89" i="9" s="1"/>
  <c r="F71" i="40"/>
  <c r="F67" i="40" s="1"/>
  <c r="F58" i="40" s="1"/>
  <c r="F57" i="40" s="1"/>
  <c r="G70" i="40" s="1"/>
  <c r="F71" i="21"/>
  <c r="F67" i="21" s="1"/>
  <c r="F71" i="19"/>
  <c r="F67" i="19" s="1"/>
  <c r="F58" i="19" s="1"/>
  <c r="F57" i="19" s="1"/>
  <c r="G30" i="44" s="1"/>
  <c r="F70" i="18"/>
  <c r="F66" i="18" s="1"/>
  <c r="F57" i="18" s="1"/>
  <c r="F56" i="18" s="1"/>
  <c r="G69" i="18" s="1"/>
  <c r="F66" i="9"/>
  <c r="F57" i="9" s="1"/>
  <c r="E80" i="17"/>
  <c r="E85" i="17" s="1"/>
  <c r="E88" i="40"/>
  <c r="E94" i="40" s="1"/>
  <c r="E80" i="18"/>
  <c r="E85" i="18" s="1"/>
  <c r="E88" i="17"/>
  <c r="E87" i="18"/>
  <c r="E96" i="40"/>
  <c r="E105" i="21"/>
  <c r="G69" i="40"/>
  <c r="F11" i="22"/>
  <c r="G23" i="44"/>
  <c r="G69" i="17"/>
  <c r="F83" i="17"/>
  <c r="E96" i="21"/>
  <c r="E103" i="21" s="1"/>
  <c r="E90" i="9"/>
  <c r="E88" i="9" s="1"/>
  <c r="E93" i="9" s="1"/>
  <c r="E86" i="19"/>
  <c r="E85" i="19" s="1"/>
  <c r="E91" i="19" s="1"/>
  <c r="F109" i="21"/>
  <c r="G70" i="19" l="1"/>
  <c r="G41" i="44"/>
  <c r="G68" i="40"/>
  <c r="G77" i="40" s="1"/>
  <c r="E95" i="40"/>
  <c r="E93" i="40" s="1"/>
  <c r="E99" i="40" s="1"/>
  <c r="F92" i="40"/>
  <c r="F87" i="40" s="1"/>
  <c r="F96" i="40" s="1"/>
  <c r="E86" i="18"/>
  <c r="E84" i="18" s="1"/>
  <c r="E90" i="18" s="1"/>
  <c r="G27" i="44"/>
  <c r="F83" i="18"/>
  <c r="F79" i="18" s="1"/>
  <c r="F88" i="18" s="1"/>
  <c r="G67" i="9"/>
  <c r="G71" i="40" s="1"/>
  <c r="G69" i="9"/>
  <c r="G68" i="9"/>
  <c r="F87" i="9"/>
  <c r="F84" i="19"/>
  <c r="F80" i="19" s="1"/>
  <c r="F89" i="19" s="1"/>
  <c r="E86" i="17"/>
  <c r="E84" i="17" s="1"/>
  <c r="F93" i="17" s="1"/>
  <c r="F94" i="17" s="1"/>
  <c r="F92" i="17" s="1"/>
  <c r="F97" i="17" s="1"/>
  <c r="E102" i="21"/>
  <c r="E101" i="21" s="1"/>
  <c r="C101" i="21" s="1"/>
  <c r="F61" i="44"/>
  <c r="F113" i="21"/>
  <c r="F79" i="17"/>
  <c r="F87" i="17" s="1"/>
  <c r="F94" i="19"/>
  <c r="F95" i="19" s="1"/>
  <c r="F93" i="19" s="1"/>
  <c r="F98" i="19" s="1"/>
  <c r="F97" i="9"/>
  <c r="E94" i="9"/>
  <c r="E90" i="19"/>
  <c r="G67" i="40" l="1"/>
  <c r="G58" i="40" s="1"/>
  <c r="G57" i="40" s="1"/>
  <c r="H69" i="40" s="1"/>
  <c r="G78" i="40"/>
  <c r="G77" i="9"/>
  <c r="H45" i="44"/>
  <c r="F81" i="19"/>
  <c r="F87" i="19" s="1"/>
  <c r="G76" i="9"/>
  <c r="H42" i="44" s="1"/>
  <c r="G70" i="17"/>
  <c r="G71" i="21"/>
  <c r="G70" i="18"/>
  <c r="G71" i="19"/>
  <c r="G66" i="9"/>
  <c r="G57" i="9" s="1"/>
  <c r="G56" i="9" s="1"/>
  <c r="F88" i="19"/>
  <c r="F110" i="21"/>
  <c r="F111" i="21" s="1"/>
  <c r="F58" i="44"/>
  <c r="F60" i="44"/>
  <c r="F59" i="44"/>
  <c r="F87" i="18"/>
  <c r="F88" i="17"/>
  <c r="E89" i="17"/>
  <c r="F97" i="40"/>
  <c r="E90" i="17"/>
  <c r="E98" i="40"/>
  <c r="F88" i="40" s="1"/>
  <c r="F95" i="40" s="1"/>
  <c r="F102" i="40"/>
  <c r="F103" i="40" s="1"/>
  <c r="F93" i="18"/>
  <c r="F94" i="18" s="1"/>
  <c r="F92" i="18" s="1"/>
  <c r="F97" i="18" s="1"/>
  <c r="E89" i="18"/>
  <c r="F80" i="18" s="1"/>
  <c r="F86" i="18" s="1"/>
  <c r="E106" i="21"/>
  <c r="F62" i="44" s="1"/>
  <c r="E107" i="21"/>
  <c r="F86" i="19"/>
  <c r="F85" i="19" s="1"/>
  <c r="F83" i="9"/>
  <c r="G11" i="22" l="1"/>
  <c r="H70" i="40"/>
  <c r="G92" i="40"/>
  <c r="G87" i="40" s="1"/>
  <c r="G97" i="40" s="1"/>
  <c r="F91" i="19"/>
  <c r="F80" i="17"/>
  <c r="F85" i="17" s="1"/>
  <c r="F94" i="40"/>
  <c r="F93" i="40" s="1"/>
  <c r="G87" i="9"/>
  <c r="H41" i="44"/>
  <c r="G94" i="19"/>
  <c r="G95" i="19" s="1"/>
  <c r="G93" i="19" s="1"/>
  <c r="H69" i="9"/>
  <c r="F85" i="18"/>
  <c r="F84" i="18" s="1"/>
  <c r="F90" i="18" s="1"/>
  <c r="H68" i="9"/>
  <c r="F86" i="17"/>
  <c r="F91" i="9"/>
  <c r="F90" i="19"/>
  <c r="F84" i="9"/>
  <c r="F89" i="9" s="1"/>
  <c r="F92" i="9"/>
  <c r="F99" i="40" l="1"/>
  <c r="F98" i="40"/>
  <c r="G102" i="40"/>
  <c r="G103" i="40" s="1"/>
  <c r="G96" i="40"/>
  <c r="F84" i="17"/>
  <c r="G93" i="17" s="1"/>
  <c r="G94" i="17" s="1"/>
  <c r="G92" i="17" s="1"/>
  <c r="G93" i="18"/>
  <c r="G94" i="18" s="1"/>
  <c r="G92" i="18" s="1"/>
  <c r="F89" i="18"/>
  <c r="F90" i="9"/>
  <c r="F88" i="9" s="1"/>
  <c r="G88" i="40" l="1"/>
  <c r="F90" i="17"/>
  <c r="F89" i="17"/>
  <c r="F94" i="9"/>
  <c r="G109" i="21"/>
  <c r="G94" i="40" l="1"/>
  <c r="G95" i="40"/>
  <c r="F93" i="9"/>
  <c r="G97" i="9"/>
  <c r="G83" i="9"/>
  <c r="G91" i="9" s="1"/>
  <c r="G93" i="40" l="1"/>
  <c r="G92" i="9"/>
  <c r="G84" i="9"/>
  <c r="G90" i="9" s="1"/>
  <c r="E109" i="21"/>
  <c r="E113" i="21" s="1"/>
  <c r="H102" i="40" l="1"/>
  <c r="H103" i="40" s="1"/>
  <c r="H101" i="40" s="1"/>
  <c r="G98" i="40"/>
  <c r="G99" i="40"/>
  <c r="G89" i="9"/>
  <c r="H36" i="40" l="1"/>
  <c r="H68" i="40" s="1"/>
  <c r="H67" i="40" s="1"/>
  <c r="H58" i="40" s="1"/>
  <c r="H57" i="40" s="1"/>
  <c r="H11" i="22" s="1"/>
  <c r="H106" i="40"/>
  <c r="H92" i="40" s="1"/>
  <c r="G88" i="9"/>
  <c r="F78" i="21"/>
  <c r="F59" i="21"/>
  <c r="F77" i="21" s="1"/>
  <c r="G79" i="21" l="1"/>
  <c r="G87" i="21"/>
  <c r="H77" i="40"/>
  <c r="H78" i="40"/>
  <c r="I70" i="40"/>
  <c r="I69" i="40"/>
  <c r="H87" i="40"/>
  <c r="H88" i="40" s="1"/>
  <c r="H94" i="40" s="1"/>
  <c r="F88" i="21"/>
  <c r="G6" i="44"/>
  <c r="G93" i="9"/>
  <c r="G94" i="9"/>
  <c r="H97" i="9"/>
  <c r="H98" i="9" s="1"/>
  <c r="F58" i="21"/>
  <c r="F100" i="21" s="1"/>
  <c r="H96" i="40" l="1"/>
  <c r="H95" i="40"/>
  <c r="H93" i="40" s="1"/>
  <c r="H97" i="40"/>
  <c r="G5" i="44"/>
  <c r="H7" i="44"/>
  <c r="G50" i="21"/>
  <c r="G90" i="21"/>
  <c r="G91" i="21" s="1"/>
  <c r="G19" i="20"/>
  <c r="F15" i="22"/>
  <c r="F86" i="21"/>
  <c r="F85" i="21"/>
  <c r="G70" i="21"/>
  <c r="F84" i="21"/>
  <c r="H98" i="40" l="1"/>
  <c r="H99" i="40"/>
  <c r="I102" i="40"/>
  <c r="I103" i="40" s="1"/>
  <c r="I101" i="40" s="1"/>
  <c r="F14" i="22"/>
  <c r="F17" i="22"/>
  <c r="F18" i="22"/>
  <c r="F16" i="22"/>
  <c r="F95" i="21"/>
  <c r="F96" i="21" s="1"/>
  <c r="G60" i="21"/>
  <c r="G20" i="20"/>
  <c r="I106" i="40" l="1"/>
  <c r="I92" i="40" s="1"/>
  <c r="I36" i="40"/>
  <c r="I68" i="40" s="1"/>
  <c r="G59" i="18"/>
  <c r="F102" i="21"/>
  <c r="F103" i="21"/>
  <c r="F105" i="21"/>
  <c r="F104" i="21"/>
  <c r="G52" i="19"/>
  <c r="G22" i="19" s="1"/>
  <c r="G60" i="19"/>
  <c r="G51" i="18"/>
  <c r="G59" i="17"/>
  <c r="G51" i="17"/>
  <c r="G22" i="17" s="1"/>
  <c r="G23" i="21"/>
  <c r="G24" i="21" s="1"/>
  <c r="I67" i="40" l="1"/>
  <c r="I58" i="40" s="1"/>
  <c r="I57" i="40" s="1"/>
  <c r="I78" i="40"/>
  <c r="I77" i="40"/>
  <c r="I87" i="40"/>
  <c r="I88" i="40" s="1"/>
  <c r="I94" i="40" s="1"/>
  <c r="G61" i="44"/>
  <c r="H16" i="44"/>
  <c r="G113" i="21"/>
  <c r="G22" i="18"/>
  <c r="G29" i="18" s="1"/>
  <c r="F101" i="21"/>
  <c r="G30" i="21"/>
  <c r="G62" i="21" s="1"/>
  <c r="G23" i="19"/>
  <c r="G30" i="19"/>
  <c r="G33" i="21"/>
  <c r="G23" i="17"/>
  <c r="G97" i="17" s="1"/>
  <c r="G29" i="17"/>
  <c r="G59" i="44" l="1"/>
  <c r="G58" i="44"/>
  <c r="I97" i="40"/>
  <c r="I95" i="40"/>
  <c r="I96" i="40"/>
  <c r="I11" i="22"/>
  <c r="J70" i="40"/>
  <c r="J69" i="40"/>
  <c r="G60" i="44"/>
  <c r="G98" i="19"/>
  <c r="H33" i="44"/>
  <c r="G68" i="21"/>
  <c r="H10" i="44" s="1"/>
  <c r="H18" i="44"/>
  <c r="G59" i="21"/>
  <c r="H8" i="44"/>
  <c r="G110" i="21"/>
  <c r="G111" i="21" s="1"/>
  <c r="G23" i="18"/>
  <c r="G97" i="18" s="1"/>
  <c r="F107" i="21"/>
  <c r="F106" i="21"/>
  <c r="G62" i="44" s="1"/>
  <c r="H51" i="21"/>
  <c r="G69" i="21"/>
  <c r="G61" i="18"/>
  <c r="G58" i="18" s="1"/>
  <c r="H50" i="18"/>
  <c r="G32" i="17"/>
  <c r="G67" i="17" s="1"/>
  <c r="G61" i="17"/>
  <c r="G58" i="17" s="1"/>
  <c r="H50" i="17"/>
  <c r="G62" i="19"/>
  <c r="G59" i="19" s="1"/>
  <c r="H51" i="19"/>
  <c r="G33" i="19"/>
  <c r="G68" i="19" s="1"/>
  <c r="I93" i="40" l="1"/>
  <c r="I98" i="40" s="1"/>
  <c r="G77" i="21"/>
  <c r="G78" i="21"/>
  <c r="G88" i="21" s="1"/>
  <c r="G67" i="21"/>
  <c r="G58" i="21" s="1"/>
  <c r="G57" i="21" s="1"/>
  <c r="G32" i="18"/>
  <c r="G67" i="18" s="1"/>
  <c r="G68" i="17"/>
  <c r="G66" i="17" s="1"/>
  <c r="G57" i="17" s="1"/>
  <c r="G56" i="17" s="1"/>
  <c r="H23" i="44" s="1"/>
  <c r="G69" i="19"/>
  <c r="G67" i="19" s="1"/>
  <c r="G58" i="19" s="1"/>
  <c r="G57" i="19" s="1"/>
  <c r="H30" i="44" s="1"/>
  <c r="H79" i="21" l="1"/>
  <c r="H87" i="21"/>
  <c r="H6" i="44"/>
  <c r="J102" i="40"/>
  <c r="J103" i="40" s="1"/>
  <c r="J101" i="40" s="1"/>
  <c r="I99" i="40"/>
  <c r="G21" i="20"/>
  <c r="G22" i="20"/>
  <c r="H5" i="44"/>
  <c r="H70" i="21"/>
  <c r="G23" i="20"/>
  <c r="G100" i="21"/>
  <c r="G85" i="21"/>
  <c r="G84" i="21"/>
  <c r="G86" i="21"/>
  <c r="G68" i="18"/>
  <c r="G66" i="18" s="1"/>
  <c r="G57" i="18" s="1"/>
  <c r="G56" i="18" s="1"/>
  <c r="G83" i="17"/>
  <c r="H69" i="17"/>
  <c r="G84" i="19"/>
  <c r="H70" i="19"/>
  <c r="G16" i="22"/>
  <c r="G17" i="22"/>
  <c r="G14" i="22"/>
  <c r="G15" i="22"/>
  <c r="G18" i="22"/>
  <c r="J36" i="40" l="1"/>
  <c r="J68" i="40" s="1"/>
  <c r="J106" i="40"/>
  <c r="J92" i="40" s="1"/>
  <c r="I7" i="44"/>
  <c r="H50" i="21"/>
  <c r="G95" i="21"/>
  <c r="G96" i="21" s="1"/>
  <c r="H60" i="21"/>
  <c r="H52" i="21"/>
  <c r="H19" i="20"/>
  <c r="G83" i="18"/>
  <c r="G79" i="18" s="1"/>
  <c r="G80" i="18" s="1"/>
  <c r="H27" i="44"/>
  <c r="H69" i="18"/>
  <c r="H59" i="18"/>
  <c r="H51" i="18"/>
  <c r="G80" i="19"/>
  <c r="G81" i="19" s="1"/>
  <c r="H51" i="17"/>
  <c r="H59" i="17"/>
  <c r="G79" i="17"/>
  <c r="G80" i="17" s="1"/>
  <c r="H52" i="19"/>
  <c r="H60" i="19"/>
  <c r="J87" i="40" l="1"/>
  <c r="J88" i="40" s="1"/>
  <c r="J95" i="40" s="1"/>
  <c r="J78" i="40"/>
  <c r="J67" i="40"/>
  <c r="J58" i="40" s="1"/>
  <c r="J57" i="40" s="1"/>
  <c r="J77" i="40"/>
  <c r="H23" i="21"/>
  <c r="H24" i="21" s="1"/>
  <c r="H20" i="20"/>
  <c r="G104" i="21"/>
  <c r="G102" i="21"/>
  <c r="G105" i="21"/>
  <c r="G103" i="21"/>
  <c r="G88" i="18"/>
  <c r="G86" i="18"/>
  <c r="G87" i="19"/>
  <c r="G87" i="18"/>
  <c r="G86" i="19"/>
  <c r="G85" i="18"/>
  <c r="G89" i="19"/>
  <c r="G88" i="19"/>
  <c r="G86" i="17"/>
  <c r="G85" i="17"/>
  <c r="G88" i="17"/>
  <c r="G87" i="17"/>
  <c r="H22" i="17"/>
  <c r="H22" i="18"/>
  <c r="H22" i="19"/>
  <c r="J94" i="40" l="1"/>
  <c r="J93" i="40" s="1"/>
  <c r="J97" i="40"/>
  <c r="J96" i="40"/>
  <c r="J11" i="22"/>
  <c r="K70" i="40"/>
  <c r="K69" i="40"/>
  <c r="H30" i="21"/>
  <c r="H62" i="21" s="1"/>
  <c r="H61" i="44"/>
  <c r="G101" i="21"/>
  <c r="G84" i="18"/>
  <c r="G90" i="18" s="1"/>
  <c r="I16" i="44"/>
  <c r="G85" i="19"/>
  <c r="G90" i="19" s="1"/>
  <c r="G84" i="17"/>
  <c r="G90" i="17" s="1"/>
  <c r="H29" i="17"/>
  <c r="H23" i="17"/>
  <c r="H33" i="21"/>
  <c r="I18" i="44" s="1"/>
  <c r="H23" i="19"/>
  <c r="H30" i="19"/>
  <c r="H23" i="18"/>
  <c r="H29" i="18"/>
  <c r="H59" i="44" l="1"/>
  <c r="H58" i="44"/>
  <c r="K102" i="40"/>
  <c r="K103" i="40" s="1"/>
  <c r="K101" i="40" s="1"/>
  <c r="K106" i="40" s="1"/>
  <c r="K92" i="40" s="1"/>
  <c r="I51" i="21"/>
  <c r="J98" i="40"/>
  <c r="J99" i="40"/>
  <c r="H110" i="21"/>
  <c r="H111" i="21" s="1"/>
  <c r="H109" i="21" s="1"/>
  <c r="G107" i="21"/>
  <c r="G106" i="21"/>
  <c r="H62" i="44" s="1"/>
  <c r="H60" i="44"/>
  <c r="I33" i="44"/>
  <c r="H59" i="21"/>
  <c r="I8" i="44"/>
  <c r="G89" i="18"/>
  <c r="H93" i="18"/>
  <c r="H94" i="18" s="1"/>
  <c r="H92" i="18" s="1"/>
  <c r="G89" i="17"/>
  <c r="G91" i="19"/>
  <c r="H69" i="21"/>
  <c r="H32" i="18"/>
  <c r="H32" i="17"/>
  <c r="H61" i="18"/>
  <c r="H58" i="18" s="1"/>
  <c r="I50" i="18"/>
  <c r="H62" i="19"/>
  <c r="H59" i="19" s="1"/>
  <c r="I51" i="19"/>
  <c r="H33" i="19"/>
  <c r="H61" i="17"/>
  <c r="H58" i="17" s="1"/>
  <c r="I50" i="17"/>
  <c r="K36" i="40" l="1"/>
  <c r="K68" i="40" s="1"/>
  <c r="K77" i="40" s="1"/>
  <c r="H36" i="21"/>
  <c r="K87" i="40"/>
  <c r="K88" i="40" s="1"/>
  <c r="K94" i="40" s="1"/>
  <c r="H113" i="21"/>
  <c r="H100" i="21" s="1"/>
  <c r="H35" i="18"/>
  <c r="H67" i="18" s="1"/>
  <c r="H97" i="18"/>
  <c r="H83" i="18" s="1"/>
  <c r="H68" i="18"/>
  <c r="H69" i="19"/>
  <c r="H68" i="17"/>
  <c r="K78" i="40" l="1"/>
  <c r="K67" i="40"/>
  <c r="K58" i="40" s="1"/>
  <c r="K57" i="40" s="1"/>
  <c r="K11" i="22" s="1"/>
  <c r="H68" i="21"/>
  <c r="H77" i="21" s="1"/>
  <c r="I87" i="21" s="1"/>
  <c r="H90" i="21"/>
  <c r="H91" i="21" s="1"/>
  <c r="I13" i="44"/>
  <c r="K95" i="40"/>
  <c r="K93" i="40" s="1"/>
  <c r="K96" i="40"/>
  <c r="K97" i="40"/>
  <c r="H95" i="21"/>
  <c r="H96" i="21" s="1"/>
  <c r="H103" i="21" s="1"/>
  <c r="H66" i="18"/>
  <c r="H57" i="18" s="1"/>
  <c r="H56" i="18" s="1"/>
  <c r="H15" i="22"/>
  <c r="H79" i="18"/>
  <c r="H80" i="18" s="1"/>
  <c r="H67" i="21" l="1"/>
  <c r="H58" i="21" s="1"/>
  <c r="H57" i="21" s="1"/>
  <c r="H78" i="21"/>
  <c r="H88" i="21" s="1"/>
  <c r="I10" i="44"/>
  <c r="L69" i="40"/>
  <c r="K83" i="40"/>
  <c r="L70" i="40"/>
  <c r="H105" i="21"/>
  <c r="H104" i="21"/>
  <c r="I61" i="44" s="1"/>
  <c r="H102" i="21"/>
  <c r="H101" i="21" s="1"/>
  <c r="K98" i="40"/>
  <c r="L102" i="40"/>
  <c r="L103" i="40" s="1"/>
  <c r="L101" i="40" s="1"/>
  <c r="K99" i="40"/>
  <c r="H21" i="20"/>
  <c r="I69" i="18"/>
  <c r="I27" i="44"/>
  <c r="I6" i="44"/>
  <c r="H18" i="22"/>
  <c r="H17" i="22"/>
  <c r="H14" i="22"/>
  <c r="H16" i="22"/>
  <c r="I60" i="19"/>
  <c r="H85" i="18"/>
  <c r="H87" i="18"/>
  <c r="H88" i="18"/>
  <c r="H86" i="18"/>
  <c r="I5" i="44" l="1"/>
  <c r="H85" i="21"/>
  <c r="I70" i="21"/>
  <c r="H84" i="21"/>
  <c r="H22" i="20"/>
  <c r="H86" i="21"/>
  <c r="I79" i="21"/>
  <c r="H23" i="20"/>
  <c r="H107" i="21"/>
  <c r="I58" i="44"/>
  <c r="L106" i="40"/>
  <c r="L92" i="40" s="1"/>
  <c r="L87" i="40" s="1"/>
  <c r="L88" i="40" s="1"/>
  <c r="L94" i="40" s="1"/>
  <c r="L36" i="40"/>
  <c r="L68" i="40" s="1"/>
  <c r="I60" i="44"/>
  <c r="I59" i="44"/>
  <c r="I51" i="18"/>
  <c r="I59" i="18"/>
  <c r="I52" i="19"/>
  <c r="I51" i="17"/>
  <c r="I22" i="17" s="1"/>
  <c r="I59" i="17"/>
  <c r="I110" i="21"/>
  <c r="I111" i="21" s="1"/>
  <c r="I109" i="21" s="1"/>
  <c r="H106" i="21"/>
  <c r="I62" i="44" s="1"/>
  <c r="H84" i="18"/>
  <c r="I93" i="18" s="1"/>
  <c r="I94" i="18" s="1"/>
  <c r="I92" i="18" s="1"/>
  <c r="J7" i="44" l="1"/>
  <c r="I19" i="20"/>
  <c r="I60" i="21"/>
  <c r="I13" i="21"/>
  <c r="I50" i="21"/>
  <c r="I52" i="21"/>
  <c r="L96" i="40"/>
  <c r="L97" i="40"/>
  <c r="L77" i="40"/>
  <c r="L78" i="40"/>
  <c r="L67" i="40"/>
  <c r="L58" i="40" s="1"/>
  <c r="L57" i="40" s="1"/>
  <c r="I20" i="20"/>
  <c r="I22" i="18"/>
  <c r="I23" i="18" s="1"/>
  <c r="I97" i="18" s="1"/>
  <c r="L95" i="40"/>
  <c r="L93" i="40" s="1"/>
  <c r="I36" i="21"/>
  <c r="I22" i="19"/>
  <c r="I23" i="19" s="1"/>
  <c r="H89" i="18"/>
  <c r="H90" i="18"/>
  <c r="I23" i="17"/>
  <c r="I29" i="17"/>
  <c r="I35" i="18"/>
  <c r="I23" i="21" l="1"/>
  <c r="I30" i="21" s="1"/>
  <c r="J51" i="21" s="1"/>
  <c r="J13" i="44"/>
  <c r="L83" i="40"/>
  <c r="M69" i="40"/>
  <c r="M70" i="40"/>
  <c r="L11" i="22"/>
  <c r="I29" i="18"/>
  <c r="J50" i="18" s="1"/>
  <c r="J33" i="44"/>
  <c r="I90" i="21"/>
  <c r="I91" i="21" s="1"/>
  <c r="M102" i="40"/>
  <c r="M103" i="40" s="1"/>
  <c r="M101" i="40" s="1"/>
  <c r="L99" i="40"/>
  <c r="L98" i="40"/>
  <c r="I30" i="19"/>
  <c r="I62" i="19" s="1"/>
  <c r="I59" i="19" s="1"/>
  <c r="I32" i="18"/>
  <c r="I68" i="18" s="1"/>
  <c r="I61" i="17"/>
  <c r="I58" i="17" s="1"/>
  <c r="J50" i="17"/>
  <c r="I32" i="17"/>
  <c r="I33" i="19"/>
  <c r="I24" i="21" l="1"/>
  <c r="I62" i="21"/>
  <c r="J8" i="44" s="1"/>
  <c r="I61" i="18"/>
  <c r="I58" i="18" s="1"/>
  <c r="M106" i="40"/>
  <c r="M92" i="40" s="1"/>
  <c r="M36" i="40"/>
  <c r="J51" i="19"/>
  <c r="I67" i="18"/>
  <c r="I66" i="18" s="1"/>
  <c r="I33" i="21" l="1"/>
  <c r="I69" i="21" s="1"/>
  <c r="I113" i="21"/>
  <c r="I100" i="21" s="1"/>
  <c r="J16" i="44"/>
  <c r="I59" i="21"/>
  <c r="I57" i="18"/>
  <c r="I56" i="18" s="1"/>
  <c r="J27" i="44" s="1"/>
  <c r="I83" i="18"/>
  <c r="I79" i="18" s="1"/>
  <c r="I80" i="18" s="1"/>
  <c r="M68" i="40"/>
  <c r="M78" i="40" s="1"/>
  <c r="M87" i="40"/>
  <c r="M88" i="40" s="1"/>
  <c r="I16" i="22"/>
  <c r="I68" i="21" l="1"/>
  <c r="I67" i="21" s="1"/>
  <c r="I58" i="21" s="1"/>
  <c r="I57" i="21" s="1"/>
  <c r="J18" i="44"/>
  <c r="I95" i="21"/>
  <c r="I96" i="21" s="1"/>
  <c r="I102" i="21" s="1"/>
  <c r="J69" i="18"/>
  <c r="I88" i="18"/>
  <c r="I87" i="18"/>
  <c r="I85" i="18"/>
  <c r="I86" i="18"/>
  <c r="M67" i="40"/>
  <c r="M58" i="40" s="1"/>
  <c r="M57" i="40" s="1"/>
  <c r="N70" i="40" s="1"/>
  <c r="M77" i="40"/>
  <c r="M95" i="40"/>
  <c r="M94" i="40"/>
  <c r="M97" i="40"/>
  <c r="M96" i="40"/>
  <c r="I14" i="22"/>
  <c r="I17" i="22"/>
  <c r="I18" i="22"/>
  <c r="I15" i="22"/>
  <c r="I105" i="21" l="1"/>
  <c r="I86" i="21"/>
  <c r="J5" i="44"/>
  <c r="I23" i="20"/>
  <c r="I84" i="21"/>
  <c r="I104" i="21"/>
  <c r="J61" i="44" s="1"/>
  <c r="I78" i="21"/>
  <c r="J10" i="44"/>
  <c r="I85" i="21"/>
  <c r="J70" i="21"/>
  <c r="I103" i="21"/>
  <c r="I101" i="21" s="1"/>
  <c r="I77" i="21"/>
  <c r="J87" i="21" s="1"/>
  <c r="J58" i="44"/>
  <c r="I84" i="18"/>
  <c r="I90" i="18" s="1"/>
  <c r="J59" i="44"/>
  <c r="N69" i="40"/>
  <c r="M83" i="40"/>
  <c r="M11" i="22"/>
  <c r="H36" i="44" s="1"/>
  <c r="M93" i="40"/>
  <c r="M99" i="40" s="1"/>
  <c r="J60" i="44" l="1"/>
  <c r="I107" i="21"/>
  <c r="J110" i="21"/>
  <c r="J111" i="21" s="1"/>
  <c r="J109" i="21" s="1"/>
  <c r="J36" i="21" s="1"/>
  <c r="K13" i="44" s="1"/>
  <c r="J6" i="44"/>
  <c r="I21" i="20"/>
  <c r="I22" i="20"/>
  <c r="I88" i="21"/>
  <c r="I106" i="21"/>
  <c r="J62" i="44" s="1"/>
  <c r="I89" i="18"/>
  <c r="J93" i="18"/>
  <c r="J94" i="18" s="1"/>
  <c r="J92" i="18" s="1"/>
  <c r="J35" i="18" s="1"/>
  <c r="N102" i="40"/>
  <c r="N103" i="40" s="1"/>
  <c r="N101" i="40" s="1"/>
  <c r="N106" i="40" s="1"/>
  <c r="N92" i="40" s="1"/>
  <c r="M98" i="40"/>
  <c r="J52" i="19"/>
  <c r="J51" i="17"/>
  <c r="J90" i="21" l="1"/>
  <c r="J91" i="21" s="1"/>
  <c r="N36" i="40"/>
  <c r="N87" i="40"/>
  <c r="J59" i="18"/>
  <c r="J51" i="18"/>
  <c r="J60" i="19"/>
  <c r="J22" i="19"/>
  <c r="J30" i="19" s="1"/>
  <c r="J62" i="19" s="1"/>
  <c r="J59" i="17"/>
  <c r="J22" i="17"/>
  <c r="J29" i="17" s="1"/>
  <c r="K50" i="17" s="1"/>
  <c r="J19" i="20" l="1"/>
  <c r="G24" i="20" s="1"/>
  <c r="K7" i="44"/>
  <c r="J13" i="21"/>
  <c r="J60" i="21"/>
  <c r="J52" i="21"/>
  <c r="J50" i="21"/>
  <c r="J79" i="21"/>
  <c r="N68" i="40"/>
  <c r="N77" i="40" s="1"/>
  <c r="N97" i="40"/>
  <c r="N96" i="40"/>
  <c r="N88" i="40"/>
  <c r="N94" i="40" s="1"/>
  <c r="J22" i="18"/>
  <c r="J23" i="18" s="1"/>
  <c r="J97" i="18" s="1"/>
  <c r="J59" i="19"/>
  <c r="K51" i="19"/>
  <c r="J23" i="19"/>
  <c r="J61" i="17"/>
  <c r="J58" i="17" s="1"/>
  <c r="J23" i="17"/>
  <c r="J32" i="17" s="1"/>
  <c r="J23" i="21" l="1"/>
  <c r="J24" i="21" s="1"/>
  <c r="K16" i="44" s="1"/>
  <c r="J20" i="20"/>
  <c r="G26" i="20" s="1"/>
  <c r="K33" i="44"/>
  <c r="N67" i="40"/>
  <c r="N58" i="40" s="1"/>
  <c r="N57" i="40" s="1"/>
  <c r="N83" i="40" s="1"/>
  <c r="N78" i="40"/>
  <c r="N95" i="40"/>
  <c r="J29" i="18"/>
  <c r="K50" i="18" s="1"/>
  <c r="J33" i="19"/>
  <c r="J32" i="18"/>
  <c r="J30" i="21" l="1"/>
  <c r="K51" i="21" s="1"/>
  <c r="J113" i="21"/>
  <c r="J33" i="21"/>
  <c r="K18" i="44" s="1"/>
  <c r="N11" i="22"/>
  <c r="O70" i="40"/>
  <c r="O69" i="40"/>
  <c r="N93" i="40"/>
  <c r="O102" i="40" s="1"/>
  <c r="O103" i="40" s="1"/>
  <c r="O101" i="40" s="1"/>
  <c r="O106" i="40" s="1"/>
  <c r="O92" i="40" s="1"/>
  <c r="J61" i="18"/>
  <c r="J67" i="18"/>
  <c r="J68" i="18"/>
  <c r="J62" i="21" l="1"/>
  <c r="J100" i="21" s="1"/>
  <c r="J95" i="21" s="1"/>
  <c r="J96" i="21" s="1"/>
  <c r="J69" i="21"/>
  <c r="J68" i="21"/>
  <c r="K10" i="44" s="1"/>
  <c r="N98" i="40"/>
  <c r="N99" i="40"/>
  <c r="O36" i="40"/>
  <c r="O68" i="40" s="1"/>
  <c r="O78" i="40" s="1"/>
  <c r="J58" i="18"/>
  <c r="J83" i="18"/>
  <c r="J79" i="18" s="1"/>
  <c r="J87" i="18" s="1"/>
  <c r="O87" i="40"/>
  <c r="J66" i="18"/>
  <c r="K8" i="44" l="1"/>
  <c r="J59" i="21"/>
  <c r="J77" i="21" s="1"/>
  <c r="J78" i="21"/>
  <c r="J22" i="20" s="1"/>
  <c r="J67" i="21"/>
  <c r="J102" i="21"/>
  <c r="J103" i="21"/>
  <c r="J105" i="21"/>
  <c r="J104" i="21"/>
  <c r="K61" i="44" s="1"/>
  <c r="O77" i="40"/>
  <c r="O67" i="40"/>
  <c r="O58" i="40" s="1"/>
  <c r="O57" i="40" s="1"/>
  <c r="O83" i="40" s="1"/>
  <c r="O88" i="40"/>
  <c r="O95" i="40" s="1"/>
  <c r="J57" i="18"/>
  <c r="J56" i="18" s="1"/>
  <c r="O97" i="40"/>
  <c r="O96" i="40"/>
  <c r="J15" i="22"/>
  <c r="J14" i="22"/>
  <c r="J17" i="22"/>
  <c r="J18" i="22"/>
  <c r="J16" i="22"/>
  <c r="J88" i="18"/>
  <c r="J80" i="18"/>
  <c r="J85" i="18" s="1"/>
  <c r="K6" i="44" l="1"/>
  <c r="K87" i="21"/>
  <c r="J58" i="21"/>
  <c r="J57" i="21" s="1"/>
  <c r="J84" i="21" s="1"/>
  <c r="J21" i="20"/>
  <c r="J88" i="21"/>
  <c r="J101" i="21"/>
  <c r="J106" i="21" s="1"/>
  <c r="K62" i="44" s="1"/>
  <c r="O11" i="22"/>
  <c r="P69" i="40"/>
  <c r="P70" i="40"/>
  <c r="K60" i="44"/>
  <c r="K59" i="44"/>
  <c r="K69" i="18"/>
  <c r="K27" i="44"/>
  <c r="O94" i="40"/>
  <c r="O93" i="40" s="1"/>
  <c r="O99" i="40" s="1"/>
  <c r="J86" i="18"/>
  <c r="J84" i="18" s="1"/>
  <c r="J90" i="18" s="1"/>
  <c r="J23" i="20" l="1"/>
  <c r="K70" i="21"/>
  <c r="K5" i="44"/>
  <c r="J85" i="21"/>
  <c r="J86" i="21"/>
  <c r="J107" i="21"/>
  <c r="K110" i="21"/>
  <c r="K111" i="21" s="1"/>
  <c r="K109" i="21" s="1"/>
  <c r="K58" i="44"/>
  <c r="P102" i="40"/>
  <c r="P103" i="40" s="1"/>
  <c r="P101" i="40" s="1"/>
  <c r="P106" i="40" s="1"/>
  <c r="P92" i="40" s="1"/>
  <c r="P87" i="40" s="1"/>
  <c r="O98" i="40"/>
  <c r="K93" i="18"/>
  <c r="K94" i="18" s="1"/>
  <c r="K92" i="18" s="1"/>
  <c r="J89" i="18"/>
  <c r="K36" i="21" l="1"/>
  <c r="K90" i="21" s="1"/>
  <c r="K91" i="21" s="1"/>
  <c r="P36" i="40"/>
  <c r="P68" i="40" s="1"/>
  <c r="P78" i="40" s="1"/>
  <c r="P97" i="40"/>
  <c r="P88" i="40"/>
  <c r="P95" i="40" s="1"/>
  <c r="P96" i="40"/>
  <c r="K35" i="18"/>
  <c r="K51" i="18"/>
  <c r="K59" i="17"/>
  <c r="K59" i="18"/>
  <c r="K79" i="21" l="1"/>
  <c r="K60" i="21"/>
  <c r="L13" i="44"/>
  <c r="K52" i="21"/>
  <c r="K19" i="20"/>
  <c r="K13" i="21"/>
  <c r="L7" i="44"/>
  <c r="K50" i="21"/>
  <c r="P67" i="40"/>
  <c r="P58" i="40" s="1"/>
  <c r="P57" i="40" s="1"/>
  <c r="P83" i="40" s="1"/>
  <c r="P77" i="40"/>
  <c r="K22" i="18"/>
  <c r="K29" i="18" s="1"/>
  <c r="L50" i="18" s="1"/>
  <c r="P94" i="40"/>
  <c r="P93" i="40" s="1"/>
  <c r="K52" i="19"/>
  <c r="K22" i="19" s="1"/>
  <c r="K30" i="19" s="1"/>
  <c r="K62" i="19" s="1"/>
  <c r="K60" i="19"/>
  <c r="K51" i="17"/>
  <c r="K22" i="17" s="1"/>
  <c r="K29" i="17" s="1"/>
  <c r="K61" i="17" s="1"/>
  <c r="K58" i="17" s="1"/>
  <c r="K23" i="21" l="1"/>
  <c r="K30" i="21" s="1"/>
  <c r="K62" i="21" s="1"/>
  <c r="K59" i="21" s="1"/>
  <c r="K20" i="20"/>
  <c r="Q69" i="40"/>
  <c r="P11" i="22"/>
  <c r="Q70" i="40"/>
  <c r="K61" i="18"/>
  <c r="K58" i="18" s="1"/>
  <c r="K23" i="18"/>
  <c r="K32" i="18" s="1"/>
  <c r="P99" i="40"/>
  <c r="Q102" i="40"/>
  <c r="Q103" i="40" s="1"/>
  <c r="Q101" i="40" s="1"/>
  <c r="P98" i="40"/>
  <c r="L51" i="19"/>
  <c r="K59" i="19"/>
  <c r="K23" i="19"/>
  <c r="K23" i="17"/>
  <c r="K32" i="17" s="1"/>
  <c r="L50" i="17"/>
  <c r="L51" i="21" l="1"/>
  <c r="L8" i="44"/>
  <c r="K24" i="21"/>
  <c r="L33" i="44"/>
  <c r="K97" i="18"/>
  <c r="K83" i="18" s="1"/>
  <c r="K79" i="18" s="1"/>
  <c r="K80" i="18" s="1"/>
  <c r="K85" i="18" s="1"/>
  <c r="K67" i="18"/>
  <c r="K68" i="18"/>
  <c r="Q106" i="40"/>
  <c r="Q92" i="40" s="1"/>
  <c r="Q36" i="40"/>
  <c r="Q68" i="40" s="1"/>
  <c r="K33" i="19"/>
  <c r="K16" i="22"/>
  <c r="K113" i="21" l="1"/>
  <c r="K100" i="21" s="1"/>
  <c r="K95" i="21" s="1"/>
  <c r="K33" i="21"/>
  <c r="K68" i="21" s="1"/>
  <c r="K77" i="21" s="1"/>
  <c r="L16" i="44"/>
  <c r="L18" i="44"/>
  <c r="K66" i="18"/>
  <c r="K57" i="18" s="1"/>
  <c r="K56" i="18" s="1"/>
  <c r="K86" i="18"/>
  <c r="K84" i="18" s="1"/>
  <c r="K88" i="18"/>
  <c r="K87" i="18"/>
  <c r="Q78" i="40"/>
  <c r="Q77" i="40"/>
  <c r="Q67" i="40"/>
  <c r="Q58" i="40" s="1"/>
  <c r="Q57" i="40" s="1"/>
  <c r="Q83" i="40" s="1"/>
  <c r="Q87" i="40"/>
  <c r="Q88" i="40" s="1"/>
  <c r="K17" i="22"/>
  <c r="K15" i="22"/>
  <c r="K14" i="22"/>
  <c r="K18" i="22"/>
  <c r="K96" i="21" l="1"/>
  <c r="K105" i="21"/>
  <c r="K104" i="21"/>
  <c r="L61" i="44" s="1"/>
  <c r="K102" i="21"/>
  <c r="K103" i="21"/>
  <c r="K69" i="21"/>
  <c r="K67" i="21" s="1"/>
  <c r="K58" i="21" s="1"/>
  <c r="K57" i="21" s="1"/>
  <c r="K85" i="21" s="1"/>
  <c r="L87" i="21"/>
  <c r="K21" i="20"/>
  <c r="L69" i="18"/>
  <c r="L27" i="44"/>
  <c r="L6" i="44"/>
  <c r="K78" i="21"/>
  <c r="K88" i="21" s="1"/>
  <c r="L10" i="44"/>
  <c r="K75" i="18"/>
  <c r="K89" i="18"/>
  <c r="K90" i="18"/>
  <c r="L93" i="18"/>
  <c r="L94" i="18" s="1"/>
  <c r="L92" i="18" s="1"/>
  <c r="L35" i="18" s="1"/>
  <c r="Q95" i="40"/>
  <c r="Q97" i="40"/>
  <c r="Q94" i="40"/>
  <c r="Q11" i="22"/>
  <c r="R69" i="40"/>
  <c r="R70" i="40"/>
  <c r="Q96" i="40"/>
  <c r="K101" i="21" l="1"/>
  <c r="K107" i="21" s="1"/>
  <c r="L58" i="44"/>
  <c r="L60" i="44"/>
  <c r="L59" i="44"/>
  <c r="K86" i="21"/>
  <c r="K83" i="21"/>
  <c r="K23" i="20"/>
  <c r="L70" i="21"/>
  <c r="K84" i="21"/>
  <c r="L5" i="44"/>
  <c r="K22" i="20"/>
  <c r="Q93" i="40"/>
  <c r="R102" i="40" s="1"/>
  <c r="R103" i="40" s="1"/>
  <c r="R101" i="40" s="1"/>
  <c r="L51" i="18"/>
  <c r="K106" i="21" l="1"/>
  <c r="L62" i="44" s="1"/>
  <c r="L110" i="21"/>
  <c r="L111" i="21" s="1"/>
  <c r="L109" i="21" s="1"/>
  <c r="L36" i="21" s="1"/>
  <c r="Q99" i="40"/>
  <c r="Q98" i="40"/>
  <c r="R106" i="40"/>
  <c r="R92" i="40" s="1"/>
  <c r="R36" i="40"/>
  <c r="R68" i="40" s="1"/>
  <c r="L59" i="18"/>
  <c r="L22" i="18"/>
  <c r="L29" i="18" s="1"/>
  <c r="L61" i="18" s="1"/>
  <c r="L51" i="17"/>
  <c r="L22" i="17" s="1"/>
  <c r="L59" i="17"/>
  <c r="L52" i="19"/>
  <c r="L60" i="19"/>
  <c r="M13" i="44" l="1"/>
  <c r="L90" i="21"/>
  <c r="L91" i="21" s="1"/>
  <c r="R78" i="40"/>
  <c r="R77" i="40"/>
  <c r="R67" i="40"/>
  <c r="R58" i="40" s="1"/>
  <c r="R57" i="40" s="1"/>
  <c r="R83" i="40" s="1"/>
  <c r="R87" i="40"/>
  <c r="R88" i="40" s="1"/>
  <c r="R95" i="40" s="1"/>
  <c r="L58" i="18"/>
  <c r="L23" i="18"/>
  <c r="M50" i="18"/>
  <c r="L29" i="17"/>
  <c r="L61" i="17" s="1"/>
  <c r="L58" i="17" s="1"/>
  <c r="L23" i="17"/>
  <c r="L32" i="17" s="1"/>
  <c r="L22" i="19"/>
  <c r="R94" i="40" l="1"/>
  <c r="R93" i="40" s="1"/>
  <c r="R96" i="40"/>
  <c r="R97" i="40"/>
  <c r="L97" i="18"/>
  <c r="L83" i="18" s="1"/>
  <c r="R11" i="22"/>
  <c r="S70" i="40"/>
  <c r="S69" i="40"/>
  <c r="L32" i="18"/>
  <c r="L68" i="18" s="1"/>
  <c r="M50" i="17"/>
  <c r="L30" i="19"/>
  <c r="L23" i="19"/>
  <c r="L13" i="21" l="1"/>
  <c r="L19" i="20"/>
  <c r="M7" i="44"/>
  <c r="L52" i="21"/>
  <c r="L60" i="21"/>
  <c r="L50" i="21"/>
  <c r="L23" i="21" s="1"/>
  <c r="L30" i="21" s="1"/>
  <c r="L79" i="21"/>
  <c r="M33" i="44"/>
  <c r="S102" i="40"/>
  <c r="S103" i="40" s="1"/>
  <c r="S101" i="40" s="1"/>
  <c r="S36" i="40" s="1"/>
  <c r="S68" i="40" s="1"/>
  <c r="R98" i="40"/>
  <c r="R99" i="40"/>
  <c r="L79" i="18"/>
  <c r="L33" i="19"/>
  <c r="L67" i="18"/>
  <c r="L66" i="18" s="1"/>
  <c r="L57" i="18" s="1"/>
  <c r="L56" i="18" s="1"/>
  <c r="L62" i="19"/>
  <c r="L59" i="19" s="1"/>
  <c r="M51" i="19"/>
  <c r="L20" i="20" l="1"/>
  <c r="L75" i="18"/>
  <c r="M27" i="44"/>
  <c r="S106" i="40"/>
  <c r="S92" i="40" s="1"/>
  <c r="S87" i="40" s="1"/>
  <c r="S88" i="40" s="1"/>
  <c r="L24" i="21"/>
  <c r="L62" i="21"/>
  <c r="M51" i="21"/>
  <c r="L80" i="18"/>
  <c r="L85" i="18" s="1"/>
  <c r="L88" i="18"/>
  <c r="L87" i="18"/>
  <c r="S67" i="40"/>
  <c r="S58" i="40" s="1"/>
  <c r="S57" i="40" s="1"/>
  <c r="S83" i="40" s="1"/>
  <c r="S77" i="40"/>
  <c r="S78" i="40"/>
  <c r="C30" i="22"/>
  <c r="C27" i="22"/>
  <c r="C31" i="22"/>
  <c r="L17" i="22"/>
  <c r="M69" i="18"/>
  <c r="L59" i="21" l="1"/>
  <c r="M8" i="44"/>
  <c r="M16" i="44"/>
  <c r="L86" i="18"/>
  <c r="L84" i="18" s="1"/>
  <c r="L89" i="18" s="1"/>
  <c r="L33" i="21"/>
  <c r="L113" i="21"/>
  <c r="L100" i="21" s="1"/>
  <c r="S95" i="40"/>
  <c r="S97" i="40"/>
  <c r="S96" i="40"/>
  <c r="S94" i="40"/>
  <c r="S11" i="22"/>
  <c r="T70" i="40"/>
  <c r="T69" i="40"/>
  <c r="C29" i="22"/>
  <c r="C28" i="22"/>
  <c r="C22" i="22"/>
  <c r="L16" i="22"/>
  <c r="L18" i="22"/>
  <c r="L14" i="22"/>
  <c r="L15" i="22"/>
  <c r="L95" i="21" l="1"/>
  <c r="L105" i="21" s="1"/>
  <c r="L68" i="21"/>
  <c r="L77" i="21" s="1"/>
  <c r="M18" i="44"/>
  <c r="S93" i="40"/>
  <c r="S98" i="40" s="1"/>
  <c r="L69" i="21"/>
  <c r="M93" i="18"/>
  <c r="M94" i="18" s="1"/>
  <c r="M92" i="18" s="1"/>
  <c r="M35" i="18" s="1"/>
  <c r="L90" i="18"/>
  <c r="N12" i="19"/>
  <c r="M87" i="21" l="1"/>
  <c r="L104" i="21"/>
  <c r="L96" i="21"/>
  <c r="L103" i="21" s="1"/>
  <c r="N52" i="19"/>
  <c r="N50" i="19"/>
  <c r="L67" i="21"/>
  <c r="L58" i="21" s="1"/>
  <c r="L57" i="21" s="1"/>
  <c r="S99" i="40"/>
  <c r="L21" i="20"/>
  <c r="M6" i="44"/>
  <c r="L78" i="21"/>
  <c r="L88" i="21" s="1"/>
  <c r="M10" i="44"/>
  <c r="T102" i="40"/>
  <c r="T103" i="40" s="1"/>
  <c r="T101" i="40" s="1"/>
  <c r="T106" i="40" s="1"/>
  <c r="T92" i="40" s="1"/>
  <c r="T87" i="40" s="1"/>
  <c r="T97" i="40" s="1"/>
  <c r="L102" i="21"/>
  <c r="M51" i="18"/>
  <c r="M60" i="19"/>
  <c r="M51" i="17"/>
  <c r="M22" i="17" s="1"/>
  <c r="M29" i="17" s="1"/>
  <c r="M61" i="17" s="1"/>
  <c r="N12" i="17"/>
  <c r="M59" i="17"/>
  <c r="M52" i="19"/>
  <c r="M59" i="18"/>
  <c r="O12" i="19"/>
  <c r="O52" i="19" s="1"/>
  <c r="N60" i="19"/>
  <c r="M61" i="44" l="1"/>
  <c r="M5" i="44"/>
  <c r="M70" i="21"/>
  <c r="L86" i="21"/>
  <c r="L83" i="21"/>
  <c r="L85" i="21"/>
  <c r="L84" i="21"/>
  <c r="L23" i="20"/>
  <c r="N59" i="17"/>
  <c r="N49" i="17"/>
  <c r="O50" i="17" s="1"/>
  <c r="O50" i="19"/>
  <c r="L101" i="21"/>
  <c r="T36" i="40"/>
  <c r="L22" i="20"/>
  <c r="M22" i="18"/>
  <c r="M29" i="18" s="1"/>
  <c r="T96" i="40"/>
  <c r="T88" i="40"/>
  <c r="M22" i="19"/>
  <c r="M30" i="19" s="1"/>
  <c r="M62" i="19" s="1"/>
  <c r="M59" i="19" s="1"/>
  <c r="O12" i="17"/>
  <c r="O59" i="17" s="1"/>
  <c r="N51" i="17"/>
  <c r="N50" i="17"/>
  <c r="M58" i="17"/>
  <c r="M23" i="17"/>
  <c r="M32" i="17" s="1"/>
  <c r="O60" i="19"/>
  <c r="P12" i="19"/>
  <c r="P52" i="19" s="1"/>
  <c r="N59" i="18"/>
  <c r="N51" i="18"/>
  <c r="L106" i="21" l="1"/>
  <c r="M62" i="44" s="1"/>
  <c r="M58" i="44"/>
  <c r="M59" i="44"/>
  <c r="M60" i="44"/>
  <c r="T68" i="40"/>
  <c r="T78" i="40" s="1"/>
  <c r="L107" i="21"/>
  <c r="M110" i="21"/>
  <c r="M111" i="21" s="1"/>
  <c r="M109" i="21" s="1"/>
  <c r="M36" i="21" s="1"/>
  <c r="P50" i="19"/>
  <c r="O49" i="17"/>
  <c r="P50" i="17" s="1"/>
  <c r="M23" i="18"/>
  <c r="M97" i="18" s="1"/>
  <c r="T94" i="40"/>
  <c r="T95" i="40"/>
  <c r="O51" i="19"/>
  <c r="N51" i="19"/>
  <c r="N22" i="19" s="1"/>
  <c r="N30" i="19" s="1"/>
  <c r="N62" i="19" s="1"/>
  <c r="N59" i="19" s="1"/>
  <c r="M23" i="19"/>
  <c r="P12" i="17"/>
  <c r="Q12" i="17" s="1"/>
  <c r="R12" i="17" s="1"/>
  <c r="O51" i="17"/>
  <c r="P51" i="19"/>
  <c r="N22" i="17"/>
  <c r="N29" i="17" s="1"/>
  <c r="N61" i="17" s="1"/>
  <c r="N58" i="17" s="1"/>
  <c r="N50" i="18"/>
  <c r="N22" i="18" s="1"/>
  <c r="M61" i="18"/>
  <c r="Q12" i="19"/>
  <c r="Q52" i="19" s="1"/>
  <c r="P60" i="19"/>
  <c r="T67" i="40" l="1"/>
  <c r="T58" i="40" s="1"/>
  <c r="T57" i="40" s="1"/>
  <c r="T83" i="40" s="1"/>
  <c r="T77" i="40"/>
  <c r="N13" i="44"/>
  <c r="N33" i="44"/>
  <c r="P49" i="17"/>
  <c r="Q49" i="17" s="1"/>
  <c r="R49" i="17" s="1"/>
  <c r="Q50" i="19"/>
  <c r="M32" i="18"/>
  <c r="M68" i="18" s="1"/>
  <c r="M83" i="18"/>
  <c r="M90" i="21"/>
  <c r="M91" i="21" s="1"/>
  <c r="T93" i="40"/>
  <c r="T98" i="40" s="1"/>
  <c r="M33" i="19"/>
  <c r="P59" i="17"/>
  <c r="P51" i="17"/>
  <c r="Q59" i="17"/>
  <c r="Q51" i="17"/>
  <c r="O22" i="17"/>
  <c r="O29" i="17" s="1"/>
  <c r="O61" i="17" s="1"/>
  <c r="O58" i="17" s="1"/>
  <c r="Q51" i="19"/>
  <c r="N23" i="17"/>
  <c r="N32" i="17" s="1"/>
  <c r="O22" i="19"/>
  <c r="O30" i="19" s="1"/>
  <c r="O62" i="19" s="1"/>
  <c r="O59" i="19" s="1"/>
  <c r="N23" i="19"/>
  <c r="M58" i="18"/>
  <c r="Q60" i="19"/>
  <c r="R12" i="19"/>
  <c r="S12" i="19" s="1"/>
  <c r="M16" i="22"/>
  <c r="S12" i="17"/>
  <c r="R51" i="17"/>
  <c r="R59" i="17"/>
  <c r="N23" i="18"/>
  <c r="N29" i="18"/>
  <c r="U69" i="40" l="1"/>
  <c r="T11" i="22"/>
  <c r="U70" i="40"/>
  <c r="M79" i="21"/>
  <c r="D81" i="21" s="1"/>
  <c r="Q50" i="17"/>
  <c r="O33" i="44"/>
  <c r="R50" i="19"/>
  <c r="S50" i="19" s="1"/>
  <c r="S49" i="17"/>
  <c r="M67" i="18"/>
  <c r="M66" i="18" s="1"/>
  <c r="M57" i="18" s="1"/>
  <c r="M56" i="18" s="1"/>
  <c r="T99" i="40"/>
  <c r="U102" i="40"/>
  <c r="U103" i="40" s="1"/>
  <c r="U101" i="40" s="1"/>
  <c r="U106" i="40" s="1"/>
  <c r="U92" i="40" s="1"/>
  <c r="U87" i="40" s="1"/>
  <c r="U96" i="40" s="1"/>
  <c r="N33" i="19"/>
  <c r="P22" i="17"/>
  <c r="P29" i="17" s="1"/>
  <c r="P61" i="17" s="1"/>
  <c r="P58" i="17" s="1"/>
  <c r="R50" i="17"/>
  <c r="R51" i="19"/>
  <c r="P22" i="19"/>
  <c r="P30" i="19" s="1"/>
  <c r="P62" i="19" s="1"/>
  <c r="P59" i="19" s="1"/>
  <c r="O23" i="17"/>
  <c r="O32" i="17" s="1"/>
  <c r="O23" i="19"/>
  <c r="M79" i="18"/>
  <c r="M87" i="18" s="1"/>
  <c r="R60" i="19"/>
  <c r="R52" i="19"/>
  <c r="D31" i="22"/>
  <c r="D28" i="22"/>
  <c r="D27" i="22"/>
  <c r="D22" i="22"/>
  <c r="M17" i="22"/>
  <c r="D30" i="22"/>
  <c r="M15" i="22"/>
  <c r="M14" i="22"/>
  <c r="M18" i="22"/>
  <c r="D29" i="22"/>
  <c r="S59" i="17"/>
  <c r="T12" i="17"/>
  <c r="S51" i="17"/>
  <c r="S52" i="19"/>
  <c r="T12" i="19"/>
  <c r="S60" i="19"/>
  <c r="N61" i="18"/>
  <c r="N58" i="18" s="1"/>
  <c r="O50" i="18"/>
  <c r="N32" i="18"/>
  <c r="N7" i="44" l="1"/>
  <c r="M13" i="21"/>
  <c r="M52" i="21"/>
  <c r="M60" i="21"/>
  <c r="N12" i="21"/>
  <c r="N79" i="21" s="1"/>
  <c r="M50" i="21"/>
  <c r="M19" i="20"/>
  <c r="O12" i="20" s="1"/>
  <c r="N12" i="20" s="1"/>
  <c r="Q12" i="20"/>
  <c r="P12" i="20" s="1"/>
  <c r="M20" i="20"/>
  <c r="G27" i="20" s="1"/>
  <c r="P33" i="44"/>
  <c r="T49" i="17"/>
  <c r="T50" i="19"/>
  <c r="M75" i="18"/>
  <c r="N27" i="44"/>
  <c r="U36" i="40"/>
  <c r="U68" i="40" s="1"/>
  <c r="U77" i="40" s="1"/>
  <c r="U88" i="40"/>
  <c r="U94" i="40" s="1"/>
  <c r="U97" i="40"/>
  <c r="O33" i="19"/>
  <c r="P23" i="17"/>
  <c r="P32" i="17" s="1"/>
  <c r="T50" i="17"/>
  <c r="Q22" i="17"/>
  <c r="Q29" i="17" s="1"/>
  <c r="Q61" i="17" s="1"/>
  <c r="Q58" i="17" s="1"/>
  <c r="Q22" i="19"/>
  <c r="Q30" i="19" s="1"/>
  <c r="Q62" i="19" s="1"/>
  <c r="Q59" i="19" s="1"/>
  <c r="P23" i="19"/>
  <c r="T51" i="19"/>
  <c r="N69" i="18"/>
  <c r="M88" i="18"/>
  <c r="M80" i="18"/>
  <c r="T52" i="19"/>
  <c r="T60" i="19"/>
  <c r="U12" i="19"/>
  <c r="U12" i="17"/>
  <c r="T51" i="17"/>
  <c r="T59" i="17"/>
  <c r="N68" i="18"/>
  <c r="N50" i="21" l="1"/>
  <c r="N60" i="21"/>
  <c r="G25" i="20"/>
  <c r="N52" i="21"/>
  <c r="O7" i="44"/>
  <c r="N13" i="21"/>
  <c r="M23" i="21"/>
  <c r="M24" i="21" s="1"/>
  <c r="O12" i="21"/>
  <c r="O79" i="21" s="1"/>
  <c r="U67" i="40"/>
  <c r="U58" i="40" s="1"/>
  <c r="U57" i="40" s="1"/>
  <c r="U83" i="40" s="1"/>
  <c r="U78" i="40"/>
  <c r="Q33" i="44"/>
  <c r="U50" i="19"/>
  <c r="U49" i="17"/>
  <c r="U95" i="40"/>
  <c r="U93" i="40" s="1"/>
  <c r="V102" i="40" s="1"/>
  <c r="V103" i="40" s="1"/>
  <c r="V101" i="40" s="1"/>
  <c r="P33" i="19"/>
  <c r="Q23" i="17"/>
  <c r="Q32" i="17" s="1"/>
  <c r="Q23" i="19"/>
  <c r="U50" i="17"/>
  <c r="S50" i="17"/>
  <c r="R22" i="17"/>
  <c r="R23" i="17" s="1"/>
  <c r="R32" i="17" s="1"/>
  <c r="R22" i="19"/>
  <c r="S22" i="19" s="1"/>
  <c r="S30" i="19" s="1"/>
  <c r="S62" i="19" s="1"/>
  <c r="S59" i="19" s="1"/>
  <c r="S51" i="19"/>
  <c r="M85" i="18"/>
  <c r="M86" i="18"/>
  <c r="U60" i="19"/>
  <c r="U52" i="19"/>
  <c r="V12" i="19"/>
  <c r="V12" i="17"/>
  <c r="U51" i="17"/>
  <c r="U59" i="17"/>
  <c r="O59" i="18"/>
  <c r="O51" i="18"/>
  <c r="N16" i="44" l="1"/>
  <c r="M113" i="21"/>
  <c r="O60" i="21"/>
  <c r="O52" i="21"/>
  <c r="M33" i="21"/>
  <c r="M68" i="21" s="1"/>
  <c r="P7" i="44"/>
  <c r="P12" i="21"/>
  <c r="P79" i="21" s="1"/>
  <c r="M30" i="21"/>
  <c r="O51" i="21" s="1"/>
  <c r="O13" i="21"/>
  <c r="O50" i="21"/>
  <c r="U11" i="22"/>
  <c r="V70" i="40"/>
  <c r="V69" i="40"/>
  <c r="R33" i="44"/>
  <c r="V49" i="17"/>
  <c r="V50" i="19"/>
  <c r="U98" i="40"/>
  <c r="U99" i="40"/>
  <c r="V36" i="40"/>
  <c r="V68" i="40" s="1"/>
  <c r="V106" i="40"/>
  <c r="Q33" i="19"/>
  <c r="V50" i="17"/>
  <c r="R30" i="19"/>
  <c r="R62" i="19" s="1"/>
  <c r="R59" i="19" s="1"/>
  <c r="S23" i="19"/>
  <c r="T22" i="19"/>
  <c r="T23" i="19" s="1"/>
  <c r="R23" i="19"/>
  <c r="U51" i="19"/>
  <c r="R29" i="17"/>
  <c r="R61" i="17" s="1"/>
  <c r="R58" i="17" s="1"/>
  <c r="S22" i="17"/>
  <c r="T22" i="17" s="1"/>
  <c r="T29" i="17" s="1"/>
  <c r="T61" i="17" s="1"/>
  <c r="T58" i="17" s="1"/>
  <c r="M84" i="18"/>
  <c r="N93" i="18" s="1"/>
  <c r="N94" i="18" s="1"/>
  <c r="N92" i="18" s="1"/>
  <c r="V59" i="17"/>
  <c r="V51" i="17"/>
  <c r="W12" i="17"/>
  <c r="V60" i="19"/>
  <c r="V52" i="19"/>
  <c r="W12" i="19"/>
  <c r="V51" i="19"/>
  <c r="O22" i="18"/>
  <c r="P50" i="21" l="1"/>
  <c r="N18" i="44"/>
  <c r="M69" i="21"/>
  <c r="N51" i="21"/>
  <c r="N23" i="21" s="1"/>
  <c r="O23" i="21" s="1"/>
  <c r="O24" i="21" s="1"/>
  <c r="M62" i="21"/>
  <c r="M59" i="21" s="1"/>
  <c r="M77" i="21" s="1"/>
  <c r="N87" i="21" s="1"/>
  <c r="Q12" i="21"/>
  <c r="Q79" i="21" s="1"/>
  <c r="Q7" i="44"/>
  <c r="P13" i="21"/>
  <c r="M67" i="21"/>
  <c r="S33" i="44"/>
  <c r="U33" i="44"/>
  <c r="T33" i="44"/>
  <c r="W50" i="19"/>
  <c r="W49" i="17"/>
  <c r="M78" i="21"/>
  <c r="M88" i="21" s="1"/>
  <c r="N10" i="44"/>
  <c r="V92" i="40"/>
  <c r="N97" i="18"/>
  <c r="U22" i="19"/>
  <c r="V22" i="19" s="1"/>
  <c r="R33" i="19"/>
  <c r="T33" i="19"/>
  <c r="S33" i="19"/>
  <c r="W50" i="17"/>
  <c r="T30" i="19"/>
  <c r="T62" i="19" s="1"/>
  <c r="T59" i="19" s="1"/>
  <c r="T23" i="17"/>
  <c r="T32" i="17" s="1"/>
  <c r="V78" i="40"/>
  <c r="V67" i="40"/>
  <c r="V58" i="40" s="1"/>
  <c r="V57" i="40" s="1"/>
  <c r="V77" i="40"/>
  <c r="S23" i="17"/>
  <c r="S32" i="17" s="1"/>
  <c r="U22" i="17"/>
  <c r="U29" i="17" s="1"/>
  <c r="U61" i="17" s="1"/>
  <c r="U58" i="17" s="1"/>
  <c r="S29" i="17"/>
  <c r="S61" i="17" s="1"/>
  <c r="S58" i="17" s="1"/>
  <c r="M90" i="18"/>
  <c r="M89" i="18"/>
  <c r="N35" i="18"/>
  <c r="N67" i="18" s="1"/>
  <c r="N66" i="18" s="1"/>
  <c r="N57" i="18" s="1"/>
  <c r="N56" i="18" s="1"/>
  <c r="O27" i="44" s="1"/>
  <c r="W52" i="19"/>
  <c r="W60" i="19"/>
  <c r="W51" i="19"/>
  <c r="W51" i="17"/>
  <c r="W59" i="17"/>
  <c r="O29" i="18"/>
  <c r="O23" i="18"/>
  <c r="M100" i="21" l="1"/>
  <c r="M95" i="21" s="1"/>
  <c r="M96" i="21" s="1"/>
  <c r="M103" i="21" s="1"/>
  <c r="Q13" i="21"/>
  <c r="R7" i="44"/>
  <c r="N24" i="21"/>
  <c r="O16" i="44" s="1"/>
  <c r="N30" i="21"/>
  <c r="N62" i="21" s="1"/>
  <c r="O8" i="44" s="1"/>
  <c r="Q50" i="21"/>
  <c r="N8" i="44"/>
  <c r="R12" i="21"/>
  <c r="R79" i="21" s="1"/>
  <c r="O30" i="21"/>
  <c r="O62" i="21" s="1"/>
  <c r="M21" i="20"/>
  <c r="M58" i="21"/>
  <c r="M57" i="21" s="1"/>
  <c r="M22" i="20"/>
  <c r="P16" i="44"/>
  <c r="N6" i="44"/>
  <c r="V11" i="22"/>
  <c r="V83" i="40"/>
  <c r="V87" i="40"/>
  <c r="V88" i="40" s="1"/>
  <c r="V95" i="40" s="1"/>
  <c r="N83" i="18"/>
  <c r="U23" i="19"/>
  <c r="U30" i="19"/>
  <c r="U62" i="19" s="1"/>
  <c r="U59" i="19" s="1"/>
  <c r="V22" i="17"/>
  <c r="W69" i="40"/>
  <c r="W70" i="40"/>
  <c r="U23" i="17"/>
  <c r="U32" i="17" s="1"/>
  <c r="N75" i="18"/>
  <c r="O69" i="18"/>
  <c r="W22" i="19"/>
  <c r="W23" i="19" s="1"/>
  <c r="V30" i="19"/>
  <c r="V62" i="19" s="1"/>
  <c r="V59" i="19" s="1"/>
  <c r="V23" i="19"/>
  <c r="O32" i="18"/>
  <c r="O61" i="18"/>
  <c r="O58" i="18" s="1"/>
  <c r="P50" i="18"/>
  <c r="P51" i="21"/>
  <c r="O33" i="21"/>
  <c r="P18" i="44" s="1"/>
  <c r="S7" i="44" l="1"/>
  <c r="N59" i="21"/>
  <c r="N33" i="21"/>
  <c r="O18" i="44" s="1"/>
  <c r="S12" i="21"/>
  <c r="S79" i="21" s="1"/>
  <c r="R13" i="21"/>
  <c r="R50" i="21"/>
  <c r="M83" i="21"/>
  <c r="M85" i="21"/>
  <c r="M86" i="21"/>
  <c r="N70" i="21"/>
  <c r="M104" i="21"/>
  <c r="M105" i="21"/>
  <c r="W33" i="44"/>
  <c r="V33" i="44"/>
  <c r="X33" i="44"/>
  <c r="N5" i="44"/>
  <c r="M84" i="21"/>
  <c r="M23" i="20"/>
  <c r="M102" i="21"/>
  <c r="O59" i="21"/>
  <c r="P8" i="44"/>
  <c r="V96" i="40"/>
  <c r="V94" i="40"/>
  <c r="V93" i="40" s="1"/>
  <c r="W22" i="17"/>
  <c r="W29" i="17" s="1"/>
  <c r="W61" i="17" s="1"/>
  <c r="W58" i="17" s="1"/>
  <c r="V97" i="40"/>
  <c r="N79" i="18"/>
  <c r="V33" i="19"/>
  <c r="W33" i="19"/>
  <c r="U33" i="19"/>
  <c r="V29" i="17"/>
  <c r="V61" i="17" s="1"/>
  <c r="V58" i="17" s="1"/>
  <c r="V23" i="17"/>
  <c r="V32" i="17" s="1"/>
  <c r="W30" i="19"/>
  <c r="W62" i="19" s="1"/>
  <c r="W59" i="19" s="1"/>
  <c r="O68" i="18"/>
  <c r="N69" i="21" l="1"/>
  <c r="T7" i="44"/>
  <c r="S13" i="21"/>
  <c r="T12" i="21"/>
  <c r="T79" i="21" s="1"/>
  <c r="S50" i="21"/>
  <c r="M12" i="20"/>
  <c r="L12" i="20"/>
  <c r="N61" i="44"/>
  <c r="U7" i="44"/>
  <c r="T13" i="21"/>
  <c r="U12" i="21"/>
  <c r="U79" i="21" s="1"/>
  <c r="T50" i="21"/>
  <c r="M101" i="21"/>
  <c r="V99" i="40"/>
  <c r="W102" i="40"/>
  <c r="W103" i="40" s="1"/>
  <c r="W101" i="40" s="1"/>
  <c r="W23" i="17"/>
  <c r="W32" i="17" s="1"/>
  <c r="V98" i="40"/>
  <c r="N87" i="18"/>
  <c r="N80" i="18"/>
  <c r="N85" i="18" s="1"/>
  <c r="N88" i="18"/>
  <c r="N18" i="22"/>
  <c r="E30" i="22"/>
  <c r="N17" i="22"/>
  <c r="N14" i="22"/>
  <c r="E29" i="22"/>
  <c r="N16" i="22"/>
  <c r="N15" i="22"/>
  <c r="E22" i="22"/>
  <c r="E27" i="22"/>
  <c r="E28" i="22"/>
  <c r="E31" i="22"/>
  <c r="U13" i="21" l="1"/>
  <c r="V12" i="21"/>
  <c r="V79" i="21" s="1"/>
  <c r="V7" i="44"/>
  <c r="M107" i="21"/>
  <c r="N58" i="44"/>
  <c r="U50" i="21"/>
  <c r="N60" i="44"/>
  <c r="M106" i="21"/>
  <c r="N62" i="44" s="1"/>
  <c r="N59" i="44"/>
  <c r="N110" i="21"/>
  <c r="N111" i="21" s="1"/>
  <c r="N109" i="21" s="1"/>
  <c r="N113" i="21" s="1"/>
  <c r="N100" i="21" s="1"/>
  <c r="N86" i="18"/>
  <c r="N84" i="18" s="1"/>
  <c r="W36" i="40"/>
  <c r="W106" i="40"/>
  <c r="W92" i="40" s="1"/>
  <c r="W87" i="40" s="1"/>
  <c r="W96" i="40" s="1"/>
  <c r="P52" i="21"/>
  <c r="P60" i="21"/>
  <c r="V13" i="21" l="1"/>
  <c r="W12" i="21"/>
  <c r="W79" i="21" s="1"/>
  <c r="W7" i="44"/>
  <c r="V50" i="21"/>
  <c r="N95" i="21"/>
  <c r="N105" i="21" s="1"/>
  <c r="N36" i="21"/>
  <c r="L2" i="43" a="1"/>
  <c r="L2" i="43" s="1"/>
  <c r="W68" i="40"/>
  <c r="W67" i="40" s="1"/>
  <c r="W58" i="40" s="1"/>
  <c r="W57" i="40" s="1"/>
  <c r="W83" i="40" s="1"/>
  <c r="G12" i="20" s="1"/>
  <c r="N90" i="18"/>
  <c r="N89" i="18"/>
  <c r="O93" i="18"/>
  <c r="O94" i="18" s="1"/>
  <c r="O92" i="18" s="1"/>
  <c r="O97" i="18" s="1"/>
  <c r="O83" i="18" s="1"/>
  <c r="W88" i="40"/>
  <c r="W95" i="40" s="1"/>
  <c r="W97" i="40"/>
  <c r="P23" i="21"/>
  <c r="P51" i="18"/>
  <c r="P59" i="18"/>
  <c r="X7" i="44" l="1"/>
  <c r="W13" i="21"/>
  <c r="W50" i="21"/>
  <c r="O13" i="44"/>
  <c r="N90" i="21"/>
  <c r="N91" i="21" s="1"/>
  <c r="N68" i="21"/>
  <c r="N67" i="21" s="1"/>
  <c r="N58" i="21" s="1"/>
  <c r="N57" i="21" s="1"/>
  <c r="N104" i="21"/>
  <c r="N96" i="21"/>
  <c r="N103" i="21" s="1"/>
  <c r="K2" i="43" a="1"/>
  <c r="K2" i="43" s="1"/>
  <c r="W77" i="40"/>
  <c r="I12" i="20" s="1"/>
  <c r="W78" i="40"/>
  <c r="O35" i="18"/>
  <c r="O67" i="18" s="1"/>
  <c r="O66" i="18" s="1"/>
  <c r="O57" i="18" s="1"/>
  <c r="O56" i="18" s="1"/>
  <c r="W94" i="40"/>
  <c r="W11" i="22"/>
  <c r="J12" i="20"/>
  <c r="O79" i="18"/>
  <c r="O80" i="18" s="1"/>
  <c r="O86" i="18" s="1"/>
  <c r="P24" i="21"/>
  <c r="P30" i="21"/>
  <c r="P22" i="18"/>
  <c r="O10" i="44" l="1"/>
  <c r="N77" i="21"/>
  <c r="N78" i="21"/>
  <c r="N88" i="21" s="1"/>
  <c r="N102" i="21"/>
  <c r="O5" i="44"/>
  <c r="O69" i="21"/>
  <c r="N83" i="21"/>
  <c r="N85" i="21"/>
  <c r="O70" i="21"/>
  <c r="N86" i="21"/>
  <c r="N84" i="21"/>
  <c r="Q16" i="44"/>
  <c r="P69" i="18"/>
  <c r="P27" i="44"/>
  <c r="O75" i="18"/>
  <c r="W93" i="40"/>
  <c r="W99" i="40" s="1"/>
  <c r="O85" i="18"/>
  <c r="O84" i="18" s="1"/>
  <c r="O88" i="18"/>
  <c r="O87" i="18"/>
  <c r="O18" i="22"/>
  <c r="F29" i="22"/>
  <c r="F30" i="22"/>
  <c r="F31" i="22"/>
  <c r="F28" i="22"/>
  <c r="O17" i="22"/>
  <c r="F27" i="22"/>
  <c r="O16" i="22"/>
  <c r="O15" i="22"/>
  <c r="O14" i="22"/>
  <c r="F22" i="22"/>
  <c r="P62" i="21"/>
  <c r="Q51" i="21"/>
  <c r="P23" i="18"/>
  <c r="P29" i="18"/>
  <c r="P33" i="21"/>
  <c r="Q18" i="44" s="1"/>
  <c r="O87" i="21" l="1"/>
  <c r="O6" i="44"/>
  <c r="O61" i="44"/>
  <c r="N101" i="21"/>
  <c r="P59" i="21"/>
  <c r="Q8" i="44"/>
  <c r="P93" i="18"/>
  <c r="P94" i="18" s="1"/>
  <c r="P92" i="18" s="1"/>
  <c r="P97" i="18" s="1"/>
  <c r="W98" i="40"/>
  <c r="O90" i="18"/>
  <c r="O89" i="18"/>
  <c r="P32" i="18"/>
  <c r="P61" i="18"/>
  <c r="P58" i="18" s="1"/>
  <c r="Q50" i="18"/>
  <c r="O59" i="44" l="1"/>
  <c r="O58" i="44"/>
  <c r="O60" i="44"/>
  <c r="N106" i="21"/>
  <c r="O62" i="44" s="1"/>
  <c r="O110" i="21"/>
  <c r="O111" i="21" s="1"/>
  <c r="O109" i="21" s="1"/>
  <c r="N107" i="21"/>
  <c r="P35" i="18"/>
  <c r="P67" i="18" s="1"/>
  <c r="P83" i="18"/>
  <c r="P68" i="18"/>
  <c r="O36" i="21" l="1"/>
  <c r="O113" i="21"/>
  <c r="O100" i="21" s="1"/>
  <c r="P66" i="18"/>
  <c r="P57" i="18" s="1"/>
  <c r="P56" i="18" s="1"/>
  <c r="P79" i="18"/>
  <c r="P80" i="18" s="1"/>
  <c r="Q60" i="21"/>
  <c r="Q52" i="21"/>
  <c r="O95" i="21" l="1"/>
  <c r="O104" i="21" s="1"/>
  <c r="O90" i="21"/>
  <c r="O91" i="21" s="1"/>
  <c r="O68" i="21"/>
  <c r="P13" i="44"/>
  <c r="Q69" i="18"/>
  <c r="Q27" i="44"/>
  <c r="P75" i="18"/>
  <c r="P88" i="18"/>
  <c r="P87" i="18"/>
  <c r="P85" i="18"/>
  <c r="Q23" i="21"/>
  <c r="Q59" i="18"/>
  <c r="Q51" i="18"/>
  <c r="P86" i="18"/>
  <c r="P10" i="44" l="1"/>
  <c r="O67" i="21"/>
  <c r="O58" i="21" s="1"/>
  <c r="O57" i="21" s="1"/>
  <c r="O78" i="21"/>
  <c r="O77" i="21"/>
  <c r="P87" i="21" s="1"/>
  <c r="O105" i="21"/>
  <c r="O96" i="21"/>
  <c r="Q22" i="18"/>
  <c r="Q30" i="21"/>
  <c r="Q24" i="21"/>
  <c r="P84" i="18"/>
  <c r="O102" i="21" l="1"/>
  <c r="O103" i="21"/>
  <c r="P6" i="44"/>
  <c r="O88" i="21"/>
  <c r="P69" i="21"/>
  <c r="P70" i="21"/>
  <c r="O86" i="21"/>
  <c r="O85" i="21"/>
  <c r="O84" i="21"/>
  <c r="P5" i="44"/>
  <c r="O83" i="21"/>
  <c r="R16" i="44"/>
  <c r="Q62" i="21"/>
  <c r="R51" i="21"/>
  <c r="Q29" i="18"/>
  <c r="Q23" i="18"/>
  <c r="P90" i="18"/>
  <c r="Q93" i="18"/>
  <c r="Q94" i="18" s="1"/>
  <c r="Q92" i="18" s="1"/>
  <c r="Q33" i="21"/>
  <c r="R18" i="44" s="1"/>
  <c r="P89" i="18"/>
  <c r="P61" i="44" l="1"/>
  <c r="O101" i="21"/>
  <c r="Q59" i="21"/>
  <c r="R8" i="44"/>
  <c r="Q97" i="18"/>
  <c r="P18" i="22"/>
  <c r="P14" i="22"/>
  <c r="P17" i="22"/>
  <c r="P16" i="22"/>
  <c r="G28" i="22"/>
  <c r="G22" i="22"/>
  <c r="G30" i="22"/>
  <c r="P15" i="22"/>
  <c r="G29" i="22"/>
  <c r="G27" i="22"/>
  <c r="G31" i="22"/>
  <c r="Q61" i="18"/>
  <c r="Q58" i="18" s="1"/>
  <c r="R50" i="18"/>
  <c r="Q35" i="18"/>
  <c r="Q32" i="18"/>
  <c r="Q68" i="18" s="1"/>
  <c r="O106" i="21" l="1"/>
  <c r="P62" i="44" s="1"/>
  <c r="P58" i="44"/>
  <c r="P60" i="44"/>
  <c r="P59" i="44"/>
  <c r="P110" i="21"/>
  <c r="P111" i="21" s="1"/>
  <c r="P109" i="21" s="1"/>
  <c r="P113" i="21" s="1"/>
  <c r="P100" i="21" s="1"/>
  <c r="O107" i="21"/>
  <c r="Q83" i="18"/>
  <c r="Q79" i="18" s="1"/>
  <c r="Q80" i="18" s="1"/>
  <c r="Q67" i="18"/>
  <c r="Q66" i="18" s="1"/>
  <c r="Q57" i="18" s="1"/>
  <c r="Q56" i="18" s="1"/>
  <c r="R27" i="44" s="1"/>
  <c r="P36" i="21" l="1"/>
  <c r="P95" i="21"/>
  <c r="P105" i="21" s="1"/>
  <c r="Q87" i="18"/>
  <c r="Q85" i="18"/>
  <c r="R52" i="21"/>
  <c r="R60" i="21"/>
  <c r="R69" i="18"/>
  <c r="Q75" i="18"/>
  <c r="Q88" i="18"/>
  <c r="Q86" i="18"/>
  <c r="Q13" i="44" l="1"/>
  <c r="P90" i="21"/>
  <c r="P91" i="21" s="1"/>
  <c r="P68" i="21"/>
  <c r="P67" i="21" s="1"/>
  <c r="P58" i="21" s="1"/>
  <c r="P57" i="21" s="1"/>
  <c r="P104" i="21"/>
  <c r="P96" i="21"/>
  <c r="P102" i="21" s="1"/>
  <c r="Q84" i="18"/>
  <c r="Q89" i="18" s="1"/>
  <c r="R23" i="21"/>
  <c r="R59" i="18"/>
  <c r="R51" i="18"/>
  <c r="Q10" i="44" l="1"/>
  <c r="P78" i="21"/>
  <c r="P88" i="21" s="1"/>
  <c r="P77" i="21"/>
  <c r="Q87" i="21" s="1"/>
  <c r="P103" i="21"/>
  <c r="Q61" i="44" s="1"/>
  <c r="Q69" i="21"/>
  <c r="P84" i="21"/>
  <c r="Q5" i="44"/>
  <c r="Q70" i="21"/>
  <c r="P85" i="21"/>
  <c r="P86" i="21"/>
  <c r="P83" i="21"/>
  <c r="Q90" i="18"/>
  <c r="R93" i="18"/>
  <c r="R94" i="18" s="1"/>
  <c r="R92" i="18" s="1"/>
  <c r="R24" i="21"/>
  <c r="R30" i="21"/>
  <c r="R22" i="18"/>
  <c r="Q6" i="44" l="1"/>
  <c r="P101" i="21"/>
  <c r="S16" i="44"/>
  <c r="R35" i="18"/>
  <c r="Q17" i="22"/>
  <c r="Q14" i="22"/>
  <c r="H28" i="22"/>
  <c r="Q16" i="22"/>
  <c r="H27" i="22"/>
  <c r="Q18" i="22"/>
  <c r="Q15" i="22"/>
  <c r="H29" i="22"/>
  <c r="H22" i="22"/>
  <c r="H31" i="22"/>
  <c r="H30" i="22"/>
  <c r="R62" i="21"/>
  <c r="S51" i="21"/>
  <c r="R29" i="18"/>
  <c r="R23" i="18"/>
  <c r="R97" i="18" s="1"/>
  <c r="R33" i="21"/>
  <c r="S18" i="44" s="1"/>
  <c r="Q60" i="44" l="1"/>
  <c r="Q58" i="44"/>
  <c r="Q59" i="44"/>
  <c r="Q110" i="21"/>
  <c r="Q111" i="21" s="1"/>
  <c r="Q109" i="21" s="1"/>
  <c r="Q113" i="21" s="1"/>
  <c r="Q100" i="21" s="1"/>
  <c r="P106" i="21"/>
  <c r="Q62" i="44" s="1"/>
  <c r="P107" i="21"/>
  <c r="R59" i="21"/>
  <c r="S8" i="44"/>
  <c r="R61" i="18"/>
  <c r="R58" i="18" s="1"/>
  <c r="S50" i="18"/>
  <c r="R32" i="18"/>
  <c r="R67" i="18" s="1"/>
  <c r="Q36" i="21" l="1"/>
  <c r="Q95" i="21"/>
  <c r="R83" i="18"/>
  <c r="R79" i="18" s="1"/>
  <c r="R80" i="18" s="1"/>
  <c r="R68" i="18"/>
  <c r="R66" i="18" s="1"/>
  <c r="R57" i="18" s="1"/>
  <c r="R56" i="18" s="1"/>
  <c r="S27" i="44" s="1"/>
  <c r="R13" i="44" l="1"/>
  <c r="Q68" i="21"/>
  <c r="Q78" i="21" s="1"/>
  <c r="Q90" i="21"/>
  <c r="Q91" i="21" s="1"/>
  <c r="Q105" i="21"/>
  <c r="Q104" i="21"/>
  <c r="Q96" i="21"/>
  <c r="Q103" i="21" s="1"/>
  <c r="R10" i="44"/>
  <c r="Q67" i="21"/>
  <c r="Q58" i="21" s="1"/>
  <c r="Q57" i="21" s="1"/>
  <c r="R18" i="22"/>
  <c r="R15" i="22"/>
  <c r="R14" i="22"/>
  <c r="R17" i="22"/>
  <c r="H12" i="20" s="1"/>
  <c r="R16" i="22"/>
  <c r="I27" i="22"/>
  <c r="I28" i="22"/>
  <c r="I22" i="22"/>
  <c r="I31" i="22"/>
  <c r="I29" i="22"/>
  <c r="I30" i="22"/>
  <c r="R88" i="18"/>
  <c r="R85" i="18"/>
  <c r="R87" i="18"/>
  <c r="R86" i="18"/>
  <c r="S52" i="21"/>
  <c r="S60" i="21"/>
  <c r="R75" i="18"/>
  <c r="S69" i="18"/>
  <c r="Q77" i="21" l="1"/>
  <c r="R87" i="21" s="1"/>
  <c r="I36" i="44"/>
  <c r="Q102" i="21"/>
  <c r="R70" i="21"/>
  <c r="R5" i="44"/>
  <c r="Q83" i="21"/>
  <c r="Q84" i="21"/>
  <c r="Q85" i="21"/>
  <c r="R69" i="21"/>
  <c r="Q86" i="21"/>
  <c r="Q88" i="21"/>
  <c r="R84" i="18"/>
  <c r="R90" i="18" s="1"/>
  <c r="S23" i="21"/>
  <c r="S51" i="18"/>
  <c r="S59" i="18"/>
  <c r="O36" i="44" l="1"/>
  <c r="S36" i="44" s="1" a="1"/>
  <c r="S36" i="44" s="1"/>
  <c r="P36" i="44"/>
  <c r="R36" i="44" s="1"/>
  <c r="R6" i="44"/>
  <c r="J36" i="44" a="1"/>
  <c r="J36" i="44" s="1"/>
  <c r="V36" i="44" s="1"/>
  <c r="K36" i="44" a="1"/>
  <c r="K36" i="44" s="1"/>
  <c r="M36" i="44" a="1"/>
  <c r="M36" i="44" s="1"/>
  <c r="L36" i="44" a="1"/>
  <c r="L36" i="44" s="1"/>
  <c r="R61" i="44"/>
  <c r="Q101" i="21"/>
  <c r="R89" i="18"/>
  <c r="S93" i="18"/>
  <c r="S94" i="18" s="1"/>
  <c r="S92" i="18" s="1"/>
  <c r="S30" i="21"/>
  <c r="S24" i="21"/>
  <c r="S22" i="18"/>
  <c r="R59" i="44" l="1"/>
  <c r="R58" i="44"/>
  <c r="Q36" i="44" a="1"/>
  <c r="Q36" i="44" s="1"/>
  <c r="T36" i="44" s="1"/>
  <c r="R60" i="44"/>
  <c r="R110" i="21"/>
  <c r="R111" i="21" s="1"/>
  <c r="R109" i="21" s="1"/>
  <c r="Q106" i="21"/>
  <c r="R62" i="44" s="1"/>
  <c r="Q107" i="21"/>
  <c r="T16" i="44"/>
  <c r="S35" i="18"/>
  <c r="S62" i="21"/>
  <c r="T51" i="21"/>
  <c r="S29" i="18"/>
  <c r="S23" i="18"/>
  <c r="S97" i="18" s="1"/>
  <c r="S33" i="21"/>
  <c r="T18" i="44" s="1"/>
  <c r="W36" i="44" l="1"/>
  <c r="F36" i="44" s="1"/>
  <c r="R113" i="21"/>
  <c r="R100" i="21" s="1"/>
  <c r="R36" i="21"/>
  <c r="S59" i="21"/>
  <c r="T8" i="44"/>
  <c r="S32" i="18"/>
  <c r="S67" i="18" s="1"/>
  <c r="S61" i="18"/>
  <c r="S58" i="18" s="1"/>
  <c r="T50" i="18"/>
  <c r="S13" i="44" l="1"/>
  <c r="R68" i="21"/>
  <c r="R90" i="21"/>
  <c r="R91" i="21" s="1"/>
  <c r="R95" i="21"/>
  <c r="S83" i="18"/>
  <c r="S68" i="18"/>
  <c r="S66" i="18" s="1"/>
  <c r="S57" i="18" s="1"/>
  <c r="S56" i="18" s="1"/>
  <c r="T27" i="44" s="1"/>
  <c r="R96" i="21" l="1"/>
  <c r="R103" i="21" s="1"/>
  <c r="R104" i="21"/>
  <c r="S10" i="44"/>
  <c r="R78" i="21"/>
  <c r="R77" i="21"/>
  <c r="S87" i="21" s="1"/>
  <c r="R67" i="21"/>
  <c r="R58" i="21" s="1"/>
  <c r="R57" i="21" s="1"/>
  <c r="R105" i="21"/>
  <c r="S79" i="18"/>
  <c r="S80" i="18" s="1"/>
  <c r="T69" i="18"/>
  <c r="S75" i="18"/>
  <c r="T52" i="21"/>
  <c r="T60" i="21"/>
  <c r="R102" i="21" l="1"/>
  <c r="S60" i="44" s="1"/>
  <c r="S61" i="44"/>
  <c r="S6" i="44"/>
  <c r="R88" i="21"/>
  <c r="S70" i="21"/>
  <c r="S5" i="44"/>
  <c r="R84" i="21"/>
  <c r="S69" i="21"/>
  <c r="R83" i="21"/>
  <c r="R85" i="21"/>
  <c r="R86" i="21"/>
  <c r="S85" i="18"/>
  <c r="S86" i="18"/>
  <c r="S87" i="18"/>
  <c r="S88" i="18"/>
  <c r="T23" i="21"/>
  <c r="T51" i="18"/>
  <c r="T59" i="18"/>
  <c r="R101" i="21" l="1"/>
  <c r="S84" i="18"/>
  <c r="S90" i="18" s="1"/>
  <c r="T22" i="18"/>
  <c r="T24" i="21"/>
  <c r="T30" i="21"/>
  <c r="R107" i="21" l="1"/>
  <c r="S58" i="44"/>
  <c r="S59" i="44"/>
  <c r="R106" i="21"/>
  <c r="S62" i="44" s="1"/>
  <c r="S110" i="21"/>
  <c r="S111" i="21" s="1"/>
  <c r="S109" i="21" s="1"/>
  <c r="S36" i="21" s="1"/>
  <c r="S89" i="18"/>
  <c r="T93" i="18"/>
  <c r="T94" i="18" s="1"/>
  <c r="T92" i="18" s="1"/>
  <c r="T35" i="18" s="1"/>
  <c r="U16" i="44"/>
  <c r="T62" i="21"/>
  <c r="U51" i="21"/>
  <c r="T33" i="21"/>
  <c r="T29" i="18"/>
  <c r="T23" i="18"/>
  <c r="S90" i="21" l="1"/>
  <c r="S91" i="21" s="1"/>
  <c r="S68" i="21"/>
  <c r="S67" i="21" s="1"/>
  <c r="S58" i="21" s="1"/>
  <c r="S57" i="21" s="1"/>
  <c r="T69" i="21" s="1"/>
  <c r="T13" i="44"/>
  <c r="S113" i="21"/>
  <c r="S100" i="21" s="1"/>
  <c r="T97" i="18"/>
  <c r="T10" i="44"/>
  <c r="T59" i="21"/>
  <c r="U8" i="44"/>
  <c r="U18" i="44"/>
  <c r="T61" i="18"/>
  <c r="T58" i="18" s="1"/>
  <c r="U50" i="18"/>
  <c r="T32" i="18"/>
  <c r="T67" i="18" s="1"/>
  <c r="S77" i="21" l="1"/>
  <c r="T6" i="44" s="1"/>
  <c r="S78" i="21"/>
  <c r="S88" i="21" s="1"/>
  <c r="S95" i="21"/>
  <c r="S96" i="21" s="1"/>
  <c r="S103" i="21" s="1"/>
  <c r="S85" i="21"/>
  <c r="S86" i="21"/>
  <c r="S83" i="21"/>
  <c r="S84" i="21"/>
  <c r="T70" i="21"/>
  <c r="T5" i="44"/>
  <c r="T83" i="18"/>
  <c r="T79" i="18" s="1"/>
  <c r="T80" i="18" s="1"/>
  <c r="T68" i="18"/>
  <c r="T66" i="18" s="1"/>
  <c r="T57" i="18" s="1"/>
  <c r="T56" i="18" s="1"/>
  <c r="T87" i="21" l="1"/>
  <c r="S102" i="21"/>
  <c r="S101" i="21" s="1"/>
  <c r="T58" i="44" s="1"/>
  <c r="S105" i="21"/>
  <c r="S104" i="21"/>
  <c r="T61" i="44" s="1"/>
  <c r="T60" i="44"/>
  <c r="U27" i="44"/>
  <c r="T75" i="18"/>
  <c r="U69" i="18"/>
  <c r="U60" i="21"/>
  <c r="U52" i="21"/>
  <c r="T88" i="18"/>
  <c r="T85" i="18"/>
  <c r="T87" i="18"/>
  <c r="T86" i="18"/>
  <c r="T59" i="44" l="1"/>
  <c r="S107" i="21"/>
  <c r="T110" i="21"/>
  <c r="T111" i="21" s="1"/>
  <c r="T109" i="21" s="1"/>
  <c r="T62" i="44"/>
  <c r="S106" i="21"/>
  <c r="T84" i="18"/>
  <c r="T90" i="18" s="1"/>
  <c r="U59" i="18"/>
  <c r="U51" i="18"/>
  <c r="U23" i="21"/>
  <c r="T113" i="21" l="1"/>
  <c r="T100" i="21" s="1"/>
  <c r="T95" i="21" s="1"/>
  <c r="T96" i="21" s="1"/>
  <c r="T36" i="21"/>
  <c r="U13" i="44" s="1"/>
  <c r="T89" i="18"/>
  <c r="U93" i="18"/>
  <c r="U94" i="18" s="1"/>
  <c r="U92" i="18" s="1"/>
  <c r="U30" i="21"/>
  <c r="U24" i="21"/>
  <c r="U22" i="18"/>
  <c r="T68" i="21" l="1"/>
  <c r="T67" i="21" s="1"/>
  <c r="T58" i="21" s="1"/>
  <c r="T57" i="21" s="1"/>
  <c r="T90" i="21"/>
  <c r="T91" i="21" s="1"/>
  <c r="T103" i="21"/>
  <c r="T104" i="21"/>
  <c r="U61" i="44" s="1"/>
  <c r="T102" i="21"/>
  <c r="T105" i="21"/>
  <c r="V16" i="44"/>
  <c r="U35" i="18"/>
  <c r="U62" i="21"/>
  <c r="V51" i="21"/>
  <c r="U23" i="18"/>
  <c r="U97" i="18" s="1"/>
  <c r="U29" i="18"/>
  <c r="U33" i="21"/>
  <c r="U10" i="44" l="1"/>
  <c r="T77" i="21"/>
  <c r="U87" i="21" s="1"/>
  <c r="T78" i="21"/>
  <c r="T88" i="21" s="1"/>
  <c r="T101" i="21"/>
  <c r="T106" i="21" s="1"/>
  <c r="U62" i="44" s="1"/>
  <c r="U6" i="44"/>
  <c r="U60" i="44"/>
  <c r="T86" i="21"/>
  <c r="T85" i="21"/>
  <c r="T84" i="21"/>
  <c r="U70" i="21"/>
  <c r="T83" i="21"/>
  <c r="U5" i="44"/>
  <c r="V18" i="44"/>
  <c r="U59" i="21"/>
  <c r="V8" i="44"/>
  <c r="U69" i="21"/>
  <c r="U61" i="18"/>
  <c r="U58" i="18" s="1"/>
  <c r="V50" i="18"/>
  <c r="U32" i="18"/>
  <c r="U67" i="18" s="1"/>
  <c r="U110" i="21" l="1"/>
  <c r="U111" i="21" s="1"/>
  <c r="U109" i="21" s="1"/>
  <c r="U36" i="21" s="1"/>
  <c r="T107" i="21"/>
  <c r="U59" i="44"/>
  <c r="U58" i="44"/>
  <c r="U83" i="18"/>
  <c r="U79" i="18" s="1"/>
  <c r="U80" i="18" s="1"/>
  <c r="U68" i="18"/>
  <c r="U66" i="18" s="1"/>
  <c r="U57" i="18" s="1"/>
  <c r="U56" i="18" s="1"/>
  <c r="V27" i="44" s="1"/>
  <c r="U113" i="21" l="1"/>
  <c r="U100" i="21" s="1"/>
  <c r="U95" i="21" s="1"/>
  <c r="U96" i="21" s="1"/>
  <c r="U102" i="21" s="1"/>
  <c r="V13" i="44"/>
  <c r="U90" i="21"/>
  <c r="U91" i="21" s="1"/>
  <c r="U68" i="21"/>
  <c r="V69" i="18"/>
  <c r="U75" i="18"/>
  <c r="U87" i="18"/>
  <c r="U88" i="18"/>
  <c r="U86" i="18"/>
  <c r="U85" i="18"/>
  <c r="V52" i="21"/>
  <c r="V60" i="21"/>
  <c r="U104" i="21" l="1"/>
  <c r="U105" i="21"/>
  <c r="U103" i="21"/>
  <c r="U101" i="21" s="1"/>
  <c r="V59" i="44" s="1"/>
  <c r="V58" i="44"/>
  <c r="V61" i="44"/>
  <c r="V10" i="44"/>
  <c r="U78" i="21"/>
  <c r="U77" i="21"/>
  <c r="V87" i="21" s="1"/>
  <c r="U67" i="21"/>
  <c r="U58" i="21" s="1"/>
  <c r="U57" i="21" s="1"/>
  <c r="V60" i="44"/>
  <c r="U84" i="18"/>
  <c r="V93" i="18" s="1"/>
  <c r="V94" i="18" s="1"/>
  <c r="V92" i="18" s="1"/>
  <c r="U107" i="21"/>
  <c r="V23" i="21"/>
  <c r="U106" i="21"/>
  <c r="V62" i="44" s="1"/>
  <c r="V51" i="18"/>
  <c r="V59" i="18"/>
  <c r="V110" i="21" l="1"/>
  <c r="V111" i="21" s="1"/>
  <c r="V109" i="21" s="1"/>
  <c r="V70" i="21"/>
  <c r="U85" i="21"/>
  <c r="U86" i="21"/>
  <c r="U83" i="21"/>
  <c r="V5" i="44"/>
  <c r="U84" i="21"/>
  <c r="V6" i="44"/>
  <c r="U88" i="21"/>
  <c r="U90" i="18"/>
  <c r="U89" i="18"/>
  <c r="V22" i="18"/>
  <c r="V24" i="21"/>
  <c r="V30" i="21"/>
  <c r="V35" i="18"/>
  <c r="V36" i="21" l="1"/>
  <c r="W16" i="44"/>
  <c r="V113" i="21"/>
  <c r="V62" i="21"/>
  <c r="W51" i="21"/>
  <c r="V33" i="21"/>
  <c r="V23" i="18"/>
  <c r="V97" i="18" s="1"/>
  <c r="V29" i="18"/>
  <c r="W13" i="44" l="1"/>
  <c r="V90" i="21"/>
  <c r="V91" i="21" s="1"/>
  <c r="V68" i="21"/>
  <c r="W10" i="44" s="1"/>
  <c r="W18" i="44"/>
  <c r="V59" i="21"/>
  <c r="W8" i="44"/>
  <c r="V100" i="21"/>
  <c r="V61" i="18"/>
  <c r="V58" i="18" s="1"/>
  <c r="W50" i="18"/>
  <c r="V69" i="21"/>
  <c r="V32" i="18"/>
  <c r="V67" i="18" s="1"/>
  <c r="V67" i="21" l="1"/>
  <c r="V58" i="21" s="1"/>
  <c r="V57" i="21" s="1"/>
  <c r="W5" i="44" s="1"/>
  <c r="V78" i="21"/>
  <c r="V88" i="21" s="1"/>
  <c r="V77" i="21"/>
  <c r="W87" i="21" s="1"/>
  <c r="V95" i="21"/>
  <c r="V96" i="21" s="1"/>
  <c r="V103" i="21" s="1"/>
  <c r="V83" i="18"/>
  <c r="V79" i="18" s="1"/>
  <c r="V80" i="18" s="1"/>
  <c r="V68" i="18"/>
  <c r="V66" i="18" s="1"/>
  <c r="V57" i="18" s="1"/>
  <c r="V56" i="18" s="1"/>
  <c r="W27" i="44" s="1"/>
  <c r="V85" i="21" l="1"/>
  <c r="V86" i="21"/>
  <c r="V83" i="21"/>
  <c r="V84" i="21"/>
  <c r="W6" i="44"/>
  <c r="W70" i="21"/>
  <c r="V104" i="21"/>
  <c r="V105" i="21"/>
  <c r="V102" i="21"/>
  <c r="V87" i="18"/>
  <c r="V86" i="18"/>
  <c r="V88" i="18"/>
  <c r="V75" i="18"/>
  <c r="W69" i="18"/>
  <c r="W60" i="21"/>
  <c r="W52" i="21"/>
  <c r="V85" i="18"/>
  <c r="W61" i="44" l="1"/>
  <c r="V101" i="21"/>
  <c r="W23" i="21"/>
  <c r="W30" i="21" s="1"/>
  <c r="W62" i="21" s="1"/>
  <c r="X8" i="44" s="1"/>
  <c r="V84" i="18"/>
  <c r="W93" i="18" s="1"/>
  <c r="W94" i="18" s="1"/>
  <c r="W92" i="18" s="1"/>
  <c r="W59" i="18"/>
  <c r="W51" i="18"/>
  <c r="V106" i="21" l="1"/>
  <c r="W62" i="44" s="1"/>
  <c r="W58" i="44"/>
  <c r="W110" i="21"/>
  <c r="W111" i="21" s="1"/>
  <c r="W109" i="21" s="1"/>
  <c r="W60" i="44"/>
  <c r="W59" i="44"/>
  <c r="V107" i="21"/>
  <c r="W24" i="21"/>
  <c r="W22" i="18"/>
  <c r="W23" i="18" s="1"/>
  <c r="W97" i="18" s="1"/>
  <c r="V89" i="18"/>
  <c r="V90" i="18"/>
  <c r="W59" i="21"/>
  <c r="W35" i="18"/>
  <c r="W36" i="21" l="1"/>
  <c r="X16" i="44"/>
  <c r="W113" i="21"/>
  <c r="W100" i="21" s="1"/>
  <c r="W33" i="21"/>
  <c r="W29" i="18"/>
  <c r="W61" i="18" s="1"/>
  <c r="W58" i="18" s="1"/>
  <c r="W32" i="18"/>
  <c r="W67" i="18" s="1"/>
  <c r="X13" i="44" l="1"/>
  <c r="W90" i="21"/>
  <c r="W91" i="21" s="1"/>
  <c r="W95" i="21"/>
  <c r="W96" i="21" s="1"/>
  <c r="W103" i="21" s="1"/>
  <c r="W68" i="21"/>
  <c r="W77" i="21" s="1"/>
  <c r="X18" i="44"/>
  <c r="W83" i="18"/>
  <c r="W79" i="18" s="1"/>
  <c r="W80" i="18" s="1"/>
  <c r="W85" i="18" s="1"/>
  <c r="W69" i="21"/>
  <c r="W68" i="18"/>
  <c r="W66" i="18" s="1"/>
  <c r="W57" i="18" s="1"/>
  <c r="W56" i="18" s="1"/>
  <c r="W105" i="21" l="1"/>
  <c r="W102" i="21"/>
  <c r="W101" i="21" s="1"/>
  <c r="W104" i="21"/>
  <c r="X61" i="44" s="1"/>
  <c r="W67" i="21"/>
  <c r="W58" i="21" s="1"/>
  <c r="W57" i="21" s="1"/>
  <c r="X27" i="44"/>
  <c r="J14" i="20"/>
  <c r="X6" i="44"/>
  <c r="W78" i="21"/>
  <c r="W88" i="21" s="1"/>
  <c r="X10" i="44"/>
  <c r="W87" i="18"/>
  <c r="W88" i="18"/>
  <c r="W86" i="18"/>
  <c r="W84" i="18" s="1"/>
  <c r="W75" i="18"/>
  <c r="G14" i="20" s="1"/>
  <c r="X5" i="44" l="1"/>
  <c r="W86" i="21"/>
  <c r="W85" i="21"/>
  <c r="W84" i="21"/>
  <c r="W83" i="21"/>
  <c r="W107" i="21"/>
  <c r="X58" i="44"/>
  <c r="X60" i="44"/>
  <c r="X59" i="44"/>
  <c r="W90" i="18"/>
  <c r="W89" i="18"/>
  <c r="W106" i="21"/>
  <c r="X62" i="44" s="1"/>
  <c r="H93" i="17"/>
  <c r="H94" i="17" s="1"/>
  <c r="H92" i="17" s="1"/>
  <c r="H97" i="17" s="1"/>
  <c r="H83" i="17" s="1"/>
  <c r="H35" i="17" l="1"/>
  <c r="H67" i="17" s="1"/>
  <c r="H66" i="17" s="1"/>
  <c r="H57" i="17" s="1"/>
  <c r="H56" i="17" s="1"/>
  <c r="I23" i="44" s="1"/>
  <c r="H79" i="17" l="1"/>
  <c r="H80" i="17" s="1"/>
  <c r="I69" i="17"/>
  <c r="I68" i="17"/>
  <c r="H87" i="17" l="1"/>
  <c r="H86" i="17"/>
  <c r="H85" i="17"/>
  <c r="H88" i="17"/>
  <c r="H84" i="17" l="1"/>
  <c r="I93" i="17" s="1"/>
  <c r="I94" i="17" s="1"/>
  <c r="I92" i="17" s="1"/>
  <c r="I97" i="17" s="1"/>
  <c r="I83" i="17" s="1"/>
  <c r="H89" i="17" l="1"/>
  <c r="H90" i="17"/>
  <c r="I35" i="17"/>
  <c r="I67" i="17" s="1"/>
  <c r="I66" i="17" s="1"/>
  <c r="I57" i="17" s="1"/>
  <c r="I56" i="17" s="1"/>
  <c r="J23" i="44" s="1"/>
  <c r="I79" i="17" l="1"/>
  <c r="I80" i="17" s="1"/>
  <c r="J68" i="17"/>
  <c r="J69" i="17"/>
  <c r="I87" i="17" l="1"/>
  <c r="I88" i="17"/>
  <c r="I86" i="17"/>
  <c r="I85" i="17"/>
  <c r="I84" i="17" l="1"/>
  <c r="J93" i="17" s="1"/>
  <c r="J94" i="17" s="1"/>
  <c r="J92" i="17" s="1"/>
  <c r="J97" i="17" s="1"/>
  <c r="J83" i="17" s="1"/>
  <c r="I89" i="17" l="1"/>
  <c r="I90" i="17"/>
  <c r="J35" i="17"/>
  <c r="J67" i="17" s="1"/>
  <c r="J66" i="17" s="1"/>
  <c r="J57" i="17" s="1"/>
  <c r="J56" i="17" s="1"/>
  <c r="K23" i="44" s="1"/>
  <c r="K37" i="17" l="1"/>
  <c r="K36" i="17"/>
  <c r="K68" i="17"/>
  <c r="K69" i="17"/>
  <c r="J79" i="17"/>
  <c r="J80" i="17" s="1"/>
  <c r="L24" i="44" l="1"/>
  <c r="L25" i="44"/>
  <c r="J88" i="17"/>
  <c r="J85" i="17"/>
  <c r="J87" i="17"/>
  <c r="J86" i="17"/>
  <c r="J84" i="17" l="1"/>
  <c r="J89" i="17" s="1"/>
  <c r="K93" i="17" l="1"/>
  <c r="K94" i="17" s="1"/>
  <c r="K92" i="17" s="1"/>
  <c r="K97" i="17" s="1"/>
  <c r="K83" i="17" s="1"/>
  <c r="J90" i="17"/>
  <c r="K35" i="17" l="1"/>
  <c r="K67" i="17" s="1"/>
  <c r="K66" i="17" s="1"/>
  <c r="K57" i="17" s="1"/>
  <c r="K56" i="17" s="1"/>
  <c r="K79" i="17"/>
  <c r="K80" i="17" s="1"/>
  <c r="L69" i="17" l="1"/>
  <c r="L23" i="44"/>
  <c r="K75" i="17"/>
  <c r="L68" i="17"/>
  <c r="K86" i="17"/>
  <c r="K88" i="17"/>
  <c r="K85" i="17"/>
  <c r="K87" i="17"/>
  <c r="K84" i="17" l="1"/>
  <c r="K90" i="17" s="1"/>
  <c r="K89" i="17" l="1"/>
  <c r="L93" i="17"/>
  <c r="L94" i="17" s="1"/>
  <c r="L92" i="17" s="1"/>
  <c r="L97" i="17" s="1"/>
  <c r="L83" i="17" s="1"/>
  <c r="L79" i="17" l="1"/>
  <c r="L80" i="17" s="1"/>
  <c r="L35" i="17"/>
  <c r="L67" i="17" s="1"/>
  <c r="L66" i="17" s="1"/>
  <c r="L57" i="17" s="1"/>
  <c r="L56" i="17" s="1"/>
  <c r="L75" i="17" l="1"/>
  <c r="M23" i="44"/>
  <c r="M69" i="17"/>
  <c r="M68" i="17"/>
  <c r="L87" i="17"/>
  <c r="L86" i="17"/>
  <c r="L85" i="17"/>
  <c r="L88" i="17"/>
  <c r="L84" i="17" l="1"/>
  <c r="L89" i="17" s="1"/>
  <c r="M93" i="17" l="1"/>
  <c r="M94" i="17" s="1"/>
  <c r="M92" i="17" s="1"/>
  <c r="M97" i="17" s="1"/>
  <c r="M83" i="17" s="1"/>
  <c r="L90" i="17"/>
  <c r="M35" i="17" l="1"/>
  <c r="M67" i="17" s="1"/>
  <c r="M66" i="17" s="1"/>
  <c r="M57" i="17" s="1"/>
  <c r="M56" i="17" s="1"/>
  <c r="N69" i="17" l="1"/>
  <c r="N23" i="44"/>
  <c r="M79" i="17"/>
  <c r="M80" i="17" s="1"/>
  <c r="M86" i="17" s="1"/>
  <c r="N37" i="17"/>
  <c r="N36" i="17"/>
  <c r="M75" i="17"/>
  <c r="N68" i="17"/>
  <c r="O24" i="44" l="1"/>
  <c r="O25" i="44"/>
  <c r="M85" i="17"/>
  <c r="M84" i="17" s="1"/>
  <c r="M88" i="17"/>
  <c r="M87" i="17"/>
  <c r="M90" i="17" l="1"/>
  <c r="N93" i="17"/>
  <c r="N94" i="17" s="1"/>
  <c r="N92" i="17" s="1"/>
  <c r="N97" i="17" s="1"/>
  <c r="N83" i="17" s="1"/>
  <c r="N79" i="17" s="1"/>
  <c r="M89" i="17"/>
  <c r="N35" i="17" l="1"/>
  <c r="N67" i="17" s="1"/>
  <c r="N66" i="17" s="1"/>
  <c r="N57" i="17" s="1"/>
  <c r="N56" i="17" s="1"/>
  <c r="N80" i="17"/>
  <c r="N86" i="17" s="1"/>
  <c r="N87" i="17"/>
  <c r="N88" i="17"/>
  <c r="O68" i="17" l="1"/>
  <c r="O23" i="44"/>
  <c r="O69" i="17"/>
  <c r="N75" i="17"/>
  <c r="N85" i="17"/>
  <c r="N84" i="17" s="1"/>
  <c r="N89" i="17" l="1"/>
  <c r="N90" i="17"/>
  <c r="O93" i="17"/>
  <c r="O94" i="17" s="1"/>
  <c r="O92" i="17" s="1"/>
  <c r="O97" i="17" s="1"/>
  <c r="O83" i="17" s="1"/>
  <c r="O35" i="17" l="1"/>
  <c r="O67" i="17" s="1"/>
  <c r="O66" i="17" s="1"/>
  <c r="O57" i="17" s="1"/>
  <c r="O56" i="17" s="1"/>
  <c r="O79" i="17"/>
  <c r="O80" i="17" s="1"/>
  <c r="P68" i="17" l="1"/>
  <c r="P23" i="44"/>
  <c r="P69" i="17"/>
  <c r="O75" i="17"/>
  <c r="O87" i="17"/>
  <c r="O86" i="17"/>
  <c r="O88" i="17"/>
  <c r="O85" i="17"/>
  <c r="O84" i="17" l="1"/>
  <c r="P93" i="17" s="1"/>
  <c r="P94" i="17" s="1"/>
  <c r="P92" i="17" s="1"/>
  <c r="P97" i="17" s="1"/>
  <c r="P83" i="17" s="1"/>
  <c r="O89" i="17" l="1"/>
  <c r="O90" i="17"/>
  <c r="P35" i="17"/>
  <c r="P67" i="17" s="1"/>
  <c r="P66" i="17" s="1"/>
  <c r="P57" i="17" s="1"/>
  <c r="P56" i="17" s="1"/>
  <c r="Q23" i="44" s="1"/>
  <c r="Q68" i="17" l="1"/>
  <c r="Q69" i="17"/>
  <c r="P75" i="17"/>
  <c r="P79" i="17"/>
  <c r="P80" i="17" s="1"/>
  <c r="P88" i="17" l="1"/>
  <c r="P87" i="17"/>
  <c r="P85" i="17"/>
  <c r="P86" i="17"/>
  <c r="P84" i="17" l="1"/>
  <c r="P90" i="17" l="1"/>
  <c r="Q93" i="17"/>
  <c r="Q94" i="17" s="1"/>
  <c r="Q92" i="17" s="1"/>
  <c r="Q97" i="17" s="1"/>
  <c r="Q83" i="17" s="1"/>
  <c r="P89" i="17"/>
  <c r="Q35" i="17" l="1"/>
  <c r="Q67" i="17" s="1"/>
  <c r="Q66" i="17" s="1"/>
  <c r="Q57" i="17" s="1"/>
  <c r="Q56" i="17" s="1"/>
  <c r="R23" i="44" s="1"/>
  <c r="R68" i="17" l="1"/>
  <c r="R69" i="17"/>
  <c r="Q75" i="17"/>
  <c r="Q79" i="17"/>
  <c r="Q80" i="17" s="1"/>
  <c r="Q85" i="17" l="1"/>
  <c r="Q87" i="17"/>
  <c r="Q88" i="17"/>
  <c r="Q86" i="17"/>
  <c r="Q84" i="17" l="1"/>
  <c r="R93" i="17" l="1"/>
  <c r="R94" i="17" s="1"/>
  <c r="R92" i="17" s="1"/>
  <c r="R97" i="17" s="1"/>
  <c r="R83" i="17" s="1"/>
  <c r="Q90" i="17"/>
  <c r="Q89" i="17"/>
  <c r="R35" i="17" l="1"/>
  <c r="R67" i="17" s="1"/>
  <c r="R66" i="17" s="1"/>
  <c r="R57" i="17" s="1"/>
  <c r="R56" i="17" s="1"/>
  <c r="S23" i="44" s="1"/>
  <c r="R75" i="17" l="1"/>
  <c r="S69" i="17"/>
  <c r="S68" i="17"/>
  <c r="R79" i="17"/>
  <c r="R80" i="17" s="1"/>
  <c r="R87" i="17" l="1"/>
  <c r="R88" i="17"/>
  <c r="R86" i="17"/>
  <c r="R85" i="17"/>
  <c r="R84" i="17" l="1"/>
  <c r="R90" i="17" s="1"/>
  <c r="R89" i="17" l="1"/>
  <c r="S93" i="17"/>
  <c r="S94" i="17" s="1"/>
  <c r="S92" i="17" s="1"/>
  <c r="S97" i="17" s="1"/>
  <c r="S83" i="17" s="1"/>
  <c r="S35" i="17" l="1"/>
  <c r="S67" i="17" s="1"/>
  <c r="S66" i="17" s="1"/>
  <c r="S57" i="17" s="1"/>
  <c r="S56" i="17" s="1"/>
  <c r="S79" i="17"/>
  <c r="S80" i="17" s="1"/>
  <c r="T68" i="17" l="1"/>
  <c r="T23" i="44"/>
  <c r="S75" i="17"/>
  <c r="T69" i="17"/>
  <c r="S87" i="17"/>
  <c r="S86" i="17"/>
  <c r="S88" i="17"/>
  <c r="S85" i="17"/>
  <c r="S84" i="17" l="1"/>
  <c r="S90" i="17" s="1"/>
  <c r="S89" i="17" l="1"/>
  <c r="T93" i="17"/>
  <c r="T94" i="17" s="1"/>
  <c r="T92" i="17" s="1"/>
  <c r="T97" i="17" s="1"/>
  <c r="T83" i="17" s="1"/>
  <c r="T79" i="17" l="1"/>
  <c r="T80" i="17" s="1"/>
  <c r="T35" i="17"/>
  <c r="T67" i="17" s="1"/>
  <c r="T66" i="17" s="1"/>
  <c r="T57" i="17" s="1"/>
  <c r="T56" i="17" s="1"/>
  <c r="U23" i="44" s="1"/>
  <c r="U69" i="17" l="1"/>
  <c r="U68" i="17"/>
  <c r="T75" i="17"/>
  <c r="T85" i="17"/>
  <c r="T88" i="17"/>
  <c r="T86" i="17"/>
  <c r="T87" i="17"/>
  <c r="T84" i="17" l="1"/>
  <c r="T90" i="17" l="1"/>
  <c r="U93" i="17"/>
  <c r="U94" i="17" s="1"/>
  <c r="U92" i="17" s="1"/>
  <c r="U97" i="17" s="1"/>
  <c r="U83" i="17" s="1"/>
  <c r="T89" i="17"/>
  <c r="U35" i="17" l="1"/>
  <c r="U67" i="17" s="1"/>
  <c r="U66" i="17" s="1"/>
  <c r="U57" i="17" s="1"/>
  <c r="U56" i="17" s="1"/>
  <c r="V23" i="44" s="1"/>
  <c r="U79" i="17" l="1"/>
  <c r="U80" i="17" s="1"/>
  <c r="V69" i="17"/>
  <c r="U75" i="17"/>
  <c r="V68" i="17"/>
  <c r="U87" i="17" l="1"/>
  <c r="U85" i="17"/>
  <c r="U86" i="17"/>
  <c r="U88" i="17"/>
  <c r="U84" i="17" l="1"/>
  <c r="U89" i="17" s="1"/>
  <c r="V93" i="17" l="1"/>
  <c r="V94" i="17" s="1"/>
  <c r="V92" i="17" s="1"/>
  <c r="V97" i="17" s="1"/>
  <c r="V83" i="17" s="1"/>
  <c r="U90" i="17"/>
  <c r="V35" i="17" l="1"/>
  <c r="V67" i="17" s="1"/>
  <c r="V66" i="17" s="1"/>
  <c r="V57" i="17" s="1"/>
  <c r="V56" i="17" s="1"/>
  <c r="V79" i="17"/>
  <c r="V80" i="17" s="1"/>
  <c r="V75" i="17" l="1"/>
  <c r="W23" i="44"/>
  <c r="W69" i="17"/>
  <c r="W68" i="17"/>
  <c r="V85" i="17"/>
  <c r="V88" i="17"/>
  <c r="V87" i="17"/>
  <c r="V86" i="17"/>
  <c r="V84" i="17" l="1"/>
  <c r="W93" i="17" s="1"/>
  <c r="W94" i="17" s="1"/>
  <c r="W92" i="17" s="1"/>
  <c r="W97" i="17" s="1"/>
  <c r="W83" i="17" s="1"/>
  <c r="W79" i="17" l="1"/>
  <c r="W35" i="17"/>
  <c r="W67" i="17" s="1"/>
  <c r="W66" i="17" s="1"/>
  <c r="W57" i="17" s="1"/>
  <c r="W56" i="17" s="1"/>
  <c r="X23" i="44" s="1"/>
  <c r="V90" i="17"/>
  <c r="V89" i="17"/>
  <c r="W75" i="17" l="1"/>
  <c r="G13" i="20" s="1"/>
  <c r="J13" i="20"/>
  <c r="W80" i="17"/>
  <c r="W85" i="17" s="1"/>
  <c r="W87" i="17"/>
  <c r="W88" i="17"/>
  <c r="W86" i="17" l="1"/>
  <c r="W84" i="17" s="1"/>
  <c r="W90" i="17" s="1"/>
  <c r="W89" i="17" l="1"/>
  <c r="H94" i="19"/>
  <c r="H95" i="19" s="1"/>
  <c r="H93" i="19" s="1"/>
  <c r="H98" i="19" s="1"/>
  <c r="H84" i="19" s="1"/>
  <c r="H36" i="19" l="1"/>
  <c r="H68" i="19" s="1"/>
  <c r="H67" i="19" s="1"/>
  <c r="H58" i="19" s="1"/>
  <c r="H57" i="19" s="1"/>
  <c r="I30" i="44" s="1"/>
  <c r="H80" i="19" l="1"/>
  <c r="H81" i="19" s="1"/>
  <c r="I70" i="19"/>
  <c r="I69" i="19"/>
  <c r="H87" i="19" l="1"/>
  <c r="H88" i="19"/>
  <c r="H89" i="19"/>
  <c r="H86" i="19"/>
  <c r="H85" i="19" l="1"/>
  <c r="I94" i="19" s="1"/>
  <c r="I95" i="19" s="1"/>
  <c r="I93" i="19" s="1"/>
  <c r="I98" i="19" s="1"/>
  <c r="I84" i="19" s="1"/>
  <c r="I36" i="19" l="1"/>
  <c r="I68" i="19" s="1"/>
  <c r="I67" i="19" s="1"/>
  <c r="I58" i="19" s="1"/>
  <c r="I57" i="19" s="1"/>
  <c r="H90" i="19"/>
  <c r="I80" i="19"/>
  <c r="H91" i="19"/>
  <c r="J69" i="19" l="1"/>
  <c r="J30" i="44"/>
  <c r="J70" i="19"/>
  <c r="I81" i="19"/>
  <c r="I86" i="19" s="1"/>
  <c r="I89" i="19"/>
  <c r="I88" i="19"/>
  <c r="I87" i="19" l="1"/>
  <c r="I85" i="19" s="1"/>
  <c r="I91" i="19" s="1"/>
  <c r="J94" i="19" l="1"/>
  <c r="J95" i="19" s="1"/>
  <c r="J93" i="19" s="1"/>
  <c r="J98" i="19" s="1"/>
  <c r="J84" i="19" s="1"/>
  <c r="I90" i="19"/>
  <c r="J36" i="19" l="1"/>
  <c r="J68" i="19" s="1"/>
  <c r="J67" i="19" s="1"/>
  <c r="J58" i="19" s="1"/>
  <c r="J57" i="19" s="1"/>
  <c r="J80" i="19"/>
  <c r="J81" i="19" s="1"/>
  <c r="K70" i="19" l="1"/>
  <c r="K30" i="44"/>
  <c r="K69" i="19"/>
  <c r="J87" i="19"/>
  <c r="J89" i="19"/>
  <c r="J86" i="19"/>
  <c r="J88" i="19"/>
  <c r="J85" i="19" l="1"/>
  <c r="K94" i="19" s="1"/>
  <c r="K95" i="19" s="1"/>
  <c r="K93" i="19" s="1"/>
  <c r="K98" i="19" s="1"/>
  <c r="K84" i="19" s="1"/>
  <c r="K36" i="19" l="1"/>
  <c r="K68" i="19" s="1"/>
  <c r="K67" i="19" s="1"/>
  <c r="K58" i="19" s="1"/>
  <c r="K57" i="19" s="1"/>
  <c r="J91" i="19"/>
  <c r="J90" i="19"/>
  <c r="K80" i="19"/>
  <c r="L70" i="19" l="1"/>
  <c r="L30" i="44"/>
  <c r="L69" i="19"/>
  <c r="K76" i="19"/>
  <c r="K81" i="19"/>
  <c r="K86" i="19" s="1"/>
  <c r="K88" i="19"/>
  <c r="K89" i="19"/>
  <c r="K87" i="19" l="1"/>
  <c r="K85" i="19" s="1"/>
  <c r="K91" i="19" s="1"/>
  <c r="K90" i="19" l="1"/>
  <c r="L94" i="19"/>
  <c r="L95" i="19" s="1"/>
  <c r="L93" i="19" s="1"/>
  <c r="L98" i="19" s="1"/>
  <c r="L84" i="19" s="1"/>
  <c r="L36" i="19" l="1"/>
  <c r="L68" i="19" s="1"/>
  <c r="L67" i="19" s="1"/>
  <c r="L58" i="19" s="1"/>
  <c r="L57" i="19" s="1"/>
  <c r="L80" i="19"/>
  <c r="L81" i="19" s="1"/>
  <c r="L87" i="19" s="1"/>
  <c r="M69" i="19" l="1"/>
  <c r="M30" i="44"/>
  <c r="M70" i="19"/>
  <c r="L76" i="19"/>
  <c r="L89" i="19"/>
  <c r="L86" i="19"/>
  <c r="L85" i="19" s="1"/>
  <c r="L88" i="19"/>
  <c r="M94" i="19" l="1"/>
  <c r="M95" i="19" s="1"/>
  <c r="M93" i="19" s="1"/>
  <c r="M98" i="19" s="1"/>
  <c r="M84" i="19" s="1"/>
  <c r="L90" i="19"/>
  <c r="L91" i="19"/>
  <c r="M36" i="19" l="1"/>
  <c r="M68" i="19" s="1"/>
  <c r="M67" i="19" s="1"/>
  <c r="M58" i="19" s="1"/>
  <c r="M57" i="19" s="1"/>
  <c r="M80" i="19"/>
  <c r="M81" i="19" s="1"/>
  <c r="M87" i="19" s="1"/>
  <c r="N70" i="19" l="1"/>
  <c r="N30" i="44"/>
  <c r="M76" i="19"/>
  <c r="N69" i="19"/>
  <c r="M88" i="19"/>
  <c r="M89" i="19"/>
  <c r="M86" i="19"/>
  <c r="M85" i="19" s="1"/>
  <c r="N94" i="19" l="1"/>
  <c r="N95" i="19" s="1"/>
  <c r="N93" i="19" s="1"/>
  <c r="N98" i="19" s="1"/>
  <c r="N84" i="19" s="1"/>
  <c r="M91" i="19"/>
  <c r="M90" i="19"/>
  <c r="N36" i="19" l="1"/>
  <c r="N68" i="19" s="1"/>
  <c r="N67" i="19" s="1"/>
  <c r="N58" i="19" s="1"/>
  <c r="N57" i="19" s="1"/>
  <c r="N80" i="19"/>
  <c r="N81" i="19" s="1"/>
  <c r="O70" i="19" l="1"/>
  <c r="O30" i="44"/>
  <c r="O69" i="19"/>
  <c r="N76" i="19"/>
  <c r="N89" i="19"/>
  <c r="N87" i="19"/>
  <c r="N88" i="19"/>
  <c r="N86" i="19"/>
  <c r="N85" i="19" l="1"/>
  <c r="O94" i="19" s="1"/>
  <c r="O95" i="19" s="1"/>
  <c r="O93" i="19" s="1"/>
  <c r="O98" i="19" s="1"/>
  <c r="O84" i="19" s="1"/>
  <c r="N90" i="19" l="1"/>
  <c r="N91" i="19"/>
  <c r="O36" i="19"/>
  <c r="O68" i="19" s="1"/>
  <c r="O67" i="19" s="1"/>
  <c r="O58" i="19" s="1"/>
  <c r="O57" i="19" s="1"/>
  <c r="P30" i="44" s="1"/>
  <c r="O80" i="19" l="1"/>
  <c r="O81" i="19" s="1"/>
  <c r="P69" i="19"/>
  <c r="O76" i="19"/>
  <c r="P70" i="19"/>
  <c r="O88" i="19" l="1"/>
  <c r="O87" i="19"/>
  <c r="O89" i="19"/>
  <c r="O86" i="19"/>
  <c r="O85" i="19" l="1"/>
  <c r="P94" i="19" s="1"/>
  <c r="P95" i="19" s="1"/>
  <c r="P93" i="19" s="1"/>
  <c r="P98" i="19" s="1"/>
  <c r="P84" i="19" s="1"/>
  <c r="O90" i="19" l="1"/>
  <c r="O91" i="19"/>
  <c r="P36" i="19"/>
  <c r="P68" i="19" s="1"/>
  <c r="P67" i="19" s="1"/>
  <c r="P58" i="19" s="1"/>
  <c r="P57" i="19" s="1"/>
  <c r="Q30" i="44" s="1"/>
  <c r="P80" i="19" l="1"/>
  <c r="P81" i="19" s="1"/>
  <c r="Q70" i="19"/>
  <c r="P76" i="19"/>
  <c r="Q69" i="19"/>
  <c r="P86" i="19" l="1"/>
  <c r="P88" i="19"/>
  <c r="P87" i="19"/>
  <c r="P89" i="19"/>
  <c r="P85" i="19" l="1"/>
  <c r="Q94" i="19" s="1"/>
  <c r="Q95" i="19" s="1"/>
  <c r="Q93" i="19" s="1"/>
  <c r="Q98" i="19" s="1"/>
  <c r="Q84" i="19" s="1"/>
  <c r="P91" i="19" l="1"/>
  <c r="P90" i="19"/>
  <c r="Q80" i="19"/>
  <c r="Q36" i="19"/>
  <c r="Q68" i="19" s="1"/>
  <c r="Q67" i="19" s="1"/>
  <c r="Q58" i="19" s="1"/>
  <c r="Q57" i="19" s="1"/>
  <c r="R70" i="19" l="1"/>
  <c r="R30" i="44"/>
  <c r="Q81" i="19"/>
  <c r="Q87" i="19" s="1"/>
  <c r="Q76" i="19"/>
  <c r="R69" i="19"/>
  <c r="Q89" i="19"/>
  <c r="Q88" i="19"/>
  <c r="Q86" i="19" l="1"/>
  <c r="Q85" i="19" s="1"/>
  <c r="Q91" i="19" s="1"/>
  <c r="Q90" i="19" l="1"/>
  <c r="R94" i="19"/>
  <c r="R95" i="19" s="1"/>
  <c r="R93" i="19" s="1"/>
  <c r="R98" i="19" s="1"/>
  <c r="R84" i="19" s="1"/>
  <c r="R36" i="19" l="1"/>
  <c r="R68" i="19" s="1"/>
  <c r="R67" i="19" s="1"/>
  <c r="R58" i="19" s="1"/>
  <c r="R57" i="19" s="1"/>
  <c r="R80" i="19"/>
  <c r="R81" i="19" s="1"/>
  <c r="S70" i="19" l="1"/>
  <c r="S30" i="44"/>
  <c r="S69" i="19"/>
  <c r="R76" i="19"/>
  <c r="R88" i="19"/>
  <c r="R87" i="19"/>
  <c r="R86" i="19"/>
  <c r="R89" i="19"/>
  <c r="R85" i="19" l="1"/>
  <c r="S94" i="19" l="1"/>
  <c r="S95" i="19" s="1"/>
  <c r="S93" i="19" s="1"/>
  <c r="S98" i="19" s="1"/>
  <c r="S84" i="19" s="1"/>
  <c r="R91" i="19"/>
  <c r="R90" i="19"/>
  <c r="S36" i="19" l="1"/>
  <c r="S68" i="19" s="1"/>
  <c r="S67" i="19" s="1"/>
  <c r="S58" i="19" s="1"/>
  <c r="S57" i="19" s="1"/>
  <c r="T30" i="44" s="1"/>
  <c r="S80" i="19"/>
  <c r="S81" i="19" s="1"/>
  <c r="S88" i="19" l="1"/>
  <c r="S87" i="19"/>
  <c r="S86" i="19"/>
  <c r="S89" i="19"/>
  <c r="T69" i="19"/>
  <c r="T70" i="19"/>
  <c r="S76" i="19"/>
  <c r="S85" i="19" l="1"/>
  <c r="T94" i="19" s="1"/>
  <c r="T95" i="19" s="1"/>
  <c r="T93" i="19" s="1"/>
  <c r="T98" i="19" s="1"/>
  <c r="T84" i="19" s="1"/>
  <c r="T36" i="19" l="1"/>
  <c r="T68" i="19" s="1"/>
  <c r="T67" i="19" s="1"/>
  <c r="T58" i="19" s="1"/>
  <c r="T57" i="19" s="1"/>
  <c r="S91" i="19"/>
  <c r="S90" i="19"/>
  <c r="T80" i="19"/>
  <c r="U70" i="19" l="1"/>
  <c r="U30" i="44"/>
  <c r="T76" i="19"/>
  <c r="U69" i="19"/>
  <c r="T81" i="19"/>
  <c r="T86" i="19" s="1"/>
  <c r="T88" i="19"/>
  <c r="T89" i="19"/>
  <c r="T87" i="19" l="1"/>
  <c r="T85" i="19" s="1"/>
  <c r="U94" i="19" s="1"/>
  <c r="U95" i="19" s="1"/>
  <c r="U93" i="19" s="1"/>
  <c r="U98" i="19" s="1"/>
  <c r="U84" i="19" s="1"/>
  <c r="T90" i="19" l="1"/>
  <c r="T91" i="19"/>
  <c r="U36" i="19"/>
  <c r="U68" i="19" s="1"/>
  <c r="U67" i="19" s="1"/>
  <c r="U58" i="19" s="1"/>
  <c r="U57" i="19" s="1"/>
  <c r="V30" i="44" s="1"/>
  <c r="U80" i="19" l="1"/>
  <c r="U81" i="19" s="1"/>
  <c r="V69" i="19"/>
  <c r="V70" i="19"/>
  <c r="U76" i="19"/>
  <c r="U88" i="19" l="1"/>
  <c r="U86" i="19"/>
  <c r="U89" i="19"/>
  <c r="U87" i="19"/>
  <c r="U85" i="19" l="1"/>
  <c r="V94" i="19" s="1"/>
  <c r="V95" i="19" s="1"/>
  <c r="V93" i="19" s="1"/>
  <c r="V98" i="19" l="1"/>
  <c r="V84" i="19" s="1"/>
  <c r="U90" i="19"/>
  <c r="U91" i="19"/>
  <c r="V36" i="19"/>
  <c r="V68" i="19" s="1"/>
  <c r="V67" i="19" s="1"/>
  <c r="V58" i="19" s="1"/>
  <c r="V57" i="19" s="1"/>
  <c r="W30" i="44" s="1"/>
  <c r="V80" i="19" l="1"/>
  <c r="V81" i="19" s="1"/>
  <c r="W70" i="19"/>
  <c r="W69" i="19"/>
  <c r="V76" i="19"/>
  <c r="V88" i="19" l="1"/>
  <c r="V89" i="19"/>
  <c r="V87" i="19"/>
  <c r="V86" i="19"/>
  <c r="V85" i="19" l="1"/>
  <c r="W94" i="19" s="1"/>
  <c r="W95" i="19" s="1"/>
  <c r="W93" i="19" s="1"/>
  <c r="W98" i="19" l="1"/>
  <c r="W84" i="19" s="1"/>
  <c r="V90" i="19"/>
  <c r="V91" i="19"/>
  <c r="W36" i="19"/>
  <c r="W68" i="19" s="1"/>
  <c r="W67" i="19" s="1"/>
  <c r="W58" i="19" s="1"/>
  <c r="W57" i="19" s="1"/>
  <c r="J15" i="20" l="1"/>
  <c r="X30" i="44"/>
  <c r="W76" i="19"/>
  <c r="G15" i="20" s="1"/>
  <c r="W80" i="19"/>
  <c r="W81" i="19" s="1"/>
  <c r="H3" i="20" l="1"/>
  <c r="W88" i="19"/>
  <c r="W86" i="19"/>
  <c r="W89" i="19"/>
  <c r="W87" i="19"/>
  <c r="W85" i="19" l="1"/>
  <c r="W91" i="19" s="1"/>
  <c r="W90" i="19" l="1"/>
  <c r="H96" i="9"/>
  <c r="H101" i="9" s="1"/>
  <c r="H87" i="9" s="1"/>
  <c r="H35" i="9" l="1"/>
  <c r="H33" i="9" s="1"/>
  <c r="H67" i="9" l="1"/>
  <c r="H77" i="9" s="1"/>
  <c r="I48" i="44"/>
  <c r="H83" i="9"/>
  <c r="H84" i="9" s="1"/>
  <c r="H90" i="9" s="1"/>
  <c r="H91" i="9" l="1"/>
  <c r="H66" i="9"/>
  <c r="H57" i="9" s="1"/>
  <c r="H56" i="9" s="1"/>
  <c r="I41" i="44" s="1"/>
  <c r="H92" i="9"/>
  <c r="H76" i="9"/>
  <c r="I42" i="44" s="1"/>
  <c r="I45" i="44"/>
  <c r="H89" i="9"/>
  <c r="H88" i="9" s="1"/>
  <c r="H94" i="9" l="1"/>
  <c r="I68" i="9"/>
  <c r="I69" i="9"/>
  <c r="H93" i="9"/>
  <c r="I97" i="9"/>
  <c r="I98" i="9" s="1"/>
  <c r="I96" i="9" l="1"/>
  <c r="I101" i="9" l="1"/>
  <c r="I87" i="9" s="1"/>
  <c r="I35" i="9"/>
  <c r="I33" i="9" s="1"/>
  <c r="I67" i="9" l="1"/>
  <c r="J45" i="44" s="1"/>
  <c r="J48" i="44"/>
  <c r="I83" i="9"/>
  <c r="I84" i="9" s="1"/>
  <c r="I89" i="9" s="1"/>
  <c r="I77" i="9" l="1"/>
  <c r="I76" i="9"/>
  <c r="J42" i="44" s="1"/>
  <c r="I66" i="9"/>
  <c r="I57" i="9" s="1"/>
  <c r="I56" i="9" s="1"/>
  <c r="J68" i="9" s="1"/>
  <c r="I90" i="9"/>
  <c r="I88" i="9" s="1"/>
  <c r="I92" i="9"/>
  <c r="I91" i="9"/>
  <c r="J41" i="44" l="1"/>
  <c r="J69" i="9"/>
  <c r="J97" i="9"/>
  <c r="J98" i="9" s="1"/>
  <c r="J96" i="9" s="1"/>
  <c r="J101" i="9" s="1"/>
  <c r="J87" i="9" s="1"/>
  <c r="I94" i="9"/>
  <c r="I93" i="9"/>
  <c r="J35" i="9" l="1"/>
  <c r="J83" i="9"/>
  <c r="J84" i="9" s="1"/>
  <c r="J90" i="9" s="1"/>
  <c r="J67" i="9" l="1"/>
  <c r="J77" i="9" s="1"/>
  <c r="J33" i="9"/>
  <c r="K48" i="44"/>
  <c r="J66" i="9"/>
  <c r="J57" i="9" s="1"/>
  <c r="J56" i="9" s="1"/>
  <c r="K41" i="44" s="1"/>
  <c r="J76" i="9"/>
  <c r="K42" i="44" s="1"/>
  <c r="K45" i="44"/>
  <c r="J92" i="9"/>
  <c r="J89" i="9"/>
  <c r="J88" i="9" s="1"/>
  <c r="J91" i="9"/>
  <c r="K69" i="9"/>
  <c r="K68" i="9" l="1"/>
  <c r="K97" i="9"/>
  <c r="K98" i="9" s="1"/>
  <c r="K96" i="9" s="1"/>
  <c r="J93" i="9"/>
  <c r="J94" i="9"/>
  <c r="K101" i="9" l="1"/>
  <c r="K87" i="9" s="1"/>
  <c r="K35" i="9"/>
  <c r="K33" i="9" s="1"/>
  <c r="K67" i="9" l="1"/>
  <c r="K77" i="9" s="1"/>
  <c r="L48" i="44"/>
  <c r="K83" i="9"/>
  <c r="K84" i="9" s="1"/>
  <c r="K89" i="9" s="1"/>
  <c r="K66" i="9" l="1"/>
  <c r="K57" i="9" s="1"/>
  <c r="K56" i="9" s="1"/>
  <c r="L41" i="44" s="1"/>
  <c r="K76" i="9"/>
  <c r="L42" i="44" s="1"/>
  <c r="L45" i="44"/>
  <c r="K92" i="9"/>
  <c r="K91" i="9"/>
  <c r="K90" i="9"/>
  <c r="K88" i="9" s="1"/>
  <c r="L69" i="9" l="1"/>
  <c r="L68" i="9"/>
  <c r="L97" i="9"/>
  <c r="L98" i="9" s="1"/>
  <c r="L96" i="9" s="1"/>
  <c r="L101" i="9" s="1"/>
  <c r="L87" i="9" s="1"/>
  <c r="K94" i="9"/>
  <c r="K93" i="9"/>
  <c r="L35" i="9" l="1"/>
  <c r="L33" i="9" s="1"/>
  <c r="L67" i="9" l="1"/>
  <c r="L77" i="9" s="1"/>
  <c r="M48" i="44"/>
  <c r="L83" i="9"/>
  <c r="L84" i="9" s="1"/>
  <c r="L66" i="9" l="1"/>
  <c r="L57" i="9" s="1"/>
  <c r="L56" i="9" s="1"/>
  <c r="M41" i="44" s="1"/>
  <c r="L76" i="9"/>
  <c r="M42" i="44" s="1"/>
  <c r="M45" i="44"/>
  <c r="L92" i="9"/>
  <c r="L90" i="9"/>
  <c r="L89" i="9"/>
  <c r="L91" i="9"/>
  <c r="M68" i="9" l="1"/>
  <c r="M69" i="9"/>
  <c r="L88" i="9"/>
  <c r="L94" i="9" s="1"/>
  <c r="L93" i="9" l="1"/>
  <c r="M97" i="9"/>
  <c r="M98" i="9" s="1"/>
  <c r="M96" i="9" s="1"/>
  <c r="M101" i="9" l="1"/>
  <c r="M87" i="9" s="1"/>
  <c r="M35" i="9"/>
  <c r="M33" i="9" s="1"/>
  <c r="M67" i="9" l="1"/>
  <c r="M77" i="9" s="1"/>
  <c r="N48" i="44"/>
  <c r="M83" i="9"/>
  <c r="M84" i="9" s="1"/>
  <c r="M89" i="9" s="1"/>
  <c r="M66" i="9" l="1"/>
  <c r="M57" i="9" s="1"/>
  <c r="M56" i="9" s="1"/>
  <c r="M76" i="9"/>
  <c r="N42" i="44" s="1"/>
  <c r="N45" i="44"/>
  <c r="M92" i="9"/>
  <c r="M91" i="9"/>
  <c r="M90" i="9"/>
  <c r="M88" i="9" s="1"/>
  <c r="N68" i="9"/>
  <c r="N69" i="9" l="1"/>
  <c r="N41" i="44"/>
  <c r="N97" i="9"/>
  <c r="N98" i="9" s="1"/>
  <c r="M94" i="9"/>
  <c r="M93" i="9"/>
  <c r="N96" i="9" l="1"/>
  <c r="N101" i="9" s="1"/>
  <c r="N87" i="9" s="1"/>
  <c r="N35" i="9" l="1"/>
  <c r="N33" i="9" s="1"/>
  <c r="N67" i="9" l="1"/>
  <c r="O45" i="44" s="1"/>
  <c r="O48" i="44"/>
  <c r="N83" i="9"/>
  <c r="N66" i="9" l="1"/>
  <c r="N57" i="9" s="1"/>
  <c r="N56" i="9" s="1"/>
  <c r="N77" i="9"/>
  <c r="N76" i="9"/>
  <c r="O42" i="44" s="1"/>
  <c r="N92" i="9"/>
  <c r="N91" i="9"/>
  <c r="N84" i="9"/>
  <c r="N90" i="9" s="1"/>
  <c r="O41" i="44" l="1"/>
  <c r="O69" i="9"/>
  <c r="O68" i="9"/>
  <c r="N89" i="9"/>
  <c r="N88" i="9" l="1"/>
  <c r="N94" i="9" s="1"/>
  <c r="O97" i="9" l="1"/>
  <c r="O98" i="9" s="1"/>
  <c r="O96" i="9" s="1"/>
  <c r="N93" i="9"/>
  <c r="O35" i="9" l="1"/>
  <c r="O33" i="9" s="1"/>
  <c r="O101" i="9"/>
  <c r="O87" i="9" s="1"/>
  <c r="O67" i="9" l="1"/>
  <c r="O66" i="9" s="1"/>
  <c r="O57" i="9" s="1"/>
  <c r="O56" i="9" s="1"/>
  <c r="P69" i="9" s="1"/>
  <c r="P48" i="44"/>
  <c r="O83" i="9"/>
  <c r="O84" i="9" s="1"/>
  <c r="O76" i="9" l="1"/>
  <c r="P42" i="44" s="1"/>
  <c r="P41" i="44"/>
  <c r="O77" i="9"/>
  <c r="P45" i="44"/>
  <c r="P68" i="9"/>
  <c r="O92" i="9"/>
  <c r="O89" i="9"/>
  <c r="O91" i="9"/>
  <c r="O90" i="9"/>
  <c r="O88" i="9" l="1"/>
  <c r="O94" i="9" s="1"/>
  <c r="O93" i="9" l="1"/>
  <c r="P97" i="9"/>
  <c r="P98" i="9" s="1"/>
  <c r="P96" i="9" s="1"/>
  <c r="P101" i="9" s="1"/>
  <c r="P87" i="9" s="1"/>
  <c r="P35" i="9" l="1"/>
  <c r="P33" i="9" s="1"/>
  <c r="P83" i="9"/>
  <c r="P84" i="9" s="1"/>
  <c r="P90" i="9" s="1"/>
  <c r="P67" i="9" l="1"/>
  <c r="P66" i="9" s="1"/>
  <c r="P57" i="9" s="1"/>
  <c r="P56" i="9" s="1"/>
  <c r="Q48" i="44"/>
  <c r="P91" i="9"/>
  <c r="P92" i="9"/>
  <c r="P89" i="9"/>
  <c r="P88" i="9" s="1"/>
  <c r="P77" i="9" l="1"/>
  <c r="Q68" i="9"/>
  <c r="Q41" i="44"/>
  <c r="P76" i="9"/>
  <c r="Q42" i="44" s="1"/>
  <c r="Q45" i="44"/>
  <c r="Q69" i="9"/>
  <c r="P94" i="9"/>
  <c r="P93" i="9"/>
  <c r="Q97" i="9"/>
  <c r="Q98" i="9" s="1"/>
  <c r="Q96" i="9" s="1"/>
  <c r="Q101" i="9" s="1"/>
  <c r="Q87" i="9" s="1"/>
  <c r="Q35" i="9" l="1"/>
  <c r="Q33" i="9" s="1"/>
  <c r="Q67" i="9" l="1"/>
  <c r="R45" i="44" s="1"/>
  <c r="R48" i="44"/>
  <c r="Q83" i="9"/>
  <c r="Q84" i="9" s="1"/>
  <c r="Q76" i="9" l="1"/>
  <c r="R42" i="44" s="1"/>
  <c r="Q66" i="9"/>
  <c r="Q57" i="9" s="1"/>
  <c r="Q56" i="9" s="1"/>
  <c r="Q77" i="9"/>
  <c r="Q90" i="9"/>
  <c r="Q91" i="9"/>
  <c r="Q92" i="9"/>
  <c r="Q89" i="9"/>
  <c r="R69" i="9" l="1"/>
  <c r="R41" i="44"/>
  <c r="R68" i="9"/>
  <c r="Q88" i="9"/>
  <c r="Q93" i="9" s="1"/>
  <c r="Q94" i="9" l="1"/>
  <c r="R97" i="9"/>
  <c r="R98" i="9" s="1"/>
  <c r="R96" i="9" s="1"/>
  <c r="R101" i="9" s="1"/>
  <c r="R87" i="9" s="1"/>
  <c r="R35" i="9" l="1"/>
  <c r="R33" i="9" s="1"/>
  <c r="R67" i="9" l="1"/>
  <c r="S45" i="44" s="1"/>
  <c r="S48" i="44"/>
  <c r="R83" i="9"/>
  <c r="R84" i="9" s="1"/>
  <c r="R77" i="9" l="1"/>
  <c r="R76" i="9"/>
  <c r="S42" i="44" s="1"/>
  <c r="R66" i="9"/>
  <c r="R57" i="9" s="1"/>
  <c r="R56" i="9" s="1"/>
  <c r="S41" i="44" s="1"/>
  <c r="R92" i="9"/>
  <c r="R90" i="9"/>
  <c r="R91" i="9"/>
  <c r="R89" i="9"/>
  <c r="S68" i="9" l="1"/>
  <c r="S69" i="9"/>
  <c r="R88" i="9"/>
  <c r="R94" i="9" s="1"/>
  <c r="S97" i="9" l="1"/>
  <c r="S98" i="9" s="1"/>
  <c r="S96" i="9" s="1"/>
  <c r="R93" i="9"/>
  <c r="S35" i="9" l="1"/>
  <c r="S33" i="9" s="1"/>
  <c r="S101" i="9"/>
  <c r="S87" i="9" s="1"/>
  <c r="S67" i="9" l="1"/>
  <c r="S76" i="9" s="1"/>
  <c r="T42" i="44" s="1"/>
  <c r="T48" i="44"/>
  <c r="S83" i="9"/>
  <c r="S84" i="9" s="1"/>
  <c r="S77" i="9" l="1"/>
  <c r="S66" i="9"/>
  <c r="S57" i="9" s="1"/>
  <c r="S56" i="9" s="1"/>
  <c r="T45" i="44"/>
  <c r="S89" i="9"/>
  <c r="S92" i="9"/>
  <c r="S91" i="9"/>
  <c r="S90" i="9"/>
  <c r="T41" i="44" l="1"/>
  <c r="T68" i="9"/>
  <c r="T69" i="9"/>
  <c r="S88" i="9"/>
  <c r="S94" i="9" s="1"/>
  <c r="S93" i="9" l="1"/>
  <c r="T97" i="9"/>
  <c r="T98" i="9" s="1"/>
  <c r="T96" i="9" s="1"/>
  <c r="T35" i="9" s="1"/>
  <c r="T33" i="9" s="1"/>
  <c r="T67" i="9" l="1"/>
  <c r="T66" i="9" s="1"/>
  <c r="T57" i="9" s="1"/>
  <c r="T56" i="9" s="1"/>
  <c r="U48" i="44"/>
  <c r="T101" i="9"/>
  <c r="T87" i="9" s="1"/>
  <c r="T77" i="9" l="1"/>
  <c r="T83" i="9"/>
  <c r="T84" i="9" s="1"/>
  <c r="T90" i="9" s="1"/>
  <c r="U41" i="44"/>
  <c r="T76" i="9"/>
  <c r="U42" i="44" s="1"/>
  <c r="U45" i="44"/>
  <c r="U69" i="9"/>
  <c r="U68" i="9"/>
  <c r="T92" i="9" l="1"/>
  <c r="T91" i="9"/>
  <c r="T89" i="9"/>
  <c r="T88" i="9" s="1"/>
  <c r="T93" i="9" l="1"/>
  <c r="T94" i="9"/>
  <c r="U97" i="9"/>
  <c r="U98" i="9" s="1"/>
  <c r="U96" i="9" s="1"/>
  <c r="U101" i="9" s="1"/>
  <c r="U87" i="9" s="1"/>
  <c r="U35" i="9" l="1"/>
  <c r="U33" i="9" s="1"/>
  <c r="U83" i="9"/>
  <c r="U84" i="9" s="1"/>
  <c r="U67" i="9" l="1"/>
  <c r="U77" i="9" s="1"/>
  <c r="V48" i="44"/>
  <c r="U91" i="9"/>
  <c r="U92" i="9"/>
  <c r="U89" i="9"/>
  <c r="U90" i="9"/>
  <c r="U76" i="9" l="1"/>
  <c r="V42" i="44" s="1"/>
  <c r="U66" i="9"/>
  <c r="U57" i="9" s="1"/>
  <c r="U56" i="9" s="1"/>
  <c r="V45" i="44"/>
  <c r="U88" i="9"/>
  <c r="U93" i="9" s="1"/>
  <c r="V41" i="44" l="1"/>
  <c r="V69" i="9"/>
  <c r="V68" i="9"/>
  <c r="U94" i="9"/>
  <c r="V97" i="9"/>
  <c r="V98" i="9" s="1"/>
  <c r="V96" i="9" s="1"/>
  <c r="V35" i="9" l="1"/>
  <c r="V33" i="9" s="1"/>
  <c r="V101" i="9"/>
  <c r="V87" i="9" s="1"/>
  <c r="V67" i="9" l="1"/>
  <c r="V77" i="9" s="1"/>
  <c r="W48" i="44"/>
  <c r="V83" i="9"/>
  <c r="V84" i="9" s="1"/>
  <c r="V66" i="9" l="1"/>
  <c r="V57" i="9" s="1"/>
  <c r="V56" i="9" s="1"/>
  <c r="W69" i="9" s="1"/>
  <c r="V76" i="9"/>
  <c r="W42" i="44" s="1"/>
  <c r="W45" i="44"/>
  <c r="V92" i="9"/>
  <c r="V91" i="9"/>
  <c r="V89" i="9"/>
  <c r="V90" i="9"/>
  <c r="W68" i="9" l="1"/>
  <c r="W41" i="44"/>
  <c r="V88" i="9"/>
  <c r="V93" i="9" s="1"/>
  <c r="W97" i="9" l="1"/>
  <c r="W98" i="9" s="1"/>
  <c r="W96" i="9" s="1"/>
  <c r="W101" i="9" s="1"/>
  <c r="V94" i="9"/>
  <c r="W35" i="9" l="1"/>
  <c r="W33" i="9" s="1"/>
  <c r="W87" i="9"/>
  <c r="W67" i="9" l="1"/>
  <c r="W76" i="9" s="1"/>
  <c r="X42" i="44" s="1"/>
  <c r="X48" i="44"/>
  <c r="W83" i="9"/>
  <c r="W84" i="9" s="1"/>
  <c r="W77" i="9" l="1"/>
  <c r="W66" i="9"/>
  <c r="W57" i="9" s="1"/>
  <c r="W56" i="9" s="1"/>
  <c r="X45" i="44"/>
  <c r="W91" i="9"/>
  <c r="W90" i="9"/>
  <c r="W89" i="9"/>
  <c r="W92" i="9"/>
  <c r="X41" i="44" l="1"/>
  <c r="W88" i="9"/>
  <c r="W94" i="9" s="1"/>
  <c r="W93" i="9" l="1"/>
</calcChain>
</file>

<file path=xl/metadata.xml><?xml version="1.0" encoding="utf-8"?>
<metadata xmlns="http://schemas.openxmlformats.org/spreadsheetml/2006/main" xmlns:xda="http://schemas.microsoft.com/office/spreadsheetml/2017/dynamicarray">
  <metadataTypes count="1">
    <metadataType name="XLDAPR" minSupportedVersion="120000" copy="1" pasteAll="1" pasteValues="1" merge="1" splitFirst="1" rowColShift="1" clearFormats="1" clearComments="1" assign="1" coerce="1" cellMeta="1"/>
  </metadataTypes>
  <futureMetadata name="XLDAPR" count="1">
    <bk>
      <extLst>
        <ext uri="{bdbb8cdc-fa1e-496e-a857-3c3f30c029c3}">
          <xda:dynamicArrayProperties fDynamic="1" fCollapsed="0"/>
        </ext>
      </extLst>
    </bk>
  </futureMetadata>
  <cellMetadata count="1">
    <bk>
      <rc t="1" v="0"/>
    </bk>
  </cellMetadata>
</metadata>
</file>

<file path=xl/sharedStrings.xml><?xml version="1.0" encoding="utf-8"?>
<sst xmlns="http://schemas.openxmlformats.org/spreadsheetml/2006/main" count="980" uniqueCount="407">
  <si>
    <t>European Commission</t>
  </si>
  <si>
    <t>Directorate-General for Economic and Financial Affairs</t>
  </si>
  <si>
    <t>Unit C2  - Sustainability of public finances</t>
  </si>
  <si>
    <t>ECFIN-Secretariat-C2@ec.europa.eu</t>
  </si>
  <si>
    <t>FILE DESCRIPTION</t>
  </si>
  <si>
    <t>HOW TO USE THIS TOOL TO CALCULATE NEW DEBT PROJECTIONS</t>
  </si>
  <si>
    <t>The spreadsheet is composed of the following elements:</t>
  </si>
  <si>
    <t>Coloured cells indicate data sources as follows (this colour-coding holds in the other spreadsheets):</t>
  </si>
  <si>
    <r>
      <t xml:space="preserve">Cells in </t>
    </r>
    <r>
      <rPr>
        <i/>
        <sz val="11"/>
        <color rgb="FF0070C0"/>
        <rFont val="Calibri"/>
        <family val="2"/>
        <scheme val="minor"/>
      </rPr>
      <t>light orange</t>
    </r>
    <r>
      <rPr>
        <sz val="11"/>
        <color rgb="FF0070C0"/>
        <rFont val="Calibri"/>
        <family val="2"/>
        <scheme val="minor"/>
      </rPr>
      <t xml:space="preserve"> provide parameters needed to compute the decomposition of government debt according to its maturity structure (i.e. short-term and long-term debt, maturing, rolled-over and non-maturing debt). </t>
    </r>
    <r>
      <rPr>
        <b/>
        <u/>
        <sz val="11"/>
        <color rgb="FF0070C0"/>
        <rFont val="Calibri"/>
        <family val="2"/>
        <scheme val="minor"/>
      </rPr>
      <t>These are fixed shares which the user cannot change.</t>
    </r>
  </si>
  <si>
    <r>
      <t xml:space="preserve">Cells in </t>
    </r>
    <r>
      <rPr>
        <i/>
        <sz val="11"/>
        <color rgb="FF0070C0"/>
        <rFont val="Calibri"/>
        <family val="2"/>
        <scheme val="minor"/>
      </rPr>
      <t>dark orange</t>
    </r>
    <r>
      <rPr>
        <sz val="11"/>
        <color rgb="FF0070C0"/>
        <rFont val="Calibri"/>
        <family val="2"/>
        <scheme val="minor"/>
      </rPr>
      <t xml:space="preserve"> indicate financial market prices.</t>
    </r>
  </si>
  <si>
    <t>· Financial stress scenario</t>
  </si>
  <si>
    <t>· Lower SPB scenario</t>
  </si>
  <si>
    <t>· Adverse 'r-g' scenario</t>
  </si>
  <si>
    <r>
      <t>In the sheets associated with the stress-test scenarios, i.e. "</t>
    </r>
    <r>
      <rPr>
        <b/>
        <sz val="11"/>
        <color rgb="FF0070C0"/>
        <rFont val="Calibri"/>
        <family val="2"/>
        <scheme val="minor"/>
      </rPr>
      <t>Financial stress</t>
    </r>
    <r>
      <rPr>
        <sz val="11"/>
        <color rgb="FF0070C0"/>
        <rFont val="Calibri"/>
        <family val="2"/>
        <scheme val="minor"/>
      </rPr>
      <t>", "</t>
    </r>
    <r>
      <rPr>
        <b/>
        <sz val="11"/>
        <color rgb="FF0070C0"/>
        <rFont val="Calibri"/>
        <family val="2"/>
        <scheme val="minor"/>
      </rPr>
      <t>Lower SPB</t>
    </r>
    <r>
      <rPr>
        <sz val="11"/>
        <color rgb="FF0070C0"/>
        <rFont val="Calibri"/>
        <family val="2"/>
        <scheme val="minor"/>
      </rPr>
      <t>" and "</t>
    </r>
    <r>
      <rPr>
        <b/>
        <sz val="11"/>
        <color rgb="FF0070C0"/>
        <rFont val="Calibri"/>
        <family val="2"/>
        <scheme val="minor"/>
      </rPr>
      <t>Adverse (r-g)</t>
    </r>
    <r>
      <rPr>
        <sz val="11"/>
        <color rgb="FF0070C0"/>
        <rFont val="Calibri"/>
        <family val="2"/>
        <scheme val="minor"/>
      </rPr>
      <t>", initial shocks are identified as follows:</t>
    </r>
  </si>
  <si>
    <t>WHERE ARE THE MAIN RESULTS LOCATED?</t>
  </si>
  <si>
    <t>Country</t>
  </si>
  <si>
    <t>Annual adjustment (when benchmark not binding)</t>
  </si>
  <si>
    <t>Deficit resilience safeguard</t>
  </si>
  <si>
    <t>Criterion 1 
(Debt decreasing under deterministic scenarios)</t>
  </si>
  <si>
    <t>Criterion 2 *
(Debt declining with sufficient probability)</t>
  </si>
  <si>
    <t>Criterion 3 
(Deficit below 
3% of GDP)</t>
  </si>
  <si>
    <t>0.5 pp. of GDP adjustment if deficit in previous year &gt; 3% of GDP</t>
  </si>
  <si>
    <t>Number of years the benchmark applies</t>
  </si>
  <si>
    <t>0.40 pp. (0.25 pp.) of GDP adjustment under plan without (with) extension if structural deficit in previous year 
&gt; 1.5% of GDP</t>
  </si>
  <si>
    <t>Number of years the deficit resilience safeguard applies 
(over the adjustment horizon)</t>
  </si>
  <si>
    <t>Adjustment scenario</t>
  </si>
  <si>
    <t>Financial stress scenario</t>
  </si>
  <si>
    <t>Lower SPB scenario</t>
  </si>
  <si>
    <t>Adverse r-g scenario</t>
  </si>
  <si>
    <r>
      <t xml:space="preserve">Annual adjustment </t>
    </r>
    <r>
      <rPr>
        <sz val="10"/>
        <rFont val="Arial"/>
        <family val="2"/>
      </rPr>
      <t>(change in SPB)</t>
    </r>
  </si>
  <si>
    <t>Net primary expenditure growth</t>
  </si>
  <si>
    <t>Average annual adjustment over the plan period</t>
  </si>
  <si>
    <t>Average annual adjustment over the adjustment period</t>
  </si>
  <si>
    <t>Average net primary expenditure growth over the plan period</t>
  </si>
  <si>
    <t>Average net primary expenditure growth over the adjustment period</t>
  </si>
  <si>
    <t>No extension</t>
  </si>
  <si>
    <t>Extension</t>
  </si>
  <si>
    <t>Annual adjustment</t>
  </si>
  <si>
    <t>Key years</t>
  </si>
  <si>
    <t>Last year of no-fiscal-policy-change projections</t>
  </si>
  <si>
    <t>Structural primary balance</t>
  </si>
  <si>
    <t>Headline balance</t>
  </si>
  <si>
    <t>Structural balance</t>
  </si>
  <si>
    <t>Debt</t>
  </si>
  <si>
    <t>Last year of adjustment</t>
  </si>
  <si>
    <t>Key assumptions</t>
  </si>
  <si>
    <t>Fiscal assumptions (% of GDP)</t>
  </si>
  <si>
    <t/>
  </si>
  <si>
    <t>Structural primary balance ('+' means 'surplus')</t>
  </si>
  <si>
    <t>One-off and other temporary measures</t>
  </si>
  <si>
    <t>Stock-flow adjustments (without exchange rate effect)</t>
  </si>
  <si>
    <t>Stock-flow adjustment (total)</t>
  </si>
  <si>
    <t>Total ageing cost (net of taxes on pensions)</t>
  </si>
  <si>
    <t>of which: Public pensions expenditure</t>
  </si>
  <si>
    <t xml:space="preserve">            Health care expenditure</t>
  </si>
  <si>
    <t xml:space="preserve">            Long-term care expenditure</t>
  </si>
  <si>
    <t xml:space="preserve">            Education &amp; unemployment benefits expenditure</t>
  </si>
  <si>
    <t xml:space="preserve">           Taxes on pensions</t>
  </si>
  <si>
    <t>Property income</t>
  </si>
  <si>
    <t>Actual GDP</t>
  </si>
  <si>
    <t>Growth rate</t>
  </si>
  <si>
    <t>Level</t>
  </si>
  <si>
    <t>Potential GDP</t>
  </si>
  <si>
    <t>Nominal implicit interest rate on debt</t>
  </si>
  <si>
    <t>Short-term nominal interest rate</t>
  </si>
  <si>
    <t>Long-term nominal interest rate</t>
  </si>
  <si>
    <t>GDP deflator (national currency)</t>
  </si>
  <si>
    <t>Additional parameters</t>
  </si>
  <si>
    <t>Fiscal multiplier</t>
  </si>
  <si>
    <t xml:space="preserve">Carnot, N. and de Castro, F. (2015), “The Discretionary Fiscal Effort: an Assessment of Fiscal Policy and its Output Effect”, European Economy, Economic Papers, No. 543. </t>
  </si>
  <si>
    <t>Mourre, G. et al. (2019), "The Semi-Elasticities Underlying the Cyclically-Adjusted Budget Balance: An Update and Further Analysis", European Economy, Discussion Paper, No. 098.</t>
  </si>
  <si>
    <t>Bloomberg data, country-specific forward market rates.</t>
  </si>
  <si>
    <t>DSM 2023</t>
  </si>
  <si>
    <t>Share of short-term debt in total government debt</t>
  </si>
  <si>
    <t>Share of long-term debt in total government debt</t>
  </si>
  <si>
    <t>Bloomberg data, inflation swaps.</t>
  </si>
  <si>
    <t>Central bank inflation target</t>
  </si>
  <si>
    <t>Share of outstanding debt in total debt in 2022</t>
  </si>
  <si>
    <t>Derived from the model and made consistent with the short-term forecast.</t>
  </si>
  <si>
    <t>Share of new long-term debt in 2022</t>
  </si>
  <si>
    <t>Share of new short-term debt in 2022</t>
  </si>
  <si>
    <t>Stochastic projections: ranges around adjustment scenario</t>
  </si>
  <si>
    <t>T+1</t>
  </si>
  <si>
    <t>T+2</t>
  </si>
  <si>
    <t>T+3</t>
  </si>
  <si>
    <t>T+4</t>
  </si>
  <si>
    <t>T+5</t>
  </si>
  <si>
    <t>Stock flow adjustments (without exchange rate effect)</t>
  </si>
  <si>
    <t>GDP growth assumptions</t>
  </si>
  <si>
    <t>Actual GDP (real)</t>
  </si>
  <si>
    <t xml:space="preserve">Potential GDP (real) </t>
  </si>
  <si>
    <t>Output gap</t>
  </si>
  <si>
    <t>Actual GDP (nominal, national currency)</t>
  </si>
  <si>
    <t>Interest rate</t>
  </si>
  <si>
    <t>Long-term interest rate</t>
  </si>
  <si>
    <t>Short-term interest rate</t>
  </si>
  <si>
    <t>Share of long-term debt that matures every year</t>
  </si>
  <si>
    <t>Inflation and exchange rate</t>
  </si>
  <si>
    <t>Exchange rate composite change (weighted by share of debt in each currency)</t>
  </si>
  <si>
    <t>Intermediate calculations (growth rate equation)</t>
  </si>
  <si>
    <t>Auxiliary variable to control the closure of the output gap</t>
  </si>
  <si>
    <t>OG intermediate auxiliary value</t>
  </si>
  <si>
    <t>GDP intermediate growth rate - only feedback effect and no closure of the OG</t>
  </si>
  <si>
    <t>Debt projections</t>
  </si>
  <si>
    <t xml:space="preserve">Gross debt </t>
  </si>
  <si>
    <t>Change in debt (-1+2+3)</t>
  </si>
  <si>
    <t>(1) Primary balance (1.1 + 1.2 - 1.3 -1.4 -1.5 - 1.6 -1.7)</t>
  </si>
  <si>
    <t>(1.1) Structural primary balance (before ageing cost)</t>
  </si>
  <si>
    <t>(1.2) Cumulated budgetary effort (in terms of primary balance)</t>
  </si>
  <si>
    <t>(1.3) Cyclical component</t>
  </si>
  <si>
    <t>(1.4) One-off and other temporary measures</t>
  </si>
  <si>
    <t>(1.5) Cost of ageing</t>
  </si>
  <si>
    <t>(1.6) Property incomes</t>
  </si>
  <si>
    <t>(1.7) Revenues</t>
  </si>
  <si>
    <t>(2) Snowball effect (2.1 + 2.2 + 2.3)</t>
  </si>
  <si>
    <t>(2.1) Interest expenditure</t>
  </si>
  <si>
    <t>(2.2) Growth effect</t>
  </si>
  <si>
    <t>(2.3) Inflation effect</t>
  </si>
  <si>
    <t>(2.4) Exchange rate effect linked to the interest rate</t>
  </si>
  <si>
    <t>(3 ) Stock flow adjustments (3.1 + 3.2)</t>
  </si>
  <si>
    <t>(3.1) Base</t>
  </si>
  <si>
    <t>(3.2) Adjustment due to the exchange rate effect linked to debt value</t>
  </si>
  <si>
    <t>Other budgetary variables</t>
  </si>
  <si>
    <t>Net expenditure growth</t>
  </si>
  <si>
    <t>Debt decomposition and IIR</t>
  </si>
  <si>
    <t>Auxiliary variable identifying whether debt is increasing</t>
  </si>
  <si>
    <t>Auxiliary variable identifying whether some debt is rolled over even though debt is decreasing</t>
  </si>
  <si>
    <r>
      <rPr>
        <i/>
        <sz val="8"/>
        <color theme="1"/>
        <rFont val="Arial"/>
        <family val="2"/>
      </rPr>
      <t>Of which</t>
    </r>
    <r>
      <rPr>
        <sz val="8"/>
        <color theme="1"/>
        <rFont val="Arial"/>
        <family val="2"/>
      </rPr>
      <t xml:space="preserve"> Outstanding debt</t>
    </r>
  </si>
  <si>
    <t>Rolled over long-term debt</t>
  </si>
  <si>
    <t>Rolled over short-term debt</t>
  </si>
  <si>
    <t>New long-term debt</t>
  </si>
  <si>
    <t>New short-term debt</t>
  </si>
  <si>
    <t>IIR</t>
  </si>
  <si>
    <t>Long-term implicit interest rate</t>
  </si>
  <si>
    <r>
      <t>Nominal implicit interest rate on debt (</t>
    </r>
    <r>
      <rPr>
        <b/>
        <sz val="8"/>
        <color theme="1"/>
        <rFont val="Arial"/>
        <family val="2"/>
      </rPr>
      <t>Excel approximation</t>
    </r>
    <r>
      <rPr>
        <sz val="8"/>
        <color theme="1"/>
        <rFont val="Arial"/>
        <family val="2"/>
      </rPr>
      <t>)</t>
    </r>
  </si>
  <si>
    <t>Diff. STATA</t>
  </si>
  <si>
    <t>Per memo - STATA results</t>
  </si>
  <si>
    <t>CY</t>
  </si>
  <si>
    <t>EL</t>
  </si>
  <si>
    <t>IE</t>
  </si>
  <si>
    <t>PT</t>
  </si>
  <si>
    <t>Interest rates</t>
  </si>
  <si>
    <t>GDP deflator (National currency)</t>
  </si>
  <si>
    <t>Average net primary expenditure growth</t>
  </si>
  <si>
    <t>Approximation of interest payments in % GDP</t>
  </si>
  <si>
    <t>Growth rate (including feedback and output-gap closure effect)</t>
  </si>
  <si>
    <t>per memo: initial shock (GDP growth rate in baseline scenario - 0.5)</t>
  </si>
  <si>
    <t>Potential GDP (real)</t>
  </si>
  <si>
    <t>Interest rates and inflation</t>
  </si>
  <si>
    <t>First year of stochastic projections</t>
  </si>
  <si>
    <t>Last year of stochastic projections</t>
  </si>
  <si>
    <t>Baseline assumptions</t>
  </si>
  <si>
    <t>Distribution of debt paths</t>
  </si>
  <si>
    <t>p10</t>
  </si>
  <si>
    <t>p30</t>
  </si>
  <si>
    <t>p70</t>
  </si>
  <si>
    <t>p90</t>
  </si>
  <si>
    <t>Graph</t>
  </si>
  <si>
    <t>p30_p10</t>
  </si>
  <si>
    <t>p50_p30</t>
  </si>
  <si>
    <t>p70_p50</t>
  </si>
  <si>
    <t>p90_p70</t>
  </si>
  <si>
    <t>p50</t>
  </si>
  <si>
    <t>FI</t>
  </si>
  <si>
    <r>
      <rPr>
        <i/>
        <sz val="11"/>
        <color rgb="FF0070C0"/>
        <rFont val="Calibri"/>
        <family val="2"/>
        <scheme val="minor"/>
      </rPr>
      <t>Dark grey</t>
    </r>
    <r>
      <rPr>
        <sz val="11"/>
        <color rgb="FF0070C0"/>
        <rFont val="Calibri"/>
        <family val="2"/>
        <scheme val="minor"/>
      </rPr>
      <t xml:space="preserve"> indicates the period in which the SPB, net of changes in cost of ageing, remains constant at its value of end of adjustment.</t>
    </r>
  </si>
  <si>
    <t>Additionally, for the lower SPB scenario, the cells get thick black borders in the years when the SPB is gradually reduced.</t>
  </si>
  <si>
    <r>
      <t xml:space="preserve">All variables that are shocked turn </t>
    </r>
    <r>
      <rPr>
        <i/>
        <sz val="11"/>
        <color rgb="FF0070C0"/>
        <rFont val="Calibri"/>
        <family val="2"/>
        <scheme val="minor"/>
      </rPr>
      <t>very dark grey</t>
    </r>
    <r>
      <rPr>
        <sz val="11"/>
        <color rgb="FF0070C0"/>
        <rFont val="Calibri"/>
        <family val="2"/>
        <scheme val="minor"/>
      </rPr>
      <t>.</t>
    </r>
  </si>
  <si>
    <t>Table 1 - Adjustment input data</t>
  </si>
  <si>
    <t>Table 2 - DSA-based criteria</t>
  </si>
  <si>
    <t>Table 3 - Safeguards and benchmark</t>
  </si>
  <si>
    <t>Table 5 - DSA-based adjustment *</t>
  </si>
  <si>
    <t>Last year before the adjustment</t>
  </si>
  <si>
    <t>Table 4 - Main fiscal variables</t>
  </si>
  <si>
    <r>
      <rPr>
        <i/>
        <sz val="11"/>
        <color rgb="FF0070C0"/>
        <rFont val="Calibri"/>
        <family val="2"/>
        <scheme val="minor"/>
      </rPr>
      <t>Light grey</t>
    </r>
    <r>
      <rPr>
        <sz val="11"/>
        <color rgb="FF0070C0"/>
        <rFont val="Calibri"/>
        <family val="2"/>
        <scheme val="minor"/>
      </rPr>
      <t xml:space="preserve"> indicates the pre-plan period, corresponding to the EC forecast</t>
    </r>
  </si>
  <si>
    <t>Sources</t>
  </si>
  <si>
    <t>Eurostat, average shares over the 3 last available years.</t>
  </si>
  <si>
    <t>ECB, country-specific historical average shares over the 6 last available years. For post-programme countries (CY, El , IE and PT), the redemption profile of official loans has been taken into account for the computation of the share of long-term debt that matures every year. For these countries, changing this parameter would not affect debt projections.</t>
  </si>
  <si>
    <t>Share of rolled-over long-term debt in 2022</t>
  </si>
  <si>
    <t>Share of rolled-over short-term debt in 2022</t>
  </si>
  <si>
    <t>Difference between debt level in 50th and 10th percentiles of the distribution</t>
  </si>
  <si>
    <t>Difference between debt level in 50th and 30th percentiles of the distribution</t>
  </si>
  <si>
    <t>Difference between debt level in 70th and 50th percentiles of the distribution</t>
  </si>
  <si>
    <t>Difference between debt level in 90th and 50th percentiles of the distribution</t>
  </si>
  <si>
    <r>
      <t xml:space="preserve">The sheet "Input data" in light blue presents the </t>
    </r>
    <r>
      <rPr>
        <b/>
        <sz val="11"/>
        <color rgb="FF0070C0"/>
        <rFont val="Calibri"/>
        <family val="2"/>
        <scheme val="minor"/>
      </rPr>
      <t>input data</t>
    </r>
    <r>
      <rPr>
        <sz val="11"/>
        <color rgb="FF0070C0"/>
        <rFont val="Calibri"/>
        <family val="2"/>
        <scheme val="minor"/>
      </rPr>
      <t>, including fiscal and GDP growth assumptions as well as  additional fiscal parameters. Unless stated otherwise below,</t>
    </r>
    <r>
      <rPr>
        <b/>
        <u/>
        <sz val="11"/>
        <color rgb="FF0070C0"/>
        <rFont val="Calibri"/>
        <family val="2"/>
        <scheme val="minor"/>
      </rPr>
      <t xml:space="preserve"> the user can change all values in this tab.</t>
    </r>
  </si>
  <si>
    <r>
      <rPr>
        <i/>
        <sz val="11"/>
        <color rgb="FF0070C0"/>
        <rFont val="Calibri"/>
        <family val="2"/>
        <scheme val="minor"/>
      </rPr>
      <t>Mild grey</t>
    </r>
    <r>
      <rPr>
        <sz val="11"/>
        <color rgb="FF0070C0"/>
        <rFont val="Calibri"/>
        <family val="2"/>
        <scheme val="minor"/>
      </rPr>
      <t xml:space="preserve"> indicates the period during which the SPB adjusts  according to the path set in sheet "</t>
    </r>
    <r>
      <rPr>
        <b/>
        <sz val="11"/>
        <color rgb="FF0070C0"/>
        <rFont val="Calibri"/>
        <family val="2"/>
        <scheme val="minor"/>
      </rPr>
      <t>Criteria results</t>
    </r>
    <r>
      <rPr>
        <sz val="11"/>
        <color rgb="FF0070C0"/>
        <rFont val="Calibri"/>
        <family val="2"/>
        <scheme val="minor"/>
      </rPr>
      <t>"</t>
    </r>
  </si>
  <si>
    <t>IIR difference STATA - Excel</t>
  </si>
  <si>
    <t>(i - g)</t>
  </si>
  <si>
    <t>Debt increasing? (For criterion 1)</t>
  </si>
  <si>
    <t>Gross debt ratio in the Adjust. no safeguard</t>
  </si>
  <si>
    <t>p50 - Adjust. no safeguard</t>
  </si>
  <si>
    <t xml:space="preserve">* The adjustment in this table does not account for the minimum adjustment of 0.5 pp. of GDP as a benchmark nor for the debt sustainability and deficit resillience safeguards. </t>
  </si>
  <si>
    <t xml:space="preserve">· Adjustment scenario without safeguard and benchmark </t>
  </si>
  <si>
    <t>Annual change in SPB</t>
  </si>
  <si>
    <t>Debt declines by 1pp (0.5pp) of GDP on average as long as debt exceeds 90% (60%) of GDP</t>
  </si>
  <si>
    <t>Average change in debt</t>
  </si>
  <si>
    <t>Debt sustainability safeguard *</t>
  </si>
  <si>
    <t>Deficit benchmark **</t>
  </si>
  <si>
    <t>Each scenario is computed automatically based on the yearly adjustment path set in "Criteria results" (see above).</t>
  </si>
  <si>
    <t xml:space="preserve">The next spreadsheets present the deterministic and stochastic projections. Each deterministic projection provides a single path for debt until 2038 or 2041 under certain assumptions for budgetary, macroeconomic and financial variables, while the outcome of the stochastic projections is a distribution of debt paths resulting from a wide set of shocks. 
The sheets are grouped in four blocs, identified by their colour coding:
</t>
  </si>
  <si>
    <t>Within the orange sheet and each green sheet, the background of the SPB line has three colours. Each colour corresponds to a specific period of the projections:</t>
  </si>
  <si>
    <r>
      <t xml:space="preserve">The sheet in dark green presents the </t>
    </r>
    <r>
      <rPr>
        <u/>
        <sz val="11"/>
        <color rgb="FF0070C0"/>
        <rFont val="Calibri"/>
        <family val="2"/>
        <scheme val="minor"/>
      </rPr>
      <t>stochastic projections</t>
    </r>
    <r>
      <rPr>
        <sz val="11"/>
        <color rgb="FF0070C0"/>
        <rFont val="Calibri"/>
        <family val="2"/>
        <scheme val="minor"/>
      </rPr>
      <t xml:space="preserve"> surrounding the adjustment scenario without safeguard and benchmark .</t>
    </r>
  </si>
  <si>
    <t>Level (billions, national currency)</t>
  </si>
  <si>
    <t xml:space="preserve">Adjustment in a plan without extension </t>
  </si>
  <si>
    <t xml:space="preserve">Adjustment in a plan with extension </t>
  </si>
  <si>
    <t xml:space="preserve">    </t>
  </si>
  <si>
    <t>* The average change in debt is computed from the year before the start of the reference trajectory or the year in which the excessive deficit procedure is projected to be abrogated, whichever occurs last, until the end of the adjustment period. 
** The deficit benchmark is applied in terms of change in SPB during the transitory period of 2025-2027 and in terms of change in SB thereafter.</t>
  </si>
  <si>
    <t>country</t>
  </si>
  <si>
    <t>year</t>
  </si>
  <si>
    <t>spb_gdp_DSM</t>
  </si>
  <si>
    <t>exchrate_ameco</t>
  </si>
  <si>
    <t>cyclcomp_gdp_DSM</t>
  </si>
  <si>
    <t>rGDPgr_DSM</t>
  </si>
  <si>
    <t>infl_DSM</t>
  </si>
  <si>
    <t>oneOffMeasures_DSM</t>
  </si>
  <si>
    <t>Stockflowadjustments_DSM</t>
  </si>
  <si>
    <t>AgeingCost_DSM</t>
  </si>
  <si>
    <t>gdebt_gdp_DSM</t>
  </si>
  <si>
    <t>nIIR_DSM</t>
  </si>
  <si>
    <t>Debt decreasing? (For criterion 1)</t>
  </si>
  <si>
    <t>Table 7a: Debt and headline balance projections and key underlying assumptions (under the planned fiscal path)</t>
  </si>
  <si>
    <t>Gross debt</t>
  </si>
  <si>
    <t>(% GDP)</t>
  </si>
  <si>
    <t>General government balance</t>
  </si>
  <si>
    <t>(% pot. GDP)</t>
  </si>
  <si>
    <t>Cyclical component</t>
  </si>
  <si>
    <t>One-off measures</t>
  </si>
  <si>
    <t>Interest expenditure</t>
  </si>
  <si>
    <t>(%)</t>
  </si>
  <si>
    <t>Implicit average interest rate</t>
  </si>
  <si>
    <t>Stock-flow adjustment</t>
  </si>
  <si>
    <t>(growth rate)</t>
  </si>
  <si>
    <t>Real GDP</t>
  </si>
  <si>
    <t>GDP deflator</t>
  </si>
  <si>
    <t>Nominal GDP</t>
  </si>
  <si>
    <t>Table 7b: Debt projections and key stressed variables, deterministic scenarios and stochastic simulations</t>
  </si>
  <si>
    <t>Adverse 'r-g' scenario</t>
  </si>
  <si>
    <t>Stochastic simulations</t>
  </si>
  <si>
    <t>Probability of debt being below its value in T+4/7</t>
  </si>
  <si>
    <t>Table 7c: Debt and headline balance projections and underlying assumptions (under 'no-fiscal-policy-change' baseline)</t>
  </si>
  <si>
    <t>Table 7d: Debt projections and additional assumptions (under the planned fiscal path)</t>
  </si>
  <si>
    <t>line</t>
  </si>
  <si>
    <t>approximation</t>
  </si>
  <si>
    <t>SF24</t>
  </si>
  <si>
    <t>Real GDP growth assumptions (based on SF 2024 T+10 projections and AR 2024 projections)</t>
  </si>
  <si>
    <t>Average (2025-28)</t>
  </si>
  <si>
    <r>
      <t xml:space="preserve">Cells in </t>
    </r>
    <r>
      <rPr>
        <i/>
        <sz val="11"/>
        <color rgb="FF0070C0"/>
        <rFont val="Calibri"/>
        <family val="2"/>
        <scheme val="minor"/>
      </rPr>
      <t>light blue</t>
    </r>
    <r>
      <rPr>
        <sz val="11"/>
        <color rgb="FF0070C0"/>
        <rFont val="Calibri"/>
        <family val="2"/>
        <scheme val="minor"/>
      </rPr>
      <t xml:space="preserve"> indicate values from the Ageing Report 2024</t>
    </r>
  </si>
  <si>
    <t xml:space="preserve">Share of primary expenditure in GDP in 2024 </t>
  </si>
  <si>
    <t>Long-term nominal interest rate (T+10 convergence value)</t>
  </si>
  <si>
    <t>Short-term nominal interest rate (T+10 convergence value)</t>
  </si>
  <si>
    <t>Long-term nominal interest rate (T+30 convergence value)</t>
  </si>
  <si>
    <t>Short-term nominal interest rate (T+30 convergence value)</t>
  </si>
  <si>
    <t>Share of long-term debt that matures every year (T+10 convergence value)</t>
  </si>
  <si>
    <t>GDP deflator (national currency) (T+10 convergence value)</t>
  </si>
  <si>
    <t>GDP deflator (national currency) (T+30 convergence value)</t>
  </si>
  <si>
    <r>
      <t xml:space="preserve">Data reported in this file are based on the </t>
    </r>
    <r>
      <rPr>
        <i/>
        <sz val="11"/>
        <color rgb="FF0070C0"/>
        <rFont val="Calibri"/>
        <family val="2"/>
        <scheme val="minor"/>
      </rPr>
      <t>European Commission (EC) 2024 spring forecast (SF 2024)</t>
    </r>
    <r>
      <rPr>
        <sz val="11"/>
        <color rgb="FF0070C0"/>
        <rFont val="Calibri"/>
        <family val="2"/>
        <scheme val="minor"/>
      </rPr>
      <t xml:space="preserve"> and macroeconomic and budgetary projections from the joint </t>
    </r>
    <r>
      <rPr>
        <i/>
        <sz val="11"/>
        <color rgb="FF0070C0"/>
        <rFont val="Calibri"/>
        <family val="2"/>
        <scheme val="minor"/>
      </rPr>
      <t>EC-EPC Ageing Report 2024 (AR 2024)</t>
    </r>
    <r>
      <rPr>
        <sz val="11"/>
        <color rgb="FF0070C0"/>
        <rFont val="Calibri"/>
        <family val="2"/>
        <scheme val="minor"/>
      </rPr>
      <t>.</t>
    </r>
  </si>
  <si>
    <t>Interest rates (SF 2024, %)</t>
  </si>
  <si>
    <t>Inflation (SF 2024, %)</t>
  </si>
  <si>
    <t>Net primary expenditure growth (SF 2024, %)</t>
  </si>
  <si>
    <t>Budget balance semi-elasticity</t>
  </si>
  <si>
    <t>Structural balance ensuring safety margin (for deficit resilience safeguard)</t>
  </si>
  <si>
    <t>Change in interest payments (for deficit benchmark in SB terms from 2028 onwards)</t>
  </si>
  <si>
    <t>Debt above 90% (for debt sustainability safeguard)</t>
  </si>
  <si>
    <t>Debt between 60% and 90% (for debt sustainability safeguard)</t>
  </si>
  <si>
    <t>Debt above 60% (for debt sustainability safeguard)</t>
  </si>
  <si>
    <t>Deficit exceeding 3% / under EDP (for deficit benchmark and debt sustainability safeguard)</t>
  </si>
  <si>
    <t>Table 6 - Reference trajectory</t>
  </si>
  <si>
    <t xml:space="preserve">Table 5 "DSA-based adjustment" summarises the key characteristics of the adjustment path that complies with the DSA-based criteria before applying the safeguards and benchmark, for a plan both with and without extension. </t>
  </si>
  <si>
    <t xml:space="preserve">Table 4 "Main fiscal variables" reports the annual adjustment over the adjustment period, in terms of change in SPB (line 19) and net primary expenditure growth (line 20). The table also reports the headline balance, the structural balance and  debt (lines 21 to 23). The average annual adjustment is reported in cells G24 (average change in SPB over the 4-year plan period), G25 (average change in SPB over the 4-year or 7-year adjustment period), G26 (average net primary expenditure growth over the plan period) and G27 (average net primary expenditure growth over the adjustment period). </t>
  </si>
  <si>
    <r>
      <t>The grey sheet "</t>
    </r>
    <r>
      <rPr>
        <b/>
        <sz val="11"/>
        <color rgb="FF0070C0"/>
        <rFont val="Calibri"/>
        <family val="2"/>
        <scheme val="minor"/>
      </rPr>
      <t>Criteria results</t>
    </r>
    <r>
      <rPr>
        <sz val="11"/>
        <color rgb="FF0070C0"/>
        <rFont val="Calibri"/>
        <family val="2"/>
        <scheme val="minor"/>
      </rPr>
      <t>" contains three types of cells identified by different colours:</t>
    </r>
  </si>
  <si>
    <r>
      <t>The sheet "</t>
    </r>
    <r>
      <rPr>
        <b/>
        <sz val="11"/>
        <color rgb="FF0070C0"/>
        <rFont val="Calibri"/>
        <family val="2"/>
        <scheme val="minor"/>
      </rPr>
      <t>Criteria results</t>
    </r>
    <r>
      <rPr>
        <sz val="11"/>
        <color rgb="FF0070C0"/>
        <rFont val="Calibri"/>
        <family val="2"/>
        <scheme val="minor"/>
      </rPr>
      <t>" contains six tables:
Table 1 "Adjustment input data": the user can set the duration of the plan (4 years under no extension or 7 years under extension) and the yearly adjustment pace in cells F5 and F6 in yellow. Note that the country cell (F4) cannot be changed.</t>
    </r>
  </si>
  <si>
    <r>
      <t xml:space="preserve">Cells in </t>
    </r>
    <r>
      <rPr>
        <i/>
        <sz val="11"/>
        <color rgb="FF0070C0"/>
        <rFont val="Calibri"/>
        <family val="2"/>
        <scheme val="minor"/>
      </rPr>
      <t>light grey</t>
    </r>
    <r>
      <rPr>
        <sz val="11"/>
        <color rgb="FF0070C0"/>
        <rFont val="Calibri"/>
        <family val="2"/>
        <scheme val="minor"/>
      </rPr>
      <t xml:space="preserve"> indicate a Commission forecast (available in the AMECO database)</t>
    </r>
  </si>
  <si>
    <t>Cost of ageing and selected public revenue (based on the Commission-Council 2024 Ageing Report ("AR 2024"))</t>
  </si>
  <si>
    <r>
      <t>Cells in</t>
    </r>
    <r>
      <rPr>
        <i/>
        <sz val="11"/>
        <color rgb="FF0070C0"/>
        <rFont val="Calibri"/>
        <family val="2"/>
        <scheme val="minor"/>
      </rPr>
      <t xml:space="preserve"> light red</t>
    </r>
    <r>
      <rPr>
        <sz val="11"/>
        <color rgb="FF0070C0"/>
        <rFont val="Calibri"/>
        <family val="2"/>
        <scheme val="minor"/>
      </rPr>
      <t xml:space="preserve"> indicate whether the country is subject to an ongoing excessive deficit procedure (EDP) or whether the Commission's June 2024 report under Art. 126(3) of the Treaty recommends opening an EDP. If neither of these conditions are met, the deficit benchmark is not relevant and therefore not applied.</t>
    </r>
  </si>
  <si>
    <t>Non-coloured parameters in cells C49:C70 were calibrated based on different data sources. The data sources are indicated in the corresponding cells of column E.
The last part of the sheet "Input data" (cells C73:G77) provides the parameters measuring the size of the cone of the fanchart that results from the stochastic analysis. For reproducibility reasons, these parameters are kept constant.</t>
  </si>
  <si>
    <t xml:space="preserve">The sheet in orange presents the scenario that automatically corrects the yearly adjustment path to account for the deficit benchmark and the deficit resillience safeguard. By contrast, the yearly adjustment profile is not automatically adjusted to ensure that the debt sustainability safeguard is met. However, the sheet "Criteria results" indicates whether that safeguard is met. </t>
  </si>
  <si>
    <r>
      <t xml:space="preserve">The sheets in green present the </t>
    </r>
    <r>
      <rPr>
        <u/>
        <sz val="11"/>
        <color rgb="FF0070C0"/>
        <rFont val="Calibri"/>
        <family val="2"/>
        <scheme val="minor"/>
      </rPr>
      <t>deterministic projections</t>
    </r>
    <r>
      <rPr>
        <sz val="11"/>
        <color rgb="FF0070C0"/>
        <rFont val="Calibri"/>
        <family val="2"/>
        <scheme val="minor"/>
      </rPr>
      <t xml:space="preserve"> that are used to compute the DSA-based requirements (in the sheet "Criteria results"). They include four scenarios:
</t>
    </r>
  </si>
  <si>
    <r>
      <rPr>
        <b/>
        <sz val="11"/>
        <color rgb="FF0070C0"/>
        <rFont val="Calibri"/>
        <family val="2"/>
        <scheme val="minor"/>
      </rPr>
      <t>Debt projections</t>
    </r>
    <r>
      <rPr>
        <sz val="11"/>
        <color rgb="FF0070C0"/>
        <rFont val="Calibri"/>
        <family val="2"/>
        <scheme val="minor"/>
      </rPr>
      <t xml:space="preserve"> can be found in line 56 or 57 of each scenario. The corresponding </t>
    </r>
    <r>
      <rPr>
        <b/>
        <sz val="11"/>
        <color rgb="FF0070C0"/>
        <rFont val="Calibri"/>
        <family val="2"/>
        <scheme val="minor"/>
      </rPr>
      <t>net expenditure growth</t>
    </r>
    <r>
      <rPr>
        <sz val="11"/>
        <color rgb="FF0070C0"/>
        <rFont val="Calibri"/>
        <family val="2"/>
        <scheme val="minor"/>
      </rPr>
      <t xml:space="preserve"> is located in line 79 or 80 in the baseline and adjustment scenario (and Adj. no safeguard) sheets. The average net expenditure growth over the adjustment period is computed in cell D81 of the sheet "Adjustment scenario". As a reminder, these numbers are also available in Table 4 in "Criteria results".</t>
    </r>
  </si>
  <si>
    <r>
      <t>This file contains a simplified version of the EC model used to calculate the general governement debt ratio dynamics for EU countries under different scenarios. A detailed description of the EC's general govern</t>
    </r>
    <r>
      <rPr>
        <strike/>
        <sz val="11"/>
        <color rgb="FF0070C0"/>
        <rFont val="Calibri"/>
        <family val="2"/>
        <scheme val="minor"/>
      </rPr>
      <t>e</t>
    </r>
    <r>
      <rPr>
        <sz val="11"/>
        <color rgb="FF0070C0"/>
        <rFont val="Calibri"/>
        <family val="2"/>
        <scheme val="minor"/>
      </rPr>
      <t>ment debt projections can be found</t>
    </r>
    <r>
      <rPr>
        <b/>
        <sz val="11"/>
        <color rgb="FF0070C0"/>
        <rFont val="Calibri"/>
        <family val="2"/>
        <scheme val="minor"/>
      </rPr>
      <t xml:space="preserve"> </t>
    </r>
    <r>
      <rPr>
        <sz val="11"/>
        <color rgb="FF0070C0"/>
        <rFont val="Calibri"/>
        <family val="2"/>
        <scheme val="minor"/>
      </rPr>
      <t xml:space="preserve">in the </t>
    </r>
    <r>
      <rPr>
        <b/>
        <sz val="11"/>
        <color rgb="FF0070C0"/>
        <rFont val="Calibri"/>
        <family val="2"/>
        <scheme val="minor"/>
      </rPr>
      <t>"</t>
    </r>
    <r>
      <rPr>
        <b/>
        <u/>
        <sz val="11"/>
        <color rgb="FF0070C0"/>
        <rFont val="Calibri"/>
        <family val="2"/>
        <scheme val="minor"/>
      </rPr>
      <t>Debt Sustainability Monitor 2023" (DSM, March 2024)</t>
    </r>
    <r>
      <rPr>
        <b/>
        <sz val="11"/>
        <color rgb="FF0070C0"/>
        <rFont val="Calibri"/>
        <family val="2"/>
        <scheme val="minor"/>
      </rPr>
      <t xml:space="preserve">. </t>
    </r>
  </si>
  <si>
    <t>Table 6 "Reference trajectory" reports the net expenditure growth and the corresponding annual change in SPB that are consistent with all requirements including the safeguards and benchmark, both without and with extension.</t>
  </si>
  <si>
    <t xml:space="preserve">Table 2 "DSA-based criteria" reports whether the chosen adjustment fulfils each of the DSA-based criteria. </t>
  </si>
  <si>
    <t>Table 3 "Safeguards and benchmark" reports whether (i) the chosen adjustment ensures that the debt sustainability safeguard is met, (ii) the 'deficit benchmark', i.e. the minimum adjustment of 0.5 pp. of GDP as a benchmark when the country is in EDP and/or the deficit exceeds 3% of GDP, is binding, and (iii) the deficit resilience safeguard is binding.</t>
  </si>
  <si>
    <t>To the right of Table 1, a message automatically signals whether the chosen adjustment is sufficient to fulfill all the requirements, summarising the results from Tables 2 and 3.</t>
  </si>
  <si>
    <t>Number of years of adjustment</t>
  </si>
  <si>
    <t>Probability that debt decreases</t>
  </si>
  <si>
    <r>
      <t xml:space="preserve">Cells with a </t>
    </r>
    <r>
      <rPr>
        <i/>
        <sz val="11"/>
        <color rgb="FF0070C0"/>
        <rFont val="Calibri"/>
        <family val="2"/>
        <scheme val="minor"/>
      </rPr>
      <t>yellow background and a red frame</t>
    </r>
    <r>
      <rPr>
        <sz val="11"/>
        <color rgb="FF0070C0"/>
        <rFont val="Calibri"/>
        <family val="2"/>
        <scheme val="minor"/>
      </rPr>
      <t xml:space="preserve"> can be modified to see the impact of a different duration or pace of adjustment.</t>
    </r>
  </si>
  <si>
    <r>
      <t xml:space="preserve">Cells with a </t>
    </r>
    <r>
      <rPr>
        <i/>
        <sz val="11"/>
        <color rgb="FF0070C0"/>
        <rFont val="Calibri"/>
        <family val="2"/>
        <scheme val="minor"/>
      </rPr>
      <t xml:space="preserve">white or grey background </t>
    </r>
    <r>
      <rPr>
        <sz val="11"/>
        <color rgb="FF0070C0"/>
        <rFont val="Calibri"/>
        <family val="2"/>
        <scheme val="minor"/>
      </rPr>
      <t>provide results obtained with the adjustment chosen in the yellow cells. To replicate the Commission's calculations, the underlying formulas should not be modified.</t>
    </r>
  </si>
  <si>
    <r>
      <t xml:space="preserve">Cells with a </t>
    </r>
    <r>
      <rPr>
        <i/>
        <sz val="11"/>
        <color rgb="FF0070C0"/>
        <rFont val="Calibri"/>
        <family val="2"/>
        <scheme val="minor"/>
      </rPr>
      <t>pale blue background</t>
    </r>
    <r>
      <rPr>
        <sz val="11"/>
        <color rgb="FF0070C0"/>
        <rFont val="Calibri"/>
        <family val="2"/>
        <scheme val="minor"/>
      </rPr>
      <t xml:space="preserve"> correspond to the Commission's prior guidance provided to the Member State. Those are hard numbers that do not depend on the adjustment chosen in the file.</t>
    </r>
  </si>
  <si>
    <t>Subject to an excessive deficit procedure (EDP) (0-no/1-yes)</t>
  </si>
  <si>
    <t>Key fiscal variables (based on the Commission 2024 spring forecast ("SF 2024") T+2 forecast and the June 2024 report prepared under Art. 126(3) of the Treaty)</t>
  </si>
  <si>
    <r>
      <t>This tool can be used to calculate debt projections under different macroeconomic and structural primary balance adjustment assumptions. Debt projections for each scenario will update automatically with changes in the macroeconomic assumptions or the adjustment parameters. The fulfilment of DSA-based criteria, the safeguards and the benchmark will be automatically calculated in the sheet "</t>
    </r>
    <r>
      <rPr>
        <b/>
        <sz val="11"/>
        <color rgb="FF0070C0"/>
        <rFont val="Calibri"/>
        <family val="2"/>
        <scheme val="minor"/>
      </rPr>
      <t>Criteria results</t>
    </r>
    <r>
      <rPr>
        <sz val="11"/>
        <color rgb="FF0070C0"/>
        <rFont val="Calibri"/>
        <family val="2"/>
        <scheme val="minor"/>
      </rPr>
      <t>".
Formulas are fully visible. To assess the impact of alternative adjustment paths compared with the reference trajectory calculated by the EC or to check its robustness to underlying macroeconomic assumptions, the user can modify the content of key cells in the sheets "</t>
    </r>
    <r>
      <rPr>
        <b/>
        <sz val="11"/>
        <color rgb="FF0070C0"/>
        <rFont val="Calibri"/>
        <family val="2"/>
        <scheme val="minor"/>
      </rPr>
      <t>Criteria results</t>
    </r>
    <r>
      <rPr>
        <sz val="11"/>
        <color rgb="FF0070C0"/>
        <rFont val="Calibri"/>
        <family val="2"/>
        <scheme val="minor"/>
      </rPr>
      <t>" and "</t>
    </r>
    <r>
      <rPr>
        <b/>
        <sz val="11"/>
        <color rgb="FF0070C0"/>
        <rFont val="Calibri"/>
        <family val="2"/>
        <scheme val="minor"/>
      </rPr>
      <t>Input data</t>
    </r>
    <r>
      <rPr>
        <sz val="11"/>
        <color rgb="FF0070C0"/>
        <rFont val="Calibri"/>
        <family val="2"/>
        <scheme val="minor"/>
      </rPr>
      <t>" (see below).
Note that, for a proper functioning of the file, you should make sure that Excel is in "Automatic" computation mode, i.e. in the File menu, Option tab, click on "Formulas", "Calculation Options" and "Automatic".</t>
    </r>
  </si>
  <si>
    <t>The 'FASTOP reporting' sheet in violet provides help for preparing reporting tables. It readily provides all the tables envisaged in the guidance notice on the "Information Requirements for the Medium-Term Fiscal-Structural Plans" once the parameters are set in the rest of this file.
Note that the probability of a declining debt ratio in table 7c derived from the stochastic simulations is only an approximation since the stochastic analysis is not an integral part of this Excel file. For a precise figure, the simulations need to be run.
This sheet is therefore only meant to provide assistance. The figures still need to be thoroughly scrutinised before submitting the tables.</t>
  </si>
  <si>
    <t>* The stochastic simulations are provided mainly for information, as the Excel worksheet only allows for an approximation of what is done in the Commission's Stata model. Indeed, in this Excel worksheet, the size of the cone of the fanchart is assumed to be constant over different adjustment paths. In ther Stata model, it is a non linear function of the level of debt, as shocks (in particular interest rate shocks) have different impacts according to the level of debt ratio. 
** In case a smaller adjustment than the one implied by criterion 1 and criterion 2 is sufficient to ensure that debt is brought (and/or remains) below 60% of GDP under the adjustment scenario and all deterministic stress tests while ensuring that the criterion 3 is met, then that smaller, 'eased-up' adjustment is chosen.</t>
  </si>
  <si>
    <t xml:space="preserve">In case of a plan with no extension, both the plan period and the adjustment period last 4 years. 
In case of a plan with extension, the plan period remains 4 years while the adjustment period lasts 7 years. Morever, in case of extension, if neither the deficit benchmark nor the deficit resilience safeguard are binding, the values in G24 and G25 (and G26 and G27) are the same. However, if the benchmark or the safeguard is binding, the values in those cells can be different. </t>
  </si>
  <si>
    <t>No extension (annual adjustment of 0.66)</t>
  </si>
  <si>
    <t>Extension (annual adjustment of 0.3)</t>
  </si>
  <si>
    <t>The sheet in blue provides, as a reference, the baseline no-fiscal-policy-change scenario. The background colour coding is the same as in the sheet "Input data".</t>
  </si>
  <si>
    <t>AMECO DEMEANED</t>
  </si>
  <si>
    <t>DARVAS Stochastic data</t>
  </si>
  <si>
    <t>AMECO</t>
  </si>
  <si>
    <t>ISO</t>
  </si>
  <si>
    <t>d_ngdp</t>
  </si>
  <si>
    <t>pb</t>
  </si>
  <si>
    <t>iir</t>
  </si>
  <si>
    <t>sfa</t>
  </si>
  <si>
    <t>q</t>
  </si>
  <si>
    <t>stir</t>
  </si>
  <si>
    <t>ltrate</t>
  </si>
  <si>
    <t>snowball term</t>
  </si>
  <si>
    <t>FIN</t>
  </si>
  <si>
    <t>1999Q2</t>
  </si>
  <si>
    <t>1999Q3</t>
  </si>
  <si>
    <t>1999Q4</t>
  </si>
  <si>
    <t>2000Q1</t>
  </si>
  <si>
    <t>2000Q2</t>
  </si>
  <si>
    <t>2000Q3</t>
  </si>
  <si>
    <t>2000Q4</t>
  </si>
  <si>
    <t>2001Q1</t>
  </si>
  <si>
    <t>2001Q2</t>
  </si>
  <si>
    <t>2001Q3</t>
  </si>
  <si>
    <t>2001Q4</t>
  </si>
  <si>
    <t>2002Q1</t>
  </si>
  <si>
    <t>2002Q2</t>
  </si>
  <si>
    <t>2002Q3</t>
  </si>
  <si>
    <t>2002Q4</t>
  </si>
  <si>
    <t>2003Q1</t>
  </si>
  <si>
    <t>2003Q2</t>
  </si>
  <si>
    <t>2003Q3</t>
  </si>
  <si>
    <t>2003Q4</t>
  </si>
  <si>
    <t>2004Q1</t>
  </si>
  <si>
    <t>2004Q2</t>
  </si>
  <si>
    <t>2004Q3</t>
  </si>
  <si>
    <t>2004Q4</t>
  </si>
  <si>
    <t>2005Q1</t>
  </si>
  <si>
    <t>2005Q2</t>
  </si>
  <si>
    <t>2005Q3</t>
  </si>
  <si>
    <t>2005Q4</t>
  </si>
  <si>
    <t>2006Q1</t>
  </si>
  <si>
    <t>2006Q2</t>
  </si>
  <si>
    <t>2006Q3</t>
  </si>
  <si>
    <t>2006Q4</t>
  </si>
  <si>
    <t>2007Q1</t>
  </si>
  <si>
    <t>2007Q2</t>
  </si>
  <si>
    <t>2007Q3</t>
  </si>
  <si>
    <t>2007Q4</t>
  </si>
  <si>
    <t>2008Q1</t>
  </si>
  <si>
    <t>2008Q2</t>
  </si>
  <si>
    <t>2008Q3</t>
  </si>
  <si>
    <t>2008Q4</t>
  </si>
  <si>
    <t>2009Q1</t>
  </si>
  <si>
    <t>2009Q2</t>
  </si>
  <si>
    <t>2009Q3</t>
  </si>
  <si>
    <t>2009Q4</t>
  </si>
  <si>
    <t>2010Q1</t>
  </si>
  <si>
    <t>2010Q2</t>
  </si>
  <si>
    <t>2010Q3</t>
  </si>
  <si>
    <t>2010Q4</t>
  </si>
  <si>
    <t>2011Q1</t>
  </si>
  <si>
    <t>2011Q2</t>
  </si>
  <si>
    <t>2011Q3</t>
  </si>
  <si>
    <t>2011Q4</t>
  </si>
  <si>
    <t>2012Q1</t>
  </si>
  <si>
    <t>2012Q2</t>
  </si>
  <si>
    <t>2012Q3</t>
  </si>
  <si>
    <t>2012Q4</t>
  </si>
  <si>
    <t>2013Q1</t>
  </si>
  <si>
    <t>2013Q2</t>
  </si>
  <si>
    <t>2013Q3</t>
  </si>
  <si>
    <t>2013Q4</t>
  </si>
  <si>
    <t>2014Q1</t>
  </si>
  <si>
    <t>2014Q2</t>
  </si>
  <si>
    <t>2014Q3</t>
  </si>
  <si>
    <t>2014Q4</t>
  </si>
  <si>
    <t>2015Q1</t>
  </si>
  <si>
    <t>2015Q2</t>
  </si>
  <si>
    <t>2015Q3</t>
  </si>
  <si>
    <t>2015Q4</t>
  </si>
  <si>
    <t>2016Q1</t>
  </si>
  <si>
    <t>2016Q2</t>
  </si>
  <si>
    <t>2016Q3</t>
  </si>
  <si>
    <t>2016Q4</t>
  </si>
  <si>
    <t>2017Q1</t>
  </si>
  <si>
    <t>2017Q2</t>
  </si>
  <si>
    <t>2017Q3</t>
  </si>
  <si>
    <t>2017Q4</t>
  </si>
  <si>
    <t>2018Q1</t>
  </si>
  <si>
    <t>2018Q2</t>
  </si>
  <si>
    <t>2018Q3</t>
  </si>
  <si>
    <t>2018Q4</t>
  </si>
  <si>
    <t>2019Q1</t>
  </si>
  <si>
    <t>2019Q2</t>
  </si>
  <si>
    <t>2019Q3</t>
  </si>
  <si>
    <t>2019Q4</t>
  </si>
  <si>
    <t>2020Q1</t>
  </si>
  <si>
    <t>2020Q2</t>
  </si>
  <si>
    <t>2020Q3</t>
  </si>
  <si>
    <t>2020Q4</t>
  </si>
  <si>
    <t>2021Q1</t>
  </si>
  <si>
    <t>2021Q2</t>
  </si>
  <si>
    <t>2021Q3</t>
  </si>
  <si>
    <t>2021Q4</t>
  </si>
  <si>
    <t>2022Q1</t>
  </si>
  <si>
    <t>2022Q2</t>
  </si>
  <si>
    <t>2022Q3</t>
  </si>
  <si>
    <t>2022Q4</t>
  </si>
  <si>
    <t>SD</t>
  </si>
  <si>
    <t>Interest rate - growth diff</t>
  </si>
  <si>
    <t>save row COM</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</si>
</sst>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9">
    <numFmt numFmtId="164" formatCode="0.0000"/>
    <numFmt numFmtId="165" formatCode="0.0"/>
    <numFmt numFmtId="166" formatCode="0.000"/>
    <numFmt numFmtId="167" formatCode="0.00000"/>
    <numFmt numFmtId="168" formatCode="0.000000"/>
    <numFmt numFmtId="169" formatCode="0.0000000"/>
    <numFmt numFmtId="170" formatCode="0.00000000"/>
    <numFmt numFmtId="171" formatCode="0.000\ %"/>
    <numFmt numFmtId="172" formatCode="0.0000\ %"/>
  </numFmts>
  <fonts count="57" x14ac:knownFonts="1">
    <font>
      <sz val="10"/>
      <color theme="1"/>
      <name val="Arial"/>
      <family val="2"/>
    </font>
    <font>
      <sz val="11"/>
      <color theme="1"/>
      <name val="Calibri"/>
      <family val="2"/>
      <scheme val="minor"/>
    </font>
    <font>
      <sz val="11"/>
      <color theme="1"/>
      <name val="Calibri"/>
      <family val="2"/>
      <scheme val="minor"/>
    </font>
    <font>
      <sz val="11"/>
      <color theme="1"/>
      <name val="Calibri"/>
      <family val="2"/>
      <scheme val="minor"/>
    </font>
    <font>
      <sz val="11"/>
      <color theme="1"/>
      <name val="Calibri"/>
      <family val="2"/>
      <scheme val="minor"/>
    </font>
    <font>
      <sz val="11"/>
      <color theme="1"/>
      <name val="Calibri"/>
      <family val="2"/>
      <scheme val="minor"/>
    </font>
    <font>
      <sz val="11"/>
      <color theme="1"/>
      <name val="Calibri"/>
      <family val="2"/>
      <scheme val="minor"/>
    </font>
    <font>
      <sz val="11"/>
      <color theme="1"/>
      <name val="Calibri"/>
      <family val="2"/>
      <scheme val="minor"/>
    </font>
    <font>
      <sz val="11"/>
      <color theme="1"/>
      <name val="Calibri"/>
      <family val="2"/>
      <scheme val="minor"/>
    </font>
    <font>
      <sz val="8"/>
      <color theme="1"/>
      <name val="Arial"/>
      <family val="2"/>
    </font>
    <font>
      <i/>
      <sz val="8"/>
      <color theme="1"/>
      <name val="Arial"/>
      <family val="2"/>
    </font>
    <font>
      <b/>
      <sz val="8"/>
      <color theme="1"/>
      <name val="Arial"/>
      <family val="2"/>
    </font>
    <font>
      <b/>
      <sz val="8"/>
      <name val="Arial"/>
      <family val="2"/>
    </font>
    <font>
      <i/>
      <sz val="8"/>
      <name val="Arial"/>
      <family val="2"/>
    </font>
    <font>
      <b/>
      <i/>
      <sz val="8"/>
      <name val="Arial"/>
      <family val="2"/>
    </font>
    <font>
      <sz val="8"/>
      <name val="Arial"/>
      <family val="2"/>
    </font>
    <font>
      <b/>
      <sz val="8"/>
      <color rgb="FF002060"/>
      <name val="Arial"/>
      <family val="2"/>
    </font>
    <font>
      <b/>
      <sz val="10"/>
      <color theme="1"/>
      <name val="Arial"/>
      <family val="2"/>
    </font>
    <font>
      <u/>
      <sz val="11"/>
      <color theme="10"/>
      <name val="Calibri"/>
      <family val="2"/>
      <scheme val="minor"/>
    </font>
    <font>
      <strike/>
      <sz val="11"/>
      <color theme="4"/>
      <name val="Calibri"/>
      <family val="2"/>
      <scheme val="minor"/>
    </font>
    <font>
      <b/>
      <sz val="9"/>
      <color theme="1"/>
      <name val="Arial"/>
      <family val="2"/>
    </font>
    <font>
      <sz val="10"/>
      <color rgb="FF000000"/>
      <name val="Arial"/>
      <family val="2"/>
    </font>
    <font>
      <b/>
      <sz val="10"/>
      <color theme="0"/>
      <name val="Arial"/>
      <family val="2"/>
    </font>
    <font>
      <b/>
      <sz val="8"/>
      <color rgb="FF0070C0"/>
      <name val="Arial"/>
      <family val="2"/>
    </font>
    <font>
      <sz val="8"/>
      <color theme="0"/>
      <name val="Arial"/>
      <family val="2"/>
    </font>
    <font>
      <sz val="10"/>
      <color theme="0"/>
      <name val="Arial"/>
      <family val="2"/>
    </font>
    <font>
      <b/>
      <sz val="8"/>
      <color theme="0"/>
      <name val="Arial"/>
      <family val="2"/>
    </font>
    <font>
      <i/>
      <sz val="10"/>
      <color theme="1"/>
      <name val="Arial"/>
      <family val="2"/>
    </font>
    <font>
      <sz val="8"/>
      <color rgb="FF002060"/>
      <name val="Arial"/>
      <family val="2"/>
    </font>
    <font>
      <b/>
      <i/>
      <sz val="10"/>
      <color theme="0"/>
      <name val="Arial"/>
      <family val="2"/>
    </font>
    <font>
      <b/>
      <sz val="10"/>
      <color rgb="FF002060"/>
      <name val="Arial"/>
      <family val="2"/>
    </font>
    <font>
      <b/>
      <i/>
      <sz val="10"/>
      <color rgb="FF002060"/>
      <name val="Arial"/>
      <family val="2"/>
    </font>
    <font>
      <b/>
      <sz val="11"/>
      <color theme="0"/>
      <name val="Calibri"/>
      <family val="2"/>
      <scheme val="minor"/>
    </font>
    <font>
      <sz val="11"/>
      <color rgb="FF0070C0"/>
      <name val="Calibri"/>
      <family val="2"/>
      <scheme val="minor"/>
    </font>
    <font>
      <b/>
      <sz val="11"/>
      <color rgb="FF0070C0"/>
      <name val="Calibri"/>
      <family val="2"/>
      <scheme val="minor"/>
    </font>
    <font>
      <u/>
      <sz val="11"/>
      <color rgb="FF0070C0"/>
      <name val="Calibri"/>
      <family val="2"/>
      <scheme val="minor"/>
    </font>
    <font>
      <i/>
      <sz val="11"/>
      <color rgb="FF0070C0"/>
      <name val="Calibri"/>
      <family val="2"/>
      <scheme val="minor"/>
    </font>
    <font>
      <strike/>
      <sz val="11"/>
      <color rgb="FF0070C0"/>
      <name val="Calibri"/>
      <family val="2"/>
      <scheme val="minor"/>
    </font>
    <font>
      <b/>
      <u/>
      <sz val="11"/>
      <color rgb="FF0070C0"/>
      <name val="Calibri"/>
      <family val="2"/>
      <scheme val="minor"/>
    </font>
    <font>
      <sz val="8"/>
      <color rgb="FF0070C0"/>
      <name val="Arial"/>
      <family val="2"/>
    </font>
    <font>
      <sz val="11"/>
      <name val="Calibri"/>
      <family val="2"/>
      <scheme val="minor"/>
    </font>
    <font>
      <sz val="11"/>
      <color rgb="FF000000"/>
      <name val="Calibri"/>
      <family val="2"/>
    </font>
    <font>
      <b/>
      <sz val="10"/>
      <color rgb="FFFF0000"/>
      <name val="Arial"/>
      <family val="2"/>
    </font>
    <font>
      <sz val="10"/>
      <name val="Arial"/>
      <family val="2"/>
    </font>
    <font>
      <b/>
      <sz val="10"/>
      <name val="Arial"/>
      <family val="2"/>
    </font>
    <font>
      <i/>
      <sz val="8"/>
      <color theme="0" tint="-0.34998626667073579"/>
      <name val="Arial"/>
      <family val="2"/>
    </font>
    <font>
      <sz val="11"/>
      <color rgb="FFFF0000"/>
      <name val="Calibri"/>
      <family val="2"/>
      <scheme val="minor"/>
    </font>
    <font>
      <i/>
      <sz val="8"/>
      <color theme="0" tint="-0.499984740745262"/>
      <name val="Arial"/>
      <family val="2"/>
    </font>
    <font>
      <b/>
      <sz val="10"/>
      <color rgb="FFFFFFFF"/>
      <name val="Arial"/>
      <family val="2"/>
    </font>
    <font>
      <b/>
      <sz val="10"/>
      <color theme="4" tint="-0.249977111117893"/>
      <name val="Arial"/>
      <family val="2"/>
    </font>
    <font>
      <sz val="11"/>
      <name val="Calibri"/>
      <family val="2"/>
    </font>
    <font>
      <b/>
      <sz val="12"/>
      <color rgb="FFFF0000"/>
      <name val="Arial"/>
      <family val="2"/>
    </font>
    <font>
      <sz val="10"/>
      <color theme="1"/>
      <name val="Arial"/>
      <family val="2"/>
    </font>
    <font>
      <b/>
      <sz val="8"/>
      <color rgb="FFFF0000"/>
      <name val="Arial"/>
      <family val="2"/>
    </font>
    <font>
      <b/>
      <sz val="11"/>
      <color theme="1"/>
      <name val="Calibri"/>
      <family val="2"/>
      <scheme val="minor"/>
    </font>
    <font>
      <b/>
      <sz val="11"/>
      <name val="Calibri"/>
      <family val="2"/>
      <scheme val="minor"/>
    </font>
    <font>
      <b/>
      <sz val="11"/>
      <name val="Calibri"/>
      <family val="2"/>
    </font>
  </fonts>
  <fills count="23">
    <fill>
      <patternFill patternType="none"/>
    </fill>
    <fill>
      <patternFill patternType="gray125"/>
    </fill>
    <fill>
      <patternFill patternType="solid">
        <fgColor theme="0"/>
        <bgColor indexed="64"/>
      </patternFill>
    </fill>
    <fill>
      <patternFill patternType="solid">
        <fgColor theme="0" tint="-4.9989318521683403E-2"/>
        <bgColor indexed="64"/>
      </patternFill>
    </fill>
    <fill>
      <patternFill patternType="solid">
        <fgColor theme="0" tint="-0.34998626667073579"/>
        <bgColor indexed="64"/>
      </patternFill>
    </fill>
    <fill>
      <patternFill patternType="solid">
        <fgColor theme="4" tint="0.79998168889431442"/>
        <bgColor indexed="64"/>
      </patternFill>
    </fill>
    <fill>
      <patternFill patternType="solid">
        <fgColor theme="9" tint="0.39997558519241921"/>
        <bgColor indexed="64"/>
      </patternFill>
    </fill>
    <fill>
      <patternFill patternType="solid">
        <fgColor theme="0" tint="-0.249977111117893"/>
        <bgColor indexed="64"/>
      </patternFill>
    </fill>
    <fill>
      <patternFill patternType="solid">
        <fgColor rgb="FF92D050"/>
        <bgColor indexed="64"/>
      </patternFill>
    </fill>
    <fill>
      <patternFill patternType="solid">
        <fgColor rgb="FF92CDDC"/>
        <bgColor indexed="64"/>
      </patternFill>
    </fill>
    <fill>
      <patternFill patternType="solid">
        <fgColor rgb="FF0070C0"/>
        <bgColor indexed="64"/>
      </patternFill>
    </fill>
    <fill>
      <patternFill patternType="solid">
        <fgColor theme="9" tint="0.79998168889431442"/>
        <bgColor indexed="64"/>
      </patternFill>
    </fill>
    <fill>
      <patternFill patternType="solid">
        <fgColor rgb="FFFFFF00"/>
        <bgColor indexed="64"/>
      </patternFill>
    </fill>
    <fill>
      <patternFill patternType="solid">
        <fgColor theme="0" tint="-0.14999847407452621"/>
        <bgColor indexed="64"/>
      </patternFill>
    </fill>
    <fill>
      <patternFill patternType="solid">
        <fgColor theme="0" tint="-0.499984740745262"/>
        <bgColor indexed="64"/>
      </patternFill>
    </fill>
    <fill>
      <patternFill patternType="solid">
        <fgColor theme="0"/>
        <bgColor rgb="FF000000"/>
      </patternFill>
    </fill>
    <fill>
      <patternFill patternType="solid">
        <fgColor theme="9"/>
        <bgColor indexed="64"/>
      </patternFill>
    </fill>
    <fill>
      <patternFill patternType="solid">
        <fgColor rgb="FF00B050"/>
        <bgColor indexed="64"/>
      </patternFill>
    </fill>
    <fill>
      <patternFill patternType="solid">
        <fgColor theme="4" tint="-0.249977111117893"/>
        <bgColor indexed="64"/>
      </patternFill>
    </fill>
    <fill>
      <patternFill patternType="solid">
        <fgColor theme="3" tint="0.79998168889431442"/>
        <bgColor indexed="64"/>
      </patternFill>
    </fill>
    <fill>
      <patternFill patternType="solid">
        <fgColor rgb="FF7030A0"/>
        <bgColor indexed="64"/>
      </patternFill>
    </fill>
    <fill>
      <patternFill patternType="solid">
        <fgColor theme="5" tint="0.79998168889431442"/>
        <bgColor indexed="64"/>
      </patternFill>
    </fill>
    <fill>
      <patternFill patternType="solid">
        <fgColor rgb="FFFFC000"/>
        <bgColor indexed="64"/>
      </patternFill>
    </fill>
  </fills>
  <borders count="27">
    <border>
      <left/>
      <right/>
      <top/>
      <bottom/>
      <diagonal/>
    </border>
    <border>
      <left style="thin">
        <color indexed="64"/>
      </left>
      <right style="thin">
        <color indexed="64"/>
      </right>
      <top style="thin">
        <color indexed="64"/>
      </top>
      <bottom style="thin">
        <color indexed="64"/>
      </bottom>
      <diagonal/>
    </border>
    <border>
      <left style="thin">
        <color indexed="64"/>
      </left>
      <right/>
      <top style="thin">
        <color indexed="64"/>
      </top>
      <bottom/>
      <diagonal/>
    </border>
    <border>
      <left/>
      <right/>
      <top style="thin">
        <color indexed="64"/>
      </top>
      <bottom/>
      <diagonal/>
    </border>
    <border>
      <left/>
      <right style="thin">
        <color indexed="64"/>
      </right>
      <top style="thin">
        <color indexed="64"/>
      </top>
      <bottom/>
      <diagonal/>
    </border>
    <border>
      <left style="thin">
        <color indexed="64"/>
      </left>
      <right/>
      <top/>
      <bottom/>
      <diagonal/>
    </border>
    <border>
      <left/>
      <right/>
      <top/>
      <bottom style="thin">
        <color indexed="64"/>
      </bottom>
      <diagonal/>
    </border>
    <border>
      <left/>
      <right style="thin">
        <color indexed="64"/>
      </right>
      <top/>
      <bottom style="thin">
        <color indexed="64"/>
      </bottom>
      <diagonal/>
    </border>
    <border>
      <left/>
      <right style="thin">
        <color indexed="64"/>
      </right>
      <top/>
      <bottom/>
      <diagonal/>
    </border>
    <border>
      <left style="thin">
        <color indexed="64"/>
      </left>
      <right/>
      <top/>
      <bottom style="thin">
        <color indexed="64"/>
      </bottom>
      <diagonal/>
    </border>
    <border>
      <left style="thin">
        <color indexed="64"/>
      </left>
      <right/>
      <top style="thin">
        <color indexed="64"/>
      </top>
      <bottom style="thin">
        <color indexed="64"/>
      </bottom>
      <diagonal/>
    </border>
    <border>
      <left/>
      <right/>
      <top style="thin">
        <color indexed="64"/>
      </top>
      <bottom style="thin">
        <color indexed="64"/>
      </bottom>
      <diagonal/>
    </border>
    <border>
      <left/>
      <right style="thin">
        <color indexed="64"/>
      </right>
      <top style="thin">
        <color indexed="64"/>
      </top>
      <bottom style="thin">
        <color indexed="64"/>
      </bottom>
      <diagonal/>
    </border>
    <border>
      <left style="thin">
        <color indexed="64"/>
      </left>
      <right style="thin">
        <color indexed="64"/>
      </right>
      <top/>
      <bottom/>
      <diagonal/>
    </border>
    <border>
      <left style="thin">
        <color indexed="64"/>
      </left>
      <right style="thin">
        <color indexed="64"/>
      </right>
      <top/>
      <bottom style="thin">
        <color indexed="64"/>
      </bottom>
      <diagonal/>
    </border>
    <border>
      <left style="thin">
        <color indexed="64"/>
      </left>
      <right style="thin">
        <color indexed="64"/>
      </right>
      <top style="thin">
        <color indexed="64"/>
      </top>
      <bottom/>
      <diagonal/>
    </border>
    <border>
      <left style="thick">
        <color rgb="FFFF0000"/>
      </left>
      <right style="thick">
        <color rgb="FFFF0000"/>
      </right>
      <top style="thick">
        <color rgb="FFFF0000"/>
      </top>
      <bottom/>
      <diagonal/>
    </border>
    <border>
      <left style="thick">
        <color rgb="FFFF0000"/>
      </left>
      <right style="thick">
        <color rgb="FFFF0000"/>
      </right>
      <top/>
      <bottom style="thick">
        <color rgb="FFFF0000"/>
      </bottom>
      <diagonal/>
    </border>
    <border>
      <left style="medium">
        <color indexed="64"/>
      </left>
      <right style="medium">
        <color indexed="64"/>
      </right>
      <top style="medium">
        <color indexed="64"/>
      </top>
      <bottom style="medium">
        <color indexed="64"/>
      </bottom>
      <diagonal/>
    </border>
    <border>
      <left/>
      <right style="thick">
        <color rgb="FFFF0000"/>
      </right>
      <top/>
      <bottom style="thin">
        <color indexed="64"/>
      </bottom>
      <diagonal/>
    </border>
    <border>
      <left style="thick">
        <color rgb="FFFF0000"/>
      </left>
      <right style="thick">
        <color rgb="FFFF0000"/>
      </right>
      <top style="thick">
        <color rgb="FFFF0000"/>
      </top>
      <bottom style="thick">
        <color rgb="FFFF0000"/>
      </bottom>
      <diagonal/>
    </border>
    <border>
      <left style="medium">
        <color indexed="64"/>
      </left>
      <right/>
      <top/>
      <bottom/>
      <diagonal/>
    </border>
    <border>
      <left style="thick">
        <color rgb="FFFF0000"/>
      </left>
      <right/>
      <top/>
      <bottom/>
      <diagonal/>
    </border>
    <border>
      <left style="medium">
        <color indexed="64"/>
      </left>
      <right/>
      <top style="medium">
        <color indexed="64"/>
      </top>
      <bottom style="medium">
        <color indexed="64"/>
      </bottom>
      <diagonal/>
    </border>
    <border>
      <left/>
      <right/>
      <top style="medium">
        <color indexed="64"/>
      </top>
      <bottom style="medium">
        <color indexed="64"/>
      </bottom>
      <diagonal/>
    </border>
    <border>
      <left/>
      <right style="medium">
        <color indexed="64"/>
      </right>
      <top style="medium">
        <color indexed="64"/>
      </top>
      <bottom style="medium">
        <color indexed="64"/>
      </bottom>
      <diagonal/>
    </border>
    <border>
      <left/>
      <right/>
      <top/>
      <bottom style="medium">
        <color indexed="64"/>
      </bottom>
      <diagonal/>
    </border>
  </borders>
  <cellStyleXfs count="15">
    <xf numFmtId="0" fontId="0" fillId="0" borderId="0"/>
    <xf numFmtId="0" fontId="8" fillId="0" borderId="0"/>
    <xf numFmtId="0" fontId="8" fillId="0" borderId="0"/>
    <xf numFmtId="0" fontId="7" fillId="0" borderId="0"/>
    <xf numFmtId="0" fontId="18" fillId="0" borderId="0" applyNumberFormat="0" applyFill="0" applyBorder="0" applyAlignment="0" applyProtection="0"/>
    <xf numFmtId="0" fontId="6" fillId="0" borderId="0"/>
    <xf numFmtId="0" fontId="5" fillId="0" borderId="0"/>
    <xf numFmtId="0" fontId="4" fillId="0" borderId="0"/>
    <xf numFmtId="0" fontId="4" fillId="0" borderId="0"/>
    <xf numFmtId="0" fontId="4" fillId="0" borderId="0"/>
    <xf numFmtId="0" fontId="4" fillId="0" borderId="0"/>
    <xf numFmtId="0" fontId="4" fillId="0" borderId="0"/>
    <xf numFmtId="0" fontId="2" fillId="0" borderId="0"/>
    <xf numFmtId="0" fontId="50" fillId="0" borderId="0"/>
    <xf numFmtId="9" fontId="52" fillId="0" borderId="0" applyFont="0" applyFill="0" applyBorder="0" applyAlignment="0" applyProtection="0"/>
  </cellStyleXfs>
  <cellXfs count="515">
    <xf numFmtId="0" fontId="0" fillId="0" borderId="0" xfId="0"/>
    <xf numFmtId="165" fontId="15" fillId="2" borderId="0" xfId="0" applyNumberFormat="1" applyFont="1" applyFill="1" applyAlignment="1">
      <alignment horizontal="center"/>
    </xf>
    <xf numFmtId="165" fontId="15" fillId="3" borderId="0" xfId="0" applyNumberFormat="1" applyFont="1" applyFill="1" applyAlignment="1">
      <alignment horizontal="center"/>
    </xf>
    <xf numFmtId="165" fontId="15" fillId="4" borderId="0" xfId="0" applyNumberFormat="1" applyFont="1" applyFill="1" applyAlignment="1">
      <alignment horizontal="center"/>
    </xf>
    <xf numFmtId="165" fontId="9" fillId="4" borderId="0" xfId="0" applyNumberFormat="1" applyFont="1" applyFill="1" applyAlignment="1">
      <alignment horizontal="center"/>
    </xf>
    <xf numFmtId="0" fontId="0" fillId="2" borderId="0" xfId="0" applyFill="1"/>
    <xf numFmtId="0" fontId="0" fillId="2" borderId="6" xfId="0" applyFill="1" applyBorder="1"/>
    <xf numFmtId="165" fontId="0" fillId="0" borderId="0" xfId="0" applyNumberFormat="1"/>
    <xf numFmtId="0" fontId="0" fillId="2" borderId="8" xfId="0" applyFill="1" applyBorder="1" applyAlignment="1">
      <alignment horizontal="center"/>
    </xf>
    <xf numFmtId="0" fontId="0" fillId="2" borderId="7" xfId="0" applyFill="1" applyBorder="1" applyAlignment="1">
      <alignment horizontal="center"/>
    </xf>
    <xf numFmtId="0" fontId="0" fillId="2" borderId="5" xfId="0" applyFill="1" applyBorder="1" applyAlignment="1">
      <alignment horizontal="center"/>
    </xf>
    <xf numFmtId="0" fontId="0" fillId="2" borderId="9" xfId="0" applyFill="1" applyBorder="1" applyAlignment="1">
      <alignment horizontal="center"/>
    </xf>
    <xf numFmtId="0" fontId="0" fillId="2" borderId="13" xfId="0" applyFill="1" applyBorder="1" applyAlignment="1">
      <alignment horizontal="center"/>
    </xf>
    <xf numFmtId="0" fontId="0" fillId="2" borderId="14" xfId="0" applyFill="1" applyBorder="1" applyAlignment="1">
      <alignment horizontal="center"/>
    </xf>
    <xf numFmtId="0" fontId="17" fillId="2" borderId="5" xfId="0" applyFont="1" applyFill="1" applyBorder="1"/>
    <xf numFmtId="0" fontId="17" fillId="2" borderId="9" xfId="0" applyFont="1" applyFill="1" applyBorder="1"/>
    <xf numFmtId="0" fontId="17" fillId="2" borderId="0" xfId="0" applyFont="1" applyFill="1"/>
    <xf numFmtId="0" fontId="0" fillId="2" borderId="0" xfId="0" applyFill="1" applyAlignment="1">
      <alignment horizontal="right" vertical="center"/>
    </xf>
    <xf numFmtId="0" fontId="17" fillId="2" borderId="3" xfId="0" applyFont="1" applyFill="1" applyBorder="1"/>
    <xf numFmtId="0" fontId="11" fillId="2" borderId="2" xfId="0" applyFont="1" applyFill="1" applyBorder="1" applyAlignment="1">
      <alignment horizontal="center" vertical="center"/>
    </xf>
    <xf numFmtId="0" fontId="11" fillId="2" borderId="4" xfId="0" applyFont="1" applyFill="1" applyBorder="1" applyAlignment="1">
      <alignment horizontal="center" vertical="center"/>
    </xf>
    <xf numFmtId="0" fontId="9" fillId="2" borderId="8" xfId="0" applyFont="1" applyFill="1" applyBorder="1" applyAlignment="1">
      <alignment horizontal="center"/>
    </xf>
    <xf numFmtId="0" fontId="9" fillId="2" borderId="5" xfId="0" applyFont="1" applyFill="1" applyBorder="1" applyAlignment="1">
      <alignment horizontal="center" vertical="center" wrapText="1"/>
    </xf>
    <xf numFmtId="0" fontId="9" fillId="2" borderId="8" xfId="0" applyFont="1" applyFill="1" applyBorder="1" applyAlignment="1" applyProtection="1">
      <alignment horizontal="center"/>
      <protection locked="0"/>
    </xf>
    <xf numFmtId="0" fontId="9" fillId="2" borderId="9" xfId="0" applyFont="1" applyFill="1" applyBorder="1" applyAlignment="1">
      <alignment horizontal="center"/>
    </xf>
    <xf numFmtId="0" fontId="22" fillId="10" borderId="0" xfId="0" applyFont="1" applyFill="1"/>
    <xf numFmtId="0" fontId="9" fillId="2" borderId="0" xfId="0" applyFont="1" applyFill="1"/>
    <xf numFmtId="0" fontId="16" fillId="2" borderId="0" xfId="0" applyFont="1" applyFill="1" applyAlignment="1">
      <alignment horizontal="left" vertical="center"/>
    </xf>
    <xf numFmtId="0" fontId="11" fillId="2" borderId="0" xfId="0" applyFont="1" applyFill="1"/>
    <xf numFmtId="0" fontId="9" fillId="2" borderId="0" xfId="0" applyFont="1" applyFill="1" applyAlignment="1">
      <alignment horizontal="center"/>
    </xf>
    <xf numFmtId="0" fontId="10" fillId="2" borderId="0" xfId="0" applyFont="1" applyFill="1"/>
    <xf numFmtId="0" fontId="11" fillId="2" borderId="0" xfId="0" applyFont="1" applyFill="1" applyAlignment="1">
      <alignment horizontal="center"/>
    </xf>
    <xf numFmtId="0" fontId="9" fillId="2" borderId="0" xfId="0" applyFont="1" applyFill="1" applyAlignment="1">
      <alignment horizontal="left" indent="1"/>
    </xf>
    <xf numFmtId="0" fontId="9" fillId="2" borderId="0" xfId="0" applyFont="1" applyFill="1" applyAlignment="1">
      <alignment horizontal="left"/>
    </xf>
    <xf numFmtId="165" fontId="9" fillId="2" borderId="0" xfId="0" applyNumberFormat="1" applyFont="1" applyFill="1" applyAlignment="1">
      <alignment horizontal="center"/>
    </xf>
    <xf numFmtId="0" fontId="9" fillId="2" borderId="6" xfId="0" applyFont="1" applyFill="1" applyBorder="1"/>
    <xf numFmtId="2" fontId="9" fillId="2" borderId="0" xfId="0" applyNumberFormat="1" applyFont="1" applyFill="1" applyAlignment="1">
      <alignment horizontal="center"/>
    </xf>
    <xf numFmtId="165" fontId="15" fillId="2" borderId="6" xfId="0" applyNumberFormat="1" applyFont="1" applyFill="1" applyBorder="1" applyAlignment="1">
      <alignment horizontal="center"/>
    </xf>
    <xf numFmtId="165" fontId="9" fillId="2" borderId="0" xfId="0" applyNumberFormat="1" applyFont="1" applyFill="1"/>
    <xf numFmtId="0" fontId="23" fillId="2" borderId="0" xfId="0" applyFont="1" applyFill="1" applyAlignment="1">
      <alignment horizontal="left" vertical="center"/>
    </xf>
    <xf numFmtId="0" fontId="0" fillId="2" borderId="4" xfId="0" applyFill="1" applyBorder="1" applyAlignment="1">
      <alignment horizontal="center"/>
    </xf>
    <xf numFmtId="0" fontId="17" fillId="2" borderId="12" xfId="0" applyFont="1" applyFill="1" applyBorder="1" applyAlignment="1">
      <alignment horizontal="center" vertical="center" wrapText="1"/>
    </xf>
    <xf numFmtId="0" fontId="17" fillId="2" borderId="10" xfId="0" applyFont="1" applyFill="1" applyBorder="1" applyAlignment="1">
      <alignment horizontal="center" vertical="center" wrapText="1"/>
    </xf>
    <xf numFmtId="0" fontId="9" fillId="2" borderId="0" xfId="0" applyFont="1" applyFill="1" applyAlignment="1">
      <alignment horizontal="right"/>
    </xf>
    <xf numFmtId="164" fontId="9" fillId="2" borderId="0" xfId="0" applyNumberFormat="1" applyFont="1" applyFill="1" applyAlignment="1">
      <alignment horizontal="right"/>
    </xf>
    <xf numFmtId="165" fontId="16" fillId="2" borderId="0" xfId="0" applyNumberFormat="1" applyFont="1" applyFill="1" applyAlignment="1">
      <alignment horizontal="center"/>
    </xf>
    <xf numFmtId="165" fontId="16" fillId="2" borderId="3" xfId="0" applyNumberFormat="1" applyFont="1" applyFill="1" applyBorder="1" applyAlignment="1">
      <alignment horizontal="center"/>
    </xf>
    <xf numFmtId="165" fontId="13" fillId="2" borderId="6" xfId="0" applyNumberFormat="1" applyFont="1" applyFill="1" applyBorder="1" applyAlignment="1">
      <alignment horizontal="center"/>
    </xf>
    <xf numFmtId="165" fontId="12" fillId="2" borderId="3" xfId="0" applyNumberFormat="1" applyFont="1" applyFill="1" applyBorder="1" applyAlignment="1">
      <alignment horizontal="center"/>
    </xf>
    <xf numFmtId="165" fontId="9" fillId="2" borderId="6" xfId="0" applyNumberFormat="1" applyFont="1" applyFill="1" applyBorder="1" applyAlignment="1">
      <alignment horizontal="center"/>
    </xf>
    <xf numFmtId="165" fontId="14" fillId="2" borderId="3" xfId="0" applyNumberFormat="1" applyFont="1" applyFill="1" applyBorder="1" applyAlignment="1">
      <alignment horizontal="center"/>
    </xf>
    <xf numFmtId="0" fontId="9" fillId="2" borderId="11" xfId="0" applyFont="1" applyFill="1" applyBorder="1"/>
    <xf numFmtId="165" fontId="9" fillId="2" borderId="11" xfId="0" applyNumberFormat="1" applyFont="1" applyFill="1" applyBorder="1" applyAlignment="1">
      <alignment horizontal="center"/>
    </xf>
    <xf numFmtId="2" fontId="9" fillId="2" borderId="0" xfId="0" applyNumberFormat="1" applyFont="1" applyFill="1"/>
    <xf numFmtId="0" fontId="11" fillId="2" borderId="2" xfId="0" applyFont="1" applyFill="1" applyBorder="1"/>
    <xf numFmtId="2" fontId="9" fillId="2" borderId="4" xfId="0" applyNumberFormat="1" applyFont="1" applyFill="1" applyBorder="1" applyAlignment="1" applyProtection="1">
      <alignment horizontal="center"/>
      <protection locked="0"/>
    </xf>
    <xf numFmtId="0" fontId="11" fillId="2" borderId="9" xfId="0" applyFont="1" applyFill="1" applyBorder="1"/>
    <xf numFmtId="2" fontId="9" fillId="2" borderId="7" xfId="0" applyNumberFormat="1" applyFont="1" applyFill="1" applyBorder="1" applyAlignment="1" applyProtection="1">
      <alignment horizontal="center"/>
      <protection locked="0"/>
    </xf>
    <xf numFmtId="2" fontId="9" fillId="2" borderId="0" xfId="0" applyNumberFormat="1" applyFont="1" applyFill="1" applyAlignment="1" applyProtection="1">
      <alignment horizontal="center"/>
      <protection locked="0"/>
    </xf>
    <xf numFmtId="165" fontId="15" fillId="2" borderId="0" xfId="0" applyNumberFormat="1" applyFont="1" applyFill="1" applyAlignment="1" applyProtection="1">
      <alignment horizontal="center"/>
      <protection locked="0"/>
    </xf>
    <xf numFmtId="0" fontId="9" fillId="2" borderId="0" xfId="0" applyFont="1" applyFill="1" applyProtection="1">
      <protection locked="0"/>
    </xf>
    <xf numFmtId="164" fontId="9" fillId="2" borderId="0" xfId="0" applyNumberFormat="1" applyFont="1" applyFill="1"/>
    <xf numFmtId="0" fontId="15" fillId="2" borderId="0" xfId="0" applyFont="1" applyFill="1"/>
    <xf numFmtId="2" fontId="15" fillId="2" borderId="0" xfId="0" applyNumberFormat="1" applyFont="1" applyFill="1" applyAlignment="1" applyProtection="1">
      <alignment horizontal="center"/>
      <protection locked="0"/>
    </xf>
    <xf numFmtId="0" fontId="10" fillId="2" borderId="5" xfId="0" applyFont="1" applyFill="1" applyBorder="1" applyAlignment="1">
      <alignment horizontal="center"/>
    </xf>
    <xf numFmtId="0" fontId="9" fillId="2" borderId="5" xfId="0" applyFont="1" applyFill="1" applyBorder="1" applyAlignment="1">
      <alignment horizontal="center"/>
    </xf>
    <xf numFmtId="0" fontId="9" fillId="2" borderId="7" xfId="0" applyFont="1" applyFill="1" applyBorder="1" applyAlignment="1">
      <alignment horizontal="center"/>
    </xf>
    <xf numFmtId="0" fontId="24" fillId="10" borderId="0" xfId="0" applyFont="1" applyFill="1"/>
    <xf numFmtId="2" fontId="24" fillId="10" borderId="0" xfId="0" applyNumberFormat="1" applyFont="1" applyFill="1" applyAlignment="1">
      <alignment horizontal="center"/>
    </xf>
    <xf numFmtId="0" fontId="24" fillId="10" borderId="0" xfId="0" applyFont="1" applyFill="1" applyAlignment="1">
      <alignment horizontal="center"/>
    </xf>
    <xf numFmtId="0" fontId="24" fillId="10" borderId="0" xfId="0" applyFont="1" applyFill="1" applyAlignment="1">
      <alignment horizontal="right"/>
    </xf>
    <xf numFmtId="0" fontId="25" fillId="10" borderId="0" xfId="0" applyFont="1" applyFill="1" applyAlignment="1">
      <alignment vertical="center"/>
    </xf>
    <xf numFmtId="0" fontId="22" fillId="10" borderId="0" xfId="0" applyFont="1" applyFill="1" applyAlignment="1">
      <alignment horizontal="left" vertical="center"/>
    </xf>
    <xf numFmtId="0" fontId="25" fillId="10" borderId="0" xfId="0" applyFont="1" applyFill="1" applyAlignment="1">
      <alignment horizontal="center" vertical="center"/>
    </xf>
    <xf numFmtId="0" fontId="25" fillId="10" borderId="0" xfId="0" applyFont="1" applyFill="1" applyAlignment="1">
      <alignment horizontal="right" vertical="center"/>
    </xf>
    <xf numFmtId="0" fontId="22" fillId="10" borderId="0" xfId="0" applyFont="1" applyFill="1" applyAlignment="1">
      <alignment vertical="center"/>
    </xf>
    <xf numFmtId="2" fontId="25" fillId="10" borderId="0" xfId="0" applyNumberFormat="1" applyFont="1" applyFill="1" applyAlignment="1">
      <alignment horizontal="center" vertical="center"/>
    </xf>
    <xf numFmtId="0" fontId="9" fillId="2" borderId="3" xfId="0" applyFont="1" applyFill="1" applyBorder="1"/>
    <xf numFmtId="165" fontId="9" fillId="2" borderId="3" xfId="0" applyNumberFormat="1" applyFont="1" applyFill="1" applyBorder="1" applyAlignment="1">
      <alignment horizontal="center"/>
    </xf>
    <xf numFmtId="0" fontId="15" fillId="2" borderId="0" xfId="0" applyFont="1" applyFill="1" applyAlignment="1">
      <alignment horizontal="left" indent="1"/>
    </xf>
    <xf numFmtId="0" fontId="9" fillId="2" borderId="0" xfId="0" quotePrefix="1" applyFont="1" applyFill="1"/>
    <xf numFmtId="0" fontId="21" fillId="2" borderId="0" xfId="0" applyFont="1" applyFill="1" applyAlignment="1">
      <alignment horizontal="left" vertical="center" readingOrder="1"/>
    </xf>
    <xf numFmtId="0" fontId="20" fillId="2" borderId="0" xfId="0" applyFont="1" applyFill="1" applyAlignment="1">
      <alignment horizontal="center"/>
    </xf>
    <xf numFmtId="165" fontId="0" fillId="2" borderId="0" xfId="0" applyNumberFormat="1" applyFill="1"/>
    <xf numFmtId="0" fontId="12" fillId="2" borderId="3" xfId="0" applyFont="1" applyFill="1" applyBorder="1"/>
    <xf numFmtId="0" fontId="12" fillId="2" borderId="11" xfId="0" applyFont="1" applyFill="1" applyBorder="1"/>
    <xf numFmtId="0" fontId="12" fillId="2" borderId="11" xfId="0" applyFont="1" applyFill="1" applyBorder="1" applyAlignment="1">
      <alignment horizontal="center"/>
    </xf>
    <xf numFmtId="0" fontId="16" fillId="2" borderId="3" xfId="0" applyFont="1" applyFill="1" applyBorder="1"/>
    <xf numFmtId="0" fontId="13" fillId="2" borderId="0" xfId="0" applyFont="1" applyFill="1" applyAlignment="1">
      <alignment horizontal="left" indent="1"/>
    </xf>
    <xf numFmtId="0" fontId="15" fillId="2" borderId="6" xfId="0" applyFont="1" applyFill="1" applyBorder="1" applyAlignment="1">
      <alignment horizontal="left" indent="1"/>
    </xf>
    <xf numFmtId="0" fontId="26" fillId="10" borderId="0" xfId="0" applyFont="1" applyFill="1"/>
    <xf numFmtId="0" fontId="16" fillId="2" borderId="0" xfId="0" applyFont="1" applyFill="1"/>
    <xf numFmtId="0" fontId="17" fillId="2" borderId="1" xfId="0" applyFont="1" applyFill="1" applyBorder="1" applyAlignment="1">
      <alignment horizontal="center" vertical="center" wrapText="1"/>
    </xf>
    <xf numFmtId="0" fontId="25" fillId="10" borderId="0" xfId="0" applyFont="1" applyFill="1"/>
    <xf numFmtId="0" fontId="22" fillId="10" borderId="0" xfId="0" applyFont="1" applyFill="1" applyAlignment="1">
      <alignment horizontal="left"/>
    </xf>
    <xf numFmtId="0" fontId="25" fillId="10" borderId="0" xfId="0" applyFont="1" applyFill="1" applyAlignment="1">
      <alignment horizontal="center"/>
    </xf>
    <xf numFmtId="0" fontId="25" fillId="10" borderId="0" xfId="0" applyFont="1" applyFill="1" applyAlignment="1">
      <alignment horizontal="right"/>
    </xf>
    <xf numFmtId="166" fontId="9" fillId="2" borderId="0" xfId="0" applyNumberFormat="1" applyFont="1" applyFill="1" applyAlignment="1">
      <alignment horizontal="center"/>
    </xf>
    <xf numFmtId="164" fontId="9" fillId="2" borderId="0" xfId="0" applyNumberFormat="1" applyFont="1" applyFill="1" applyAlignment="1">
      <alignment horizontal="center"/>
    </xf>
    <xf numFmtId="166" fontId="15" fillId="2" borderId="0" xfId="0" applyNumberFormat="1" applyFont="1" applyFill="1" applyAlignment="1">
      <alignment horizontal="center"/>
    </xf>
    <xf numFmtId="165" fontId="9" fillId="3" borderId="0" xfId="0" applyNumberFormat="1" applyFont="1" applyFill="1" applyAlignment="1">
      <alignment horizontal="center"/>
    </xf>
    <xf numFmtId="165" fontId="15" fillId="5" borderId="0" xfId="0" applyNumberFormat="1" applyFont="1" applyFill="1" applyAlignment="1">
      <alignment horizontal="center"/>
    </xf>
    <xf numFmtId="0" fontId="22" fillId="2" borderId="0" xfId="0" applyFont="1" applyFill="1"/>
    <xf numFmtId="167" fontId="15" fillId="2" borderId="0" xfId="0" applyNumberFormat="1" applyFont="1" applyFill="1" applyAlignment="1">
      <alignment horizontal="center"/>
    </xf>
    <xf numFmtId="170" fontId="15" fillId="2" borderId="0" xfId="0" applyNumberFormat="1" applyFont="1" applyFill="1" applyAlignment="1">
      <alignment horizontal="center"/>
    </xf>
    <xf numFmtId="0" fontId="9" fillId="2" borderId="0" xfId="0" applyFont="1" applyFill="1" applyAlignment="1">
      <alignment horizontal="left" indent="3"/>
    </xf>
    <xf numFmtId="0" fontId="16" fillId="2" borderId="6" xfId="0" applyFont="1" applyFill="1" applyBorder="1"/>
    <xf numFmtId="0" fontId="9" fillId="2" borderId="6" xfId="0" applyFont="1" applyFill="1" applyBorder="1" applyAlignment="1">
      <alignment horizontal="left" indent="3"/>
    </xf>
    <xf numFmtId="2" fontId="9" fillId="2" borderId="6" xfId="0" applyNumberFormat="1" applyFont="1" applyFill="1" applyBorder="1" applyAlignment="1">
      <alignment horizontal="center"/>
    </xf>
    <xf numFmtId="0" fontId="25" fillId="2" borderId="0" xfId="0" applyFont="1" applyFill="1"/>
    <xf numFmtId="165" fontId="16" fillId="2" borderId="6" xfId="0" applyNumberFormat="1" applyFont="1" applyFill="1" applyBorder="1" applyAlignment="1">
      <alignment horizontal="center"/>
    </xf>
    <xf numFmtId="0" fontId="9" fillId="2" borderId="0" xfId="0" applyFont="1" applyFill="1" applyAlignment="1">
      <alignment vertical="center"/>
    </xf>
    <xf numFmtId="165" fontId="29" fillId="10" borderId="0" xfId="0" applyNumberFormat="1" applyFont="1" applyFill="1" applyAlignment="1">
      <alignment horizontal="center"/>
    </xf>
    <xf numFmtId="0" fontId="16" fillId="2" borderId="11" xfId="0" applyFont="1" applyFill="1" applyBorder="1"/>
    <xf numFmtId="165" fontId="9" fillId="2" borderId="6" xfId="0" applyNumberFormat="1" applyFont="1" applyFill="1" applyBorder="1"/>
    <xf numFmtId="165" fontId="16" fillId="2" borderId="11" xfId="0" applyNumberFormat="1" applyFont="1" applyFill="1" applyBorder="1" applyAlignment="1">
      <alignment horizontal="center"/>
    </xf>
    <xf numFmtId="0" fontId="28" fillId="2" borderId="0" xfId="0" applyFont="1" applyFill="1"/>
    <xf numFmtId="165" fontId="28" fillId="2" borderId="0" xfId="0" applyNumberFormat="1" applyFont="1" applyFill="1" applyAlignment="1" applyProtection="1">
      <alignment horizontal="center"/>
      <protection locked="0"/>
    </xf>
    <xf numFmtId="168" fontId="9" fillId="2" borderId="0" xfId="0" applyNumberFormat="1" applyFont="1" applyFill="1"/>
    <xf numFmtId="165" fontId="15" fillId="7" borderId="0" xfId="0" applyNumberFormat="1" applyFont="1" applyFill="1" applyAlignment="1">
      <alignment horizontal="center"/>
    </xf>
    <xf numFmtId="0" fontId="15" fillId="2" borderId="0" xfId="0" applyFont="1" applyFill="1" applyAlignment="1">
      <alignment horizontal="left"/>
    </xf>
    <xf numFmtId="166" fontId="9" fillId="2" borderId="0" xfId="0" applyNumberFormat="1" applyFont="1" applyFill="1"/>
    <xf numFmtId="166" fontId="9" fillId="2" borderId="0" xfId="0" applyNumberFormat="1" applyFont="1" applyFill="1" applyAlignment="1">
      <alignment horizontal="right"/>
    </xf>
    <xf numFmtId="2" fontId="9" fillId="2" borderId="0" xfId="0" applyNumberFormat="1" applyFont="1" applyFill="1" applyAlignment="1">
      <alignment horizontal="right"/>
    </xf>
    <xf numFmtId="165" fontId="29" fillId="2" borderId="0" xfId="0" applyNumberFormat="1" applyFont="1" applyFill="1" applyAlignment="1">
      <alignment horizontal="center"/>
    </xf>
    <xf numFmtId="165" fontId="29" fillId="2" borderId="6" xfId="0" applyNumberFormat="1" applyFont="1" applyFill="1" applyBorder="1" applyAlignment="1">
      <alignment horizontal="center"/>
    </xf>
    <xf numFmtId="165" fontId="28" fillId="2" borderId="6" xfId="0" applyNumberFormat="1" applyFont="1" applyFill="1" applyBorder="1" applyAlignment="1">
      <alignment horizontal="center"/>
    </xf>
    <xf numFmtId="0" fontId="30" fillId="2" borderId="0" xfId="0" applyFont="1" applyFill="1"/>
    <xf numFmtId="165" fontId="31" fillId="2" borderId="0" xfId="0" applyNumberFormat="1" applyFont="1" applyFill="1" applyAlignment="1">
      <alignment horizontal="center"/>
    </xf>
    <xf numFmtId="165" fontId="31" fillId="2" borderId="6" xfId="0" applyNumberFormat="1" applyFont="1" applyFill="1" applyBorder="1" applyAlignment="1">
      <alignment horizontal="center"/>
    </xf>
    <xf numFmtId="0" fontId="23" fillId="2" borderId="0" xfId="0" applyFont="1" applyFill="1" applyAlignment="1" applyProtection="1">
      <alignment horizontal="left" vertical="center"/>
      <protection locked="0"/>
    </xf>
    <xf numFmtId="0" fontId="16" fillId="2" borderId="0" xfId="0" applyFont="1" applyFill="1" applyAlignment="1" applyProtection="1">
      <alignment horizontal="left" vertical="center"/>
      <protection locked="0"/>
    </xf>
    <xf numFmtId="0" fontId="11" fillId="2" borderId="2" xfId="0" applyFont="1" applyFill="1" applyBorder="1" applyAlignment="1" applyProtection="1">
      <alignment horizontal="center" vertical="center"/>
      <protection locked="0"/>
    </xf>
    <xf numFmtId="0" fontId="11" fillId="2" borderId="4" xfId="0" applyFont="1" applyFill="1" applyBorder="1" applyAlignment="1" applyProtection="1">
      <alignment horizontal="center" vertical="center"/>
      <protection locked="0"/>
    </xf>
    <xf numFmtId="0" fontId="10" fillId="2" borderId="5" xfId="0" applyFont="1" applyFill="1" applyBorder="1" applyAlignment="1" applyProtection="1">
      <alignment horizontal="left" vertical="center"/>
      <protection locked="0"/>
    </xf>
    <xf numFmtId="0" fontId="9" fillId="2" borderId="5" xfId="0" applyFont="1" applyFill="1" applyBorder="1" applyAlignment="1" applyProtection="1">
      <alignment horizontal="center" vertical="center" wrapText="1"/>
      <protection locked="0"/>
    </xf>
    <xf numFmtId="0" fontId="9" fillId="2" borderId="9" xfId="0" applyFont="1" applyFill="1" applyBorder="1" applyAlignment="1" applyProtection="1">
      <alignment horizontal="center"/>
      <protection locked="0"/>
    </xf>
    <xf numFmtId="0" fontId="0" fillId="2" borderId="0" xfId="0" applyFill="1" applyProtection="1">
      <protection locked="0"/>
    </xf>
    <xf numFmtId="0" fontId="0" fillId="10" borderId="0" xfId="0" applyFill="1" applyProtection="1">
      <protection locked="0"/>
    </xf>
    <xf numFmtId="0" fontId="22" fillId="10" borderId="0" xfId="0" applyFont="1" applyFill="1" applyProtection="1">
      <protection locked="0"/>
    </xf>
    <xf numFmtId="0" fontId="9" fillId="10" borderId="0" xfId="0" applyFont="1" applyFill="1" applyProtection="1">
      <protection locked="0"/>
    </xf>
    <xf numFmtId="0" fontId="11" fillId="2" borderId="0" xfId="0" applyFont="1" applyFill="1" applyAlignment="1" applyProtection="1">
      <alignment horizontal="center"/>
      <protection locked="0"/>
    </xf>
    <xf numFmtId="0" fontId="0" fillId="2" borderId="6" xfId="0" applyFill="1" applyBorder="1" applyProtection="1">
      <protection locked="0"/>
    </xf>
    <xf numFmtId="0" fontId="11" fillId="2" borderId="6" xfId="0" applyFont="1" applyFill="1" applyBorder="1" applyProtection="1">
      <protection locked="0"/>
    </xf>
    <xf numFmtId="0" fontId="9" fillId="2" borderId="6" xfId="0" applyFont="1" applyFill="1" applyBorder="1" applyAlignment="1" applyProtection="1">
      <alignment horizontal="center"/>
      <protection locked="0"/>
    </xf>
    <xf numFmtId="0" fontId="10" fillId="2" borderId="0" xfId="0" applyFont="1" applyFill="1" applyProtection="1">
      <protection locked="0"/>
    </xf>
    <xf numFmtId="0" fontId="9" fillId="2" borderId="0" xfId="0" applyFont="1" applyFill="1" applyAlignment="1" applyProtection="1">
      <alignment horizontal="center"/>
      <protection locked="0"/>
    </xf>
    <xf numFmtId="165" fontId="15" fillId="3" borderId="0" xfId="0" applyNumberFormat="1" applyFont="1" applyFill="1" applyAlignment="1" applyProtection="1">
      <alignment horizontal="center"/>
      <protection locked="0"/>
    </xf>
    <xf numFmtId="165" fontId="15" fillId="5" borderId="0" xfId="0" applyNumberFormat="1" applyFont="1" applyFill="1" applyAlignment="1" applyProtection="1">
      <alignment horizontal="center"/>
      <protection locked="0"/>
    </xf>
    <xf numFmtId="0" fontId="9" fillId="2" borderId="0" xfId="0" applyFont="1" applyFill="1" applyAlignment="1" applyProtection="1">
      <alignment horizontal="left"/>
      <protection locked="0"/>
    </xf>
    <xf numFmtId="0" fontId="9" fillId="2" borderId="0" xfId="0" applyFont="1" applyFill="1" applyAlignment="1" applyProtection="1">
      <alignment horizontal="left" indent="1"/>
      <protection locked="0"/>
    </xf>
    <xf numFmtId="0" fontId="9" fillId="2" borderId="6" xfId="0" applyFont="1" applyFill="1" applyBorder="1" applyProtection="1">
      <protection locked="0"/>
    </xf>
    <xf numFmtId="165" fontId="9" fillId="2" borderId="0" xfId="0" applyNumberFormat="1" applyFont="1" applyFill="1" applyAlignment="1" applyProtection="1">
      <alignment horizontal="center"/>
      <protection locked="0"/>
    </xf>
    <xf numFmtId="165" fontId="9" fillId="3" borderId="0" xfId="0" applyNumberFormat="1" applyFont="1" applyFill="1" applyAlignment="1" applyProtection="1">
      <alignment horizontal="center"/>
      <protection locked="0"/>
    </xf>
    <xf numFmtId="169" fontId="15" fillId="2" borderId="0" xfId="0" applyNumberFormat="1" applyFont="1" applyFill="1" applyAlignment="1" applyProtection="1">
      <alignment horizontal="center"/>
      <protection locked="0"/>
    </xf>
    <xf numFmtId="0" fontId="11" fillId="2" borderId="6" xfId="0" applyFont="1" applyFill="1" applyBorder="1" applyAlignment="1" applyProtection="1">
      <alignment horizontal="left"/>
      <protection locked="0"/>
    </xf>
    <xf numFmtId="165" fontId="15" fillId="2" borderId="6" xfId="0" applyNumberFormat="1" applyFont="1" applyFill="1" applyBorder="1" applyAlignment="1" applyProtection="1">
      <alignment horizontal="center"/>
      <protection locked="0"/>
    </xf>
    <xf numFmtId="164" fontId="15" fillId="2" borderId="6" xfId="0" applyNumberFormat="1" applyFont="1" applyFill="1" applyBorder="1" applyAlignment="1" applyProtection="1">
      <alignment horizontal="center"/>
      <protection locked="0"/>
    </xf>
    <xf numFmtId="165" fontId="15" fillId="10" borderId="0" xfId="0" applyNumberFormat="1" applyFont="1" applyFill="1" applyAlignment="1" applyProtection="1">
      <alignment horizontal="center"/>
      <protection locked="0"/>
    </xf>
    <xf numFmtId="0" fontId="22" fillId="2" borderId="0" xfId="0" applyFont="1" applyFill="1" applyProtection="1">
      <protection locked="0"/>
    </xf>
    <xf numFmtId="165" fontId="15" fillId="6" borderId="0" xfId="0" applyNumberFormat="1" applyFont="1" applyFill="1" applyAlignment="1" applyProtection="1">
      <alignment horizontal="center"/>
      <protection locked="0"/>
    </xf>
    <xf numFmtId="165" fontId="9" fillId="6" borderId="0" xfId="0" applyNumberFormat="1" applyFont="1" applyFill="1" applyAlignment="1" applyProtection="1">
      <alignment horizontal="center"/>
      <protection locked="0"/>
    </xf>
    <xf numFmtId="0" fontId="11" fillId="2" borderId="0" xfId="0" applyFont="1" applyFill="1" applyProtection="1">
      <protection locked="0"/>
    </xf>
    <xf numFmtId="165" fontId="12" fillId="2" borderId="0" xfId="0" applyNumberFormat="1" applyFont="1" applyFill="1" applyAlignment="1" applyProtection="1">
      <alignment horizontal="center"/>
      <protection locked="0"/>
    </xf>
    <xf numFmtId="0" fontId="12" fillId="2" borderId="0" xfId="0" applyFont="1" applyFill="1" applyAlignment="1" applyProtection="1">
      <alignment horizontal="center"/>
      <protection locked="0"/>
    </xf>
    <xf numFmtId="165" fontId="15" fillId="11" borderId="0" xfId="0" applyNumberFormat="1" applyFont="1" applyFill="1" applyAlignment="1">
      <alignment horizontal="center"/>
    </xf>
    <xf numFmtId="0" fontId="0" fillId="12" borderId="16" xfId="0" quotePrefix="1" applyFill="1" applyBorder="1" applyAlignment="1" applyProtection="1">
      <alignment horizontal="center" vertical="center"/>
      <protection locked="0"/>
    </xf>
    <xf numFmtId="2" fontId="0" fillId="12" borderId="17" xfId="0" applyNumberFormat="1" applyFill="1" applyBorder="1" applyAlignment="1" applyProtection="1">
      <alignment horizontal="center" vertical="center"/>
      <protection locked="0"/>
    </xf>
    <xf numFmtId="0" fontId="5" fillId="2" borderId="2" xfId="6" applyFill="1" applyBorder="1"/>
    <xf numFmtId="0" fontId="5" fillId="2" borderId="3" xfId="6" applyFill="1" applyBorder="1"/>
    <xf numFmtId="0" fontId="33" fillId="2" borderId="3" xfId="6" applyFont="1" applyFill="1" applyBorder="1"/>
    <xf numFmtId="0" fontId="5" fillId="2" borderId="4" xfId="6" applyFill="1" applyBorder="1"/>
    <xf numFmtId="0" fontId="5" fillId="5" borderId="0" xfId="6" applyFill="1"/>
    <xf numFmtId="0" fontId="5" fillId="2" borderId="5" xfId="6" applyFill="1" applyBorder="1"/>
    <xf numFmtId="0" fontId="5" fillId="2" borderId="0" xfId="6" applyFill="1"/>
    <xf numFmtId="0" fontId="33" fillId="2" borderId="0" xfId="6" applyFont="1" applyFill="1"/>
    <xf numFmtId="0" fontId="5" fillId="2" borderId="8" xfId="6" applyFill="1" applyBorder="1"/>
    <xf numFmtId="0" fontId="34" fillId="2" borderId="0" xfId="6" applyFont="1" applyFill="1"/>
    <xf numFmtId="0" fontId="35" fillId="2" borderId="0" xfId="4" applyFont="1" applyFill="1" applyBorder="1"/>
    <xf numFmtId="0" fontId="5" fillId="2" borderId="9" xfId="6" applyFill="1" applyBorder="1"/>
    <xf numFmtId="0" fontId="5" fillId="2" borderId="6" xfId="6" applyFill="1" applyBorder="1"/>
    <xf numFmtId="0" fontId="5" fillId="2" borderId="7" xfId="6" applyFill="1" applyBorder="1"/>
    <xf numFmtId="0" fontId="33" fillId="2" borderId="0" xfId="6" applyFont="1" applyFill="1" applyAlignment="1">
      <alignment horizontal="left" wrapText="1"/>
    </xf>
    <xf numFmtId="0" fontId="33" fillId="7" borderId="0" xfId="6" applyFont="1" applyFill="1" applyAlignment="1">
      <alignment horizontal="justify" wrapText="1"/>
    </xf>
    <xf numFmtId="0" fontId="33" fillId="9" borderId="0" xfId="6" applyFont="1" applyFill="1" applyAlignment="1">
      <alignment horizontal="justify" wrapText="1"/>
    </xf>
    <xf numFmtId="0" fontId="33" fillId="2" borderId="0" xfId="6" applyFont="1" applyFill="1" applyAlignment="1">
      <alignment horizontal="left" vertical="center" wrapText="1"/>
    </xf>
    <xf numFmtId="165" fontId="39" fillId="3" borderId="0" xfId="6" applyNumberFormat="1" applyFont="1" applyFill="1" applyAlignment="1">
      <alignment horizontal="center"/>
    </xf>
    <xf numFmtId="165" fontId="39" fillId="5" borderId="0" xfId="6" applyNumberFormat="1" applyFont="1" applyFill="1" applyAlignment="1">
      <alignment horizontal="center"/>
    </xf>
    <xf numFmtId="165" fontId="39" fillId="13" borderId="0" xfId="6" applyNumberFormat="1" applyFont="1" applyFill="1" applyAlignment="1">
      <alignment horizontal="center"/>
    </xf>
    <xf numFmtId="165" fontId="39" fillId="4" borderId="0" xfId="6" applyNumberFormat="1" applyFont="1" applyFill="1" applyAlignment="1">
      <alignment horizontal="center"/>
    </xf>
    <xf numFmtId="165" fontId="39" fillId="2" borderId="0" xfId="6" applyNumberFormat="1" applyFont="1" applyFill="1" applyAlignment="1">
      <alignment horizontal="center"/>
    </xf>
    <xf numFmtId="165" fontId="39" fillId="14" borderId="0" xfId="6" applyNumberFormat="1" applyFont="1" applyFill="1" applyAlignment="1">
      <alignment horizontal="center"/>
    </xf>
    <xf numFmtId="165" fontId="39" fillId="2" borderId="18" xfId="6" applyNumberFormat="1" applyFont="1" applyFill="1" applyBorder="1" applyAlignment="1">
      <alignment horizontal="center"/>
    </xf>
    <xf numFmtId="0" fontId="33" fillId="2" borderId="0" xfId="6" applyFont="1" applyFill="1" applyAlignment="1">
      <alignment vertical="center" wrapText="1"/>
    </xf>
    <xf numFmtId="0" fontId="32" fillId="5" borderId="0" xfId="6" applyFont="1" applyFill="1"/>
    <xf numFmtId="0" fontId="40" fillId="5" borderId="0" xfId="6" applyFont="1" applyFill="1"/>
    <xf numFmtId="168" fontId="0" fillId="2" borderId="0" xfId="0" applyNumberFormat="1" applyFill="1" applyProtection="1">
      <protection locked="0"/>
    </xf>
    <xf numFmtId="165" fontId="39" fillId="6" borderId="0" xfId="6" applyNumberFormat="1" applyFont="1" applyFill="1" applyAlignment="1">
      <alignment horizontal="center"/>
    </xf>
    <xf numFmtId="0" fontId="0" fillId="5" borderId="10" xfId="0" applyFill="1" applyBorder="1" applyAlignment="1">
      <alignment horizontal="center"/>
    </xf>
    <xf numFmtId="0" fontId="0" fillId="5" borderId="1" xfId="0" applyFill="1" applyBorder="1" applyAlignment="1">
      <alignment horizontal="center"/>
    </xf>
    <xf numFmtId="0" fontId="0" fillId="5" borderId="13" xfId="0" quotePrefix="1" applyFill="1" applyBorder="1" applyAlignment="1">
      <alignment horizontal="center" vertical="center"/>
    </xf>
    <xf numFmtId="2" fontId="0" fillId="5" borderId="13" xfId="0" applyNumberFormat="1" applyFill="1" applyBorder="1" applyAlignment="1">
      <alignment horizontal="center" vertical="center"/>
    </xf>
    <xf numFmtId="165" fontId="0" fillId="5" borderId="14" xfId="0" applyNumberFormat="1" applyFill="1" applyBorder="1" applyAlignment="1">
      <alignment horizontal="center" vertical="center"/>
    </xf>
    <xf numFmtId="0" fontId="0" fillId="5" borderId="3" xfId="0" applyFill="1" applyBorder="1"/>
    <xf numFmtId="0" fontId="0" fillId="5" borderId="4" xfId="0" applyFill="1" applyBorder="1"/>
    <xf numFmtId="0" fontId="0" fillId="5" borderId="0" xfId="0" applyFill="1"/>
    <xf numFmtId="0" fontId="0" fillId="5" borderId="8" xfId="0" applyFill="1" applyBorder="1"/>
    <xf numFmtId="0" fontId="0" fillId="5" borderId="6" xfId="0" applyFill="1" applyBorder="1"/>
    <xf numFmtId="0" fontId="0" fillId="5" borderId="7" xfId="0" applyFill="1" applyBorder="1"/>
    <xf numFmtId="0" fontId="0" fillId="5" borderId="0" xfId="0" quotePrefix="1" applyFill="1" applyAlignment="1">
      <alignment horizontal="center" vertical="center"/>
    </xf>
    <xf numFmtId="2" fontId="0" fillId="5" borderId="0" xfId="0" applyNumberFormat="1" applyFill="1" applyAlignment="1">
      <alignment horizontal="center" vertical="center"/>
    </xf>
    <xf numFmtId="165" fontId="0" fillId="5" borderId="6" xfId="0" applyNumberFormat="1" applyFill="1" applyBorder="1" applyAlignment="1">
      <alignment horizontal="center" vertical="center"/>
    </xf>
    <xf numFmtId="0" fontId="17" fillId="2" borderId="6" xfId="0" applyFont="1" applyFill="1" applyBorder="1"/>
    <xf numFmtId="0" fontId="17" fillId="2" borderId="7" xfId="0" applyFont="1" applyFill="1" applyBorder="1"/>
    <xf numFmtId="165" fontId="15" fillId="2" borderId="11" xfId="0" applyNumberFormat="1" applyFont="1" applyFill="1" applyBorder="1" applyAlignment="1">
      <alignment horizontal="center"/>
    </xf>
    <xf numFmtId="0" fontId="27" fillId="2" borderId="13" xfId="0" applyFont="1" applyFill="1" applyBorder="1"/>
    <xf numFmtId="0" fontId="27" fillId="2" borderId="2" xfId="0" applyFont="1" applyFill="1" applyBorder="1"/>
    <xf numFmtId="0" fontId="33" fillId="2" borderId="0" xfId="6" applyFont="1" applyFill="1" applyAlignment="1">
      <alignment horizontal="justify" wrapText="1"/>
    </xf>
    <xf numFmtId="0" fontId="17" fillId="13" borderId="11" xfId="0" applyFont="1" applyFill="1" applyBorder="1" applyAlignment="1">
      <alignment horizontal="center" vertical="center" wrapText="1"/>
    </xf>
    <xf numFmtId="0" fontId="0" fillId="13" borderId="0" xfId="0" applyFill="1" applyAlignment="1">
      <alignment horizontal="center"/>
    </xf>
    <xf numFmtId="0" fontId="0" fillId="13" borderId="6" xfId="0" applyFill="1" applyBorder="1" applyAlignment="1">
      <alignment horizontal="center"/>
    </xf>
    <xf numFmtId="164" fontId="15" fillId="2" borderId="0" xfId="0" applyNumberFormat="1" applyFont="1" applyFill="1" applyAlignment="1">
      <alignment horizontal="center"/>
    </xf>
    <xf numFmtId="170" fontId="9" fillId="2" borderId="0" xfId="0" applyNumberFormat="1" applyFont="1" applyFill="1" applyAlignment="1">
      <alignment horizontal="center"/>
    </xf>
    <xf numFmtId="0" fontId="41" fillId="15" borderId="0" xfId="3" applyFont="1" applyFill="1" applyAlignment="1">
      <alignment horizontal="left" vertical="top"/>
    </xf>
    <xf numFmtId="164" fontId="15" fillId="2" borderId="6" xfId="0" applyNumberFormat="1" applyFont="1" applyFill="1" applyBorder="1" applyAlignment="1">
      <alignment horizontal="center"/>
    </xf>
    <xf numFmtId="0" fontId="17" fillId="2" borderId="14" xfId="0" applyFont="1" applyFill="1" applyBorder="1" applyAlignment="1">
      <alignment horizontal="center" vertical="center" wrapText="1"/>
    </xf>
    <xf numFmtId="0" fontId="0" fillId="2" borderId="0" xfId="0" applyFill="1" applyAlignment="1">
      <alignment horizontal="justify" vertical="top" wrapText="1"/>
    </xf>
    <xf numFmtId="0" fontId="0" fillId="2" borderId="6" xfId="0" applyFill="1" applyBorder="1" applyAlignment="1">
      <alignment horizontal="justify" vertical="top" wrapText="1"/>
    </xf>
    <xf numFmtId="0" fontId="17" fillId="2" borderId="10" xfId="0" applyFont="1" applyFill="1" applyBorder="1" applyAlignment="1">
      <alignment horizontal="center" vertical="top" wrapText="1"/>
    </xf>
    <xf numFmtId="0" fontId="17" fillId="2" borderId="11" xfId="0" applyFont="1" applyFill="1" applyBorder="1" applyAlignment="1">
      <alignment horizontal="center" vertical="top" wrapText="1"/>
    </xf>
    <xf numFmtId="2" fontId="0" fillId="2" borderId="0" xfId="0" applyNumberFormat="1" applyFill="1"/>
    <xf numFmtId="2" fontId="0" fillId="2" borderId="0" xfId="0" applyNumberFormat="1" applyFill="1" applyAlignment="1">
      <alignment horizontal="center" vertical="top" wrapText="1"/>
    </xf>
    <xf numFmtId="0" fontId="0" fillId="2" borderId="0" xfId="0" applyFill="1" applyAlignment="1">
      <alignment vertical="top" wrapText="1"/>
    </xf>
    <xf numFmtId="0" fontId="0" fillId="2" borderId="7" xfId="0" applyFill="1" applyBorder="1" applyAlignment="1">
      <alignment horizontal="justify" vertical="top" wrapText="1"/>
    </xf>
    <xf numFmtId="0" fontId="17" fillId="2" borderId="0" xfId="0" applyFont="1" applyFill="1" applyAlignment="1">
      <alignment horizontal="center" vertical="top" wrapText="1"/>
    </xf>
    <xf numFmtId="0" fontId="0" fillId="2" borderId="0" xfId="0" applyFill="1" applyAlignment="1">
      <alignment vertical="center" wrapText="1"/>
    </xf>
    <xf numFmtId="165" fontId="0" fillId="2" borderId="9" xfId="0" applyNumberFormat="1" applyFill="1" applyBorder="1" applyAlignment="1">
      <alignment horizontal="center" vertical="top" wrapText="1"/>
    </xf>
    <xf numFmtId="165" fontId="0" fillId="2" borderId="6" xfId="0" applyNumberFormat="1" applyFill="1" applyBorder="1" applyAlignment="1">
      <alignment horizontal="center" vertical="top" wrapText="1"/>
    </xf>
    <xf numFmtId="2" fontId="0" fillId="2" borderId="3" xfId="0" applyNumberFormat="1" applyFill="1" applyBorder="1" applyAlignment="1">
      <alignment horizontal="center" vertical="top" wrapText="1"/>
    </xf>
    <xf numFmtId="2" fontId="0" fillId="2" borderId="4" xfId="0" applyNumberFormat="1" applyFill="1" applyBorder="1" applyAlignment="1">
      <alignment horizontal="center" vertical="top" wrapText="1"/>
    </xf>
    <xf numFmtId="165" fontId="0" fillId="2" borderId="7" xfId="0" applyNumberFormat="1" applyFill="1" applyBorder="1" applyAlignment="1">
      <alignment horizontal="center" vertical="top" wrapText="1"/>
    </xf>
    <xf numFmtId="0" fontId="0" fillId="2" borderId="14" xfId="0" applyFill="1" applyBorder="1" applyAlignment="1">
      <alignment vertical="center"/>
    </xf>
    <xf numFmtId="165" fontId="39" fillId="11" borderId="0" xfId="6" applyNumberFormat="1" applyFont="1" applyFill="1" applyAlignment="1">
      <alignment horizontal="center"/>
    </xf>
    <xf numFmtId="0" fontId="33" fillId="8" borderId="0" xfId="6" applyFont="1" applyFill="1"/>
    <xf numFmtId="0" fontId="33" fillId="8" borderId="0" xfId="6" applyFont="1" applyFill="1" applyAlignment="1">
      <alignment horizontal="justify" wrapText="1"/>
    </xf>
    <xf numFmtId="0" fontId="42" fillId="2" borderId="0" xfId="0" applyFont="1" applyFill="1" applyAlignment="1">
      <alignment vertical="top" wrapText="1"/>
    </xf>
    <xf numFmtId="0" fontId="17" fillId="2" borderId="12" xfId="0" applyFont="1" applyFill="1" applyBorder="1" applyAlignment="1">
      <alignment horizontal="center" vertical="top" wrapText="1"/>
    </xf>
    <xf numFmtId="0" fontId="27" fillId="2" borderId="9" xfId="0" applyFont="1" applyFill="1" applyBorder="1"/>
    <xf numFmtId="0" fontId="0" fillId="2" borderId="19" xfId="0" applyFill="1" applyBorder="1"/>
    <xf numFmtId="0" fontId="0" fillId="2" borderId="8" xfId="0" applyFill="1" applyBorder="1" applyAlignment="1">
      <alignment horizontal="justify" vertical="top" wrapText="1"/>
    </xf>
    <xf numFmtId="0" fontId="27" fillId="2" borderId="0" xfId="0" applyFont="1" applyFill="1"/>
    <xf numFmtId="165" fontId="15" fillId="6" borderId="0" xfId="0" applyNumberFormat="1" applyFont="1" applyFill="1" applyAlignment="1">
      <alignment horizontal="center"/>
    </xf>
    <xf numFmtId="168" fontId="9" fillId="2" borderId="0" xfId="0" applyNumberFormat="1" applyFont="1" applyFill="1" applyAlignment="1">
      <alignment horizontal="center"/>
    </xf>
    <xf numFmtId="165" fontId="9" fillId="11" borderId="0" xfId="0" applyNumberFormat="1" applyFont="1" applyFill="1" applyAlignment="1">
      <alignment horizontal="center"/>
    </xf>
    <xf numFmtId="165" fontId="9" fillId="11" borderId="6" xfId="0" applyNumberFormat="1" applyFont="1" applyFill="1" applyBorder="1" applyAlignment="1">
      <alignment horizontal="center"/>
    </xf>
    <xf numFmtId="165" fontId="0" fillId="2" borderId="0" xfId="0" applyNumberFormat="1" applyFill="1" applyAlignment="1">
      <alignment horizontal="center" vertical="top" wrapText="1"/>
    </xf>
    <xf numFmtId="0" fontId="44" fillId="2" borderId="0" xfId="0" applyFont="1" applyFill="1" applyAlignment="1">
      <alignment vertical="center" wrapText="1"/>
    </xf>
    <xf numFmtId="0" fontId="9" fillId="2" borderId="11" xfId="0" applyFont="1" applyFill="1" applyBorder="1" applyAlignment="1">
      <alignment horizontal="center"/>
    </xf>
    <xf numFmtId="169" fontId="9" fillId="2" borderId="0" xfId="0" applyNumberFormat="1" applyFont="1" applyFill="1"/>
    <xf numFmtId="2" fontId="9" fillId="11" borderId="0" xfId="0" applyNumberFormat="1" applyFont="1" applyFill="1" applyAlignment="1">
      <alignment horizontal="center"/>
    </xf>
    <xf numFmtId="2" fontId="9" fillId="11" borderId="6" xfId="0" applyNumberFormat="1" applyFont="1" applyFill="1" applyBorder="1" applyAlignment="1">
      <alignment horizontal="center"/>
    </xf>
    <xf numFmtId="0" fontId="44" fillId="2" borderId="14" xfId="0" applyFont="1" applyFill="1" applyBorder="1" applyAlignment="1">
      <alignment horizontal="center" vertical="center" wrapText="1"/>
    </xf>
    <xf numFmtId="2" fontId="45" fillId="2" borderId="0" xfId="0" applyNumberFormat="1" applyFont="1" applyFill="1" applyAlignment="1">
      <alignment horizontal="center"/>
    </xf>
    <xf numFmtId="2" fontId="15" fillId="2" borderId="0" xfId="0" applyNumberFormat="1" applyFont="1" applyFill="1" applyAlignment="1">
      <alignment horizontal="center"/>
    </xf>
    <xf numFmtId="2" fontId="15" fillId="2" borderId="6" xfId="0" applyNumberFormat="1" applyFont="1" applyFill="1" applyBorder="1" applyAlignment="1">
      <alignment horizontal="center"/>
    </xf>
    <xf numFmtId="165" fontId="9" fillId="13" borderId="0" xfId="0" applyNumberFormat="1" applyFont="1" applyFill="1" applyAlignment="1">
      <alignment horizontal="center"/>
    </xf>
    <xf numFmtId="2" fontId="0" fillId="2" borderId="0" xfId="0" quotePrefix="1" applyNumberFormat="1" applyFill="1" applyAlignment="1" applyProtection="1">
      <alignment horizontal="center" vertical="center"/>
      <protection locked="0"/>
    </xf>
    <xf numFmtId="0" fontId="3" fillId="5" borderId="0" xfId="6" applyFont="1" applyFill="1"/>
    <xf numFmtId="0" fontId="3" fillId="5" borderId="0" xfId="6" applyFont="1" applyFill="1" applyAlignment="1">
      <alignment vertical="top"/>
    </xf>
    <xf numFmtId="0" fontId="3" fillId="5" borderId="0" xfId="6" applyFont="1" applyFill="1" applyAlignment="1">
      <alignment vertical="top" wrapText="1"/>
    </xf>
    <xf numFmtId="2" fontId="0" fillId="2" borderId="14" xfId="0" applyNumberFormat="1" applyFill="1" applyBorder="1" applyAlignment="1">
      <alignment horizontal="center"/>
    </xf>
    <xf numFmtId="0" fontId="0" fillId="2" borderId="0" xfId="0" applyFill="1" applyAlignment="1">
      <alignment horizontal="left" vertical="center" wrapText="1"/>
    </xf>
    <xf numFmtId="0" fontId="0" fillId="2" borderId="8" xfId="0" applyFill="1" applyBorder="1" applyAlignment="1">
      <alignment horizontal="left" vertical="center" wrapText="1"/>
    </xf>
    <xf numFmtId="165" fontId="0" fillId="2" borderId="5" xfId="0" applyNumberFormat="1" applyFill="1" applyBorder="1" applyAlignment="1">
      <alignment horizontal="center" vertical="top" wrapText="1"/>
    </xf>
    <xf numFmtId="2" fontId="0" fillId="2" borderId="13" xfId="0" applyNumberFormat="1" applyFill="1" applyBorder="1" applyAlignment="1">
      <alignment horizontal="center"/>
    </xf>
    <xf numFmtId="165" fontId="0" fillId="2" borderId="2" xfId="0" applyNumberFormat="1" applyFill="1" applyBorder="1" applyAlignment="1">
      <alignment horizontal="center" vertical="top" wrapText="1"/>
    </xf>
    <xf numFmtId="165" fontId="0" fillId="2" borderId="3" xfId="0" applyNumberFormat="1" applyFill="1" applyBorder="1" applyAlignment="1">
      <alignment horizontal="center" vertical="top" wrapText="1"/>
    </xf>
    <xf numFmtId="165" fontId="0" fillId="2" borderId="4" xfId="0" applyNumberFormat="1" applyFill="1" applyBorder="1" applyAlignment="1">
      <alignment horizontal="center" vertical="top" wrapText="1"/>
    </xf>
    <xf numFmtId="165" fontId="0" fillId="2" borderId="8" xfId="0" applyNumberFormat="1" applyFill="1" applyBorder="1" applyAlignment="1">
      <alignment horizontal="center" vertical="top" wrapText="1"/>
    </xf>
    <xf numFmtId="0" fontId="0" fillId="2" borderId="5" xfId="0" applyFill="1" applyBorder="1" applyAlignment="1">
      <alignment horizontal="left" vertical="center"/>
    </xf>
    <xf numFmtId="0" fontId="0" fillId="2" borderId="0" xfId="0" applyFill="1" applyAlignment="1">
      <alignment horizontal="center" vertical="center"/>
    </xf>
    <xf numFmtId="165" fontId="9" fillId="3" borderId="6" xfId="0" applyNumberFormat="1" applyFont="1" applyFill="1" applyBorder="1" applyAlignment="1">
      <alignment horizontal="center"/>
    </xf>
    <xf numFmtId="1" fontId="9" fillId="2" borderId="7" xfId="0" applyNumberFormat="1" applyFont="1" applyFill="1" applyBorder="1" applyAlignment="1" applyProtection="1">
      <alignment horizontal="center"/>
      <protection locked="0"/>
    </xf>
    <xf numFmtId="169" fontId="15" fillId="2" borderId="0" xfId="0" applyNumberFormat="1" applyFont="1" applyFill="1" applyAlignment="1" applyProtection="1">
      <alignment horizontal="left"/>
      <protection locked="0"/>
    </xf>
    <xf numFmtId="165" fontId="15" fillId="11" borderId="2" xfId="0" applyNumberFormat="1" applyFont="1" applyFill="1" applyBorder="1" applyAlignment="1" applyProtection="1">
      <alignment horizontal="center"/>
      <protection locked="0"/>
    </xf>
    <xf numFmtId="165" fontId="15" fillId="11" borderId="4" xfId="0" applyNumberFormat="1" applyFont="1" applyFill="1" applyBorder="1" applyAlignment="1" applyProtection="1">
      <alignment horizontal="center"/>
      <protection locked="0"/>
    </xf>
    <xf numFmtId="165" fontId="15" fillId="11" borderId="9" xfId="0" applyNumberFormat="1" applyFont="1" applyFill="1" applyBorder="1" applyAlignment="1" applyProtection="1">
      <alignment horizontal="center"/>
      <protection locked="0"/>
    </xf>
    <xf numFmtId="165" fontId="15" fillId="11" borderId="7" xfId="0" applyNumberFormat="1" applyFont="1" applyFill="1" applyBorder="1" applyAlignment="1" applyProtection="1">
      <alignment horizontal="center"/>
      <protection locked="0"/>
    </xf>
    <xf numFmtId="0" fontId="1" fillId="5" borderId="0" xfId="6" applyFont="1" applyFill="1"/>
    <xf numFmtId="0" fontId="1" fillId="5" borderId="0" xfId="6" applyFont="1" applyFill="1" applyAlignment="1">
      <alignment vertical="top"/>
    </xf>
    <xf numFmtId="0" fontId="1" fillId="5" borderId="0" xfId="6" applyFont="1" applyFill="1" applyAlignment="1">
      <alignment vertical="top" wrapText="1"/>
    </xf>
    <xf numFmtId="0" fontId="1" fillId="5" borderId="0" xfId="6" applyFont="1" applyFill="1" applyAlignment="1">
      <alignment vertical="center" wrapText="1"/>
    </xf>
    <xf numFmtId="0" fontId="33" fillId="2" borderId="0" xfId="6" applyFont="1" applyFill="1" applyAlignment="1">
      <alignment horizontal="justify" vertical="top" wrapText="1"/>
    </xf>
    <xf numFmtId="0" fontId="33" fillId="2" borderId="0" xfId="6" applyFont="1" applyFill="1" applyAlignment="1">
      <alignment horizontal="justify" vertical="justify" wrapText="1"/>
    </xf>
    <xf numFmtId="0" fontId="34" fillId="2" borderId="0" xfId="6" applyFont="1" applyFill="1" applyAlignment="1">
      <alignment horizontal="justify" vertical="top" wrapText="1"/>
    </xf>
    <xf numFmtId="0" fontId="15" fillId="2" borderId="0" xfId="0" applyFont="1" applyFill="1" applyProtection="1">
      <protection locked="0"/>
    </xf>
    <xf numFmtId="0" fontId="13" fillId="2" borderId="0" xfId="0" applyFont="1" applyFill="1" applyProtection="1">
      <protection locked="0"/>
    </xf>
    <xf numFmtId="0" fontId="33" fillId="10" borderId="0" xfId="6" applyFont="1" applyFill="1" applyAlignment="1">
      <alignment horizontal="justify" wrapText="1"/>
    </xf>
    <xf numFmtId="0" fontId="33" fillId="16" borderId="0" xfId="6" applyFont="1" applyFill="1" applyAlignment="1">
      <alignment horizontal="justify" wrapText="1"/>
    </xf>
    <xf numFmtId="0" fontId="46" fillId="5" borderId="0" xfId="6" applyFont="1" applyFill="1"/>
    <xf numFmtId="0" fontId="47" fillId="2" borderId="0" xfId="0" applyFont="1" applyFill="1" applyAlignment="1">
      <alignment horizontal="left" indent="1"/>
    </xf>
    <xf numFmtId="0" fontId="33" fillId="17" borderId="0" xfId="6" applyFont="1" applyFill="1" applyAlignment="1">
      <alignment horizontal="justify" wrapText="1"/>
    </xf>
    <xf numFmtId="0" fontId="17" fillId="5" borderId="3" xfId="0" applyFont="1" applyFill="1" applyBorder="1" applyAlignment="1">
      <alignment horizontal="center" vertical="top" wrapText="1"/>
    </xf>
    <xf numFmtId="0" fontId="17" fillId="5" borderId="4" xfId="0" applyFont="1" applyFill="1" applyBorder="1" applyAlignment="1">
      <alignment horizontal="center" vertical="top" wrapText="1"/>
    </xf>
    <xf numFmtId="0" fontId="17" fillId="5" borderId="15" xfId="0" applyFont="1" applyFill="1" applyBorder="1" applyAlignment="1">
      <alignment horizontal="center"/>
    </xf>
    <xf numFmtId="0" fontId="0" fillId="5" borderId="15" xfId="0" applyFill="1" applyBorder="1" applyAlignment="1">
      <alignment horizontal="center" vertical="center"/>
    </xf>
    <xf numFmtId="2" fontId="0" fillId="5" borderId="14" xfId="0" applyNumberFormat="1" applyFill="1" applyBorder="1" applyAlignment="1">
      <alignment horizontal="center" vertical="center"/>
    </xf>
    <xf numFmtId="2" fontId="0" fillId="5" borderId="15" xfId="0" applyNumberFormat="1" applyFill="1" applyBorder="1" applyAlignment="1">
      <alignment horizontal="center" vertical="center"/>
    </xf>
    <xf numFmtId="165" fontId="44" fillId="5" borderId="13" xfId="0" applyNumberFormat="1" applyFont="1" applyFill="1" applyBorder="1" applyAlignment="1">
      <alignment horizontal="center" vertical="center"/>
    </xf>
    <xf numFmtId="0" fontId="0" fillId="2" borderId="0" xfId="0" applyFill="1" applyAlignment="1">
      <alignment vertical="center"/>
    </xf>
    <xf numFmtId="0" fontId="17" fillId="5" borderId="3" xfId="0" applyFont="1" applyFill="1" applyBorder="1" applyAlignment="1">
      <alignment horizontal="center" vertical="center" wrapText="1"/>
    </xf>
    <xf numFmtId="0" fontId="17" fillId="5" borderId="4" xfId="0" applyFont="1" applyFill="1" applyBorder="1" applyAlignment="1">
      <alignment horizontal="center" vertical="center" wrapText="1"/>
    </xf>
    <xf numFmtId="0" fontId="17" fillId="5" borderId="0" xfId="0" applyFont="1" applyFill="1" applyAlignment="1">
      <alignment horizontal="center" vertical="center" wrapText="1"/>
    </xf>
    <xf numFmtId="0" fontId="17" fillId="5" borderId="8" xfId="0" applyFont="1" applyFill="1" applyBorder="1" applyAlignment="1">
      <alignment horizontal="center" vertical="center" wrapText="1"/>
    </xf>
    <xf numFmtId="2" fontId="0" fillId="5" borderId="0" xfId="0" applyNumberFormat="1" applyFill="1" applyAlignment="1">
      <alignment horizontal="center" vertical="center" wrapText="1"/>
    </xf>
    <xf numFmtId="2" fontId="0" fillId="5" borderId="8" xfId="0" applyNumberFormat="1" applyFill="1" applyBorder="1" applyAlignment="1">
      <alignment horizontal="center" vertical="center" wrapText="1"/>
    </xf>
    <xf numFmtId="2" fontId="0" fillId="5" borderId="3" xfId="0" applyNumberFormat="1" applyFill="1" applyBorder="1" applyAlignment="1">
      <alignment horizontal="center" vertical="center" wrapText="1"/>
    </xf>
    <xf numFmtId="2" fontId="0" fillId="5" borderId="4" xfId="0" applyNumberFormat="1" applyFill="1" applyBorder="1" applyAlignment="1">
      <alignment horizontal="center" vertical="center" wrapText="1"/>
    </xf>
    <xf numFmtId="165" fontId="17" fillId="5" borderId="0" xfId="0" applyNumberFormat="1" applyFont="1" applyFill="1" applyAlignment="1">
      <alignment horizontal="center" vertical="center" wrapText="1"/>
    </xf>
    <xf numFmtId="165" fontId="17" fillId="5" borderId="8" xfId="0" applyNumberFormat="1" applyFont="1" applyFill="1" applyBorder="1" applyAlignment="1">
      <alignment horizontal="center" vertical="center" wrapText="1"/>
    </xf>
    <xf numFmtId="2" fontId="0" fillId="5" borderId="6" xfId="0" applyNumberFormat="1" applyFill="1" applyBorder="1" applyAlignment="1">
      <alignment horizontal="center" vertical="center" wrapText="1"/>
    </xf>
    <xf numFmtId="2" fontId="0" fillId="5" borderId="7" xfId="0" applyNumberFormat="1" applyFill="1" applyBorder="1" applyAlignment="1">
      <alignment horizontal="center" vertical="center" wrapText="1"/>
    </xf>
    <xf numFmtId="0" fontId="0" fillId="5" borderId="5" xfId="0" applyFill="1" applyBorder="1" applyAlignment="1">
      <alignment horizontal="left" vertical="center" indent="2"/>
    </xf>
    <xf numFmtId="0" fontId="0" fillId="5" borderId="0" xfId="0" applyFill="1" applyAlignment="1">
      <alignment horizontal="left" vertical="center" wrapText="1" indent="2"/>
    </xf>
    <xf numFmtId="0" fontId="0" fillId="5" borderId="8" xfId="0" applyFill="1" applyBorder="1" applyAlignment="1">
      <alignment horizontal="left" vertical="center" wrapText="1" indent="2"/>
    </xf>
    <xf numFmtId="165" fontId="15" fillId="2" borderId="3" xfId="0" applyNumberFormat="1" applyFont="1" applyFill="1" applyBorder="1" applyAlignment="1">
      <alignment horizontal="center"/>
    </xf>
    <xf numFmtId="165" fontId="0" fillId="2" borderId="0" xfId="0" applyNumberFormat="1" applyFill="1" applyAlignment="1">
      <alignment horizontal="center" vertical="center"/>
    </xf>
    <xf numFmtId="0" fontId="0" fillId="2" borderId="0" xfId="0" applyFill="1" applyAlignment="1">
      <alignment horizontal="center" vertical="top"/>
    </xf>
    <xf numFmtId="0" fontId="0" fillId="19" borderId="0" xfId="0" applyFill="1" applyAlignment="1">
      <alignment horizontal="center" vertical="top"/>
    </xf>
    <xf numFmtId="0" fontId="0" fillId="19" borderId="0" xfId="0" applyFill="1" applyAlignment="1">
      <alignment vertical="top"/>
    </xf>
    <xf numFmtId="0" fontId="17" fillId="0" borderId="0" xfId="0" applyFont="1" applyAlignment="1">
      <alignment horizontal="left" vertical="center"/>
    </xf>
    <xf numFmtId="0" fontId="48" fillId="18" borderId="0" xfId="0" applyFont="1" applyFill="1" applyAlignment="1">
      <alignment horizontal="left" vertical="center"/>
    </xf>
    <xf numFmtId="0" fontId="0" fillId="18" borderId="0" xfId="0" applyFill="1" applyAlignment="1">
      <alignment vertical="top"/>
    </xf>
    <xf numFmtId="0" fontId="22" fillId="18" borderId="0" xfId="0" applyFont="1" applyFill="1" applyAlignment="1">
      <alignment horizontal="center" vertical="top"/>
    </xf>
    <xf numFmtId="0" fontId="22" fillId="18" borderId="0" xfId="0" applyFont="1" applyFill="1" applyAlignment="1">
      <alignment horizontal="center"/>
    </xf>
    <xf numFmtId="0" fontId="49" fillId="18" borderId="0" xfId="0" applyFont="1" applyFill="1" applyAlignment="1">
      <alignment horizontal="center" vertical="center" wrapText="1"/>
    </xf>
    <xf numFmtId="0" fontId="48" fillId="18" borderId="0" xfId="0" applyFont="1" applyFill="1" applyAlignment="1">
      <alignment horizontal="center" vertical="center" wrapText="1"/>
    </xf>
    <xf numFmtId="0" fontId="43" fillId="19" borderId="0" xfId="0" applyFont="1" applyFill="1" applyAlignment="1">
      <alignment horizontal="left" vertical="top" wrapText="1"/>
    </xf>
    <xf numFmtId="0" fontId="25" fillId="19" borderId="0" xfId="0" applyFont="1" applyFill="1" applyAlignment="1">
      <alignment horizontal="center"/>
    </xf>
    <xf numFmtId="0" fontId="0" fillId="19" borderId="0" xfId="0" applyFill="1" applyAlignment="1">
      <alignment horizontal="left"/>
    </xf>
    <xf numFmtId="0" fontId="43" fillId="19" borderId="0" xfId="0" applyFont="1" applyFill="1" applyAlignment="1">
      <alignment horizontal="left" vertical="top" wrapText="1" indent="1"/>
    </xf>
    <xf numFmtId="0" fontId="43" fillId="19" borderId="0" xfId="0" applyFont="1" applyFill="1" applyAlignment="1">
      <alignment vertical="top"/>
    </xf>
    <xf numFmtId="0" fontId="43" fillId="19" borderId="0" xfId="0" applyFont="1" applyFill="1" applyAlignment="1">
      <alignment horizontal="left" wrapText="1"/>
    </xf>
    <xf numFmtId="0" fontId="0" fillId="18" borderId="0" xfId="0" applyFill="1"/>
    <xf numFmtId="1" fontId="48" fillId="18" borderId="0" xfId="0" applyNumberFormat="1" applyFont="1" applyFill="1" applyAlignment="1">
      <alignment horizontal="center" vertical="center" wrapText="1"/>
    </xf>
    <xf numFmtId="2" fontId="0" fillId="2" borderId="0" xfId="0" applyNumberFormat="1" applyFill="1" applyAlignment="1">
      <alignment horizontal="center" vertical="center"/>
    </xf>
    <xf numFmtId="165" fontId="25" fillId="2" borderId="0" xfId="0" applyNumberFormat="1" applyFont="1" applyFill="1" applyAlignment="1">
      <alignment horizontal="center" vertical="center"/>
    </xf>
    <xf numFmtId="0" fontId="25" fillId="2" borderId="0" xfId="0" applyFont="1" applyFill="1" applyAlignment="1">
      <alignment horizontal="center" vertical="center"/>
    </xf>
    <xf numFmtId="0" fontId="0" fillId="2" borderId="0" xfId="0" applyFill="1" applyAlignment="1">
      <alignment vertical="top"/>
    </xf>
    <xf numFmtId="0" fontId="17" fillId="2" borderId="0" xfId="0" applyFont="1" applyFill="1" applyAlignment="1">
      <alignment horizontal="left" vertical="center"/>
    </xf>
    <xf numFmtId="0" fontId="0" fillId="19" borderId="0" xfId="0" applyFill="1" applyAlignment="1">
      <alignment horizontal="center"/>
    </xf>
    <xf numFmtId="165" fontId="25" fillId="0" borderId="0" xfId="0" applyNumberFormat="1" applyFont="1" applyAlignment="1">
      <alignment horizontal="center" vertical="center"/>
    </xf>
    <xf numFmtId="165" fontId="9" fillId="2" borderId="0" xfId="0" applyNumberFormat="1" applyFont="1" applyFill="1" applyAlignment="1">
      <alignment horizontal="center" vertical="center"/>
    </xf>
    <xf numFmtId="0" fontId="0" fillId="2" borderId="0" xfId="0" applyFill="1" applyAlignment="1">
      <alignment wrapText="1"/>
    </xf>
    <xf numFmtId="0" fontId="33" fillId="20" borderId="0" xfId="6" applyFont="1" applyFill="1" applyAlignment="1">
      <alignment horizontal="justify" wrapText="1"/>
    </xf>
    <xf numFmtId="0" fontId="43" fillId="2" borderId="0" xfId="0" applyFont="1" applyFill="1"/>
    <xf numFmtId="0" fontId="25" fillId="2" borderId="0" xfId="0" applyFont="1" applyFill="1" applyAlignment="1">
      <alignment horizontal="center"/>
    </xf>
    <xf numFmtId="165" fontId="25" fillId="2" borderId="0" xfId="0" applyNumberFormat="1" applyFont="1" applyFill="1" applyAlignment="1">
      <alignment horizontal="center"/>
    </xf>
    <xf numFmtId="165" fontId="15" fillId="2" borderId="0" xfId="0" applyNumberFormat="1" applyFont="1" applyFill="1" applyAlignment="1" applyProtection="1">
      <alignment horizontal="left"/>
      <protection locked="0"/>
    </xf>
    <xf numFmtId="1" fontId="9" fillId="2" borderId="0" xfId="0" applyNumberFormat="1" applyFont="1" applyFill="1" applyAlignment="1">
      <alignment horizontal="center"/>
    </xf>
    <xf numFmtId="1" fontId="15" fillId="21" borderId="0" xfId="0" applyNumberFormat="1" applyFont="1" applyFill="1" applyAlignment="1" applyProtection="1">
      <alignment horizontal="center"/>
      <protection locked="0"/>
    </xf>
    <xf numFmtId="165" fontId="39" fillId="21" borderId="0" xfId="6" applyNumberFormat="1" applyFont="1" applyFill="1" applyAlignment="1">
      <alignment horizontal="center"/>
    </xf>
    <xf numFmtId="0" fontId="0" fillId="5" borderId="2" xfId="0" applyFill="1" applyBorder="1"/>
    <xf numFmtId="0" fontId="0" fillId="5" borderId="5" xfId="0" applyFill="1" applyBorder="1"/>
    <xf numFmtId="0" fontId="0" fillId="5" borderId="9" xfId="0" applyFill="1" applyBorder="1" applyAlignment="1">
      <alignment horizontal="left"/>
    </xf>
    <xf numFmtId="0" fontId="44" fillId="13" borderId="14" xfId="0" applyFont="1" applyFill="1" applyBorder="1" applyAlignment="1">
      <alignment horizontal="center" vertical="center" wrapText="1"/>
    </xf>
    <xf numFmtId="0" fontId="17" fillId="13" borderId="1" xfId="0" applyFont="1" applyFill="1" applyBorder="1" applyAlignment="1">
      <alignment horizontal="center" vertical="center" wrapText="1"/>
    </xf>
    <xf numFmtId="165" fontId="17" fillId="2" borderId="15" xfId="0" applyNumberFormat="1" applyFont="1" applyFill="1" applyBorder="1" applyAlignment="1">
      <alignment horizontal="center"/>
    </xf>
    <xf numFmtId="165" fontId="17" fillId="2" borderId="14" xfId="0" applyNumberFormat="1" applyFont="1" applyFill="1" applyBorder="1" applyAlignment="1">
      <alignment horizontal="center"/>
    </xf>
    <xf numFmtId="0" fontId="0" fillId="2" borderId="7" xfId="0" applyFill="1" applyBorder="1" applyAlignment="1">
      <alignment vertical="center"/>
    </xf>
    <xf numFmtId="0" fontId="0" fillId="2" borderId="9" xfId="0" applyFill="1" applyBorder="1" applyAlignment="1">
      <alignment vertical="center"/>
    </xf>
    <xf numFmtId="0" fontId="5" fillId="2" borderId="5" xfId="6" applyFill="1" applyBorder="1" applyAlignment="1">
      <alignment vertical="center"/>
    </xf>
    <xf numFmtId="0" fontId="33" fillId="7" borderId="0" xfId="6" applyFont="1" applyFill="1" applyAlignment="1">
      <alignment horizontal="justify" vertical="center" wrapText="1"/>
    </xf>
    <xf numFmtId="0" fontId="33" fillId="12" borderId="20" xfId="6" applyFont="1" applyFill="1" applyBorder="1" applyAlignment="1">
      <alignment vertical="center" wrapText="1"/>
    </xf>
    <xf numFmtId="0" fontId="5" fillId="2" borderId="8" xfId="6" applyFill="1" applyBorder="1" applyAlignment="1">
      <alignment vertical="center"/>
    </xf>
    <xf numFmtId="0" fontId="3" fillId="5" borderId="0" xfId="6" applyFont="1" applyFill="1" applyAlignment="1">
      <alignment vertical="center"/>
    </xf>
    <xf numFmtId="0" fontId="5" fillId="5" borderId="0" xfId="6" applyFill="1" applyAlignment="1">
      <alignment vertical="center"/>
    </xf>
    <xf numFmtId="0" fontId="33" fillId="2" borderId="14" xfId="6" applyFont="1" applyFill="1" applyBorder="1" applyAlignment="1">
      <alignment vertical="center" wrapText="1"/>
    </xf>
    <xf numFmtId="0" fontId="33" fillId="13" borderId="3" xfId="6" applyFont="1" applyFill="1" applyBorder="1" applyAlignment="1">
      <alignment vertical="center" wrapText="1"/>
    </xf>
    <xf numFmtId="0" fontId="33" fillId="5" borderId="0" xfId="6" applyFont="1" applyFill="1" applyAlignment="1">
      <alignment vertical="center" wrapText="1"/>
    </xf>
    <xf numFmtId="2" fontId="25" fillId="2" borderId="0" xfId="0" applyNumberFormat="1" applyFont="1" applyFill="1"/>
    <xf numFmtId="0" fontId="25" fillId="2" borderId="0" xfId="0" applyFont="1" applyFill="1" applyAlignment="1">
      <alignment vertical="center"/>
    </xf>
    <xf numFmtId="2" fontId="25" fillId="2" borderId="0" xfId="0" applyNumberFormat="1" applyFont="1" applyFill="1" applyAlignment="1">
      <alignment vertical="center"/>
    </xf>
    <xf numFmtId="0" fontId="9" fillId="12" borderId="0" xfId="0" applyFont="1" applyFill="1" applyProtection="1">
      <protection locked="0"/>
    </xf>
    <xf numFmtId="0" fontId="9" fillId="12" borderId="0" xfId="0" applyFont="1" applyFill="1"/>
    <xf numFmtId="165" fontId="9" fillId="12" borderId="0" xfId="0" applyNumberFormat="1" applyFont="1" applyFill="1" applyAlignment="1">
      <alignment horizontal="center"/>
    </xf>
    <xf numFmtId="165" fontId="15" fillId="12" borderId="0" xfId="0" applyNumberFormat="1" applyFont="1" applyFill="1" applyAlignment="1">
      <alignment horizontal="center"/>
    </xf>
    <xf numFmtId="167" fontId="15" fillId="12" borderId="0" xfId="0" applyNumberFormat="1" applyFont="1" applyFill="1" applyAlignment="1">
      <alignment horizontal="center"/>
    </xf>
    <xf numFmtId="168" fontId="15" fillId="12" borderId="0" xfId="0" applyNumberFormat="1" applyFont="1" applyFill="1" applyAlignment="1">
      <alignment horizontal="center"/>
    </xf>
    <xf numFmtId="164" fontId="15" fillId="12" borderId="0" xfId="0" applyNumberFormat="1" applyFont="1" applyFill="1" applyAlignment="1">
      <alignment horizontal="center"/>
    </xf>
    <xf numFmtId="0" fontId="9" fillId="12" borderId="0" xfId="0" applyFont="1" applyFill="1" applyAlignment="1">
      <alignment horizontal="left" indent="6"/>
    </xf>
    <xf numFmtId="0" fontId="11" fillId="0" borderId="2" xfId="0" applyFont="1" applyBorder="1"/>
    <xf numFmtId="2" fontId="9" fillId="0" borderId="4" xfId="0" applyNumberFormat="1" applyFont="1" applyBorder="1" applyAlignment="1" applyProtection="1">
      <alignment horizontal="center"/>
      <protection locked="0"/>
    </xf>
    <xf numFmtId="0" fontId="11" fillId="0" borderId="9" xfId="0" applyFont="1" applyBorder="1"/>
    <xf numFmtId="2" fontId="9" fillId="0" borderId="7" xfId="0" applyNumberFormat="1" applyFont="1" applyBorder="1" applyAlignment="1" applyProtection="1">
      <alignment horizontal="center"/>
      <protection locked="0"/>
    </xf>
    <xf numFmtId="0" fontId="9" fillId="12" borderId="3" xfId="0" applyFont="1" applyFill="1" applyBorder="1"/>
    <xf numFmtId="165" fontId="9" fillId="12" borderId="3" xfId="0" applyNumberFormat="1" applyFont="1" applyFill="1" applyBorder="1" applyAlignment="1">
      <alignment horizontal="center"/>
    </xf>
    <xf numFmtId="0" fontId="12" fillId="12" borderId="3" xfId="0" applyFont="1" applyFill="1" applyBorder="1"/>
    <xf numFmtId="166" fontId="12" fillId="12" borderId="3" xfId="0" applyNumberFormat="1" applyFont="1" applyFill="1" applyBorder="1" applyAlignment="1">
      <alignment horizontal="center"/>
    </xf>
    <xf numFmtId="2" fontId="15" fillId="12" borderId="0" xfId="0" applyNumberFormat="1" applyFont="1" applyFill="1" applyAlignment="1" applyProtection="1">
      <alignment horizontal="center"/>
      <protection locked="0"/>
    </xf>
    <xf numFmtId="165" fontId="15" fillId="12" borderId="0" xfId="0" applyNumberFormat="1" applyFont="1" applyFill="1" applyAlignment="1" applyProtection="1">
      <alignment horizontal="center"/>
      <protection locked="0"/>
    </xf>
    <xf numFmtId="0" fontId="15" fillId="12" borderId="0" xfId="0" applyFont="1" applyFill="1" applyAlignment="1" applyProtection="1">
      <alignment horizontal="left"/>
      <protection locked="0"/>
    </xf>
    <xf numFmtId="0" fontId="9" fillId="12" borderId="0" xfId="0" applyFont="1" applyFill="1" applyAlignment="1" applyProtection="1">
      <alignment horizontal="left"/>
      <protection locked="0"/>
    </xf>
    <xf numFmtId="171" fontId="9" fillId="2" borderId="0" xfId="14" applyNumberFormat="1" applyFont="1" applyFill="1" applyAlignment="1">
      <alignment horizontal="center"/>
    </xf>
    <xf numFmtId="164" fontId="9" fillId="3" borderId="0" xfId="0" applyNumberFormat="1" applyFont="1" applyFill="1" applyAlignment="1">
      <alignment horizontal="center"/>
    </xf>
    <xf numFmtId="2" fontId="0" fillId="0" borderId="0" xfId="0" applyNumberFormat="1"/>
    <xf numFmtId="2" fontId="46" fillId="2" borderId="0" xfId="0" applyNumberFormat="1" applyFont="1" applyFill="1"/>
    <xf numFmtId="165" fontId="9" fillId="12" borderId="23" xfId="0" applyNumberFormat="1" applyFont="1" applyFill="1" applyBorder="1" applyAlignment="1">
      <alignment horizontal="center"/>
    </xf>
    <xf numFmtId="165" fontId="9" fillId="12" borderId="24" xfId="0" applyNumberFormat="1" applyFont="1" applyFill="1" applyBorder="1" applyAlignment="1">
      <alignment horizontal="center"/>
    </xf>
    <xf numFmtId="165" fontId="9" fillId="12" borderId="25" xfId="0" applyNumberFormat="1" applyFont="1" applyFill="1" applyBorder="1" applyAlignment="1">
      <alignment horizontal="center"/>
    </xf>
    <xf numFmtId="165" fontId="53" fillId="2" borderId="0" xfId="0" applyNumberFormat="1" applyFont="1" applyFill="1" applyAlignment="1">
      <alignment horizontal="center"/>
    </xf>
    <xf numFmtId="165" fontId="9" fillId="22" borderId="0" xfId="0" applyNumberFormat="1" applyFont="1" applyFill="1" applyAlignment="1">
      <alignment horizontal="center"/>
    </xf>
    <xf numFmtId="165" fontId="9" fillId="2" borderId="23" xfId="0" applyNumberFormat="1" applyFont="1" applyFill="1" applyBorder="1" applyAlignment="1">
      <alignment horizontal="center"/>
    </xf>
    <xf numFmtId="165" fontId="9" fillId="2" borderId="24" xfId="0" applyNumberFormat="1" applyFont="1" applyFill="1" applyBorder="1" applyAlignment="1">
      <alignment horizontal="center"/>
    </xf>
    <xf numFmtId="165" fontId="9" fillId="2" borderId="25" xfId="0" applyNumberFormat="1" applyFont="1" applyFill="1" applyBorder="1" applyAlignment="1">
      <alignment horizontal="center"/>
    </xf>
    <xf numFmtId="2" fontId="13" fillId="2" borderId="6" xfId="0" applyNumberFormat="1" applyFont="1" applyFill="1" applyBorder="1" applyAlignment="1">
      <alignment horizontal="center"/>
    </xf>
    <xf numFmtId="166" fontId="9" fillId="12" borderId="0" xfId="0" applyNumberFormat="1" applyFont="1" applyFill="1" applyAlignment="1">
      <alignment horizontal="center"/>
    </xf>
    <xf numFmtId="165" fontId="9" fillId="5" borderId="0" xfId="0" applyNumberFormat="1" applyFont="1" applyFill="1" applyAlignment="1" applyProtection="1">
      <alignment horizontal="center"/>
      <protection locked="0"/>
    </xf>
    <xf numFmtId="0" fontId="54" fillId="0" borderId="0" xfId="0" applyFont="1"/>
    <xf numFmtId="165" fontId="55" fillId="0" borderId="0" xfId="0" applyNumberFormat="1" applyFont="1" applyAlignment="1">
      <alignment horizontal="center" vertical="center"/>
    </xf>
    <xf numFmtId="165" fontId="40" fillId="0" borderId="23" xfId="0" applyNumberFormat="1" applyFont="1" applyBorder="1" applyAlignment="1">
      <alignment horizontal="center"/>
    </xf>
    <xf numFmtId="0" fontId="0" fillId="0" borderId="24" xfId="0" applyBorder="1" applyAlignment="1">
      <alignment horizontal="center"/>
    </xf>
    <xf numFmtId="0" fontId="0" fillId="0" borderId="25" xfId="0" applyBorder="1" applyAlignment="1">
      <alignment horizontal="center"/>
    </xf>
    <xf numFmtId="0" fontId="56" fillId="0" borderId="23" xfId="0" applyFont="1" applyBorder="1" applyAlignment="1">
      <alignment horizontal="center" vertical="top"/>
    </xf>
    <xf numFmtId="0" fontId="56" fillId="0" borderId="24" xfId="0" applyFont="1" applyBorder="1" applyAlignment="1">
      <alignment horizontal="center" vertical="top"/>
    </xf>
    <xf numFmtId="0" fontId="56" fillId="0" borderId="25" xfId="0" applyFont="1" applyBorder="1" applyAlignment="1">
      <alignment horizontal="center" vertical="top"/>
    </xf>
    <xf numFmtId="0" fontId="0" fillId="0" borderId="0" xfId="0" applyAlignment="1">
      <alignment horizontal="center"/>
    </xf>
    <xf numFmtId="165" fontId="40" fillId="0" borderId="0" xfId="0" applyNumberFormat="1" applyFont="1" applyAlignment="1">
      <alignment horizontal="center" vertical="center"/>
    </xf>
    <xf numFmtId="0" fontId="56" fillId="0" borderId="0" xfId="0" applyFont="1" applyAlignment="1">
      <alignment horizontal="center" vertical="top"/>
    </xf>
    <xf numFmtId="1" fontId="40" fillId="0" borderId="0" xfId="0" applyNumberFormat="1" applyFont="1" applyAlignment="1">
      <alignment horizontal="center" vertical="center"/>
    </xf>
    <xf numFmtId="167" fontId="9" fillId="12" borderId="0" xfId="0" applyNumberFormat="1" applyFont="1" applyFill="1" applyProtection="1">
      <protection locked="0"/>
    </xf>
    <xf numFmtId="164" fontId="9" fillId="12" borderId="0" xfId="0" applyNumberFormat="1" applyFont="1" applyFill="1" applyAlignment="1" applyProtection="1">
      <alignment horizontal="center"/>
      <protection locked="0"/>
    </xf>
    <xf numFmtId="172" fontId="9" fillId="2" borderId="0" xfId="14" applyNumberFormat="1" applyFont="1" applyFill="1" applyAlignment="1">
      <alignment horizontal="center"/>
    </xf>
    <xf numFmtId="164" fontId="15" fillId="3" borderId="0" xfId="0" applyNumberFormat="1" applyFont="1" applyFill="1" applyAlignment="1">
      <alignment horizontal="center"/>
    </xf>
    <xf numFmtId="0" fontId="33" fillId="2" borderId="0" xfId="6" applyFont="1" applyFill="1" applyAlignment="1">
      <alignment horizontal="justify" vertical="top" wrapText="1"/>
    </xf>
    <xf numFmtId="0" fontId="19" fillId="2" borderId="6" xfId="6" applyFont="1" applyFill="1" applyBorder="1" applyAlignment="1">
      <alignment horizontal="left" wrapText="1"/>
    </xf>
    <xf numFmtId="0" fontId="34" fillId="2" borderId="0" xfId="6" applyFont="1" applyFill="1" applyAlignment="1">
      <alignment horizontal="justify" vertical="justify" wrapText="1"/>
    </xf>
    <xf numFmtId="0" fontId="33" fillId="2" borderId="0" xfId="6" applyFont="1" applyFill="1" applyAlignment="1">
      <alignment horizontal="left" vertical="center" wrapText="1"/>
    </xf>
    <xf numFmtId="0" fontId="33" fillId="2" borderId="21" xfId="6" applyFont="1" applyFill="1" applyBorder="1" applyAlignment="1">
      <alignment horizontal="left" vertical="center" wrapText="1"/>
    </xf>
    <xf numFmtId="0" fontId="33" fillId="2" borderId="0" xfId="6" applyFont="1" applyFill="1" applyAlignment="1">
      <alignment horizontal="justify" vertical="justify" wrapText="1"/>
    </xf>
    <xf numFmtId="0" fontId="33" fillId="2" borderId="0" xfId="6" applyFont="1" applyFill="1" applyAlignment="1">
      <alignment horizontal="justify" vertical="center" wrapText="1"/>
    </xf>
    <xf numFmtId="0" fontId="33" fillId="2" borderId="0" xfId="12" applyFont="1" applyFill="1" applyAlignment="1">
      <alignment horizontal="left" vertical="top" wrapText="1"/>
    </xf>
    <xf numFmtId="0" fontId="34" fillId="2" borderId="0" xfId="6" applyFont="1" applyFill="1" applyAlignment="1">
      <alignment horizontal="justify" vertical="top"/>
    </xf>
    <xf numFmtId="0" fontId="34" fillId="2" borderId="0" xfId="6" applyFont="1" applyFill="1" applyAlignment="1">
      <alignment horizontal="justify" vertical="top" wrapText="1"/>
    </xf>
    <xf numFmtId="0" fontId="46" fillId="2" borderId="0" xfId="6" applyFont="1" applyFill="1" applyAlignment="1">
      <alignment horizontal="justify" vertical="top" wrapText="1"/>
    </xf>
    <xf numFmtId="0" fontId="33" fillId="2" borderId="0" xfId="6" applyFont="1" applyFill="1" applyAlignment="1">
      <alignment horizontal="left" vertical="top" wrapText="1"/>
    </xf>
    <xf numFmtId="0" fontId="33" fillId="2" borderId="8" xfId="6" applyFont="1" applyFill="1" applyBorder="1" applyAlignment="1">
      <alignment horizontal="left" vertical="top" wrapText="1"/>
    </xf>
    <xf numFmtId="0" fontId="33" fillId="2" borderId="22" xfId="6" applyFont="1" applyFill="1" applyBorder="1" applyAlignment="1">
      <alignment horizontal="left" vertical="center" wrapText="1"/>
    </xf>
    <xf numFmtId="0" fontId="17" fillId="2" borderId="10" xfId="0" applyFont="1" applyFill="1" applyBorder="1" applyAlignment="1">
      <alignment horizontal="center"/>
    </xf>
    <xf numFmtId="0" fontId="17" fillId="2" borderId="11" xfId="0" applyFont="1" applyFill="1" applyBorder="1" applyAlignment="1">
      <alignment horizontal="center"/>
    </xf>
    <xf numFmtId="0" fontId="17" fillId="2" borderId="12" xfId="0" applyFont="1" applyFill="1" applyBorder="1" applyAlignment="1">
      <alignment horizontal="center"/>
    </xf>
    <xf numFmtId="0" fontId="0" fillId="2" borderId="15" xfId="0" applyFill="1" applyBorder="1" applyAlignment="1">
      <alignment horizontal="center" vertical="center"/>
    </xf>
    <xf numFmtId="0" fontId="0" fillId="2" borderId="13" xfId="0" applyFill="1" applyBorder="1" applyAlignment="1">
      <alignment horizontal="center" vertical="center"/>
    </xf>
    <xf numFmtId="0" fontId="0" fillId="2" borderId="14" xfId="0" applyFill="1" applyBorder="1" applyAlignment="1">
      <alignment horizontal="center" vertical="center"/>
    </xf>
    <xf numFmtId="0" fontId="17" fillId="2" borderId="10" xfId="0" applyFont="1" applyFill="1" applyBorder="1" applyAlignment="1">
      <alignment horizontal="center" vertical="center" wrapText="1"/>
    </xf>
    <xf numFmtId="0" fontId="17" fillId="2" borderId="12" xfId="0" applyFont="1" applyFill="1" applyBorder="1" applyAlignment="1">
      <alignment horizontal="center" vertical="center" wrapText="1"/>
    </xf>
    <xf numFmtId="0" fontId="0" fillId="2" borderId="3" xfId="0" applyFill="1" applyBorder="1" applyAlignment="1">
      <alignment horizontal="left" vertical="top" wrapText="1"/>
    </xf>
    <xf numFmtId="0" fontId="17" fillId="2" borderId="11" xfId="0" applyFont="1" applyFill="1" applyBorder="1" applyAlignment="1">
      <alignment horizontal="center" vertical="center" wrapText="1"/>
    </xf>
    <xf numFmtId="0" fontId="17" fillId="13" borderId="10" xfId="0" applyFont="1" applyFill="1" applyBorder="1" applyAlignment="1">
      <alignment horizontal="center" vertical="center" wrapText="1"/>
    </xf>
    <xf numFmtId="0" fontId="17" fillId="13" borderId="12" xfId="0" applyFont="1" applyFill="1" applyBorder="1" applyAlignment="1">
      <alignment horizontal="center" vertical="center" wrapText="1"/>
    </xf>
    <xf numFmtId="0" fontId="0" fillId="13" borderId="15" xfId="0" applyFill="1" applyBorder="1" applyAlignment="1">
      <alignment horizontal="center" vertical="center" wrapText="1"/>
    </xf>
    <xf numFmtId="0" fontId="0" fillId="13" borderId="13" xfId="0" applyFill="1" applyBorder="1" applyAlignment="1">
      <alignment horizontal="center" vertical="center" wrapText="1"/>
    </xf>
    <xf numFmtId="0" fontId="0" fillId="13" borderId="14" xfId="0" applyFill="1" applyBorder="1" applyAlignment="1">
      <alignment horizontal="center" vertical="center" wrapText="1"/>
    </xf>
    <xf numFmtId="0" fontId="0" fillId="2" borderId="15" xfId="0" applyFill="1" applyBorder="1" applyAlignment="1">
      <alignment horizontal="center" vertical="center" wrapText="1"/>
    </xf>
    <xf numFmtId="0" fontId="0" fillId="2" borderId="13" xfId="0" applyFill="1" applyBorder="1" applyAlignment="1">
      <alignment horizontal="center" vertical="center" wrapText="1"/>
    </xf>
    <xf numFmtId="0" fontId="0" fillId="2" borderId="14" xfId="0" applyFill="1" applyBorder="1" applyAlignment="1">
      <alignment horizontal="center" vertical="center" wrapText="1"/>
    </xf>
    <xf numFmtId="0" fontId="17" fillId="2" borderId="2" xfId="0" applyFont="1" applyFill="1" applyBorder="1" applyAlignment="1">
      <alignment horizontal="center" vertical="center"/>
    </xf>
    <xf numFmtId="0" fontId="17" fillId="2" borderId="3" xfId="0" applyFont="1" applyFill="1" applyBorder="1" applyAlignment="1">
      <alignment horizontal="center" vertical="center"/>
    </xf>
    <xf numFmtId="0" fontId="17" fillId="2" borderId="4" xfId="0" applyFont="1" applyFill="1" applyBorder="1" applyAlignment="1">
      <alignment horizontal="center" vertical="center"/>
    </xf>
    <xf numFmtId="0" fontId="17" fillId="2" borderId="9" xfId="0" applyFont="1" applyFill="1" applyBorder="1" applyAlignment="1">
      <alignment horizontal="center" vertical="center"/>
    </xf>
    <xf numFmtId="0" fontId="17" fillId="2" borderId="6" xfId="0" applyFont="1" applyFill="1" applyBorder="1" applyAlignment="1">
      <alignment horizontal="center" vertical="center"/>
    </xf>
    <xf numFmtId="0" fontId="17" fillId="2" borderId="7" xfId="0" applyFont="1" applyFill="1" applyBorder="1" applyAlignment="1">
      <alignment horizontal="center" vertical="center"/>
    </xf>
    <xf numFmtId="0" fontId="17" fillId="2" borderId="10" xfId="0" applyFont="1" applyFill="1" applyBorder="1" applyAlignment="1">
      <alignment horizontal="center" vertical="center"/>
    </xf>
    <xf numFmtId="0" fontId="17" fillId="2" borderId="11" xfId="0" applyFont="1" applyFill="1" applyBorder="1" applyAlignment="1">
      <alignment horizontal="center" vertical="center"/>
    </xf>
    <xf numFmtId="0" fontId="17" fillId="2" borderId="12" xfId="0" applyFont="1" applyFill="1" applyBorder="1" applyAlignment="1">
      <alignment horizontal="center" vertical="center"/>
    </xf>
    <xf numFmtId="0" fontId="51" fillId="2" borderId="0" xfId="0" applyFont="1" applyFill="1" applyAlignment="1">
      <alignment horizontal="center" vertical="center" wrapText="1"/>
    </xf>
    <xf numFmtId="0" fontId="0" fillId="5" borderId="5" xfId="0" applyFill="1" applyBorder="1" applyAlignment="1">
      <alignment horizontal="left" vertical="center" wrapText="1" indent="2"/>
    </xf>
    <xf numFmtId="0" fontId="0" fillId="5" borderId="0" xfId="0" applyFill="1" applyAlignment="1">
      <alignment horizontal="left" vertical="center" wrapText="1" indent="2"/>
    </xf>
    <xf numFmtId="0" fontId="0" fillId="5" borderId="8" xfId="0" applyFill="1" applyBorder="1" applyAlignment="1">
      <alignment horizontal="left" vertical="center" wrapText="1" indent="2"/>
    </xf>
    <xf numFmtId="0" fontId="0" fillId="5" borderId="9" xfId="0" applyFill="1" applyBorder="1" applyAlignment="1">
      <alignment horizontal="left" vertical="center" wrapText="1" indent="2"/>
    </xf>
    <xf numFmtId="0" fontId="0" fillId="5" borderId="6" xfId="0" applyFill="1" applyBorder="1" applyAlignment="1">
      <alignment horizontal="left" vertical="center" wrapText="1" indent="2"/>
    </xf>
    <xf numFmtId="0" fontId="0" fillId="5" borderId="7" xfId="0" applyFill="1" applyBorder="1" applyAlignment="1">
      <alignment horizontal="left" vertical="center" wrapText="1" indent="2"/>
    </xf>
    <xf numFmtId="0" fontId="43" fillId="2" borderId="3" xfId="0" applyFont="1" applyFill="1" applyBorder="1" applyAlignment="1">
      <alignment horizontal="justify" vertical="top" wrapText="1"/>
    </xf>
    <xf numFmtId="0" fontId="44" fillId="5" borderId="10" xfId="0" applyFont="1" applyFill="1" applyBorder="1" applyAlignment="1">
      <alignment horizontal="center" vertical="center" wrapText="1"/>
    </xf>
    <xf numFmtId="0" fontId="44" fillId="5" borderId="11" xfId="0" applyFont="1" applyFill="1" applyBorder="1" applyAlignment="1">
      <alignment horizontal="center" vertical="center" wrapText="1"/>
    </xf>
    <xf numFmtId="0" fontId="44" fillId="5" borderId="12" xfId="0" applyFont="1" applyFill="1" applyBorder="1" applyAlignment="1">
      <alignment horizontal="center" vertical="center" wrapText="1"/>
    </xf>
    <xf numFmtId="0" fontId="0" fillId="2" borderId="15" xfId="0" applyFill="1" applyBorder="1" applyAlignment="1">
      <alignment horizontal="left" vertical="center"/>
    </xf>
    <xf numFmtId="0" fontId="17" fillId="5" borderId="10" xfId="0" applyFont="1" applyFill="1" applyBorder="1" applyAlignment="1">
      <alignment horizontal="center" vertical="center" wrapText="1"/>
    </xf>
    <xf numFmtId="0" fontId="17" fillId="5" borderId="12" xfId="0" applyFont="1" applyFill="1" applyBorder="1" applyAlignment="1">
      <alignment horizontal="center" vertical="center" wrapText="1"/>
    </xf>
    <xf numFmtId="0" fontId="30" fillId="5" borderId="2" xfId="0" applyFont="1" applyFill="1" applyBorder="1" applyAlignment="1">
      <alignment horizontal="left" vertical="center" wrapText="1"/>
    </xf>
    <xf numFmtId="0" fontId="30" fillId="5" borderId="3" xfId="0" applyFont="1" applyFill="1" applyBorder="1" applyAlignment="1">
      <alignment horizontal="left" vertical="center" wrapText="1"/>
    </xf>
    <xf numFmtId="0" fontId="30" fillId="5" borderId="4" xfId="0" applyFont="1" applyFill="1" applyBorder="1" applyAlignment="1">
      <alignment horizontal="left" vertical="center" wrapText="1"/>
    </xf>
    <xf numFmtId="0" fontId="0" fillId="2" borderId="9" xfId="0" applyFill="1" applyBorder="1" applyAlignment="1">
      <alignment horizontal="left" vertical="center" wrapText="1"/>
    </xf>
    <xf numFmtId="0" fontId="0" fillId="2" borderId="6" xfId="0" applyFill="1" applyBorder="1" applyAlignment="1">
      <alignment horizontal="left" vertical="center" wrapText="1"/>
    </xf>
    <xf numFmtId="0" fontId="0" fillId="2" borderId="7" xfId="0" applyFill="1" applyBorder="1" applyAlignment="1">
      <alignment horizontal="left" vertical="center" wrapText="1"/>
    </xf>
    <xf numFmtId="0" fontId="17" fillId="2" borderId="2" xfId="0" applyFont="1" applyFill="1" applyBorder="1" applyAlignment="1">
      <alignment horizontal="left"/>
    </xf>
    <xf numFmtId="0" fontId="17" fillId="2" borderId="3" xfId="0" applyFont="1" applyFill="1" applyBorder="1" applyAlignment="1">
      <alignment horizontal="left"/>
    </xf>
    <xf numFmtId="0" fontId="17" fillId="2" borderId="9" xfId="0" applyFont="1" applyFill="1" applyBorder="1" applyAlignment="1">
      <alignment horizontal="left"/>
    </xf>
    <xf numFmtId="0" fontId="17" fillId="2" borderId="6" xfId="0" applyFont="1" applyFill="1" applyBorder="1" applyAlignment="1">
      <alignment horizontal="left"/>
    </xf>
    <xf numFmtId="0" fontId="0" fillId="2" borderId="0" xfId="0" applyFill="1" applyAlignment="1">
      <alignment horizontal="justify" vertical="top" wrapText="1"/>
    </xf>
    <xf numFmtId="0" fontId="0" fillId="13" borderId="15" xfId="0" applyFill="1" applyBorder="1" applyAlignment="1">
      <alignment horizontal="center" vertical="center"/>
    </xf>
    <xf numFmtId="0" fontId="0" fillId="13" borderId="13" xfId="0" applyFill="1" applyBorder="1" applyAlignment="1">
      <alignment horizontal="center" vertical="center"/>
    </xf>
    <xf numFmtId="0" fontId="0" fillId="13" borderId="14" xfId="0" applyFill="1" applyBorder="1" applyAlignment="1">
      <alignment horizontal="center" vertical="center"/>
    </xf>
    <xf numFmtId="2" fontId="0" fillId="2" borderId="15" xfId="0" applyNumberFormat="1" applyFill="1" applyBorder="1" applyAlignment="1">
      <alignment horizontal="center" vertical="center" wrapText="1"/>
    </xf>
    <xf numFmtId="2" fontId="0" fillId="2" borderId="13" xfId="0" applyNumberFormat="1" applyFill="1" applyBorder="1" applyAlignment="1">
      <alignment horizontal="center" vertical="center" wrapText="1"/>
    </xf>
    <xf numFmtId="2" fontId="0" fillId="2" borderId="14" xfId="0" applyNumberFormat="1" applyFill="1" applyBorder="1" applyAlignment="1">
      <alignment horizontal="center" vertical="center" wrapText="1"/>
    </xf>
    <xf numFmtId="0" fontId="0" fillId="2" borderId="3" xfId="0" applyFill="1" applyBorder="1" applyAlignment="1">
      <alignment horizontal="justify" vertical="top" wrapText="1"/>
    </xf>
    <xf numFmtId="0" fontId="44" fillId="2" borderId="10" xfId="0" applyFont="1" applyFill="1" applyBorder="1" applyAlignment="1">
      <alignment horizontal="center" vertical="center" wrapText="1"/>
    </xf>
    <xf numFmtId="0" fontId="44" fillId="2" borderId="11" xfId="0" applyFont="1" applyFill="1" applyBorder="1" applyAlignment="1">
      <alignment horizontal="center" vertical="center" wrapText="1"/>
    </xf>
    <xf numFmtId="0" fontId="44" fillId="2" borderId="12" xfId="0" applyFont="1" applyFill="1" applyBorder="1" applyAlignment="1">
      <alignment horizontal="center" vertical="center" wrapText="1"/>
    </xf>
    <xf numFmtId="0" fontId="0" fillId="2" borderId="2" xfId="0" applyFill="1" applyBorder="1" applyAlignment="1">
      <alignment horizontal="left" vertical="center" wrapText="1"/>
    </xf>
    <xf numFmtId="0" fontId="0" fillId="2" borderId="3" xfId="0" applyFill="1" applyBorder="1" applyAlignment="1">
      <alignment horizontal="left" vertical="center" wrapText="1"/>
    </xf>
    <xf numFmtId="0" fontId="0" fillId="2" borderId="4" xfId="0" applyFill="1" applyBorder="1" applyAlignment="1">
      <alignment horizontal="left" vertical="center" wrapText="1"/>
    </xf>
    <xf numFmtId="0" fontId="54" fillId="12" borderId="26" xfId="0" applyFont="1" applyFill="1" applyBorder="1" applyAlignment="1">
      <alignment horizontal="center"/>
    </xf>
    <xf numFmtId="0" fontId="54" fillId="22" borderId="0" xfId="0" applyFont="1" applyFill="1" applyAlignment="1">
      <alignment horizontal="center"/>
    </xf>
  </cellXfs>
  <cellStyles count="15">
    <cellStyle name="Hyperlink 2" xfId="4" xr:uid="{00000000-0005-0000-0000-000000000000}"/>
    <cellStyle name="Normal" xfId="0" builtinId="0"/>
    <cellStyle name="Normal 2" xfId="3" xr:uid="{00000000-0005-0000-0000-000002000000}"/>
    <cellStyle name="Normal 2 2" xfId="5" xr:uid="{00000000-0005-0000-0000-000003000000}"/>
    <cellStyle name="Normal 2 2 2" xfId="6" xr:uid="{00000000-0005-0000-0000-000004000000}"/>
    <cellStyle name="Normal 2 2 2 2" xfId="11" xr:uid="{D0E23963-54C4-40C3-A08B-C51BBEBC5911}"/>
    <cellStyle name="Normal 2 2 2 3" xfId="12" xr:uid="{E686E16B-8FF5-42A3-854C-C9783938C00C}"/>
    <cellStyle name="Normal 2 2 3" xfId="10" xr:uid="{8E0939B2-890A-4E4A-9A67-9A990C4259EA}"/>
    <cellStyle name="Normal 2 3" xfId="9" xr:uid="{6D6AF9E9-B81E-4C25-8D2A-8C5EC56A28D7}"/>
    <cellStyle name="Normal 4 5" xfId="13" xr:uid="{961F5BD5-E2A8-4CCD-93A3-2FC6DE1553AE}"/>
    <cellStyle name="Normal 5" xfId="2" xr:uid="{00000000-0005-0000-0000-000005000000}"/>
    <cellStyle name="Normal 5 2" xfId="8" xr:uid="{BE5ABAF7-F156-47EA-94C7-F5604FBB16A1}"/>
    <cellStyle name="Normal 6" xfId="1" xr:uid="{00000000-0005-0000-0000-000006000000}"/>
    <cellStyle name="Normal 6 2" xfId="7" xr:uid="{D760FB6E-0ACD-4E7B-8A23-51253FCE930B}"/>
    <cellStyle name="Percent" xfId="14" builtinId="5"/>
  </cellStyles>
  <dxfs count="42">
    <dxf>
      <font>
        <color theme="0"/>
      </font>
      <fill>
        <patternFill>
          <bgColor theme="0"/>
        </patternFill>
      </fill>
    </dxf>
    <dxf>
      <font>
        <color theme="0"/>
      </font>
      <fill>
        <patternFill>
          <bgColor theme="0"/>
        </patternFill>
      </fill>
    </dxf>
    <dxf>
      <font>
        <color theme="0"/>
      </font>
      <fill>
        <patternFill>
          <bgColor theme="0"/>
        </patternFill>
      </fill>
      <border>
        <left/>
        <right/>
        <top/>
        <bottom/>
      </border>
    </dxf>
    <dxf>
      <fill>
        <patternFill>
          <bgColor theme="0" tint="-0.14996795556505021"/>
        </patternFill>
      </fill>
    </dxf>
    <dxf>
      <fill>
        <patternFill>
          <bgColor theme="0" tint="-0.14996795556505021"/>
        </patternFill>
      </fill>
    </dxf>
    <dxf>
      <font>
        <color theme="0"/>
      </font>
    </dxf>
    <dxf>
      <fill>
        <patternFill>
          <bgColor theme="0" tint="-0.14996795556505021"/>
        </patternFill>
      </fill>
    </dxf>
    <dxf>
      <font>
        <color theme="0"/>
      </font>
    </dxf>
    <dxf>
      <fill>
        <patternFill>
          <bgColor theme="0"/>
        </patternFill>
      </fill>
    </dxf>
    <dxf>
      <fill>
        <patternFill>
          <bgColor theme="0"/>
        </patternFill>
      </fill>
    </dxf>
    <dxf>
      <fill>
        <patternFill>
          <bgColor theme="0" tint="-0.14996795556505021"/>
        </patternFill>
      </fill>
    </dxf>
    <dxf>
      <font>
        <color theme="0"/>
      </font>
      <fill>
        <patternFill>
          <bgColor theme="0"/>
        </patternFill>
      </fill>
      <border>
        <left/>
        <right/>
        <top/>
        <bottom/>
        <vertical/>
        <horizontal/>
      </border>
    </dxf>
    <dxf>
      <font>
        <color theme="0"/>
      </font>
    </dxf>
    <dxf>
      <border>
        <left style="thin">
          <color auto="1"/>
        </left>
        <top style="thin">
          <color auto="1"/>
        </top>
        <bottom style="thin">
          <color auto="1"/>
        </bottom>
        <vertical/>
        <horizontal/>
      </border>
    </dxf>
    <dxf>
      <border>
        <right style="thin">
          <color auto="1"/>
        </right>
        <top style="thin">
          <color auto="1"/>
        </top>
        <bottom style="thin">
          <color auto="1"/>
        </bottom>
        <vertical/>
        <horizontal/>
      </border>
    </dxf>
    <dxf>
      <border>
        <left style="thin">
          <color auto="1"/>
        </left>
        <top style="thin">
          <color auto="1"/>
        </top>
        <bottom style="thin">
          <color auto="1"/>
        </bottom>
        <vertical/>
        <horizontal/>
      </border>
    </dxf>
    <dxf>
      <font>
        <color theme="0"/>
      </font>
    </dxf>
    <dxf>
      <fill>
        <patternFill>
          <bgColor theme="0" tint="-0.14996795556505021"/>
        </patternFill>
      </fill>
    </dxf>
    <dxf>
      <font>
        <color theme="0"/>
      </font>
      <fill>
        <patternFill>
          <bgColor theme="0"/>
        </patternFill>
      </fill>
      <border>
        <left/>
        <right/>
        <top/>
        <bottom/>
      </border>
    </dxf>
    <dxf>
      <fill>
        <patternFill>
          <bgColor theme="0" tint="-0.14996795556505021"/>
        </patternFill>
      </fill>
    </dxf>
    <dxf>
      <fill>
        <patternFill>
          <bgColor theme="0" tint="-0.14996795556505021"/>
        </patternFill>
      </fill>
    </dxf>
    <dxf>
      <font>
        <color theme="0"/>
      </font>
    </dxf>
    <dxf>
      <fill>
        <patternFill>
          <bgColor theme="0" tint="-0.34998626667073579"/>
        </patternFill>
      </fill>
    </dxf>
    <dxf>
      <fill>
        <patternFill>
          <bgColor theme="0" tint="-0.14996795556505021"/>
        </patternFill>
      </fill>
    </dxf>
    <dxf>
      <fill>
        <patternFill>
          <bgColor theme="0" tint="-0.34998626667073579"/>
        </patternFill>
      </fill>
      <border>
        <left style="thin">
          <color auto="1"/>
        </left>
        <right style="thin">
          <color auto="1"/>
        </right>
        <bottom style="thin">
          <color auto="1"/>
        </bottom>
      </border>
    </dxf>
    <dxf>
      <fill>
        <patternFill>
          <bgColor theme="0" tint="-0.34998626667073579"/>
        </patternFill>
      </fill>
      <border>
        <left style="thin">
          <color auto="1"/>
        </left>
        <right style="thin">
          <color auto="1"/>
        </right>
        <top style="thin">
          <color auto="1"/>
        </top>
      </border>
    </dxf>
    <dxf>
      <font>
        <color theme="0"/>
      </font>
    </dxf>
    <dxf>
      <fill>
        <patternFill>
          <bgColor theme="0"/>
        </patternFill>
      </fill>
    </dxf>
    <dxf>
      <fill>
        <patternFill>
          <bgColor theme="0" tint="-0.14996795556505021"/>
        </patternFill>
      </fill>
    </dxf>
    <dxf>
      <font>
        <color theme="0"/>
      </font>
      <fill>
        <patternFill>
          <bgColor theme="0"/>
        </patternFill>
      </fill>
      <border>
        <left/>
        <right/>
        <top/>
        <bottom/>
      </border>
    </dxf>
    <dxf>
      <font>
        <color theme="0"/>
      </font>
      <fill>
        <patternFill patternType="solid">
          <bgColor theme="0"/>
        </patternFill>
      </fill>
      <border>
        <left/>
        <right/>
        <top/>
        <bottom/>
        <vertical/>
        <horizontal/>
      </border>
    </dxf>
    <dxf>
      <fill>
        <patternFill>
          <bgColor theme="0" tint="-0.14996795556505021"/>
        </patternFill>
      </fill>
    </dxf>
    <dxf>
      <font>
        <color theme="0"/>
      </font>
      <fill>
        <patternFill>
          <bgColor theme="0"/>
        </patternFill>
      </fill>
      <border>
        <left/>
        <right/>
        <top/>
        <bottom/>
      </border>
    </dxf>
    <dxf>
      <font>
        <color theme="0"/>
      </font>
    </dxf>
    <dxf>
      <font>
        <color theme="0"/>
      </font>
    </dxf>
    <dxf>
      <fill>
        <patternFill>
          <bgColor theme="0" tint="-0.14996795556505021"/>
        </patternFill>
      </fill>
    </dxf>
    <dxf>
      <font>
        <color theme="0"/>
      </font>
      <fill>
        <patternFill>
          <bgColor theme="0"/>
        </patternFill>
      </fill>
      <border>
        <left/>
        <right/>
        <top/>
        <bottom/>
      </border>
    </dxf>
    <dxf>
      <border>
        <left/>
        <right/>
        <top/>
        <bottom/>
        <vertical/>
        <horizontal/>
      </border>
    </dxf>
    <dxf>
      <border>
        <left/>
        <right/>
        <top/>
        <bottom/>
        <vertical/>
        <horizontal/>
      </border>
    </dxf>
    <dxf>
      <font>
        <strike val="0"/>
        <color theme="0"/>
      </font>
    </dxf>
    <dxf>
      <border>
        <left style="thin">
          <color auto="1"/>
        </left>
        <right/>
        <top/>
        <bottom/>
        <vertical/>
        <horizontal/>
      </border>
    </dxf>
    <dxf>
      <font>
        <b/>
        <i val="0"/>
        <color rgb="FF00B050"/>
      </font>
    </dxf>
  </dxfs>
  <tableStyles count="0" defaultTableStyle="TableStyleMedium2" defaultPivotStyle="PivotStyleLight16"/>
  <colors>
    <mruColors>
      <color rgb="FFFFFFCC"/>
      <color rgb="FFF8A8ED"/>
      <color rgb="FFFFC7CE"/>
      <color rgb="FFF2DCDB"/>
    </mruColors>
  </color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13" Type="http://schemas.openxmlformats.org/officeDocument/2006/relationships/worksheet" Target="worksheets/sheet13.xml"/><Relationship Id="rId18" Type="http://schemas.openxmlformats.org/officeDocument/2006/relationships/calcChain" Target="calcChain.xml"/><Relationship Id="rId3" Type="http://schemas.openxmlformats.org/officeDocument/2006/relationships/worksheet" Target="worksheets/sheet3.xml"/><Relationship Id="rId21" Type="http://schemas.openxmlformats.org/officeDocument/2006/relationships/customXml" Target="../customXml/item3.xml"/><Relationship Id="rId7" Type="http://schemas.openxmlformats.org/officeDocument/2006/relationships/worksheet" Target="worksheets/sheet7.xml"/><Relationship Id="rId12" Type="http://schemas.openxmlformats.org/officeDocument/2006/relationships/worksheet" Target="worksheets/sheet12.xml"/><Relationship Id="rId17" Type="http://schemas.openxmlformats.org/officeDocument/2006/relationships/sheetMetadata" Target="metadata.xml"/><Relationship Id="rId2" Type="http://schemas.openxmlformats.org/officeDocument/2006/relationships/worksheet" Target="worksheets/sheet2.xml"/><Relationship Id="rId16" Type="http://schemas.openxmlformats.org/officeDocument/2006/relationships/sharedStrings" Target="sharedStrings.xml"/><Relationship Id="rId20" Type="http://schemas.openxmlformats.org/officeDocument/2006/relationships/customXml" Target="../customXml/item2.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worksheet" Target="worksheets/sheet11.xml"/><Relationship Id="rId5" Type="http://schemas.openxmlformats.org/officeDocument/2006/relationships/worksheet" Target="worksheets/sheet5.xml"/><Relationship Id="rId15" Type="http://schemas.openxmlformats.org/officeDocument/2006/relationships/styles" Target="styles.xml"/><Relationship Id="rId10" Type="http://schemas.openxmlformats.org/officeDocument/2006/relationships/worksheet" Target="worksheets/sheet10.xml"/><Relationship Id="rId19" Type="http://schemas.openxmlformats.org/officeDocument/2006/relationships/customXml" Target="../customXml/item1.xml"/><Relationship Id="rId4" Type="http://schemas.openxmlformats.org/officeDocument/2006/relationships/worksheet" Target="worksheets/sheet4.xml"/><Relationship Id="rId9" Type="http://schemas.openxmlformats.org/officeDocument/2006/relationships/worksheet" Target="worksheets/sheet9.xml"/><Relationship Id="rId14" Type="http://schemas.openxmlformats.org/officeDocument/2006/relationships/theme" Target="theme/theme1.xml"/></Relationships>
</file>

<file path=xl/charts/_rels/chart1.xml.rels><?xml version="1.0" encoding="UTF-8" standalone="yes"?>
<Relationships xmlns="http://schemas.openxmlformats.org/package/2006/relationships"><Relationship Id="rId1" Type="http://schemas.openxmlformats.org/officeDocument/2006/relationships/themeOverride" Target="../theme/themeOverride1.xml"/></Relationships>
</file>

<file path=xl/charts/_rels/chart2.xml.rels><?xml version="1.0" encoding="UTF-8" standalone="yes"?>
<Relationships xmlns="http://schemas.openxmlformats.org/package/2006/relationships"><Relationship Id="rId2" Type="http://schemas.microsoft.com/office/2011/relationships/chartColorStyle" Target="colors1.xml"/><Relationship Id="rId1" Type="http://schemas.microsoft.com/office/2011/relationships/chartStyle" Target="style1.xml"/></Relationships>
</file>

<file path=xl/charts/chart1.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lrMapOvr bg1="lt1" tx1="dk1" bg2="lt2" tx2="dk2" accent1="accent1" accent2="accent2" accent3="accent3" accent4="accent4" accent5="accent5" accent6="accent6" hlink="hlink" folHlink="folHlink"/>
  <c:chart>
    <c:title>
      <c:tx>
        <c:strRef>
          <c:f>Stochastic!$B$21</c:f>
          <c:strCache>
            <c:ptCount val="1"/>
            <c:pt idx="0">
              <c:v>Stochastic debt projections 2032-2036</c:v>
            </c:pt>
          </c:strCache>
        </c:strRef>
      </c:tx>
      <c:overlay val="0"/>
    </c:title>
    <c:autoTitleDeleted val="0"/>
    <c:plotArea>
      <c:layout>
        <c:manualLayout>
          <c:layoutTarget val="inner"/>
          <c:xMode val="edge"/>
          <c:yMode val="edge"/>
          <c:x val="8.6310419062785679E-2"/>
          <c:y val="0.14954234919701911"/>
          <c:w val="0.85496978555227576"/>
          <c:h val="0.75103905168930085"/>
        </c:manualLayout>
      </c:layout>
      <c:areaChart>
        <c:grouping val="stacked"/>
        <c:varyColors val="0"/>
        <c:ser>
          <c:idx val="1"/>
          <c:order val="0"/>
          <c:tx>
            <c:strRef>
              <c:f>Stochastic!$B$22</c:f>
              <c:strCache>
                <c:ptCount val="1"/>
                <c:pt idx="0">
                  <c:v>p10</c:v>
                </c:pt>
              </c:strCache>
            </c:strRef>
          </c:tx>
          <c:spPr>
            <a:noFill/>
            <a:ln w="25400">
              <a:noFill/>
            </a:ln>
          </c:spPr>
          <c:cat>
            <c:numRef>
              <c:f>Stochastic!$C$21:$I$21</c:f>
              <c:numCache>
                <c:formatCode>General</c:formatCode>
                <c:ptCount val="7"/>
                <c:pt idx="0">
                  <c:v>2030</c:v>
                </c:pt>
                <c:pt idx="1">
                  <c:v>2031</c:v>
                </c:pt>
                <c:pt idx="2">
                  <c:v>2032</c:v>
                </c:pt>
                <c:pt idx="3">
                  <c:v>2033</c:v>
                </c:pt>
                <c:pt idx="4">
                  <c:v>2034</c:v>
                </c:pt>
                <c:pt idx="5">
                  <c:v>2035</c:v>
                </c:pt>
                <c:pt idx="6">
                  <c:v>2036</c:v>
                </c:pt>
              </c:numCache>
            </c:numRef>
          </c:cat>
          <c:val>
            <c:numRef>
              <c:f>Stochastic!$C$22:$I$22</c:f>
              <c:numCache>
                <c:formatCode>0.0</c:formatCode>
                <c:ptCount val="7"/>
                <c:pt idx="0">
                  <c:v>67.775534644448115</c:v>
                </c:pt>
                <c:pt idx="1">
                  <c:v>60.02265064705545</c:v>
                </c:pt>
                <c:pt idx="2">
                  <c:v>45.402877149315714</c:v>
                </c:pt>
                <c:pt idx="3">
                  <c:v>33.409874061970001</c:v>
                </c:pt>
                <c:pt idx="4">
                  <c:v>21.387054442095593</c:v>
                </c:pt>
                <c:pt idx="5">
                  <c:v>9.8950904479693058</c:v>
                </c:pt>
                <c:pt idx="6">
                  <c:v>-1.104360357692503</c:v>
                </c:pt>
              </c:numCache>
            </c:numRef>
          </c:val>
          <c:extLst>
            <c:ext xmlns:c16="http://schemas.microsoft.com/office/drawing/2014/chart" uri="{C3380CC4-5D6E-409C-BE32-E72D297353CC}">
              <c16:uniqueId val="{00000000-0172-4116-9325-0285A655A4B3}"/>
            </c:ext>
          </c:extLst>
        </c:ser>
        <c:ser>
          <c:idx val="2"/>
          <c:order val="1"/>
          <c:tx>
            <c:strRef>
              <c:f>Stochastic!$B$23</c:f>
              <c:strCache>
                <c:ptCount val="1"/>
                <c:pt idx="0">
                  <c:v>p30_p10</c:v>
                </c:pt>
              </c:strCache>
            </c:strRef>
          </c:tx>
          <c:spPr>
            <a:solidFill>
              <a:srgbClr val="4F81BD">
                <a:lumMod val="60000"/>
                <a:lumOff val="40000"/>
              </a:srgbClr>
            </a:solidFill>
            <a:ln w="12700">
              <a:solidFill>
                <a:srgbClr val="000000"/>
              </a:solidFill>
              <a:prstDash val="solid"/>
            </a:ln>
          </c:spPr>
          <c:cat>
            <c:numRef>
              <c:f>Stochastic!$C$21:$I$21</c:f>
              <c:numCache>
                <c:formatCode>General</c:formatCode>
                <c:ptCount val="7"/>
                <c:pt idx="0">
                  <c:v>2030</c:v>
                </c:pt>
                <c:pt idx="1">
                  <c:v>2031</c:v>
                </c:pt>
                <c:pt idx="2">
                  <c:v>2032</c:v>
                </c:pt>
                <c:pt idx="3">
                  <c:v>2033</c:v>
                </c:pt>
                <c:pt idx="4">
                  <c:v>2034</c:v>
                </c:pt>
                <c:pt idx="5">
                  <c:v>2035</c:v>
                </c:pt>
                <c:pt idx="6">
                  <c:v>2036</c:v>
                </c:pt>
              </c:numCache>
            </c:numRef>
          </c:cat>
          <c:val>
            <c:numRef>
              <c:f>Stochastic!$C$23:$I$23</c:f>
              <c:numCache>
                <c:formatCode>0.0</c:formatCode>
                <c:ptCount val="7"/>
                <c:pt idx="0">
                  <c:v>0</c:v>
                </c:pt>
                <c:pt idx="1">
                  <c:v>0</c:v>
                </c:pt>
                <c:pt idx="2">
                  <c:v>3.1826324462890625</c:v>
                </c:pt>
                <c:pt idx="3">
                  <c:v>4.539520263671875</c:v>
                </c:pt>
                <c:pt idx="4">
                  <c:v>5.4795684814453125</c:v>
                </c:pt>
                <c:pt idx="5">
                  <c:v>6.311798095703125</c:v>
                </c:pt>
                <c:pt idx="6">
                  <c:v>6.7397689819335938</c:v>
                </c:pt>
              </c:numCache>
            </c:numRef>
          </c:val>
          <c:extLst>
            <c:ext xmlns:c16="http://schemas.microsoft.com/office/drawing/2014/chart" uri="{C3380CC4-5D6E-409C-BE32-E72D297353CC}">
              <c16:uniqueId val="{00000001-0172-4116-9325-0285A655A4B3}"/>
            </c:ext>
          </c:extLst>
        </c:ser>
        <c:ser>
          <c:idx val="3"/>
          <c:order val="2"/>
          <c:tx>
            <c:strRef>
              <c:f>Stochastic!$B$24</c:f>
              <c:strCache>
                <c:ptCount val="1"/>
                <c:pt idx="0">
                  <c:v>p50_p30</c:v>
                </c:pt>
              </c:strCache>
            </c:strRef>
          </c:tx>
          <c:spPr>
            <a:solidFill>
              <a:schemeClr val="accent1">
                <a:lumMod val="60000"/>
                <a:lumOff val="40000"/>
              </a:schemeClr>
            </a:solidFill>
            <a:ln w="12700">
              <a:solidFill>
                <a:srgbClr val="000000"/>
              </a:solidFill>
              <a:prstDash val="solid"/>
            </a:ln>
          </c:spPr>
          <c:cat>
            <c:numRef>
              <c:f>Stochastic!$C$21:$I$21</c:f>
              <c:numCache>
                <c:formatCode>General</c:formatCode>
                <c:ptCount val="7"/>
                <c:pt idx="0">
                  <c:v>2030</c:v>
                </c:pt>
                <c:pt idx="1">
                  <c:v>2031</c:v>
                </c:pt>
                <c:pt idx="2">
                  <c:v>2032</c:v>
                </c:pt>
                <c:pt idx="3">
                  <c:v>2033</c:v>
                </c:pt>
                <c:pt idx="4">
                  <c:v>2034</c:v>
                </c:pt>
                <c:pt idx="5">
                  <c:v>2035</c:v>
                </c:pt>
                <c:pt idx="6">
                  <c:v>2036</c:v>
                </c:pt>
              </c:numCache>
            </c:numRef>
          </c:cat>
          <c:val>
            <c:numRef>
              <c:f>Stochastic!$C$24:$I$24</c:f>
              <c:numCache>
                <c:formatCode>0.0</c:formatCode>
                <c:ptCount val="7"/>
                <c:pt idx="0">
                  <c:v>0</c:v>
                </c:pt>
                <c:pt idx="1">
                  <c:v>0</c:v>
                </c:pt>
                <c:pt idx="2">
                  <c:v>2.3272857666015625</c:v>
                </c:pt>
                <c:pt idx="3">
                  <c:v>3.1960678100585938</c:v>
                </c:pt>
                <c:pt idx="4">
                  <c:v>3.84124755859375</c:v>
                </c:pt>
                <c:pt idx="5">
                  <c:v>4.437347412109375</c:v>
                </c:pt>
                <c:pt idx="6">
                  <c:v>4.8707504272460938</c:v>
                </c:pt>
              </c:numCache>
            </c:numRef>
          </c:val>
          <c:extLst>
            <c:ext xmlns:c16="http://schemas.microsoft.com/office/drawing/2014/chart" uri="{C3380CC4-5D6E-409C-BE32-E72D297353CC}">
              <c16:uniqueId val="{00000002-0172-4116-9325-0285A655A4B3}"/>
            </c:ext>
          </c:extLst>
        </c:ser>
        <c:ser>
          <c:idx val="4"/>
          <c:order val="3"/>
          <c:tx>
            <c:strRef>
              <c:f>Stochastic!$B$25</c:f>
              <c:strCache>
                <c:ptCount val="1"/>
                <c:pt idx="0">
                  <c:v>p70_p50</c:v>
                </c:pt>
              </c:strCache>
            </c:strRef>
          </c:tx>
          <c:spPr>
            <a:solidFill>
              <a:srgbClr val="4F81BD">
                <a:lumMod val="60000"/>
                <a:lumOff val="40000"/>
              </a:srgbClr>
            </a:solidFill>
            <a:ln w="12700">
              <a:solidFill>
                <a:srgbClr val="000000"/>
              </a:solidFill>
              <a:prstDash val="solid"/>
            </a:ln>
          </c:spPr>
          <c:cat>
            <c:numRef>
              <c:f>Stochastic!$C$21:$I$21</c:f>
              <c:numCache>
                <c:formatCode>General</c:formatCode>
                <c:ptCount val="7"/>
                <c:pt idx="0">
                  <c:v>2030</c:v>
                </c:pt>
                <c:pt idx="1">
                  <c:v>2031</c:v>
                </c:pt>
                <c:pt idx="2">
                  <c:v>2032</c:v>
                </c:pt>
                <c:pt idx="3">
                  <c:v>2033</c:v>
                </c:pt>
                <c:pt idx="4">
                  <c:v>2034</c:v>
                </c:pt>
                <c:pt idx="5">
                  <c:v>2035</c:v>
                </c:pt>
                <c:pt idx="6">
                  <c:v>2036</c:v>
                </c:pt>
              </c:numCache>
            </c:numRef>
          </c:cat>
          <c:val>
            <c:numRef>
              <c:f>Stochastic!$C$25:$I$25</c:f>
              <c:numCache>
                <c:formatCode>0.0</c:formatCode>
                <c:ptCount val="7"/>
                <c:pt idx="0">
                  <c:v>0</c:v>
                </c:pt>
                <c:pt idx="1">
                  <c:v>0</c:v>
                </c:pt>
                <c:pt idx="2">
                  <c:v>2.3377532958984375</c:v>
                </c:pt>
                <c:pt idx="3">
                  <c:v>3.1748428344726563</c:v>
                </c:pt>
                <c:pt idx="4">
                  <c:v>3.8534317016601563</c:v>
                </c:pt>
                <c:pt idx="5">
                  <c:v>4.7290725708007813</c:v>
                </c:pt>
                <c:pt idx="6">
                  <c:v>5.16644287109375</c:v>
                </c:pt>
              </c:numCache>
            </c:numRef>
          </c:val>
          <c:extLst>
            <c:ext xmlns:c16="http://schemas.microsoft.com/office/drawing/2014/chart" uri="{C3380CC4-5D6E-409C-BE32-E72D297353CC}">
              <c16:uniqueId val="{00000003-0172-4116-9325-0285A655A4B3}"/>
            </c:ext>
          </c:extLst>
        </c:ser>
        <c:ser>
          <c:idx val="5"/>
          <c:order val="4"/>
          <c:tx>
            <c:strRef>
              <c:f>Stochastic!$B$26</c:f>
              <c:strCache>
                <c:ptCount val="1"/>
                <c:pt idx="0">
                  <c:v>p90_p70</c:v>
                </c:pt>
              </c:strCache>
            </c:strRef>
          </c:tx>
          <c:spPr>
            <a:solidFill>
              <a:srgbClr val="4F81BD">
                <a:lumMod val="20000"/>
                <a:lumOff val="80000"/>
              </a:srgbClr>
            </a:solidFill>
            <a:ln w="12700">
              <a:solidFill>
                <a:srgbClr val="000000"/>
              </a:solidFill>
              <a:prstDash val="solid"/>
            </a:ln>
          </c:spPr>
          <c:cat>
            <c:numRef>
              <c:f>Stochastic!$C$21:$I$21</c:f>
              <c:numCache>
                <c:formatCode>General</c:formatCode>
                <c:ptCount val="7"/>
                <c:pt idx="0">
                  <c:v>2030</c:v>
                </c:pt>
                <c:pt idx="1">
                  <c:v>2031</c:v>
                </c:pt>
                <c:pt idx="2">
                  <c:v>2032</c:v>
                </c:pt>
                <c:pt idx="3">
                  <c:v>2033</c:v>
                </c:pt>
                <c:pt idx="4">
                  <c:v>2034</c:v>
                </c:pt>
                <c:pt idx="5">
                  <c:v>2035</c:v>
                </c:pt>
                <c:pt idx="6">
                  <c:v>2036</c:v>
                </c:pt>
              </c:numCache>
            </c:numRef>
          </c:cat>
          <c:val>
            <c:numRef>
              <c:f>Stochastic!$C$26:$I$26</c:f>
              <c:numCache>
                <c:formatCode>0.0</c:formatCode>
                <c:ptCount val="7"/>
                <c:pt idx="0">
                  <c:v>0</c:v>
                </c:pt>
                <c:pt idx="1">
                  <c:v>0</c:v>
                </c:pt>
                <c:pt idx="2">
                  <c:v>3.47430419921875</c:v>
                </c:pt>
                <c:pt idx="3">
                  <c:v>4.930450439453125</c:v>
                </c:pt>
                <c:pt idx="4">
                  <c:v>5.9189071655273438</c:v>
                </c:pt>
                <c:pt idx="5">
                  <c:v>6.8123321533203125</c:v>
                </c:pt>
                <c:pt idx="6">
                  <c:v>7.7214736938476563</c:v>
                </c:pt>
              </c:numCache>
            </c:numRef>
          </c:val>
          <c:extLst>
            <c:ext xmlns:c16="http://schemas.microsoft.com/office/drawing/2014/chart" uri="{C3380CC4-5D6E-409C-BE32-E72D297353CC}">
              <c16:uniqueId val="{00000004-0172-4116-9325-0285A655A4B3}"/>
            </c:ext>
          </c:extLst>
        </c:ser>
        <c:dLbls>
          <c:showLegendKey val="0"/>
          <c:showVal val="0"/>
          <c:showCatName val="0"/>
          <c:showSerName val="0"/>
          <c:showPercent val="0"/>
          <c:showBubbleSize val="0"/>
        </c:dLbls>
        <c:axId val="1747775104"/>
        <c:axId val="1"/>
      </c:areaChart>
      <c:lineChart>
        <c:grouping val="standard"/>
        <c:varyColors val="0"/>
        <c:ser>
          <c:idx val="0"/>
          <c:order val="5"/>
          <c:tx>
            <c:strRef>
              <c:f>Stochastic!$B$30</c:f>
              <c:strCache>
                <c:ptCount val="1"/>
                <c:pt idx="0">
                  <c:v>p70</c:v>
                </c:pt>
              </c:strCache>
            </c:strRef>
          </c:tx>
          <c:spPr>
            <a:ln w="44450">
              <a:solidFill>
                <a:srgbClr val="FF0000"/>
              </a:solidFill>
            </a:ln>
          </c:spPr>
          <c:marker>
            <c:symbol val="none"/>
          </c:marker>
          <c:dLbls>
            <c:dLbl>
              <c:idx val="0"/>
              <c:delete val="1"/>
              <c:extLst>
                <c:ext xmlns:c15="http://schemas.microsoft.com/office/drawing/2012/chart" uri="{CE6537A1-D6FC-4f65-9D91-7224C49458BB}"/>
                <c:ext xmlns:c16="http://schemas.microsoft.com/office/drawing/2014/chart" uri="{C3380CC4-5D6E-409C-BE32-E72D297353CC}">
                  <c16:uniqueId val="{00000001-2026-4D35-8044-BA74213EFFB8}"/>
                </c:ext>
              </c:extLst>
            </c:dLbl>
            <c:dLbl>
              <c:idx val="1"/>
              <c:delete val="1"/>
              <c:extLst>
                <c:ext xmlns:c15="http://schemas.microsoft.com/office/drawing/2012/chart" uri="{CE6537A1-D6FC-4f65-9D91-7224C49458BB}"/>
                <c:ext xmlns:c16="http://schemas.microsoft.com/office/drawing/2014/chart" uri="{C3380CC4-5D6E-409C-BE32-E72D297353CC}">
                  <c16:uniqueId val="{00000002-2026-4D35-8044-BA74213EFFB8}"/>
                </c:ext>
              </c:extLst>
            </c:dLbl>
            <c:dLbl>
              <c:idx val="2"/>
              <c:delete val="1"/>
              <c:extLst>
                <c:ext xmlns:c15="http://schemas.microsoft.com/office/drawing/2012/chart" uri="{CE6537A1-D6FC-4f65-9D91-7224C49458BB}"/>
                <c:ext xmlns:c16="http://schemas.microsoft.com/office/drawing/2014/chart" uri="{C3380CC4-5D6E-409C-BE32-E72D297353CC}">
                  <c16:uniqueId val="{00000003-2026-4D35-8044-BA74213EFFB8}"/>
                </c:ext>
              </c:extLst>
            </c:dLbl>
            <c:dLbl>
              <c:idx val="3"/>
              <c:delete val="1"/>
              <c:extLst>
                <c:ext xmlns:c15="http://schemas.microsoft.com/office/drawing/2012/chart" uri="{CE6537A1-D6FC-4f65-9D91-7224C49458BB}"/>
                <c:ext xmlns:c16="http://schemas.microsoft.com/office/drawing/2014/chart" uri="{C3380CC4-5D6E-409C-BE32-E72D297353CC}">
                  <c16:uniqueId val="{00000004-2026-4D35-8044-BA74213EFFB8}"/>
                </c:ext>
              </c:extLst>
            </c:dLbl>
            <c:dLbl>
              <c:idx val="4"/>
              <c:delete val="1"/>
              <c:extLst>
                <c:ext xmlns:c15="http://schemas.microsoft.com/office/drawing/2012/chart" uri="{CE6537A1-D6FC-4f65-9D91-7224C49458BB}"/>
                <c:ext xmlns:c16="http://schemas.microsoft.com/office/drawing/2014/chart" uri="{C3380CC4-5D6E-409C-BE32-E72D297353CC}">
                  <c16:uniqueId val="{00000005-2026-4D35-8044-BA74213EFFB8}"/>
                </c:ext>
              </c:extLst>
            </c:dLbl>
            <c:dLbl>
              <c:idx val="5"/>
              <c:delete val="1"/>
              <c:extLst>
                <c:ext xmlns:c15="http://schemas.microsoft.com/office/drawing/2012/chart" uri="{CE6537A1-D6FC-4f65-9D91-7224C49458BB}"/>
                <c:ext xmlns:c16="http://schemas.microsoft.com/office/drawing/2014/chart" uri="{C3380CC4-5D6E-409C-BE32-E72D297353CC}">
                  <c16:uniqueId val="{00000006-2026-4D35-8044-BA74213EFFB8}"/>
                </c:ext>
              </c:extLst>
            </c:dLbl>
            <c:dLbl>
              <c:idx val="6"/>
              <c:layout>
                <c:manualLayout>
                  <c:x val="0"/>
                  <c:y val="-1.0357327809425169E-2"/>
                </c:manualLayout>
              </c:layout>
              <c:showLegendKey val="0"/>
              <c:showVal val="0"/>
              <c:showCatName val="0"/>
              <c:showSerName val="1"/>
              <c:showPercent val="0"/>
              <c:showBubbleSize val="0"/>
              <c:extLst>
                <c:ext xmlns:c15="http://schemas.microsoft.com/office/drawing/2012/chart" uri="{CE6537A1-D6FC-4f65-9D91-7224C49458BB}"/>
                <c:ext xmlns:c16="http://schemas.microsoft.com/office/drawing/2014/chart" uri="{C3380CC4-5D6E-409C-BE32-E72D297353CC}">
                  <c16:uniqueId val="{00000027-2026-4D35-8044-BA74213EFFB8}"/>
                </c:ext>
              </c:extLst>
            </c:dLbl>
            <c:spPr>
              <a:ln>
                <a:noFill/>
              </a:ln>
              <a:effectLst/>
            </c:spPr>
            <c:txPr>
              <a:bodyPr wrap="square" lIns="38100" tIns="19050" rIns="38100" bIns="19050" anchor="ctr">
                <a:spAutoFit/>
              </a:bodyPr>
              <a:lstStyle/>
              <a:p>
                <a:pPr>
                  <a:defRPr b="1">
                    <a:solidFill>
                      <a:srgbClr val="FF0000"/>
                    </a:solidFill>
                  </a:defRPr>
                </a:pPr>
                <a:endParaRPr lang="fi-FI"/>
              </a:p>
            </c:txPr>
            <c:showLegendKey val="0"/>
            <c:showVal val="0"/>
            <c:showCatName val="0"/>
            <c:showSerName val="1"/>
            <c:showPercent val="0"/>
            <c:showBubbleSize val="0"/>
            <c:showLeaderLines val="0"/>
            <c:extLst>
              <c:ext xmlns:c15="http://schemas.microsoft.com/office/drawing/2012/chart" uri="{CE6537A1-D6FC-4f65-9D91-7224C49458BB}">
                <c15:showLeaderLines val="0"/>
              </c:ext>
            </c:extLst>
          </c:dLbls>
          <c:cat>
            <c:numRef>
              <c:f>Stochastic!$C$21:$I$21</c:f>
              <c:numCache>
                <c:formatCode>General</c:formatCode>
                <c:ptCount val="7"/>
                <c:pt idx="0">
                  <c:v>2030</c:v>
                </c:pt>
                <c:pt idx="1">
                  <c:v>2031</c:v>
                </c:pt>
                <c:pt idx="2">
                  <c:v>2032</c:v>
                </c:pt>
                <c:pt idx="3">
                  <c:v>2033</c:v>
                </c:pt>
                <c:pt idx="4">
                  <c:v>2034</c:v>
                </c:pt>
                <c:pt idx="5">
                  <c:v>2035</c:v>
                </c:pt>
                <c:pt idx="6">
                  <c:v>2036</c:v>
                </c:pt>
              </c:numCache>
            </c:numRef>
          </c:cat>
          <c:val>
            <c:numRef>
              <c:f>Stochastic!$C$30:$I$30</c:f>
              <c:numCache>
                <c:formatCode>0.0</c:formatCode>
                <c:ptCount val="7"/>
                <c:pt idx="0">
                  <c:v>67.775534644448115</c:v>
                </c:pt>
                <c:pt idx="1">
                  <c:v>60.02265064705545</c:v>
                </c:pt>
                <c:pt idx="2">
                  <c:v>53.250548658104776</c:v>
                </c:pt>
                <c:pt idx="3">
                  <c:v>44.320304970173126</c:v>
                </c:pt>
                <c:pt idx="4">
                  <c:v>34.561302183794808</c:v>
                </c:pt>
                <c:pt idx="5">
                  <c:v>25.373308526582587</c:v>
                </c:pt>
                <c:pt idx="6">
                  <c:v>15.672601922580935</c:v>
                </c:pt>
              </c:numCache>
            </c:numRef>
          </c:val>
          <c:smooth val="0"/>
          <c:extLst>
            <c:ext xmlns:c16="http://schemas.microsoft.com/office/drawing/2014/chart" uri="{C3380CC4-5D6E-409C-BE32-E72D297353CC}">
              <c16:uniqueId val="{00000000-2026-4D35-8044-BA74213EFFB8}"/>
            </c:ext>
          </c:extLst>
        </c:ser>
        <c:ser>
          <c:idx val="6"/>
          <c:order val="6"/>
          <c:tx>
            <c:strRef>
              <c:f>Stochastic!$B$28</c:f>
              <c:strCache>
                <c:ptCount val="1"/>
                <c:pt idx="0">
                  <c:v>p30</c:v>
                </c:pt>
              </c:strCache>
            </c:strRef>
          </c:tx>
          <c:spPr>
            <a:ln w="3175">
              <a:solidFill>
                <a:sysClr val="windowText" lastClr="000000">
                  <a:alpha val="25000"/>
                </a:sysClr>
              </a:solidFill>
            </a:ln>
          </c:spPr>
          <c:marker>
            <c:symbol val="none"/>
          </c:marker>
          <c:dLbls>
            <c:dLbl>
              <c:idx val="0"/>
              <c:delete val="1"/>
              <c:extLst>
                <c:ext xmlns:c15="http://schemas.microsoft.com/office/drawing/2012/chart" uri="{CE6537A1-D6FC-4f65-9D91-7224C49458BB}"/>
                <c:ext xmlns:c16="http://schemas.microsoft.com/office/drawing/2014/chart" uri="{C3380CC4-5D6E-409C-BE32-E72D297353CC}">
                  <c16:uniqueId val="{00000011-2026-4D35-8044-BA74213EFFB8}"/>
                </c:ext>
              </c:extLst>
            </c:dLbl>
            <c:dLbl>
              <c:idx val="1"/>
              <c:delete val="1"/>
              <c:extLst>
                <c:ext xmlns:c15="http://schemas.microsoft.com/office/drawing/2012/chart" uri="{CE6537A1-D6FC-4f65-9D91-7224C49458BB}"/>
                <c:ext xmlns:c16="http://schemas.microsoft.com/office/drawing/2014/chart" uri="{C3380CC4-5D6E-409C-BE32-E72D297353CC}">
                  <c16:uniqueId val="{00000012-2026-4D35-8044-BA74213EFFB8}"/>
                </c:ext>
              </c:extLst>
            </c:dLbl>
            <c:dLbl>
              <c:idx val="2"/>
              <c:delete val="1"/>
              <c:extLst>
                <c:ext xmlns:c15="http://schemas.microsoft.com/office/drawing/2012/chart" uri="{CE6537A1-D6FC-4f65-9D91-7224C49458BB}"/>
                <c:ext xmlns:c16="http://schemas.microsoft.com/office/drawing/2014/chart" uri="{C3380CC4-5D6E-409C-BE32-E72D297353CC}">
                  <c16:uniqueId val="{00000013-2026-4D35-8044-BA74213EFFB8}"/>
                </c:ext>
              </c:extLst>
            </c:dLbl>
            <c:dLbl>
              <c:idx val="3"/>
              <c:delete val="1"/>
              <c:extLst>
                <c:ext xmlns:c15="http://schemas.microsoft.com/office/drawing/2012/chart" uri="{CE6537A1-D6FC-4f65-9D91-7224C49458BB}"/>
                <c:ext xmlns:c16="http://schemas.microsoft.com/office/drawing/2014/chart" uri="{C3380CC4-5D6E-409C-BE32-E72D297353CC}">
                  <c16:uniqueId val="{00000014-2026-4D35-8044-BA74213EFFB8}"/>
                </c:ext>
              </c:extLst>
            </c:dLbl>
            <c:dLbl>
              <c:idx val="4"/>
              <c:delete val="1"/>
              <c:extLst>
                <c:ext xmlns:c15="http://schemas.microsoft.com/office/drawing/2012/chart" uri="{CE6537A1-D6FC-4f65-9D91-7224C49458BB}"/>
                <c:ext xmlns:c16="http://schemas.microsoft.com/office/drawing/2014/chart" uri="{C3380CC4-5D6E-409C-BE32-E72D297353CC}">
                  <c16:uniqueId val="{00000015-2026-4D35-8044-BA74213EFFB8}"/>
                </c:ext>
              </c:extLst>
            </c:dLbl>
            <c:dLbl>
              <c:idx val="5"/>
              <c:delete val="1"/>
              <c:extLst>
                <c:ext xmlns:c15="http://schemas.microsoft.com/office/drawing/2012/chart" uri="{CE6537A1-D6FC-4f65-9D91-7224C49458BB}"/>
                <c:ext xmlns:c16="http://schemas.microsoft.com/office/drawing/2014/chart" uri="{C3380CC4-5D6E-409C-BE32-E72D297353CC}">
                  <c16:uniqueId val="{00000016-2026-4D35-8044-BA74213EFFB8}"/>
                </c:ext>
              </c:extLst>
            </c:dLbl>
            <c:spPr>
              <a:ln>
                <a:noFill/>
              </a:ln>
              <a:effectLst/>
            </c:spPr>
            <c:showLegendKey val="0"/>
            <c:showVal val="0"/>
            <c:showCatName val="0"/>
            <c:showSerName val="1"/>
            <c:showPercent val="0"/>
            <c:showBubbleSize val="0"/>
            <c:showLeaderLines val="0"/>
            <c:extLst>
              <c:ext xmlns:c15="http://schemas.microsoft.com/office/drawing/2012/chart" uri="{CE6537A1-D6FC-4f65-9D91-7224C49458BB}">
                <c15:showLeaderLines val="0"/>
              </c:ext>
            </c:extLst>
          </c:dLbls>
          <c:cat>
            <c:numRef>
              <c:f>Stochastic!$C$21:$I$21</c:f>
              <c:numCache>
                <c:formatCode>General</c:formatCode>
                <c:ptCount val="7"/>
                <c:pt idx="0">
                  <c:v>2030</c:v>
                </c:pt>
                <c:pt idx="1">
                  <c:v>2031</c:v>
                </c:pt>
                <c:pt idx="2">
                  <c:v>2032</c:v>
                </c:pt>
                <c:pt idx="3">
                  <c:v>2033</c:v>
                </c:pt>
                <c:pt idx="4">
                  <c:v>2034</c:v>
                </c:pt>
                <c:pt idx="5">
                  <c:v>2035</c:v>
                </c:pt>
                <c:pt idx="6">
                  <c:v>2036</c:v>
                </c:pt>
              </c:numCache>
            </c:numRef>
          </c:cat>
          <c:val>
            <c:numRef>
              <c:f>Stochastic!$C$28:$I$28</c:f>
              <c:numCache>
                <c:formatCode>0.0</c:formatCode>
                <c:ptCount val="7"/>
                <c:pt idx="0">
                  <c:v>67.775534644448115</c:v>
                </c:pt>
                <c:pt idx="1">
                  <c:v>60.02265064705545</c:v>
                </c:pt>
                <c:pt idx="2">
                  <c:v>48.585509595604776</c:v>
                </c:pt>
                <c:pt idx="3">
                  <c:v>37.949394325641876</c:v>
                </c:pt>
                <c:pt idx="4">
                  <c:v>26.866622923540906</c:v>
                </c:pt>
                <c:pt idx="5">
                  <c:v>16.206888543672431</c:v>
                </c:pt>
                <c:pt idx="6">
                  <c:v>5.6354086242410908</c:v>
                </c:pt>
              </c:numCache>
            </c:numRef>
          </c:val>
          <c:smooth val="0"/>
          <c:extLst>
            <c:ext xmlns:c16="http://schemas.microsoft.com/office/drawing/2014/chart" uri="{C3380CC4-5D6E-409C-BE32-E72D297353CC}">
              <c16:uniqueId val="{00000007-2026-4D35-8044-BA74213EFFB8}"/>
            </c:ext>
          </c:extLst>
        </c:ser>
        <c:ser>
          <c:idx val="7"/>
          <c:order val="7"/>
          <c:tx>
            <c:strRef>
              <c:f>Stochastic!$B$31</c:f>
              <c:strCache>
                <c:ptCount val="1"/>
                <c:pt idx="0">
                  <c:v>p90</c:v>
                </c:pt>
              </c:strCache>
            </c:strRef>
          </c:tx>
          <c:spPr>
            <a:ln w="3175">
              <a:solidFill>
                <a:sysClr val="windowText" lastClr="000000">
                  <a:alpha val="25000"/>
                </a:sysClr>
              </a:solidFill>
            </a:ln>
          </c:spPr>
          <c:marker>
            <c:symbol val="none"/>
          </c:marker>
          <c:dLbls>
            <c:dLbl>
              <c:idx val="0"/>
              <c:delete val="1"/>
              <c:extLst>
                <c:ext xmlns:c15="http://schemas.microsoft.com/office/drawing/2012/chart" uri="{CE6537A1-D6FC-4f65-9D91-7224C49458BB}"/>
                <c:ext xmlns:c16="http://schemas.microsoft.com/office/drawing/2014/chart" uri="{C3380CC4-5D6E-409C-BE32-E72D297353CC}">
                  <c16:uniqueId val="{00000018-2026-4D35-8044-BA74213EFFB8}"/>
                </c:ext>
              </c:extLst>
            </c:dLbl>
            <c:dLbl>
              <c:idx val="1"/>
              <c:delete val="1"/>
              <c:extLst>
                <c:ext xmlns:c15="http://schemas.microsoft.com/office/drawing/2012/chart" uri="{CE6537A1-D6FC-4f65-9D91-7224C49458BB}"/>
                <c:ext xmlns:c16="http://schemas.microsoft.com/office/drawing/2014/chart" uri="{C3380CC4-5D6E-409C-BE32-E72D297353CC}">
                  <c16:uniqueId val="{00000019-2026-4D35-8044-BA74213EFFB8}"/>
                </c:ext>
              </c:extLst>
            </c:dLbl>
            <c:dLbl>
              <c:idx val="2"/>
              <c:delete val="1"/>
              <c:extLst>
                <c:ext xmlns:c15="http://schemas.microsoft.com/office/drawing/2012/chart" uri="{CE6537A1-D6FC-4f65-9D91-7224C49458BB}"/>
                <c:ext xmlns:c16="http://schemas.microsoft.com/office/drawing/2014/chart" uri="{C3380CC4-5D6E-409C-BE32-E72D297353CC}">
                  <c16:uniqueId val="{0000001A-2026-4D35-8044-BA74213EFFB8}"/>
                </c:ext>
              </c:extLst>
            </c:dLbl>
            <c:dLbl>
              <c:idx val="3"/>
              <c:delete val="1"/>
              <c:extLst>
                <c:ext xmlns:c15="http://schemas.microsoft.com/office/drawing/2012/chart" uri="{CE6537A1-D6FC-4f65-9D91-7224C49458BB}"/>
                <c:ext xmlns:c16="http://schemas.microsoft.com/office/drawing/2014/chart" uri="{C3380CC4-5D6E-409C-BE32-E72D297353CC}">
                  <c16:uniqueId val="{0000001B-2026-4D35-8044-BA74213EFFB8}"/>
                </c:ext>
              </c:extLst>
            </c:dLbl>
            <c:dLbl>
              <c:idx val="4"/>
              <c:delete val="1"/>
              <c:extLst>
                <c:ext xmlns:c15="http://schemas.microsoft.com/office/drawing/2012/chart" uri="{CE6537A1-D6FC-4f65-9D91-7224C49458BB}"/>
                <c:ext xmlns:c16="http://schemas.microsoft.com/office/drawing/2014/chart" uri="{C3380CC4-5D6E-409C-BE32-E72D297353CC}">
                  <c16:uniqueId val="{0000001C-2026-4D35-8044-BA74213EFFB8}"/>
                </c:ext>
              </c:extLst>
            </c:dLbl>
            <c:dLbl>
              <c:idx val="5"/>
              <c:delete val="1"/>
              <c:extLst>
                <c:ext xmlns:c15="http://schemas.microsoft.com/office/drawing/2012/chart" uri="{CE6537A1-D6FC-4f65-9D91-7224C49458BB}"/>
                <c:ext xmlns:c16="http://schemas.microsoft.com/office/drawing/2014/chart" uri="{C3380CC4-5D6E-409C-BE32-E72D297353CC}">
                  <c16:uniqueId val="{0000001D-2026-4D35-8044-BA74213EFFB8}"/>
                </c:ext>
              </c:extLst>
            </c:dLbl>
            <c:spPr>
              <a:ln>
                <a:noFill/>
              </a:ln>
              <a:effectLst/>
            </c:spPr>
            <c:showLegendKey val="0"/>
            <c:showVal val="0"/>
            <c:showCatName val="0"/>
            <c:showSerName val="1"/>
            <c:showPercent val="0"/>
            <c:showBubbleSize val="0"/>
            <c:showLeaderLines val="0"/>
            <c:extLst>
              <c:ext xmlns:c15="http://schemas.microsoft.com/office/drawing/2012/chart" uri="{CE6537A1-D6FC-4f65-9D91-7224C49458BB}">
                <c15:showLeaderLines val="0"/>
              </c:ext>
            </c:extLst>
          </c:dLbls>
          <c:cat>
            <c:numRef>
              <c:f>Stochastic!$C$21:$I$21</c:f>
              <c:numCache>
                <c:formatCode>General</c:formatCode>
                <c:ptCount val="7"/>
                <c:pt idx="0">
                  <c:v>2030</c:v>
                </c:pt>
                <c:pt idx="1">
                  <c:v>2031</c:v>
                </c:pt>
                <c:pt idx="2">
                  <c:v>2032</c:v>
                </c:pt>
                <c:pt idx="3">
                  <c:v>2033</c:v>
                </c:pt>
                <c:pt idx="4">
                  <c:v>2034</c:v>
                </c:pt>
                <c:pt idx="5">
                  <c:v>2035</c:v>
                </c:pt>
                <c:pt idx="6">
                  <c:v>2036</c:v>
                </c:pt>
              </c:numCache>
            </c:numRef>
          </c:cat>
          <c:val>
            <c:numRef>
              <c:f>Stochastic!$C$31:$I$31</c:f>
              <c:numCache>
                <c:formatCode>0.0</c:formatCode>
                <c:ptCount val="7"/>
                <c:pt idx="0">
                  <c:v>67.775534644448115</c:v>
                </c:pt>
                <c:pt idx="1">
                  <c:v>60.02265064705545</c:v>
                </c:pt>
                <c:pt idx="2">
                  <c:v>56.724852857323526</c:v>
                </c:pt>
                <c:pt idx="3">
                  <c:v>49.250755409626251</c:v>
                </c:pt>
                <c:pt idx="4">
                  <c:v>40.480209349322152</c:v>
                </c:pt>
                <c:pt idx="5">
                  <c:v>32.185640679902903</c:v>
                </c:pt>
                <c:pt idx="6">
                  <c:v>23.394075616428591</c:v>
                </c:pt>
              </c:numCache>
            </c:numRef>
          </c:val>
          <c:smooth val="0"/>
          <c:extLst>
            <c:ext xmlns:c16="http://schemas.microsoft.com/office/drawing/2014/chart" uri="{C3380CC4-5D6E-409C-BE32-E72D297353CC}">
              <c16:uniqueId val="{00000008-2026-4D35-8044-BA74213EFFB8}"/>
            </c:ext>
          </c:extLst>
        </c:ser>
        <c:ser>
          <c:idx val="8"/>
          <c:order val="8"/>
          <c:tx>
            <c:strRef>
              <c:f>Stochastic!$B$29</c:f>
              <c:strCache>
                <c:ptCount val="1"/>
                <c:pt idx="0">
                  <c:v>p50</c:v>
                </c:pt>
              </c:strCache>
            </c:strRef>
          </c:tx>
          <c:spPr>
            <a:ln w="3175">
              <a:solidFill>
                <a:sysClr val="windowText" lastClr="000000">
                  <a:alpha val="25000"/>
                </a:sysClr>
              </a:solidFill>
            </a:ln>
          </c:spPr>
          <c:marker>
            <c:symbol val="none"/>
          </c:marker>
          <c:dLbls>
            <c:dLbl>
              <c:idx val="0"/>
              <c:delete val="1"/>
              <c:extLst>
                <c:ext xmlns:c15="http://schemas.microsoft.com/office/drawing/2012/chart" uri="{CE6537A1-D6FC-4f65-9D91-7224C49458BB}"/>
                <c:ext xmlns:c16="http://schemas.microsoft.com/office/drawing/2014/chart" uri="{C3380CC4-5D6E-409C-BE32-E72D297353CC}">
                  <c16:uniqueId val="{0000000A-2026-4D35-8044-BA74213EFFB8}"/>
                </c:ext>
              </c:extLst>
            </c:dLbl>
            <c:dLbl>
              <c:idx val="1"/>
              <c:delete val="1"/>
              <c:extLst>
                <c:ext xmlns:c15="http://schemas.microsoft.com/office/drawing/2012/chart" uri="{CE6537A1-D6FC-4f65-9D91-7224C49458BB}"/>
                <c:ext xmlns:c16="http://schemas.microsoft.com/office/drawing/2014/chart" uri="{C3380CC4-5D6E-409C-BE32-E72D297353CC}">
                  <c16:uniqueId val="{0000000B-2026-4D35-8044-BA74213EFFB8}"/>
                </c:ext>
              </c:extLst>
            </c:dLbl>
            <c:dLbl>
              <c:idx val="2"/>
              <c:delete val="1"/>
              <c:extLst>
                <c:ext xmlns:c15="http://schemas.microsoft.com/office/drawing/2012/chart" uri="{CE6537A1-D6FC-4f65-9D91-7224C49458BB}"/>
                <c:ext xmlns:c16="http://schemas.microsoft.com/office/drawing/2014/chart" uri="{C3380CC4-5D6E-409C-BE32-E72D297353CC}">
                  <c16:uniqueId val="{0000000C-2026-4D35-8044-BA74213EFFB8}"/>
                </c:ext>
              </c:extLst>
            </c:dLbl>
            <c:dLbl>
              <c:idx val="3"/>
              <c:delete val="1"/>
              <c:extLst>
                <c:ext xmlns:c15="http://schemas.microsoft.com/office/drawing/2012/chart" uri="{CE6537A1-D6FC-4f65-9D91-7224C49458BB}"/>
                <c:ext xmlns:c16="http://schemas.microsoft.com/office/drawing/2014/chart" uri="{C3380CC4-5D6E-409C-BE32-E72D297353CC}">
                  <c16:uniqueId val="{0000000D-2026-4D35-8044-BA74213EFFB8}"/>
                </c:ext>
              </c:extLst>
            </c:dLbl>
            <c:dLbl>
              <c:idx val="4"/>
              <c:delete val="1"/>
              <c:extLst>
                <c:ext xmlns:c15="http://schemas.microsoft.com/office/drawing/2012/chart" uri="{CE6537A1-D6FC-4f65-9D91-7224C49458BB}"/>
                <c:ext xmlns:c16="http://schemas.microsoft.com/office/drawing/2014/chart" uri="{C3380CC4-5D6E-409C-BE32-E72D297353CC}">
                  <c16:uniqueId val="{0000000E-2026-4D35-8044-BA74213EFFB8}"/>
                </c:ext>
              </c:extLst>
            </c:dLbl>
            <c:dLbl>
              <c:idx val="5"/>
              <c:delete val="1"/>
              <c:extLst>
                <c:ext xmlns:c15="http://schemas.microsoft.com/office/drawing/2012/chart" uri="{CE6537A1-D6FC-4f65-9D91-7224C49458BB}"/>
                <c:ext xmlns:c16="http://schemas.microsoft.com/office/drawing/2014/chart" uri="{C3380CC4-5D6E-409C-BE32-E72D297353CC}">
                  <c16:uniqueId val="{0000000F-2026-4D35-8044-BA74213EFFB8}"/>
                </c:ext>
              </c:extLst>
            </c:dLbl>
            <c:dLbl>
              <c:idx val="6"/>
              <c:layout>
                <c:manualLayout>
                  <c:x val="-1.0111916703481372E-2"/>
                  <c:y val="-5.184033177812338E-3"/>
                </c:manualLayout>
              </c:layout>
              <c:tx>
                <c:rich>
                  <a:bodyPr wrap="square" lIns="38100" tIns="19050" rIns="38100" bIns="19050" anchor="ctr">
                    <a:noAutofit/>
                  </a:bodyPr>
                  <a:lstStyle/>
                  <a:p>
                    <a:pPr>
                      <a:defRPr sz="1200"/>
                    </a:pPr>
                    <a:fld id="{395A9F43-309F-4036-9976-E03D2F102A6A}" type="SERIESNAME">
                      <a:rPr lang="en-US" sz="1200"/>
                      <a:pPr>
                        <a:defRPr sz="1200"/>
                      </a:pPr>
                      <a:t>[SERIES NAME]</a:t>
                    </a:fld>
                    <a:endParaRPr lang="fi-FI"/>
                  </a:p>
                </c:rich>
              </c:tx>
              <c:spPr>
                <a:ln>
                  <a:noFill/>
                </a:ln>
                <a:effectLst/>
              </c:spPr>
              <c:showLegendKey val="0"/>
              <c:showVal val="0"/>
              <c:showCatName val="0"/>
              <c:showSerName val="1"/>
              <c:showPercent val="0"/>
              <c:showBubbleSize val="0"/>
              <c:extLst>
                <c:ext xmlns:c15="http://schemas.microsoft.com/office/drawing/2012/chart" uri="{CE6537A1-D6FC-4f65-9D91-7224C49458BB}">
                  <c15:layout>
                    <c:manualLayout>
                      <c:w val="7.2647564068536369E-2"/>
                      <c:h val="7.4010849732430412E-2"/>
                    </c:manualLayout>
                  </c15:layout>
                  <c15:dlblFieldTable/>
                  <c15:showDataLabelsRange val="0"/>
                </c:ext>
                <c:ext xmlns:c16="http://schemas.microsoft.com/office/drawing/2014/chart" uri="{C3380CC4-5D6E-409C-BE32-E72D297353CC}">
                  <c16:uniqueId val="{00000010-2026-4D35-8044-BA74213EFFB8}"/>
                </c:ext>
              </c:extLst>
            </c:dLbl>
            <c:spPr>
              <a:ln>
                <a:noFill/>
              </a:ln>
              <a:effectLst/>
            </c:spPr>
            <c:txPr>
              <a:bodyPr wrap="square" lIns="38100" tIns="19050" rIns="38100" bIns="19050" anchor="ctr">
                <a:spAutoFit/>
              </a:bodyPr>
              <a:lstStyle/>
              <a:p>
                <a:pPr>
                  <a:defRPr sz="1200"/>
                </a:pPr>
                <a:endParaRPr lang="fi-FI"/>
              </a:p>
            </c:txPr>
            <c:showLegendKey val="0"/>
            <c:showVal val="0"/>
            <c:showCatName val="0"/>
            <c:showSerName val="1"/>
            <c:showPercent val="0"/>
            <c:showBubbleSize val="0"/>
            <c:showLeaderLines val="0"/>
            <c:extLst>
              <c:ext xmlns:c15="http://schemas.microsoft.com/office/drawing/2012/chart" uri="{CE6537A1-D6FC-4f65-9D91-7224C49458BB}">
                <c15:showLeaderLines val="0"/>
              </c:ext>
            </c:extLst>
          </c:dLbls>
          <c:cat>
            <c:numRef>
              <c:f>Stochastic!$C$21:$I$21</c:f>
              <c:numCache>
                <c:formatCode>General</c:formatCode>
                <c:ptCount val="7"/>
                <c:pt idx="0">
                  <c:v>2030</c:v>
                </c:pt>
                <c:pt idx="1">
                  <c:v>2031</c:v>
                </c:pt>
                <c:pt idx="2">
                  <c:v>2032</c:v>
                </c:pt>
                <c:pt idx="3">
                  <c:v>2033</c:v>
                </c:pt>
                <c:pt idx="4">
                  <c:v>2034</c:v>
                </c:pt>
                <c:pt idx="5">
                  <c:v>2035</c:v>
                </c:pt>
                <c:pt idx="6">
                  <c:v>2036</c:v>
                </c:pt>
              </c:numCache>
            </c:numRef>
          </c:cat>
          <c:val>
            <c:numRef>
              <c:f>Stochastic!$C$29:$I$29</c:f>
              <c:numCache>
                <c:formatCode>0.0</c:formatCode>
                <c:ptCount val="7"/>
                <c:pt idx="0">
                  <c:v>67.775534644448115</c:v>
                </c:pt>
                <c:pt idx="1">
                  <c:v>60.02265064705545</c:v>
                </c:pt>
                <c:pt idx="2">
                  <c:v>50.912795362206339</c:v>
                </c:pt>
                <c:pt idx="3">
                  <c:v>41.14546213570047</c:v>
                </c:pt>
                <c:pt idx="4">
                  <c:v>30.707870482134656</c:v>
                </c:pt>
                <c:pt idx="5">
                  <c:v>20.644235955781806</c:v>
                </c:pt>
                <c:pt idx="6">
                  <c:v>10.506159051487185</c:v>
                </c:pt>
              </c:numCache>
            </c:numRef>
          </c:val>
          <c:smooth val="0"/>
          <c:extLst>
            <c:ext xmlns:c16="http://schemas.microsoft.com/office/drawing/2014/chart" uri="{C3380CC4-5D6E-409C-BE32-E72D297353CC}">
              <c16:uniqueId val="{00000009-2026-4D35-8044-BA74213EFFB8}"/>
            </c:ext>
          </c:extLst>
        </c:ser>
        <c:ser>
          <c:idx val="9"/>
          <c:order val="9"/>
          <c:tx>
            <c:strRef>
              <c:f>Stochastic!$B$27</c:f>
              <c:strCache>
                <c:ptCount val="1"/>
                <c:pt idx="0">
                  <c:v>p10</c:v>
                </c:pt>
              </c:strCache>
            </c:strRef>
          </c:tx>
          <c:spPr>
            <a:ln w="3175">
              <a:solidFill>
                <a:sysClr val="windowText" lastClr="000000">
                  <a:alpha val="25000"/>
                </a:sysClr>
              </a:solidFill>
            </a:ln>
          </c:spPr>
          <c:marker>
            <c:symbol val="none"/>
          </c:marker>
          <c:dLbls>
            <c:dLbl>
              <c:idx val="0"/>
              <c:delete val="1"/>
              <c:extLst>
                <c:ext xmlns:c15="http://schemas.microsoft.com/office/drawing/2012/chart" uri="{CE6537A1-D6FC-4f65-9D91-7224C49458BB}"/>
                <c:ext xmlns:c16="http://schemas.microsoft.com/office/drawing/2014/chart" uri="{C3380CC4-5D6E-409C-BE32-E72D297353CC}">
                  <c16:uniqueId val="{00000021-2026-4D35-8044-BA74213EFFB8}"/>
                </c:ext>
              </c:extLst>
            </c:dLbl>
            <c:dLbl>
              <c:idx val="1"/>
              <c:delete val="1"/>
              <c:extLst>
                <c:ext xmlns:c15="http://schemas.microsoft.com/office/drawing/2012/chart" uri="{CE6537A1-D6FC-4f65-9D91-7224C49458BB}"/>
                <c:ext xmlns:c16="http://schemas.microsoft.com/office/drawing/2014/chart" uri="{C3380CC4-5D6E-409C-BE32-E72D297353CC}">
                  <c16:uniqueId val="{00000022-2026-4D35-8044-BA74213EFFB8}"/>
                </c:ext>
              </c:extLst>
            </c:dLbl>
            <c:dLbl>
              <c:idx val="2"/>
              <c:delete val="1"/>
              <c:extLst>
                <c:ext xmlns:c15="http://schemas.microsoft.com/office/drawing/2012/chart" uri="{CE6537A1-D6FC-4f65-9D91-7224C49458BB}"/>
                <c:ext xmlns:c16="http://schemas.microsoft.com/office/drawing/2014/chart" uri="{C3380CC4-5D6E-409C-BE32-E72D297353CC}">
                  <c16:uniqueId val="{00000023-2026-4D35-8044-BA74213EFFB8}"/>
                </c:ext>
              </c:extLst>
            </c:dLbl>
            <c:dLbl>
              <c:idx val="3"/>
              <c:delete val="1"/>
              <c:extLst>
                <c:ext xmlns:c15="http://schemas.microsoft.com/office/drawing/2012/chart" uri="{CE6537A1-D6FC-4f65-9D91-7224C49458BB}"/>
                <c:ext xmlns:c16="http://schemas.microsoft.com/office/drawing/2014/chart" uri="{C3380CC4-5D6E-409C-BE32-E72D297353CC}">
                  <c16:uniqueId val="{00000024-2026-4D35-8044-BA74213EFFB8}"/>
                </c:ext>
              </c:extLst>
            </c:dLbl>
            <c:dLbl>
              <c:idx val="4"/>
              <c:delete val="1"/>
              <c:extLst>
                <c:ext xmlns:c15="http://schemas.microsoft.com/office/drawing/2012/chart" uri="{CE6537A1-D6FC-4f65-9D91-7224C49458BB}"/>
                <c:ext xmlns:c16="http://schemas.microsoft.com/office/drawing/2014/chart" uri="{C3380CC4-5D6E-409C-BE32-E72D297353CC}">
                  <c16:uniqueId val="{00000025-2026-4D35-8044-BA74213EFFB8}"/>
                </c:ext>
              </c:extLst>
            </c:dLbl>
            <c:dLbl>
              <c:idx val="5"/>
              <c:delete val="1"/>
              <c:extLst>
                <c:ext xmlns:c15="http://schemas.microsoft.com/office/drawing/2012/chart" uri="{CE6537A1-D6FC-4f65-9D91-7224C49458BB}"/>
                <c:ext xmlns:c16="http://schemas.microsoft.com/office/drawing/2014/chart" uri="{C3380CC4-5D6E-409C-BE32-E72D297353CC}">
                  <c16:uniqueId val="{00000026-2026-4D35-8044-BA74213EFFB8}"/>
                </c:ext>
              </c:extLst>
            </c:dLbl>
            <c:spPr>
              <a:ln>
                <a:noFill/>
              </a:ln>
              <a:effectLst/>
            </c:spPr>
            <c:showLegendKey val="0"/>
            <c:showVal val="0"/>
            <c:showCatName val="0"/>
            <c:showSerName val="1"/>
            <c:showPercent val="0"/>
            <c:showBubbleSize val="0"/>
            <c:showLeaderLines val="0"/>
            <c:extLst>
              <c:ext xmlns:c15="http://schemas.microsoft.com/office/drawing/2012/chart" uri="{CE6537A1-D6FC-4f65-9D91-7224C49458BB}">
                <c15:showLeaderLines val="0"/>
              </c:ext>
            </c:extLst>
          </c:dLbls>
          <c:cat>
            <c:numRef>
              <c:f>Stochastic!$C$21:$I$21</c:f>
              <c:numCache>
                <c:formatCode>General</c:formatCode>
                <c:ptCount val="7"/>
                <c:pt idx="0">
                  <c:v>2030</c:v>
                </c:pt>
                <c:pt idx="1">
                  <c:v>2031</c:v>
                </c:pt>
                <c:pt idx="2">
                  <c:v>2032</c:v>
                </c:pt>
                <c:pt idx="3">
                  <c:v>2033</c:v>
                </c:pt>
                <c:pt idx="4">
                  <c:v>2034</c:v>
                </c:pt>
                <c:pt idx="5">
                  <c:v>2035</c:v>
                </c:pt>
                <c:pt idx="6">
                  <c:v>2036</c:v>
                </c:pt>
              </c:numCache>
            </c:numRef>
          </c:cat>
          <c:val>
            <c:numRef>
              <c:f>Stochastic!$C$27:$I$27</c:f>
              <c:numCache>
                <c:formatCode>0.0</c:formatCode>
                <c:ptCount val="7"/>
                <c:pt idx="0">
                  <c:v>67.775534644448115</c:v>
                </c:pt>
                <c:pt idx="1">
                  <c:v>60.02265064705545</c:v>
                </c:pt>
                <c:pt idx="2">
                  <c:v>45.402877149315714</c:v>
                </c:pt>
                <c:pt idx="3">
                  <c:v>33.409874061970001</c:v>
                </c:pt>
                <c:pt idx="4">
                  <c:v>21.387054442095593</c:v>
                </c:pt>
                <c:pt idx="5">
                  <c:v>9.8950904479693058</c:v>
                </c:pt>
                <c:pt idx="6">
                  <c:v>-1.104360357692503</c:v>
                </c:pt>
              </c:numCache>
            </c:numRef>
          </c:val>
          <c:smooth val="0"/>
          <c:extLst>
            <c:ext xmlns:c16="http://schemas.microsoft.com/office/drawing/2014/chart" uri="{C3380CC4-5D6E-409C-BE32-E72D297353CC}">
              <c16:uniqueId val="{00000020-2026-4D35-8044-BA74213EFFB8}"/>
            </c:ext>
          </c:extLst>
        </c:ser>
        <c:dLbls>
          <c:showLegendKey val="0"/>
          <c:showVal val="0"/>
          <c:showCatName val="0"/>
          <c:showSerName val="0"/>
          <c:showPercent val="0"/>
          <c:showBubbleSize val="0"/>
        </c:dLbls>
        <c:marker val="1"/>
        <c:smooth val="0"/>
        <c:axId val="1747775104"/>
        <c:axId val="1"/>
      </c:lineChart>
      <c:catAx>
        <c:axId val="1747775104"/>
        <c:scaling>
          <c:orientation val="minMax"/>
        </c:scaling>
        <c:delete val="0"/>
        <c:axPos val="b"/>
        <c:numFmt formatCode="General" sourceLinked="1"/>
        <c:majorTickMark val="none"/>
        <c:minorTickMark val="none"/>
        <c:tickLblPos val="nextTo"/>
        <c:spPr>
          <a:ln w="3175">
            <a:solidFill>
              <a:sysClr val="windowText" lastClr="000000"/>
            </a:solidFill>
            <a:prstDash val="solid"/>
          </a:ln>
        </c:spPr>
        <c:txPr>
          <a:bodyPr rot="0" vert="horz"/>
          <a:lstStyle/>
          <a:p>
            <a:pPr>
              <a:defRPr sz="1200" b="0" i="0" u="none" strike="noStrike" baseline="0">
                <a:solidFill>
                  <a:sysClr val="windowText" lastClr="000000"/>
                </a:solidFill>
                <a:latin typeface="+mn-lt"/>
                <a:ea typeface="Arial"/>
                <a:cs typeface="Arial"/>
              </a:defRPr>
            </a:pPr>
            <a:endParaRPr lang="fi-FI"/>
          </a:p>
        </c:txPr>
        <c:crossAx val="1"/>
        <c:crosses val="autoZero"/>
        <c:auto val="1"/>
        <c:lblAlgn val="ctr"/>
        <c:lblOffset val="100"/>
        <c:tickLblSkip val="1"/>
        <c:tickMarkSkip val="1"/>
        <c:noMultiLvlLbl val="0"/>
      </c:catAx>
      <c:valAx>
        <c:axId val="1"/>
        <c:scaling>
          <c:orientation val="minMax"/>
        </c:scaling>
        <c:delete val="0"/>
        <c:axPos val="l"/>
        <c:majorGridlines/>
        <c:title>
          <c:tx>
            <c:rich>
              <a:bodyPr rot="0" vert="horz" anchor="t" anchorCtr="0"/>
              <a:lstStyle/>
              <a:p>
                <a:pPr>
                  <a:defRPr/>
                </a:pPr>
                <a:r>
                  <a:rPr lang="en-IE" sz="1050"/>
                  <a:t>% GDP</a:t>
                </a:r>
              </a:p>
            </c:rich>
          </c:tx>
          <c:layout>
            <c:manualLayout>
              <c:xMode val="edge"/>
              <c:yMode val="edge"/>
              <c:x val="0"/>
              <c:y val="7.0931724514217989E-2"/>
            </c:manualLayout>
          </c:layout>
          <c:overlay val="0"/>
        </c:title>
        <c:numFmt formatCode="0" sourceLinked="0"/>
        <c:majorTickMark val="none"/>
        <c:minorTickMark val="none"/>
        <c:tickLblPos val="nextTo"/>
        <c:spPr>
          <a:ln w="3175">
            <a:solidFill>
              <a:srgbClr val="000000"/>
            </a:solidFill>
            <a:prstDash val="solid"/>
          </a:ln>
        </c:spPr>
        <c:txPr>
          <a:bodyPr rot="0" vert="horz"/>
          <a:lstStyle/>
          <a:p>
            <a:pPr>
              <a:defRPr sz="1100" b="0" i="0" u="none" strike="noStrike" baseline="0">
                <a:solidFill>
                  <a:sysClr val="windowText" lastClr="000000"/>
                </a:solidFill>
                <a:latin typeface="+mn-lt"/>
                <a:ea typeface="Arial"/>
                <a:cs typeface="Arial"/>
              </a:defRPr>
            </a:pPr>
            <a:endParaRPr lang="fi-FI"/>
          </a:p>
        </c:txPr>
        <c:crossAx val="1747775104"/>
        <c:crosses val="autoZero"/>
        <c:crossBetween val="between"/>
      </c:valAx>
      <c:spPr>
        <a:noFill/>
        <a:ln w="25400">
          <a:noFill/>
        </a:ln>
      </c:spPr>
    </c:plotArea>
    <c:plotVisOnly val="1"/>
    <c:dispBlanksAs val="gap"/>
    <c:showDLblsOverMax val="0"/>
  </c:chart>
  <c:spPr>
    <a:solidFill>
      <a:srgbClr val="FFFFFF"/>
    </a:solidFill>
    <a:ln w="3175">
      <a:solidFill>
        <a:sysClr val="windowText" lastClr="000000"/>
      </a:solidFill>
      <a:prstDash val="solid"/>
    </a:ln>
  </c:spPr>
  <c:txPr>
    <a:bodyPr/>
    <a:lstStyle/>
    <a:p>
      <a:pPr>
        <a:defRPr sz="1200" b="0" i="0" u="none" strike="noStrike" baseline="0">
          <a:solidFill>
            <a:srgbClr val="000000"/>
          </a:solidFill>
          <a:latin typeface="Arial"/>
          <a:ea typeface="Arial"/>
          <a:cs typeface="Arial"/>
        </a:defRPr>
      </a:pPr>
      <a:endParaRPr lang="fi-FI"/>
    </a:p>
  </c:txPr>
  <c:printSettings>
    <c:headerFooter alignWithMargins="0"/>
    <c:pageMargins b="1" l="0.75" r="0.75" t="1" header="0.5" footer="0.5"/>
    <c:pageSetup/>
  </c:printSettings>
</c:chartSpace>
</file>

<file path=xl/charts/chart2.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hart>
    <c:autoTitleDeleted val="1"/>
    <c:plotArea>
      <c:layout/>
      <c:lineChart>
        <c:grouping val="standard"/>
        <c:varyColors val="0"/>
        <c:ser>
          <c:idx val="1"/>
          <c:order val="1"/>
          <c:tx>
            <c:strRef>
              <c:f>STOCH!$P$2</c:f>
              <c:strCache>
                <c:ptCount val="1"/>
                <c:pt idx="0">
                  <c:v>pb</c:v>
                </c:pt>
              </c:strCache>
            </c:strRef>
          </c:tx>
          <c:spPr>
            <a:ln w="28575" cap="rnd">
              <a:solidFill>
                <a:schemeClr val="accent2"/>
              </a:solidFill>
              <a:round/>
            </a:ln>
            <a:effectLst/>
          </c:spPr>
          <c:marker>
            <c:symbol val="none"/>
          </c:marker>
          <c:cat>
            <c:numRef>
              <c:f>STOCH!$N$3:$N$49</c:f>
              <c:numCache>
                <c:formatCode>0</c:formatCode>
                <c:ptCount val="47"/>
                <c:pt idx="0">
                  <c:v>1976</c:v>
                </c:pt>
                <c:pt idx="1">
                  <c:v>1977</c:v>
                </c:pt>
                <c:pt idx="2">
                  <c:v>1978</c:v>
                </c:pt>
                <c:pt idx="3">
                  <c:v>1979</c:v>
                </c:pt>
                <c:pt idx="4">
                  <c:v>1980</c:v>
                </c:pt>
                <c:pt idx="5">
                  <c:v>1981</c:v>
                </c:pt>
                <c:pt idx="6">
                  <c:v>1982</c:v>
                </c:pt>
                <c:pt idx="7">
                  <c:v>1983</c:v>
                </c:pt>
                <c:pt idx="8">
                  <c:v>1984</c:v>
                </c:pt>
                <c:pt idx="9">
                  <c:v>1985</c:v>
                </c:pt>
                <c:pt idx="10">
                  <c:v>1986</c:v>
                </c:pt>
                <c:pt idx="11">
                  <c:v>1987</c:v>
                </c:pt>
                <c:pt idx="12">
                  <c:v>1988</c:v>
                </c:pt>
                <c:pt idx="13">
                  <c:v>1989</c:v>
                </c:pt>
                <c:pt idx="14">
                  <c:v>1990</c:v>
                </c:pt>
                <c:pt idx="15">
                  <c:v>1991</c:v>
                </c:pt>
                <c:pt idx="16">
                  <c:v>1992</c:v>
                </c:pt>
                <c:pt idx="17">
                  <c:v>1993</c:v>
                </c:pt>
                <c:pt idx="18">
                  <c:v>1994</c:v>
                </c:pt>
                <c:pt idx="19">
                  <c:v>1995</c:v>
                </c:pt>
                <c:pt idx="20">
                  <c:v>1996</c:v>
                </c:pt>
                <c:pt idx="21">
                  <c:v>1997</c:v>
                </c:pt>
                <c:pt idx="22">
                  <c:v>1998</c:v>
                </c:pt>
                <c:pt idx="23">
                  <c:v>1999</c:v>
                </c:pt>
                <c:pt idx="24">
                  <c:v>2000</c:v>
                </c:pt>
                <c:pt idx="25">
                  <c:v>2001</c:v>
                </c:pt>
                <c:pt idx="26">
                  <c:v>2002</c:v>
                </c:pt>
                <c:pt idx="27">
                  <c:v>2003</c:v>
                </c:pt>
                <c:pt idx="28">
                  <c:v>2004</c:v>
                </c:pt>
                <c:pt idx="29">
                  <c:v>2005</c:v>
                </c:pt>
                <c:pt idx="30">
                  <c:v>2006</c:v>
                </c:pt>
                <c:pt idx="31">
                  <c:v>2007</c:v>
                </c:pt>
                <c:pt idx="32">
                  <c:v>2008</c:v>
                </c:pt>
                <c:pt idx="33">
                  <c:v>2009</c:v>
                </c:pt>
                <c:pt idx="34">
                  <c:v>2010</c:v>
                </c:pt>
                <c:pt idx="35">
                  <c:v>2011</c:v>
                </c:pt>
                <c:pt idx="36">
                  <c:v>2012</c:v>
                </c:pt>
                <c:pt idx="37">
                  <c:v>2013</c:v>
                </c:pt>
                <c:pt idx="38">
                  <c:v>2014</c:v>
                </c:pt>
                <c:pt idx="39">
                  <c:v>2015</c:v>
                </c:pt>
                <c:pt idx="40">
                  <c:v>2016</c:v>
                </c:pt>
                <c:pt idx="41">
                  <c:v>2017</c:v>
                </c:pt>
                <c:pt idx="42">
                  <c:v>2018</c:v>
                </c:pt>
                <c:pt idx="43">
                  <c:v>2019</c:v>
                </c:pt>
                <c:pt idx="44">
                  <c:v>2020</c:v>
                </c:pt>
                <c:pt idx="45">
                  <c:v>2021</c:v>
                </c:pt>
                <c:pt idx="46">
                  <c:v>2022</c:v>
                </c:pt>
              </c:numCache>
            </c:numRef>
          </c:cat>
          <c:val>
            <c:numRef>
              <c:f>STOCH!$P$3:$P$49</c:f>
              <c:numCache>
                <c:formatCode>General</c:formatCode>
                <c:ptCount val="47"/>
                <c:pt idx="0">
                  <c:v>8.2411182000000007</c:v>
                </c:pt>
                <c:pt idx="1">
                  <c:v>7.0000884000000001</c:v>
                </c:pt>
                <c:pt idx="2">
                  <c:v>4.6066025000000002</c:v>
                </c:pt>
                <c:pt idx="3">
                  <c:v>4.2951541999999998</c:v>
                </c:pt>
                <c:pt idx="4">
                  <c:v>4.6587633999999998</c:v>
                </c:pt>
                <c:pt idx="5">
                  <c:v>6.1391757</c:v>
                </c:pt>
                <c:pt idx="6">
                  <c:v>4.2286755999999999</c:v>
                </c:pt>
                <c:pt idx="7">
                  <c:v>2.940191</c:v>
                </c:pt>
                <c:pt idx="8">
                  <c:v>4.8035914999999996</c:v>
                </c:pt>
                <c:pt idx="9">
                  <c:v>5.0630955000000002</c:v>
                </c:pt>
                <c:pt idx="10">
                  <c:v>5.4551544999999999</c:v>
                </c:pt>
                <c:pt idx="11">
                  <c:v>3.2222813000000001</c:v>
                </c:pt>
                <c:pt idx="12">
                  <c:v>6.6472895999999997</c:v>
                </c:pt>
                <c:pt idx="13">
                  <c:v>8.1312361000000006</c:v>
                </c:pt>
                <c:pt idx="14">
                  <c:v>6.6887278999999999</c:v>
                </c:pt>
                <c:pt idx="15">
                  <c:v>0.93326739999999997</c:v>
                </c:pt>
                <c:pt idx="16">
                  <c:v>-2.8520205000000001</c:v>
                </c:pt>
                <c:pt idx="17">
                  <c:v>-3.7767770000000001</c:v>
                </c:pt>
                <c:pt idx="18">
                  <c:v>-2.4760602999999999</c:v>
                </c:pt>
                <c:pt idx="19">
                  <c:v>-2.0913453999999998</c:v>
                </c:pt>
                <c:pt idx="20">
                  <c:v>0.81208429999999998</c:v>
                </c:pt>
                <c:pt idx="21">
                  <c:v>2.8427807</c:v>
                </c:pt>
                <c:pt idx="22">
                  <c:v>5.0508822999999996</c:v>
                </c:pt>
                <c:pt idx="23">
                  <c:v>4.5668001</c:v>
                </c:pt>
                <c:pt idx="24">
                  <c:v>9.5645036000000001</c:v>
                </c:pt>
                <c:pt idx="25">
                  <c:v>7.5296623</c:v>
                </c:pt>
                <c:pt idx="26">
                  <c:v>6.0860957000000004</c:v>
                </c:pt>
                <c:pt idx="27">
                  <c:v>4.2392371999999998</c:v>
                </c:pt>
                <c:pt idx="28">
                  <c:v>3.9015357000000002</c:v>
                </c:pt>
                <c:pt idx="29">
                  <c:v>4.2626315000000004</c:v>
                </c:pt>
                <c:pt idx="30">
                  <c:v>5.4639467000000002</c:v>
                </c:pt>
                <c:pt idx="31">
                  <c:v>6.5247605000000002</c:v>
                </c:pt>
                <c:pt idx="32">
                  <c:v>5.5733148000000003</c:v>
                </c:pt>
                <c:pt idx="33">
                  <c:v>-1.1560026000000001</c:v>
                </c:pt>
                <c:pt idx="34">
                  <c:v>-1.2065291</c:v>
                </c:pt>
                <c:pt idx="35">
                  <c:v>0.36970069999999999</c:v>
                </c:pt>
                <c:pt idx="36">
                  <c:v>-0.73021380000000002</c:v>
                </c:pt>
                <c:pt idx="37">
                  <c:v>-1.2509726999999999</c:v>
                </c:pt>
                <c:pt idx="38">
                  <c:v>-1.7564295000000001</c:v>
                </c:pt>
                <c:pt idx="39">
                  <c:v>-1.2673558</c:v>
                </c:pt>
                <c:pt idx="40">
                  <c:v>-0.60822549999999997</c:v>
                </c:pt>
                <c:pt idx="41">
                  <c:v>0.3468831</c:v>
                </c:pt>
                <c:pt idx="42">
                  <c:v>9.2092099999999996E-2</c:v>
                </c:pt>
                <c:pt idx="43">
                  <c:v>-8.42165E-2</c:v>
                </c:pt>
                <c:pt idx="44">
                  <c:v>-4.8605685000000003</c:v>
                </c:pt>
                <c:pt idx="45">
                  <c:v>-2.2560706000000001</c:v>
                </c:pt>
                <c:pt idx="46">
                  <c:v>-0.23004340000000001</c:v>
                </c:pt>
              </c:numCache>
            </c:numRef>
          </c:val>
          <c:smooth val="0"/>
          <c:extLst>
            <c:ext xmlns:c16="http://schemas.microsoft.com/office/drawing/2014/chart" uri="{C3380CC4-5D6E-409C-BE32-E72D297353CC}">
              <c16:uniqueId val="{00000001-EC45-4C83-BFCA-13893E7FFE86}"/>
            </c:ext>
          </c:extLst>
        </c:ser>
        <c:ser>
          <c:idx val="2"/>
          <c:order val="2"/>
          <c:tx>
            <c:strRef>
              <c:f>STOCH!$Q$2</c:f>
              <c:strCache>
                <c:ptCount val="1"/>
                <c:pt idx="0">
                  <c:v>iir</c:v>
                </c:pt>
              </c:strCache>
            </c:strRef>
          </c:tx>
          <c:spPr>
            <a:ln w="28575" cap="rnd">
              <a:solidFill>
                <a:schemeClr val="accent3"/>
              </a:solidFill>
              <a:round/>
            </a:ln>
            <a:effectLst/>
          </c:spPr>
          <c:marker>
            <c:symbol val="none"/>
          </c:marker>
          <c:cat>
            <c:numRef>
              <c:f>STOCH!$N$3:$N$49</c:f>
              <c:numCache>
                <c:formatCode>0</c:formatCode>
                <c:ptCount val="47"/>
                <c:pt idx="0">
                  <c:v>1976</c:v>
                </c:pt>
                <c:pt idx="1">
                  <c:v>1977</c:v>
                </c:pt>
                <c:pt idx="2">
                  <c:v>1978</c:v>
                </c:pt>
                <c:pt idx="3">
                  <c:v>1979</c:v>
                </c:pt>
                <c:pt idx="4">
                  <c:v>1980</c:v>
                </c:pt>
                <c:pt idx="5">
                  <c:v>1981</c:v>
                </c:pt>
                <c:pt idx="6">
                  <c:v>1982</c:v>
                </c:pt>
                <c:pt idx="7">
                  <c:v>1983</c:v>
                </c:pt>
                <c:pt idx="8">
                  <c:v>1984</c:v>
                </c:pt>
                <c:pt idx="9">
                  <c:v>1985</c:v>
                </c:pt>
                <c:pt idx="10">
                  <c:v>1986</c:v>
                </c:pt>
                <c:pt idx="11">
                  <c:v>1987</c:v>
                </c:pt>
                <c:pt idx="12">
                  <c:v>1988</c:v>
                </c:pt>
                <c:pt idx="13">
                  <c:v>1989</c:v>
                </c:pt>
                <c:pt idx="14">
                  <c:v>1990</c:v>
                </c:pt>
                <c:pt idx="15">
                  <c:v>1991</c:v>
                </c:pt>
                <c:pt idx="16">
                  <c:v>1992</c:v>
                </c:pt>
                <c:pt idx="17">
                  <c:v>1993</c:v>
                </c:pt>
                <c:pt idx="18">
                  <c:v>1994</c:v>
                </c:pt>
                <c:pt idx="19">
                  <c:v>1995</c:v>
                </c:pt>
                <c:pt idx="20">
                  <c:v>1996</c:v>
                </c:pt>
                <c:pt idx="21">
                  <c:v>1997</c:v>
                </c:pt>
                <c:pt idx="22">
                  <c:v>1998</c:v>
                </c:pt>
                <c:pt idx="23">
                  <c:v>1999</c:v>
                </c:pt>
                <c:pt idx="24">
                  <c:v>2000</c:v>
                </c:pt>
                <c:pt idx="25">
                  <c:v>2001</c:v>
                </c:pt>
                <c:pt idx="26">
                  <c:v>2002</c:v>
                </c:pt>
                <c:pt idx="27">
                  <c:v>2003</c:v>
                </c:pt>
                <c:pt idx="28">
                  <c:v>2004</c:v>
                </c:pt>
                <c:pt idx="29">
                  <c:v>2005</c:v>
                </c:pt>
                <c:pt idx="30">
                  <c:v>2006</c:v>
                </c:pt>
                <c:pt idx="31">
                  <c:v>2007</c:v>
                </c:pt>
                <c:pt idx="32">
                  <c:v>2008</c:v>
                </c:pt>
                <c:pt idx="33">
                  <c:v>2009</c:v>
                </c:pt>
                <c:pt idx="34">
                  <c:v>2010</c:v>
                </c:pt>
                <c:pt idx="35">
                  <c:v>2011</c:v>
                </c:pt>
                <c:pt idx="36">
                  <c:v>2012</c:v>
                </c:pt>
                <c:pt idx="37">
                  <c:v>2013</c:v>
                </c:pt>
                <c:pt idx="38">
                  <c:v>2014</c:v>
                </c:pt>
                <c:pt idx="39">
                  <c:v>2015</c:v>
                </c:pt>
                <c:pt idx="40">
                  <c:v>2016</c:v>
                </c:pt>
                <c:pt idx="41">
                  <c:v>2017</c:v>
                </c:pt>
                <c:pt idx="42">
                  <c:v>2018</c:v>
                </c:pt>
                <c:pt idx="43">
                  <c:v>2019</c:v>
                </c:pt>
                <c:pt idx="44">
                  <c:v>2020</c:v>
                </c:pt>
                <c:pt idx="45">
                  <c:v>2021</c:v>
                </c:pt>
                <c:pt idx="46">
                  <c:v>2022</c:v>
                </c:pt>
              </c:numCache>
            </c:numRef>
          </c:cat>
          <c:val>
            <c:numRef>
              <c:f>STOCH!$Q$3:$Q$49</c:f>
              <c:numCache>
                <c:formatCode>General</c:formatCode>
                <c:ptCount val="47"/>
                <c:pt idx="0">
                  <c:v>10.423728799999999</c:v>
                </c:pt>
                <c:pt idx="1">
                  <c:v>12.9673827</c:v>
                </c:pt>
                <c:pt idx="2">
                  <c:v>10.990888399999999</c:v>
                </c:pt>
                <c:pt idx="3">
                  <c:v>9.3920641000000007</c:v>
                </c:pt>
                <c:pt idx="4">
                  <c:v>9.9628712999999998</c:v>
                </c:pt>
                <c:pt idx="5">
                  <c:v>10.416114500000001</c:v>
                </c:pt>
                <c:pt idx="6">
                  <c:v>11.4918894</c:v>
                </c:pt>
                <c:pt idx="7">
                  <c:v>11.5006775</c:v>
                </c:pt>
                <c:pt idx="8">
                  <c:v>11.531087400000001</c:v>
                </c:pt>
                <c:pt idx="9">
                  <c:v>12.447414</c:v>
                </c:pt>
                <c:pt idx="10">
                  <c:v>11.101436700000001</c:v>
                </c:pt>
                <c:pt idx="11">
                  <c:v>10.522729500000001</c:v>
                </c:pt>
                <c:pt idx="12">
                  <c:v>10.009228999999999</c:v>
                </c:pt>
                <c:pt idx="13">
                  <c:v>9.5125226999999999</c:v>
                </c:pt>
                <c:pt idx="14">
                  <c:v>10.2012435</c:v>
                </c:pt>
                <c:pt idx="15">
                  <c:v>12.728142200000001</c:v>
                </c:pt>
                <c:pt idx="16">
                  <c:v>11.0496947</c:v>
                </c:pt>
                <c:pt idx="17">
                  <c:v>11.1067669</c:v>
                </c:pt>
                <c:pt idx="18">
                  <c:v>7.8613913000000002</c:v>
                </c:pt>
                <c:pt idx="19">
                  <c:v>7.4151128999999996</c:v>
                </c:pt>
                <c:pt idx="20">
                  <c:v>7.6226748000000004</c:v>
                </c:pt>
                <c:pt idx="21">
                  <c:v>7.9634841999999999</c:v>
                </c:pt>
                <c:pt idx="22">
                  <c:v>7.1053268000000003</c:v>
                </c:pt>
                <c:pt idx="23">
                  <c:v>6.5231918999999996</c:v>
                </c:pt>
                <c:pt idx="24">
                  <c:v>6.6157060000000003</c:v>
                </c:pt>
                <c:pt idx="25">
                  <c:v>5.9986356000000001</c:v>
                </c:pt>
                <c:pt idx="26">
                  <c:v>4.7958615</c:v>
                </c:pt>
                <c:pt idx="27">
                  <c:v>4.3523594000000001</c:v>
                </c:pt>
                <c:pt idx="28">
                  <c:v>3.9207100000000001</c:v>
                </c:pt>
                <c:pt idx="29">
                  <c:v>3.7190720000000002</c:v>
                </c:pt>
                <c:pt idx="30">
                  <c:v>3.7191809</c:v>
                </c:pt>
                <c:pt idx="31">
                  <c:v>3.8111948</c:v>
                </c:pt>
                <c:pt idx="32">
                  <c:v>4.0288089999999999</c:v>
                </c:pt>
                <c:pt idx="33">
                  <c:v>3.5797435000000002</c:v>
                </c:pt>
                <c:pt idx="34">
                  <c:v>3.1134662999999998</c:v>
                </c:pt>
                <c:pt idx="35">
                  <c:v>2.9166577999999999</c:v>
                </c:pt>
                <c:pt idx="36">
                  <c:v>2.7871514999999998</c:v>
                </c:pt>
                <c:pt idx="37">
                  <c:v>2.2453010999999998</c:v>
                </c:pt>
                <c:pt idx="38">
                  <c:v>2.0585811000000001</c:v>
                </c:pt>
                <c:pt idx="39">
                  <c:v>1.8356452999999999</c:v>
                </c:pt>
                <c:pt idx="40">
                  <c:v>1.641478</c:v>
                </c:pt>
                <c:pt idx="41">
                  <c:v>1.5307881000000001</c:v>
                </c:pt>
                <c:pt idx="42">
                  <c:v>1.4786862000000001</c:v>
                </c:pt>
                <c:pt idx="43">
                  <c:v>1.3693652999999999</c:v>
                </c:pt>
                <c:pt idx="44">
                  <c:v>1.0860274999999999</c:v>
                </c:pt>
                <c:pt idx="45">
                  <c:v>0.73297129999999999</c:v>
                </c:pt>
                <c:pt idx="46">
                  <c:v>0.81288749999999999</c:v>
                </c:pt>
              </c:numCache>
            </c:numRef>
          </c:val>
          <c:smooth val="0"/>
          <c:extLst>
            <c:ext xmlns:c16="http://schemas.microsoft.com/office/drawing/2014/chart" uri="{C3380CC4-5D6E-409C-BE32-E72D297353CC}">
              <c16:uniqueId val="{00000002-EC45-4C83-BFCA-13893E7FFE86}"/>
            </c:ext>
          </c:extLst>
        </c:ser>
        <c:dLbls>
          <c:showLegendKey val="0"/>
          <c:showVal val="0"/>
          <c:showCatName val="0"/>
          <c:showSerName val="0"/>
          <c:showPercent val="0"/>
          <c:showBubbleSize val="0"/>
        </c:dLbls>
        <c:marker val="1"/>
        <c:smooth val="0"/>
        <c:axId val="1785092576"/>
        <c:axId val="1785087296"/>
        <c:extLst>
          <c:ext xmlns:c15="http://schemas.microsoft.com/office/drawing/2012/chart" uri="{02D57815-91ED-43cb-92C2-25804820EDAC}">
            <c15:filteredLineSeries>
              <c15:ser>
                <c:idx val="3"/>
                <c:order val="3"/>
                <c:tx>
                  <c:strRef>
                    <c:extLst>
                      <c:ext uri="{02D57815-91ED-43cb-92C2-25804820EDAC}">
                        <c15:formulaRef>
                          <c15:sqref>STOCH!$R$2</c15:sqref>
                        </c15:formulaRef>
                      </c:ext>
                    </c:extLst>
                    <c:strCache>
                      <c:ptCount val="1"/>
                      <c:pt idx="0">
                        <c:v>sfa</c:v>
                      </c:pt>
                    </c:strCache>
                  </c:strRef>
                </c:tx>
                <c:spPr>
                  <a:ln w="28575" cap="rnd">
                    <a:solidFill>
                      <a:schemeClr val="accent4"/>
                    </a:solidFill>
                    <a:round/>
                  </a:ln>
                  <a:effectLst/>
                </c:spPr>
                <c:marker>
                  <c:symbol val="none"/>
                </c:marker>
                <c:cat>
                  <c:numRef>
                    <c:extLst>
                      <c:ext uri="{02D57815-91ED-43cb-92C2-25804820EDAC}">
                        <c15:formulaRef>
                          <c15:sqref>STOCH!$N$3:$N$49</c15:sqref>
                        </c15:formulaRef>
                      </c:ext>
                    </c:extLst>
                    <c:numCache>
                      <c:formatCode>0</c:formatCode>
                      <c:ptCount val="47"/>
                      <c:pt idx="0">
                        <c:v>1976</c:v>
                      </c:pt>
                      <c:pt idx="1">
                        <c:v>1977</c:v>
                      </c:pt>
                      <c:pt idx="2">
                        <c:v>1978</c:v>
                      </c:pt>
                      <c:pt idx="3">
                        <c:v>1979</c:v>
                      </c:pt>
                      <c:pt idx="4">
                        <c:v>1980</c:v>
                      </c:pt>
                      <c:pt idx="5">
                        <c:v>1981</c:v>
                      </c:pt>
                      <c:pt idx="6">
                        <c:v>1982</c:v>
                      </c:pt>
                      <c:pt idx="7">
                        <c:v>1983</c:v>
                      </c:pt>
                      <c:pt idx="8">
                        <c:v>1984</c:v>
                      </c:pt>
                      <c:pt idx="9">
                        <c:v>1985</c:v>
                      </c:pt>
                      <c:pt idx="10">
                        <c:v>1986</c:v>
                      </c:pt>
                      <c:pt idx="11">
                        <c:v>1987</c:v>
                      </c:pt>
                      <c:pt idx="12">
                        <c:v>1988</c:v>
                      </c:pt>
                      <c:pt idx="13">
                        <c:v>1989</c:v>
                      </c:pt>
                      <c:pt idx="14">
                        <c:v>1990</c:v>
                      </c:pt>
                      <c:pt idx="15">
                        <c:v>1991</c:v>
                      </c:pt>
                      <c:pt idx="16">
                        <c:v>1992</c:v>
                      </c:pt>
                      <c:pt idx="17">
                        <c:v>1993</c:v>
                      </c:pt>
                      <c:pt idx="18">
                        <c:v>1994</c:v>
                      </c:pt>
                      <c:pt idx="19">
                        <c:v>1995</c:v>
                      </c:pt>
                      <c:pt idx="20">
                        <c:v>1996</c:v>
                      </c:pt>
                      <c:pt idx="21">
                        <c:v>1997</c:v>
                      </c:pt>
                      <c:pt idx="22">
                        <c:v>1998</c:v>
                      </c:pt>
                      <c:pt idx="23">
                        <c:v>1999</c:v>
                      </c:pt>
                      <c:pt idx="24">
                        <c:v>2000</c:v>
                      </c:pt>
                      <c:pt idx="25">
                        <c:v>2001</c:v>
                      </c:pt>
                      <c:pt idx="26">
                        <c:v>2002</c:v>
                      </c:pt>
                      <c:pt idx="27">
                        <c:v>2003</c:v>
                      </c:pt>
                      <c:pt idx="28">
                        <c:v>2004</c:v>
                      </c:pt>
                      <c:pt idx="29">
                        <c:v>2005</c:v>
                      </c:pt>
                      <c:pt idx="30">
                        <c:v>2006</c:v>
                      </c:pt>
                      <c:pt idx="31">
                        <c:v>2007</c:v>
                      </c:pt>
                      <c:pt idx="32">
                        <c:v>2008</c:v>
                      </c:pt>
                      <c:pt idx="33">
                        <c:v>2009</c:v>
                      </c:pt>
                      <c:pt idx="34">
                        <c:v>2010</c:v>
                      </c:pt>
                      <c:pt idx="35">
                        <c:v>2011</c:v>
                      </c:pt>
                      <c:pt idx="36">
                        <c:v>2012</c:v>
                      </c:pt>
                      <c:pt idx="37">
                        <c:v>2013</c:v>
                      </c:pt>
                      <c:pt idx="38">
                        <c:v>2014</c:v>
                      </c:pt>
                      <c:pt idx="39">
                        <c:v>2015</c:v>
                      </c:pt>
                      <c:pt idx="40">
                        <c:v>2016</c:v>
                      </c:pt>
                      <c:pt idx="41">
                        <c:v>2017</c:v>
                      </c:pt>
                      <c:pt idx="42">
                        <c:v>2018</c:v>
                      </c:pt>
                      <c:pt idx="43">
                        <c:v>2019</c:v>
                      </c:pt>
                      <c:pt idx="44">
                        <c:v>2020</c:v>
                      </c:pt>
                      <c:pt idx="45">
                        <c:v>2021</c:v>
                      </c:pt>
                      <c:pt idx="46">
                        <c:v>2022</c:v>
                      </c:pt>
                    </c:numCache>
                  </c:numRef>
                </c:cat>
                <c:val>
                  <c:numRef>
                    <c:extLst>
                      <c:ext uri="{02D57815-91ED-43cb-92C2-25804820EDAC}">
                        <c15:formulaRef>
                          <c15:sqref>STOCH!$R$3:$R$49</c15:sqref>
                        </c15:formulaRef>
                      </c:ext>
                    </c:extLst>
                    <c:numCache>
                      <c:formatCode>General</c:formatCode>
                      <c:ptCount val="47"/>
                      <c:pt idx="0">
                        <c:v>11.502620850320326</c:v>
                      </c:pt>
                      <c:pt idx="1">
                        <c:v>9.6842663836561425</c:v>
                      </c:pt>
                      <c:pt idx="2">
                        <c:v>7.943794658895853</c:v>
                      </c:pt>
                      <c:pt idx="3">
                        <c:v>5.8507709251101323</c:v>
                      </c:pt>
                      <c:pt idx="4">
                        <c:v>6.8039338027750551</c:v>
                      </c:pt>
                      <c:pt idx="5">
                        <c:v>9.089237397220689</c:v>
                      </c:pt>
                      <c:pt idx="6">
                        <c:v>7.0322173679414997</c:v>
                      </c:pt>
                      <c:pt idx="7">
                        <c:v>6.3662254984084434</c:v>
                      </c:pt>
                      <c:pt idx="8">
                        <c:v>6.5843621399176957</c:v>
                      </c:pt>
                      <c:pt idx="9">
                        <c:v>5.8889175036483818</c:v>
                      </c:pt>
                      <c:pt idx="10">
                        <c:v>5.4711052270588425</c:v>
                      </c:pt>
                      <c:pt idx="11">
                        <c:v>4.6813160848248572</c:v>
                      </c:pt>
                      <c:pt idx="12">
                        <c:v>8.2895611485473726</c:v>
                      </c:pt>
                      <c:pt idx="13">
                        <c:v>7.963581748960892</c:v>
                      </c:pt>
                      <c:pt idx="14">
                        <c:v>6.6183665167822863</c:v>
                      </c:pt>
                      <c:pt idx="15">
                        <c:v>4.9712885073476105</c:v>
                      </c:pt>
                      <c:pt idx="16">
                        <c:v>7.3482578849284046</c:v>
                      </c:pt>
                      <c:pt idx="17">
                        <c:v>6.2187893778877115</c:v>
                      </c:pt>
                      <c:pt idx="18">
                        <c:v>3.9669858621031637</c:v>
                      </c:pt>
                      <c:pt idx="19">
                        <c:v>-1.542379932825295</c:v>
                      </c:pt>
                      <c:pt idx="20">
                        <c:v>-2.1453131275530697</c:v>
                      </c:pt>
                      <c:pt idx="21">
                        <c:v>-1.4620014981003004</c:v>
                      </c:pt>
                      <c:pt idx="22">
                        <c:v>0.76365024818633065</c:v>
                      </c:pt>
                      <c:pt idx="23">
                        <c:v>1.2685555800687069</c:v>
                      </c:pt>
                      <c:pt idx="24">
                        <c:v>10.993682297239852</c:v>
                      </c:pt>
                      <c:pt idx="25">
                        <c:v>5.8494897253643847</c:v>
                      </c:pt>
                      <c:pt idx="26">
                        <c:v>4.3775170723165822</c:v>
                      </c:pt>
                      <c:pt idx="27">
                        <c:v>5.858358209938781</c:v>
                      </c:pt>
                      <c:pt idx="28">
                        <c:v>3.9872006450068653</c:v>
                      </c:pt>
                      <c:pt idx="29">
                        <c:v>1.4755263014081257</c:v>
                      </c:pt>
                      <c:pt idx="30">
                        <c:v>4.0486532444171965</c:v>
                      </c:pt>
                      <c:pt idx="31">
                        <c:v>3.9343140608963392</c:v>
                      </c:pt>
                      <c:pt idx="32">
                        <c:v>4.2261858801122187</c:v>
                      </c:pt>
                      <c:pt idx="33">
                        <c:v>4.5392771269952181</c:v>
                      </c:pt>
                      <c:pt idx="34">
                        <c:v>4.9536788506614648</c:v>
                      </c:pt>
                      <c:pt idx="35">
                        <c:v>3.2929625551773252</c:v>
                      </c:pt>
                      <c:pt idx="36">
                        <c:v>4.362381054233798</c:v>
                      </c:pt>
                      <c:pt idx="37">
                        <c:v>1.2920845140734434</c:v>
                      </c:pt>
                      <c:pt idx="38">
                        <c:v>1.6674963870911614</c:v>
                      </c:pt>
                      <c:pt idx="39">
                        <c:v>2.8194999645197152</c:v>
                      </c:pt>
                      <c:pt idx="40">
                        <c:v>-7.8154451585615903E-2</c:v>
                      </c:pt>
                      <c:pt idx="41">
                        <c:v>4.4188934207095862E-3</c:v>
                      </c:pt>
                      <c:pt idx="42">
                        <c:v>-2.9983466260033759E-2</c:v>
                      </c:pt>
                      <c:pt idx="43">
                        <c:v>0.81298101376647847</c:v>
                      </c:pt>
                      <c:pt idx="44">
                        <c:v>3.7935119602752496</c:v>
                      </c:pt>
                      <c:pt idx="45">
                        <c:v>-1.1676888926084894</c:v>
                      </c:pt>
                      <c:pt idx="46">
                        <c:v>4.7795417744607196</c:v>
                      </c:pt>
                    </c:numCache>
                  </c:numRef>
                </c:val>
                <c:smooth val="0"/>
                <c:extLst>
                  <c:ext xmlns:c16="http://schemas.microsoft.com/office/drawing/2014/chart" uri="{C3380CC4-5D6E-409C-BE32-E72D297353CC}">
                    <c16:uniqueId val="{00000003-EC45-4C83-BFCA-13893E7FFE86}"/>
                  </c:ext>
                </c:extLst>
              </c15:ser>
            </c15:filteredLineSeries>
          </c:ext>
        </c:extLst>
      </c:lineChart>
      <c:lineChart>
        <c:grouping val="standard"/>
        <c:varyColors val="0"/>
        <c:ser>
          <c:idx val="0"/>
          <c:order val="0"/>
          <c:tx>
            <c:strRef>
              <c:f>STOCH!$O$2</c:f>
              <c:strCache>
                <c:ptCount val="1"/>
                <c:pt idx="0">
                  <c:v>d_ngdp</c:v>
                </c:pt>
              </c:strCache>
            </c:strRef>
          </c:tx>
          <c:spPr>
            <a:ln w="28575" cap="rnd">
              <a:solidFill>
                <a:schemeClr val="accent1"/>
              </a:solidFill>
              <a:round/>
            </a:ln>
            <a:effectLst/>
          </c:spPr>
          <c:marker>
            <c:symbol val="none"/>
          </c:marker>
          <c:cat>
            <c:numRef>
              <c:f>STOCH!$N$3:$N$49</c:f>
              <c:numCache>
                <c:formatCode>0</c:formatCode>
                <c:ptCount val="47"/>
                <c:pt idx="0">
                  <c:v>1976</c:v>
                </c:pt>
                <c:pt idx="1">
                  <c:v>1977</c:v>
                </c:pt>
                <c:pt idx="2">
                  <c:v>1978</c:v>
                </c:pt>
                <c:pt idx="3">
                  <c:v>1979</c:v>
                </c:pt>
                <c:pt idx="4">
                  <c:v>1980</c:v>
                </c:pt>
                <c:pt idx="5">
                  <c:v>1981</c:v>
                </c:pt>
                <c:pt idx="6">
                  <c:v>1982</c:v>
                </c:pt>
                <c:pt idx="7">
                  <c:v>1983</c:v>
                </c:pt>
                <c:pt idx="8">
                  <c:v>1984</c:v>
                </c:pt>
                <c:pt idx="9">
                  <c:v>1985</c:v>
                </c:pt>
                <c:pt idx="10">
                  <c:v>1986</c:v>
                </c:pt>
                <c:pt idx="11">
                  <c:v>1987</c:v>
                </c:pt>
                <c:pt idx="12">
                  <c:v>1988</c:v>
                </c:pt>
                <c:pt idx="13">
                  <c:v>1989</c:v>
                </c:pt>
                <c:pt idx="14">
                  <c:v>1990</c:v>
                </c:pt>
                <c:pt idx="15">
                  <c:v>1991</c:v>
                </c:pt>
                <c:pt idx="16">
                  <c:v>1992</c:v>
                </c:pt>
                <c:pt idx="17">
                  <c:v>1993</c:v>
                </c:pt>
                <c:pt idx="18">
                  <c:v>1994</c:v>
                </c:pt>
                <c:pt idx="19">
                  <c:v>1995</c:v>
                </c:pt>
                <c:pt idx="20">
                  <c:v>1996</c:v>
                </c:pt>
                <c:pt idx="21">
                  <c:v>1997</c:v>
                </c:pt>
                <c:pt idx="22">
                  <c:v>1998</c:v>
                </c:pt>
                <c:pt idx="23">
                  <c:v>1999</c:v>
                </c:pt>
                <c:pt idx="24">
                  <c:v>2000</c:v>
                </c:pt>
                <c:pt idx="25">
                  <c:v>2001</c:v>
                </c:pt>
                <c:pt idx="26">
                  <c:v>2002</c:v>
                </c:pt>
                <c:pt idx="27">
                  <c:v>2003</c:v>
                </c:pt>
                <c:pt idx="28">
                  <c:v>2004</c:v>
                </c:pt>
                <c:pt idx="29">
                  <c:v>2005</c:v>
                </c:pt>
                <c:pt idx="30">
                  <c:v>2006</c:v>
                </c:pt>
                <c:pt idx="31">
                  <c:v>2007</c:v>
                </c:pt>
                <c:pt idx="32">
                  <c:v>2008</c:v>
                </c:pt>
                <c:pt idx="33">
                  <c:v>2009</c:v>
                </c:pt>
                <c:pt idx="34">
                  <c:v>2010</c:v>
                </c:pt>
                <c:pt idx="35">
                  <c:v>2011</c:v>
                </c:pt>
                <c:pt idx="36">
                  <c:v>2012</c:v>
                </c:pt>
                <c:pt idx="37">
                  <c:v>2013</c:v>
                </c:pt>
                <c:pt idx="38">
                  <c:v>2014</c:v>
                </c:pt>
                <c:pt idx="39">
                  <c:v>2015</c:v>
                </c:pt>
                <c:pt idx="40">
                  <c:v>2016</c:v>
                </c:pt>
                <c:pt idx="41">
                  <c:v>2017</c:v>
                </c:pt>
                <c:pt idx="42">
                  <c:v>2018</c:v>
                </c:pt>
                <c:pt idx="43">
                  <c:v>2019</c:v>
                </c:pt>
                <c:pt idx="44">
                  <c:v>2020</c:v>
                </c:pt>
                <c:pt idx="45">
                  <c:v>2021</c:v>
                </c:pt>
                <c:pt idx="46">
                  <c:v>2022</c:v>
                </c:pt>
              </c:numCache>
            </c:numRef>
          </c:cat>
          <c:val>
            <c:numRef>
              <c:f>STOCH!$O$3:$O$49</c:f>
              <c:numCache>
                <c:formatCode>General</c:formatCode>
                <c:ptCount val="47"/>
                <c:pt idx="0">
                  <c:v>0.13551942683934967</c:v>
                </c:pt>
                <c:pt idx="1">
                  <c:v>9.7553873034362346E-2</c:v>
                </c:pt>
                <c:pt idx="2">
                  <c:v>0.10776510126470318</c:v>
                </c:pt>
                <c:pt idx="3">
                  <c:v>0.15987385733104478</c:v>
                </c:pt>
                <c:pt idx="4">
                  <c:v>0.15834939427312761</c:v>
                </c:pt>
                <c:pt idx="5">
                  <c:v>0.13102772083073369</c:v>
                </c:pt>
                <c:pt idx="6">
                  <c:v>0.1244122205584889</c:v>
                </c:pt>
                <c:pt idx="7">
                  <c:v>0.11562273672406152</c:v>
                </c:pt>
                <c:pt idx="8">
                  <c:v>0.1195342603451164</c:v>
                </c:pt>
                <c:pt idx="9">
                  <c:v>8.9506172839506112E-2</c:v>
                </c:pt>
                <c:pt idx="10">
                  <c:v>7.6367070134775533E-2</c:v>
                </c:pt>
                <c:pt idx="11">
                  <c:v>8.0120587625412673E-2</c:v>
                </c:pt>
                <c:pt idx="12">
                  <c:v>0.13301140055526028</c:v>
                </c:pt>
                <c:pt idx="13">
                  <c:v>0.11949480599038106</c:v>
                </c:pt>
                <c:pt idx="14">
                  <c:v>5.9005017987914889E-2</c:v>
                </c:pt>
                <c:pt idx="15">
                  <c:v>-4.4635495113182884E-2</c:v>
                </c:pt>
                <c:pt idx="16">
                  <c:v>-2.4361615208460446E-2</c:v>
                </c:pt>
                <c:pt idx="17">
                  <c:v>1.0922129697341441E-2</c:v>
                </c:pt>
                <c:pt idx="18">
                  <c:v>5.8815979838521458E-2</c:v>
                </c:pt>
                <c:pt idx="19">
                  <c:v>8.5951360345568675E-2</c:v>
                </c:pt>
                <c:pt idx="20">
                  <c:v>3.5860333438188022E-2</c:v>
                </c:pt>
                <c:pt idx="21">
                  <c:v>8.5459870889374373E-2</c:v>
                </c:pt>
                <c:pt idx="22">
                  <c:v>8.7241780753923498E-2</c:v>
                </c:pt>
                <c:pt idx="23">
                  <c:v>5.3472118465394965E-2</c:v>
                </c:pt>
                <c:pt idx="24">
                  <c:v>7.5057518358599473E-2</c:v>
                </c:pt>
                <c:pt idx="25">
                  <c:v>5.999618885680346E-2</c:v>
                </c:pt>
                <c:pt idx="26">
                  <c:v>2.6675332577370942E-2</c:v>
                </c:pt>
                <c:pt idx="27">
                  <c:v>2.1975135703029277E-2</c:v>
                </c:pt>
                <c:pt idx="28">
                  <c:v>4.6188113265985375E-2</c:v>
                </c:pt>
                <c:pt idx="29">
                  <c:v>3.7346149485380273E-2</c:v>
                </c:pt>
                <c:pt idx="30">
                  <c:v>4.98521437636242E-2</c:v>
                </c:pt>
                <c:pt idx="31">
                  <c:v>8.1985228199448298E-2</c:v>
                </c:pt>
                <c:pt idx="32">
                  <c:v>3.8450436195689275E-2</c:v>
                </c:pt>
                <c:pt idx="33">
                  <c:v>-6.4437752554500155E-2</c:v>
                </c:pt>
                <c:pt idx="34">
                  <c:v>3.5191777580922852E-2</c:v>
                </c:pt>
                <c:pt idx="35">
                  <c:v>5.2380370250288293E-2</c:v>
                </c:pt>
                <c:pt idx="36">
                  <c:v>1.5348639885251446E-2</c:v>
                </c:pt>
                <c:pt idx="37">
                  <c:v>1.6335301461919905E-2</c:v>
                </c:pt>
                <c:pt idx="38">
                  <c:v>1.2607612531262051E-2</c:v>
                </c:pt>
                <c:pt idx="39">
                  <c:v>2.1691953000768496E-2</c:v>
                </c:pt>
                <c:pt idx="40">
                  <c:v>2.901341154765007E-2</c:v>
                </c:pt>
                <c:pt idx="41">
                  <c:v>4.0378267545674321E-2</c:v>
                </c:pt>
                <c:pt idx="42">
                  <c:v>3.1643695785701351E-2</c:v>
                </c:pt>
                <c:pt idx="43">
                  <c:v>2.7396321457025193E-2</c:v>
                </c:pt>
                <c:pt idx="44">
                  <c:v>-7.5878227951537711E-3</c:v>
                </c:pt>
                <c:pt idx="45">
                  <c:v>5.4130012855090323E-2</c:v>
                </c:pt>
                <c:pt idx="46">
                  <c:v>7.0627244214360507E-2</c:v>
                </c:pt>
              </c:numCache>
            </c:numRef>
          </c:val>
          <c:smooth val="0"/>
          <c:extLst>
            <c:ext xmlns:c16="http://schemas.microsoft.com/office/drawing/2014/chart" uri="{C3380CC4-5D6E-409C-BE32-E72D297353CC}">
              <c16:uniqueId val="{00000000-EC45-4C83-BFCA-13893E7FFE86}"/>
            </c:ext>
          </c:extLst>
        </c:ser>
        <c:dLbls>
          <c:showLegendKey val="0"/>
          <c:showVal val="0"/>
          <c:showCatName val="0"/>
          <c:showSerName val="0"/>
          <c:showPercent val="0"/>
          <c:showBubbleSize val="0"/>
        </c:dLbls>
        <c:marker val="1"/>
        <c:smooth val="0"/>
        <c:axId val="1002193984"/>
        <c:axId val="1002189184"/>
      </c:lineChart>
      <c:catAx>
        <c:axId val="1785092576"/>
        <c:scaling>
          <c:orientation val="minMax"/>
        </c:scaling>
        <c:delete val="0"/>
        <c:axPos val="b"/>
        <c:numFmt formatCode="0" sourceLinked="1"/>
        <c:majorTickMark val="none"/>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fi-FI"/>
          </a:p>
        </c:txPr>
        <c:crossAx val="1785087296"/>
        <c:crosses val="autoZero"/>
        <c:auto val="1"/>
        <c:lblAlgn val="ctr"/>
        <c:lblOffset val="100"/>
        <c:noMultiLvlLbl val="0"/>
      </c:catAx>
      <c:valAx>
        <c:axId val="1785087296"/>
        <c:scaling>
          <c:orientation val="minMax"/>
        </c:scaling>
        <c:delete val="0"/>
        <c:axPos val="l"/>
        <c:majorGridlines>
          <c:spPr>
            <a:ln w="9525" cap="flat" cmpd="sng" algn="ctr">
              <a:solidFill>
                <a:schemeClr val="tx1">
                  <a:lumMod val="15000"/>
                  <a:lumOff val="85000"/>
                </a:schemeClr>
              </a:solidFill>
              <a:round/>
            </a:ln>
            <a:effectLst/>
          </c:spPr>
        </c:majorGridlines>
        <c:numFmt formatCode="General" sourceLinked="1"/>
        <c:majorTickMark val="none"/>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fi-FI"/>
          </a:p>
        </c:txPr>
        <c:crossAx val="1785092576"/>
        <c:crosses val="autoZero"/>
        <c:crossBetween val="between"/>
      </c:valAx>
      <c:valAx>
        <c:axId val="1002189184"/>
        <c:scaling>
          <c:orientation val="minMax"/>
        </c:scaling>
        <c:delete val="0"/>
        <c:axPos val="r"/>
        <c:numFmt formatCode="General" sourceLinked="1"/>
        <c:majorTickMark val="out"/>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fi-FI"/>
          </a:p>
        </c:txPr>
        <c:crossAx val="1002193984"/>
        <c:crosses val="max"/>
        <c:crossBetween val="between"/>
      </c:valAx>
      <c:catAx>
        <c:axId val="1002193984"/>
        <c:scaling>
          <c:orientation val="minMax"/>
        </c:scaling>
        <c:delete val="1"/>
        <c:axPos val="b"/>
        <c:numFmt formatCode="0" sourceLinked="1"/>
        <c:majorTickMark val="out"/>
        <c:minorTickMark val="none"/>
        <c:tickLblPos val="nextTo"/>
        <c:crossAx val="1002189184"/>
        <c:crosses val="autoZero"/>
        <c:auto val="1"/>
        <c:lblAlgn val="ctr"/>
        <c:lblOffset val="100"/>
        <c:noMultiLvlLbl val="0"/>
      </c:catAx>
      <c:spPr>
        <a:noFill/>
        <a:ln>
          <a:noFill/>
        </a:ln>
        <a:effectLst/>
      </c:spPr>
    </c:plotArea>
    <c:legend>
      <c:legendPos val="b"/>
      <c:overlay val="0"/>
      <c:spPr>
        <a:noFill/>
        <a:ln>
          <a:noFill/>
        </a:ln>
        <a:effectLst/>
      </c:spPr>
      <c:txPr>
        <a:bodyPr rot="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fi-FI"/>
        </a:p>
      </c:txPr>
    </c:legend>
    <c:plotVisOnly val="1"/>
    <c:dispBlanksAs val="gap"/>
    <c:extLst>
      <c:ext xmlns:c16r3="http://schemas.microsoft.com/office/drawing/2017/03/chart" uri="{56B9EC1D-385E-4148-901F-78D8002777C0}">
        <c16r3:dataDisplayOptions16>
          <c16r3:dispNaAsBlank val="1"/>
        </c16r3:dataDisplayOptions16>
      </c:ext>
    </c:extLst>
    <c:showDLblsOverMax val="0"/>
  </c:chart>
  <c:spPr>
    <a:solidFill>
      <a:schemeClr val="bg1"/>
    </a:solidFill>
    <a:ln w="9525" cap="flat" cmpd="sng" algn="ctr">
      <a:solidFill>
        <a:schemeClr val="tx1">
          <a:lumMod val="15000"/>
          <a:lumOff val="85000"/>
        </a:schemeClr>
      </a:solidFill>
      <a:round/>
    </a:ln>
    <a:effectLst/>
  </c:spPr>
  <c:txPr>
    <a:bodyPr/>
    <a:lstStyle/>
    <a:p>
      <a:pPr>
        <a:defRPr/>
      </a:pPr>
      <a:endParaRPr lang="fi-FI"/>
    </a:p>
  </c:txPr>
  <c:printSettings>
    <c:headerFooter/>
    <c:pageMargins b="0.75" l="0.7" r="0.7" t="0.75" header="0.3" footer="0.3"/>
    <c:pageSetup/>
  </c:printSettings>
</c:chartSpace>
</file>

<file path=xl/charts/colors1.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style1.xml><?xml version="1.0" encoding="utf-8"?>
<cs:chartStyle xmlns:cs="http://schemas.microsoft.com/office/drawing/2012/chartStyle" xmlns:a="http://schemas.openxmlformats.org/drawingml/2006/main" id="227">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spPr>
      <a:solidFill>
        <a:schemeClr val="phClr"/>
      </a:solidFill>
    </cs:spPr>
  </cs:dataPoint>
  <cs:dataPoint3D>
    <cs:lnRef idx="0"/>
    <cs:fillRef idx="1">
      <cs:styleClr val="auto"/>
    </cs:fillRef>
    <cs:effectRef idx="0"/>
    <cs:fontRef idx="minor">
      <a:schemeClr val="tx1"/>
    </cs:fontRef>
    <cs:spPr>
      <a:solidFill>
        <a:schemeClr val="phClr"/>
      </a:solidFill>
    </cs:spPr>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solidFill>
        <a:schemeClr val="phClr"/>
      </a:solidFill>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dk1"/>
    </cs:fontRef>
    <cs:spPr>
      <a:solidFill>
        <a:schemeClr val="dk1">
          <a:lumMod val="65000"/>
          <a:lumOff val="35000"/>
        </a:schemeClr>
      </a:solidFill>
      <a:ln w="9525">
        <a:solidFill>
          <a:schemeClr val="tx1">
            <a:lumMod val="65000"/>
            <a:lumOff val="35000"/>
          </a:schemeClr>
        </a:solidFill>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75000"/>
            <a:lumOff val="25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dk1"/>
    </cs:fontRef>
    <cs:spPr>
      <a:solidFill>
        <a:schemeClr val="lt1"/>
      </a:solidFill>
      <a:ln w="9525">
        <a:solidFill>
          <a:schemeClr val="tx1">
            <a:lumMod val="15000"/>
            <a:lumOff val="85000"/>
          </a:schemeClr>
        </a:solidFill>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drawings/_rels/drawing1.xml.rels><?xml version="1.0" encoding="UTF-8" standalone="yes"?>
<Relationships xmlns="http://schemas.openxmlformats.org/package/2006/relationships"><Relationship Id="rId1" Type="http://schemas.openxmlformats.org/officeDocument/2006/relationships/image" Target="../media/image1.jpeg"/></Relationships>
</file>

<file path=xl/drawings/_rels/drawing3.xml.rels><?xml version="1.0" encoding="UTF-8" standalone="yes"?>
<Relationships xmlns="http://schemas.openxmlformats.org/package/2006/relationships"><Relationship Id="rId1" Type="http://schemas.openxmlformats.org/officeDocument/2006/relationships/chart" Target="../charts/chart1.xml"/></Relationships>
</file>

<file path=xl/drawings/_rels/drawing4.xml.rels><?xml version="1.0" encoding="UTF-8" standalone="yes"?>
<Relationships xmlns="http://schemas.openxmlformats.org/package/2006/relationships"><Relationship Id="rId1" Type="http://schemas.openxmlformats.org/officeDocument/2006/relationships/chart" Target="../charts/chart2.xml"/></Relationships>
</file>

<file path=xl/drawings/drawing1.xml><?xml version="1.0" encoding="utf-8"?>
<xdr:wsDr xmlns:xdr="http://schemas.openxmlformats.org/drawingml/2006/spreadsheetDrawing" xmlns:a="http://schemas.openxmlformats.org/drawingml/2006/main">
  <xdr:twoCellAnchor editAs="oneCell">
    <xdr:from>
      <xdr:col>1</xdr:col>
      <xdr:colOff>88354</xdr:colOff>
      <xdr:row>1</xdr:row>
      <xdr:rowOff>121091</xdr:rowOff>
    </xdr:from>
    <xdr:to>
      <xdr:col>5</xdr:col>
      <xdr:colOff>16549</xdr:colOff>
      <xdr:row>9</xdr:row>
      <xdr:rowOff>2950</xdr:rowOff>
    </xdr:to>
    <xdr:pic>
      <xdr:nvPicPr>
        <xdr:cNvPr id="2" name="Picture 1">
          <a:extLst>
            <a:ext uri="{FF2B5EF4-FFF2-40B4-BE49-F238E27FC236}">
              <a16:creationId xmlns:a16="http://schemas.microsoft.com/office/drawing/2014/main" id="{5DF9B7FF-C014-4B8E-95A6-509766BF47FB}"/>
            </a:ext>
          </a:extLst>
        </xdr:cNvPr>
        <xdr:cNvPicPr>
          <a:picLocks noChangeAspect="1"/>
        </xdr:cNvPicPr>
      </xdr:nvPicPr>
      <xdr:blipFill>
        <a:blip xmlns:r="http://schemas.openxmlformats.org/officeDocument/2006/relationships" r:embed="rId1" cstate="print">
          <a:extLst>
            <a:ext uri="{28A0092B-C50C-407E-A947-70E740481C1C}">
              <a14:useLocalDpi xmlns:a14="http://schemas.microsoft.com/office/drawing/2010/main" val="0"/>
            </a:ext>
          </a:extLst>
        </a:blip>
        <a:stretch>
          <a:fillRect/>
        </a:stretch>
      </xdr:blipFill>
      <xdr:spPr>
        <a:xfrm>
          <a:off x="730339" y="303971"/>
          <a:ext cx="2124660" cy="1327754"/>
        </a:xfrm>
        <a:prstGeom prst="rect">
          <a:avLst/>
        </a:prstGeom>
      </xdr:spPr>
    </xdr:pic>
    <xdr:clientData/>
  </xdr:twoCellAnchor>
</xdr:wsDr>
</file>

<file path=xl/drawings/drawing2.xml><?xml version="1.0" encoding="utf-8"?>
<xdr:wsDr xmlns:xdr="http://schemas.openxmlformats.org/drawingml/2006/spreadsheetDrawing" xmlns:a="http://schemas.openxmlformats.org/drawingml/2006/main">
  <xdr:twoCellAnchor>
    <xdr:from>
      <xdr:col>6</xdr:col>
      <xdr:colOff>97153</xdr:colOff>
      <xdr:row>4</xdr:row>
      <xdr:rowOff>38102</xdr:rowOff>
    </xdr:from>
    <xdr:to>
      <xdr:col>6</xdr:col>
      <xdr:colOff>600075</xdr:colOff>
      <xdr:row>5</xdr:row>
      <xdr:rowOff>137163</xdr:rowOff>
    </xdr:to>
    <xdr:sp macro="" textlink="">
      <xdr:nvSpPr>
        <xdr:cNvPr id="3" name="Arrow: Down 2">
          <a:extLst>
            <a:ext uri="{FF2B5EF4-FFF2-40B4-BE49-F238E27FC236}">
              <a16:creationId xmlns:a16="http://schemas.microsoft.com/office/drawing/2014/main" id="{870E84B9-D7D9-4AE0-8686-64A30E36AF6E}"/>
            </a:ext>
          </a:extLst>
        </xdr:cNvPr>
        <xdr:cNvSpPr/>
      </xdr:nvSpPr>
      <xdr:spPr>
        <a:xfrm rot="5400000">
          <a:off x="6010273" y="601982"/>
          <a:ext cx="274321" cy="502922"/>
        </a:xfrm>
        <a:prstGeom prst="downArrow">
          <a:avLst/>
        </a:prstGeom>
      </xdr:spPr>
      <xdr:style>
        <a:lnRef idx="2">
          <a:schemeClr val="accent2">
            <a:shade val="50000"/>
          </a:schemeClr>
        </a:lnRef>
        <a:fillRef idx="1">
          <a:schemeClr val="accent2"/>
        </a:fillRef>
        <a:effectRef idx="0">
          <a:schemeClr val="accent2"/>
        </a:effectRef>
        <a:fontRef idx="minor">
          <a:schemeClr val="lt1"/>
        </a:fontRef>
      </xdr:style>
      <xdr:txBody>
        <a:bodyPr vertOverflow="clip" horzOverflow="clip" rtlCol="0" anchor="t"/>
        <a:lstStyle/>
        <a:p>
          <a:pPr algn="l"/>
          <a:endParaRPr lang="en-IE" sz="1100"/>
        </a:p>
      </xdr:txBody>
    </xdr:sp>
    <xdr:clientData/>
  </xdr:twoCellAnchor>
</xdr:wsDr>
</file>

<file path=xl/drawings/drawing3.xml><?xml version="1.0" encoding="utf-8"?>
<xdr:wsDr xmlns:xdr="http://schemas.openxmlformats.org/drawingml/2006/spreadsheetDrawing" xmlns:a="http://schemas.openxmlformats.org/drawingml/2006/main">
  <xdr:twoCellAnchor>
    <xdr:from>
      <xdr:col>10</xdr:col>
      <xdr:colOff>87630</xdr:colOff>
      <xdr:row>21</xdr:row>
      <xdr:rowOff>9525</xdr:rowOff>
    </xdr:from>
    <xdr:to>
      <xdr:col>19</xdr:col>
      <xdr:colOff>377190</xdr:colOff>
      <xdr:row>42</xdr:row>
      <xdr:rowOff>83820</xdr:rowOff>
    </xdr:to>
    <xdr:graphicFrame macro="">
      <xdr:nvGraphicFramePr>
        <xdr:cNvPr id="9" name="Chart stochastic">
          <a:extLst>
            <a:ext uri="{FF2B5EF4-FFF2-40B4-BE49-F238E27FC236}">
              <a16:creationId xmlns:a16="http://schemas.microsoft.com/office/drawing/2014/main" id="{9ECBE4A0-5C2C-8A7C-9086-251DAC5F43F5}"/>
            </a:ext>
          </a:extLst>
        </xdr:cNvPr>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
        </a:graphicData>
      </a:graphic>
    </xdr:graphicFrame>
    <xdr:clientData/>
  </xdr:twoCellAnchor>
</xdr:wsDr>
</file>

<file path=xl/drawings/drawing4.xml><?xml version="1.0" encoding="utf-8"?>
<xdr:wsDr xmlns:xdr="http://schemas.openxmlformats.org/drawingml/2006/spreadsheetDrawing" xmlns:a="http://schemas.openxmlformats.org/drawingml/2006/main">
  <xdr:twoCellAnchor>
    <xdr:from>
      <xdr:col>20</xdr:col>
      <xdr:colOff>33337</xdr:colOff>
      <xdr:row>33</xdr:row>
      <xdr:rowOff>76200</xdr:rowOff>
    </xdr:from>
    <xdr:to>
      <xdr:col>32</xdr:col>
      <xdr:colOff>104775</xdr:colOff>
      <xdr:row>50</xdr:row>
      <xdr:rowOff>171450</xdr:rowOff>
    </xdr:to>
    <xdr:graphicFrame macro="">
      <xdr:nvGraphicFramePr>
        <xdr:cNvPr id="8" name="Chart 7">
          <a:extLst>
            <a:ext uri="{FF2B5EF4-FFF2-40B4-BE49-F238E27FC236}">
              <a16:creationId xmlns:a16="http://schemas.microsoft.com/office/drawing/2014/main" id="{3D79E064-C35E-E4C1-0506-B25ACB876189}"/>
            </a:ext>
          </a:extLst>
        </xdr:cNvPr>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
        </a:graphicData>
      </a:graphic>
    </xdr:graphicFrame>
    <xdr:clientData/>
  </xdr:twoCellAnchor>
</xdr:wsDr>
</file>

<file path=xl/theme/theme1.xml><?xml version="1.0" encoding="utf-8"?>
<a:theme xmlns:a="http://schemas.openxmlformats.org/drawingml/2006/main" name="Office Theme 2007 - 2010">
  <a:themeElements>
    <a:clrScheme name="Office 2007 - 2010">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2007 - 2010">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2007 - 2010">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theme/themeOverride1.xml><?xml version="1.0" encoding="utf-8"?>
<a:themeOverride xmlns:a="http://schemas.openxmlformats.org/drawingml/2006/main">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Override>
</file>

<file path=xl/webextensions/_rels/taskpanes.xml.rels><?xml version="1.0" encoding="UTF-8" standalone="yes"?>
<Relationships xmlns="http://schemas.openxmlformats.org/package/2006/relationships"><Relationship Id="rId1" Type="http://schemas.microsoft.com/office/2011/relationships/webextension" Target="webextension1.xml"/></Relationships>
</file>

<file path=xl/webextensions/taskpanes.xml><?xml version="1.0" encoding="utf-8"?>
<wetp:taskpanes xmlns:wetp="http://schemas.microsoft.com/office/webextensions/taskpanes/2010/11">
  <wetp:taskpane dockstate="right" visibility="0" width="350" row="5">
    <wetp:webextensionref xmlns:r="http://schemas.openxmlformats.org/officeDocument/2006/relationships" r:id="rId1"/>
  </wetp:taskpane>
</wetp:taskpanes>
</file>

<file path=xl/webextensions/webextension1.xml><?xml version="1.0" encoding="utf-8"?>
<we:webextension xmlns:we="http://schemas.microsoft.com/office/webextensions/webextension/2010/11" id="{13B7DC54-38DF-4F97-8302-BDF605CAF2E1}">
  <we:reference id="dc57e6d2-28bf-4130-be1a-5961fe0ee311" version="1.0.0.0" store="https://eceuropaeu.sharepoint.com/sites/AppCatalog" storeType="SPCatalog"/>
  <we:alternateReferences/>
  <we:properties/>
  <we:bindings/>
  <we:snapshot xmlns:r="http://schemas.openxmlformats.org/officeDocument/2006/relationships"/>
</we:webextension>
</file>

<file path=xl/worksheets/_rels/sheet1.xml.rels><?xml version="1.0" encoding="UTF-8" standalone="yes"?>
<Relationships xmlns="http://schemas.openxmlformats.org/package/2006/relationships"><Relationship Id="rId3" Type="http://schemas.openxmlformats.org/officeDocument/2006/relationships/drawing" Target="../drawings/drawing1.xml"/><Relationship Id="rId2" Type="http://schemas.openxmlformats.org/officeDocument/2006/relationships/printerSettings" Target="../printerSettings/printerSettings1.bin"/><Relationship Id="rId1" Type="http://schemas.openxmlformats.org/officeDocument/2006/relationships/hyperlink" Target="mailto:ECFIN-Secretariat-C2@ec.europa.eu" TargetMode="External"/></Relationships>
</file>

<file path=xl/worksheets/_rels/sheet2.xml.rels><?xml version="1.0" encoding="UTF-8" standalone="yes"?>
<Relationships xmlns="http://schemas.openxmlformats.org/package/2006/relationships"><Relationship Id="rId2" Type="http://schemas.openxmlformats.org/officeDocument/2006/relationships/drawing" Target="../drawings/drawing2.xml"/><Relationship Id="rId1" Type="http://schemas.openxmlformats.org/officeDocument/2006/relationships/printerSettings" Target="../printerSettings/printerSettings2.bin"/></Relationships>
</file>

<file path=xl/worksheets/_rels/sheet3.xml.rels><?xml version="1.0" encoding="UTF-8" standalone="yes"?>
<Relationships xmlns="http://schemas.openxmlformats.org/package/2006/relationships"><Relationship Id="rId1" Type="http://schemas.openxmlformats.org/officeDocument/2006/relationships/printerSettings" Target="../printerSettings/printerSettings3.bin"/></Relationships>
</file>

<file path=xl/worksheets/_rels/sheet4.xml.rels><?xml version="1.0" encoding="UTF-8" standalone="yes"?>
<Relationships xmlns="http://schemas.openxmlformats.org/package/2006/relationships"><Relationship Id="rId1" Type="http://schemas.openxmlformats.org/officeDocument/2006/relationships/printerSettings" Target="../printerSettings/printerSettings4.bin"/></Relationships>
</file>

<file path=xl/worksheets/_rels/sheet5.xml.rels><?xml version="1.0" encoding="UTF-8" standalone="yes"?>
<Relationships xmlns="http://schemas.openxmlformats.org/package/2006/relationships"><Relationship Id="rId1" Type="http://schemas.openxmlformats.org/officeDocument/2006/relationships/printerSettings" Target="../printerSettings/printerSettings5.bin"/></Relationships>
</file>

<file path=xl/worksheets/_rels/sheet6.xml.rels><?xml version="1.0" encoding="UTF-8" standalone="yes"?>
<Relationships xmlns="http://schemas.openxmlformats.org/package/2006/relationships"><Relationship Id="rId1" Type="http://schemas.openxmlformats.org/officeDocument/2006/relationships/printerSettings" Target="../printerSettings/printerSettings6.bin"/></Relationships>
</file>

<file path=xl/worksheets/_rels/sheet7.xml.rels><?xml version="1.0" encoding="UTF-8" standalone="yes"?>
<Relationships xmlns="http://schemas.openxmlformats.org/package/2006/relationships"><Relationship Id="rId1" Type="http://schemas.openxmlformats.org/officeDocument/2006/relationships/printerSettings" Target="../printerSettings/printerSettings7.bin"/></Relationships>
</file>

<file path=xl/worksheets/_rels/sheet8.xml.rels><?xml version="1.0" encoding="UTF-8" standalone="yes"?>
<Relationships xmlns="http://schemas.openxmlformats.org/package/2006/relationships"><Relationship Id="rId1" Type="http://schemas.openxmlformats.org/officeDocument/2006/relationships/printerSettings" Target="../printerSettings/printerSettings8.bin"/></Relationships>
</file>

<file path=xl/worksheets/_rels/sheet9.xml.rels><?xml version="1.0" encoding="UTF-8" standalone="yes"?>
<Relationships xmlns="http://schemas.openxmlformats.org/package/2006/relationships"><Relationship Id="rId1" Type="http://schemas.openxmlformats.org/officeDocument/2006/relationships/printerSettings" Target="../printerSettings/printerSettings9.bin"/></Relationships>
</file>

<file path=xl/worksheets/_rels/sheet10.xml.rels><?xml version="1.0" encoding="UTF-8" standalone="yes"?>
<Relationships xmlns="http://schemas.openxmlformats.org/package/2006/relationships"><Relationship Id="rId2" Type="http://schemas.openxmlformats.org/officeDocument/2006/relationships/drawing" Target="../drawings/drawing3.xml"/><Relationship Id="rId1" Type="http://schemas.openxmlformats.org/officeDocument/2006/relationships/printerSettings" Target="../printerSettings/printerSettings10.bin"/></Relationships>
</file>

<file path=xl/worksheets/_rels/sheet11.xml.rels><?xml version="1.0" encoding="UTF-8" standalone="yes"?>
<Relationships xmlns="http://schemas.openxmlformats.org/package/2006/relationships"><Relationship Id="rId1" Type="http://schemas.openxmlformats.org/officeDocument/2006/relationships/printerSettings" Target="../printerSettings/printerSettings11.bin"/></Relationships>
</file>

<file path=xl/worksheets/_rels/sheet12.xml.rels><?xml version="1.0" encoding="UTF-8" standalone="yes"?>
<Relationships xmlns="http://schemas.openxmlformats.org/package/2006/relationships"><Relationship Id="rId1" Type="http://schemas.openxmlformats.org/officeDocument/2006/relationships/printerSettings" Target="../printerSettings/printerSettings12.bin"/></Relationships>
</file>

<file path=xl/worksheets/_rels/sheet13.xml.rels><?xml version="1.0" encoding="UTF-8" standalone="yes"?>
<Relationships xmlns="http://schemas.openxmlformats.org/package/2006/relationships"><Relationship Id="rId1" Type="http://schemas.openxmlformats.org/officeDocument/2006/relationships/drawing" Target="../drawings/drawing4.xm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sheetPr codeName="Sheet16">
    <tabColor theme="1"/>
  </sheetPr>
  <dimension ref="B2:N87"/>
  <sheetViews>
    <sheetView topLeftCell="A54" zoomScaleNormal="100" workbookViewId="0">
      <selection activeCell="D59" sqref="D59"/>
    </sheetView>
  </sheetViews>
  <sheetFormatPr defaultColWidth="9.28515625" defaultRowHeight="15" x14ac:dyDescent="0.25"/>
  <cols>
    <col min="1" max="3" width="9.28515625" style="172"/>
    <col min="4" max="4" width="7.28515625" style="172" customWidth="1"/>
    <col min="5" max="5" width="6.140625" style="172" customWidth="1"/>
    <col min="6" max="6" width="3.140625" style="172" customWidth="1"/>
    <col min="7" max="13" width="9.28515625" style="172"/>
    <col min="14" max="14" width="18.140625" style="172" customWidth="1"/>
    <col min="15" max="16384" width="9.28515625" style="172"/>
  </cols>
  <sheetData>
    <row r="2" spans="2:12" x14ac:dyDescent="0.25">
      <c r="B2" s="168"/>
      <c r="C2" s="169"/>
      <c r="D2" s="169"/>
      <c r="E2" s="169"/>
      <c r="F2" s="169"/>
      <c r="G2" s="170"/>
      <c r="H2" s="169"/>
      <c r="I2" s="169"/>
      <c r="J2" s="169"/>
      <c r="K2" s="169"/>
      <c r="L2" s="171"/>
    </row>
    <row r="3" spans="2:12" x14ac:dyDescent="0.25">
      <c r="B3" s="173"/>
      <c r="C3" s="174"/>
      <c r="D3" s="174"/>
      <c r="E3" s="174"/>
      <c r="F3" s="174"/>
      <c r="G3" s="175"/>
      <c r="H3" s="174"/>
      <c r="I3" s="174"/>
      <c r="J3" s="174"/>
      <c r="K3" s="174"/>
      <c r="L3" s="176"/>
    </row>
    <row r="4" spans="2:12" x14ac:dyDescent="0.25">
      <c r="B4" s="173"/>
      <c r="C4" s="174"/>
      <c r="D4" s="174"/>
      <c r="E4" s="174"/>
      <c r="F4" s="174"/>
      <c r="G4" s="177" t="s">
        <v>0</v>
      </c>
      <c r="H4" s="174"/>
      <c r="I4" s="174"/>
      <c r="J4" s="174"/>
      <c r="K4" s="174"/>
      <c r="L4" s="176"/>
    </row>
    <row r="5" spans="2:12" x14ac:dyDescent="0.25">
      <c r="B5" s="173"/>
      <c r="C5" s="174"/>
      <c r="D5" s="174"/>
      <c r="E5" s="174"/>
      <c r="F5" s="174"/>
      <c r="G5" s="175"/>
      <c r="H5" s="174"/>
      <c r="I5" s="174"/>
      <c r="J5" s="174"/>
      <c r="K5" s="174"/>
      <c r="L5" s="176"/>
    </row>
    <row r="6" spans="2:12" x14ac:dyDescent="0.25">
      <c r="B6" s="173"/>
      <c r="C6" s="174"/>
      <c r="D6" s="174"/>
      <c r="E6" s="174"/>
      <c r="F6" s="174"/>
      <c r="G6" s="175" t="s">
        <v>1</v>
      </c>
      <c r="H6" s="174"/>
      <c r="I6" s="174"/>
      <c r="J6" s="174"/>
      <c r="K6" s="174"/>
      <c r="L6" s="176"/>
    </row>
    <row r="7" spans="2:12" x14ac:dyDescent="0.25">
      <c r="B7" s="173"/>
      <c r="C7" s="174"/>
      <c r="D7" s="174"/>
      <c r="E7" s="174"/>
      <c r="F7" s="174"/>
      <c r="G7" s="175" t="s">
        <v>2</v>
      </c>
      <c r="H7" s="174"/>
      <c r="I7" s="174"/>
      <c r="J7" s="174"/>
      <c r="K7" s="174"/>
      <c r="L7" s="176"/>
    </row>
    <row r="8" spans="2:12" x14ac:dyDescent="0.25">
      <c r="B8" s="173"/>
      <c r="C8" s="174"/>
      <c r="D8" s="174"/>
      <c r="E8" s="174"/>
      <c r="F8" s="174"/>
      <c r="G8" s="178" t="s">
        <v>3</v>
      </c>
      <c r="H8" s="174"/>
      <c r="I8" s="174"/>
      <c r="J8" s="174"/>
      <c r="K8" s="174"/>
      <c r="L8" s="176"/>
    </row>
    <row r="9" spans="2:12" x14ac:dyDescent="0.25">
      <c r="B9" s="173"/>
      <c r="C9" s="174"/>
      <c r="D9" s="174"/>
      <c r="E9" s="174"/>
      <c r="F9" s="174"/>
      <c r="G9" s="175"/>
      <c r="H9" s="174"/>
      <c r="I9" s="174"/>
      <c r="J9" s="174"/>
      <c r="K9" s="174"/>
      <c r="L9" s="176"/>
    </row>
    <row r="10" spans="2:12" x14ac:dyDescent="0.25">
      <c r="B10" s="173"/>
      <c r="C10" s="174"/>
      <c r="D10" s="174"/>
      <c r="E10" s="174"/>
      <c r="F10" s="174"/>
      <c r="G10" s="175"/>
      <c r="H10" s="174"/>
      <c r="I10" s="174"/>
      <c r="J10" s="174"/>
      <c r="K10" s="174"/>
      <c r="L10" s="176"/>
    </row>
    <row r="11" spans="2:12" x14ac:dyDescent="0.25">
      <c r="B11" s="179"/>
      <c r="C11" s="180"/>
      <c r="D11" s="180"/>
      <c r="E11" s="180"/>
      <c r="F11" s="180"/>
      <c r="G11" s="180"/>
      <c r="H11" s="180"/>
      <c r="I11" s="180"/>
      <c r="J11" s="180"/>
      <c r="K11" s="180"/>
      <c r="L11" s="181"/>
    </row>
    <row r="15" spans="2:12" x14ac:dyDescent="0.25">
      <c r="B15" s="168"/>
      <c r="C15" s="169"/>
      <c r="D15" s="169"/>
      <c r="E15" s="169"/>
      <c r="F15" s="169"/>
      <c r="G15" s="169"/>
      <c r="H15" s="169"/>
      <c r="I15" s="169"/>
      <c r="J15" s="169"/>
      <c r="K15" s="169"/>
      <c r="L15" s="171"/>
    </row>
    <row r="16" spans="2:12" x14ac:dyDescent="0.25">
      <c r="B16" s="173"/>
      <c r="C16" s="177" t="s">
        <v>4</v>
      </c>
      <c r="D16" s="175"/>
      <c r="E16" s="175"/>
      <c r="F16" s="175"/>
      <c r="G16" s="175"/>
      <c r="H16" s="175"/>
      <c r="I16" s="175"/>
      <c r="J16" s="175"/>
      <c r="K16" s="175"/>
      <c r="L16" s="176"/>
    </row>
    <row r="17" spans="2:14" x14ac:dyDescent="0.25">
      <c r="B17" s="173"/>
      <c r="C17" s="175"/>
      <c r="D17" s="175"/>
      <c r="E17" s="175"/>
      <c r="F17" s="175"/>
      <c r="G17" s="177"/>
      <c r="H17" s="175"/>
      <c r="I17" s="175"/>
      <c r="J17" s="175"/>
      <c r="K17" s="175"/>
      <c r="L17" s="176"/>
    </row>
    <row r="18" spans="2:14" ht="15" customHeight="1" x14ac:dyDescent="0.25">
      <c r="B18" s="173"/>
      <c r="C18" s="434" t="s">
        <v>254</v>
      </c>
      <c r="D18" s="434"/>
      <c r="E18" s="434"/>
      <c r="F18" s="434"/>
      <c r="G18" s="434"/>
      <c r="H18" s="434"/>
      <c r="I18" s="434"/>
      <c r="J18" s="434"/>
      <c r="K18" s="434"/>
      <c r="L18" s="176"/>
      <c r="N18" s="288"/>
    </row>
    <row r="19" spans="2:14" x14ac:dyDescent="0.25">
      <c r="B19" s="173"/>
      <c r="C19" s="434"/>
      <c r="D19" s="434"/>
      <c r="E19" s="434"/>
      <c r="F19" s="434"/>
      <c r="G19" s="434"/>
      <c r="H19" s="434"/>
      <c r="I19" s="434"/>
      <c r="J19" s="434"/>
      <c r="K19" s="434"/>
      <c r="L19" s="176"/>
    </row>
    <row r="20" spans="2:14" x14ac:dyDescent="0.25">
      <c r="B20" s="173"/>
      <c r="C20" s="434"/>
      <c r="D20" s="434"/>
      <c r="E20" s="434"/>
      <c r="F20" s="434"/>
      <c r="G20" s="434"/>
      <c r="H20" s="434"/>
      <c r="I20" s="434"/>
      <c r="J20" s="434"/>
      <c r="K20" s="434"/>
      <c r="L20" s="176"/>
    </row>
    <row r="21" spans="2:14" ht="9" customHeight="1" x14ac:dyDescent="0.25">
      <c r="B21" s="173"/>
      <c r="C21" s="175"/>
      <c r="D21" s="175"/>
      <c r="E21" s="175"/>
      <c r="F21" s="175"/>
      <c r="G21" s="175"/>
      <c r="H21" s="175"/>
      <c r="I21" s="175"/>
      <c r="J21" s="175"/>
      <c r="K21" s="175"/>
      <c r="L21" s="176"/>
    </row>
    <row r="22" spans="2:14" ht="15" customHeight="1" x14ac:dyDescent="0.25">
      <c r="B22" s="173"/>
      <c r="C22" s="434" t="s">
        <v>277</v>
      </c>
      <c r="D22" s="434"/>
      <c r="E22" s="434"/>
      <c r="F22" s="434"/>
      <c r="G22" s="434"/>
      <c r="H22" s="434"/>
      <c r="I22" s="434"/>
      <c r="J22" s="434"/>
      <c r="K22" s="434"/>
      <c r="L22" s="176"/>
    </row>
    <row r="23" spans="2:14" x14ac:dyDescent="0.25">
      <c r="B23" s="173"/>
      <c r="C23" s="434"/>
      <c r="D23" s="434"/>
      <c r="E23" s="434"/>
      <c r="F23" s="434"/>
      <c r="G23" s="434"/>
      <c r="H23" s="434"/>
      <c r="I23" s="434"/>
      <c r="J23" s="434"/>
      <c r="K23" s="434"/>
      <c r="L23" s="176"/>
    </row>
    <row r="24" spans="2:14" x14ac:dyDescent="0.25">
      <c r="B24" s="173"/>
      <c r="C24" s="434"/>
      <c r="D24" s="434"/>
      <c r="E24" s="434"/>
      <c r="F24" s="434"/>
      <c r="G24" s="434"/>
      <c r="H24" s="434"/>
      <c r="I24" s="434"/>
      <c r="J24" s="434"/>
      <c r="K24" s="434"/>
      <c r="L24" s="176"/>
    </row>
    <row r="25" spans="2:14" ht="30" customHeight="1" x14ac:dyDescent="0.25">
      <c r="B25" s="173"/>
      <c r="C25" s="434"/>
      <c r="D25" s="434"/>
      <c r="E25" s="434"/>
      <c r="F25" s="434"/>
      <c r="G25" s="434"/>
      <c r="H25" s="434"/>
      <c r="I25" s="434"/>
      <c r="J25" s="434"/>
      <c r="K25" s="434"/>
      <c r="L25" s="176"/>
      <c r="N25" s="268"/>
    </row>
    <row r="26" spans="2:14" x14ac:dyDescent="0.25">
      <c r="B26" s="173"/>
      <c r="C26" s="217"/>
      <c r="D26" s="217"/>
      <c r="E26" s="217"/>
      <c r="F26" s="217"/>
      <c r="G26" s="217"/>
      <c r="H26" s="217"/>
      <c r="I26" s="217"/>
      <c r="J26" s="217"/>
      <c r="K26" s="217"/>
      <c r="L26" s="176"/>
    </row>
    <row r="27" spans="2:14" x14ac:dyDescent="0.25">
      <c r="B27" s="173"/>
      <c r="C27" s="436" t="s">
        <v>5</v>
      </c>
      <c r="D27" s="436"/>
      <c r="E27" s="436"/>
      <c r="F27" s="436"/>
      <c r="G27" s="436"/>
      <c r="H27" s="436"/>
      <c r="I27" s="436"/>
      <c r="J27" s="436"/>
      <c r="K27" s="436"/>
      <c r="L27" s="176"/>
    </row>
    <row r="28" spans="2:14" x14ac:dyDescent="0.25">
      <c r="B28" s="173"/>
      <c r="C28" s="293"/>
      <c r="D28" s="293"/>
      <c r="E28" s="293"/>
      <c r="F28" s="293"/>
      <c r="G28" s="293"/>
      <c r="H28" s="293"/>
      <c r="I28" s="293"/>
      <c r="J28" s="293"/>
      <c r="K28" s="293"/>
      <c r="L28" s="176"/>
    </row>
    <row r="29" spans="2:14" ht="230.1" customHeight="1" x14ac:dyDescent="0.25">
      <c r="B29" s="173"/>
      <c r="C29" s="434" t="s">
        <v>289</v>
      </c>
      <c r="D29" s="434"/>
      <c r="E29" s="434"/>
      <c r="F29" s="434"/>
      <c r="G29" s="434"/>
      <c r="H29" s="434"/>
      <c r="I29" s="434"/>
      <c r="J29" s="434"/>
      <c r="K29" s="434"/>
      <c r="L29" s="176"/>
      <c r="N29" s="289"/>
    </row>
    <row r="30" spans="2:14" x14ac:dyDescent="0.25">
      <c r="B30" s="173"/>
      <c r="C30" s="293"/>
      <c r="D30" s="293"/>
      <c r="E30" s="293"/>
      <c r="F30" s="293"/>
      <c r="G30" s="293"/>
      <c r="H30" s="293"/>
      <c r="I30" s="293"/>
      <c r="J30" s="293"/>
      <c r="K30" s="293"/>
      <c r="L30" s="176"/>
      <c r="N30" s="194"/>
    </row>
    <row r="31" spans="2:14" x14ac:dyDescent="0.25">
      <c r="B31" s="173"/>
      <c r="C31" s="439" t="s">
        <v>6</v>
      </c>
      <c r="D31" s="439"/>
      <c r="E31" s="439"/>
      <c r="F31" s="439"/>
      <c r="G31" s="439"/>
      <c r="H31" s="439"/>
      <c r="I31" s="439"/>
      <c r="J31" s="439"/>
      <c r="K31" s="439"/>
      <c r="L31" s="176"/>
    </row>
    <row r="32" spans="2:14" x14ac:dyDescent="0.25">
      <c r="B32" s="173"/>
      <c r="C32" s="217"/>
      <c r="D32" s="182"/>
      <c r="E32" s="182"/>
      <c r="F32" s="182"/>
      <c r="G32" s="182"/>
      <c r="H32" s="182"/>
      <c r="I32" s="182"/>
      <c r="J32" s="182"/>
      <c r="K32" s="182"/>
      <c r="L32" s="176"/>
    </row>
    <row r="33" spans="2:14" ht="36" customHeight="1" thickBot="1" x14ac:dyDescent="0.3">
      <c r="B33" s="173"/>
      <c r="C33" s="183"/>
      <c r="D33" s="434" t="s">
        <v>268</v>
      </c>
      <c r="E33" s="434"/>
      <c r="F33" s="434"/>
      <c r="G33" s="434"/>
      <c r="H33" s="434"/>
      <c r="I33" s="434"/>
      <c r="J33" s="434"/>
      <c r="K33" s="434"/>
      <c r="L33" s="176"/>
      <c r="M33" s="267"/>
      <c r="N33" s="291"/>
    </row>
    <row r="34" spans="2:14" s="376" customFormat="1" ht="50.1" customHeight="1" thickTop="1" thickBot="1" x14ac:dyDescent="0.25">
      <c r="B34" s="371"/>
      <c r="C34" s="372"/>
      <c r="D34" s="193"/>
      <c r="E34" s="373"/>
      <c r="F34" s="447" t="s">
        <v>284</v>
      </c>
      <c r="G34" s="437"/>
      <c r="H34" s="437"/>
      <c r="I34" s="437"/>
      <c r="J34" s="437"/>
      <c r="K34" s="437"/>
      <c r="L34" s="374"/>
      <c r="M34" s="375"/>
      <c r="N34" s="291"/>
    </row>
    <row r="35" spans="2:14" s="376" customFormat="1" ht="33" customHeight="1" thickTop="1" x14ac:dyDescent="0.2">
      <c r="B35" s="371"/>
      <c r="C35" s="372"/>
      <c r="D35" s="193"/>
      <c r="E35" s="377"/>
      <c r="F35" s="437" t="s">
        <v>285</v>
      </c>
      <c r="G35" s="437"/>
      <c r="H35" s="437"/>
      <c r="I35" s="437"/>
      <c r="J35" s="437"/>
      <c r="K35" s="437"/>
      <c r="L35" s="374"/>
      <c r="M35" s="375"/>
      <c r="N35" s="291"/>
    </row>
    <row r="36" spans="2:14" s="376" customFormat="1" ht="33" customHeight="1" x14ac:dyDescent="0.2">
      <c r="B36" s="371"/>
      <c r="C36" s="372"/>
      <c r="D36" s="193"/>
      <c r="E36" s="378"/>
      <c r="F36" s="437"/>
      <c r="G36" s="437"/>
      <c r="H36" s="437"/>
      <c r="I36" s="437"/>
      <c r="J36" s="437"/>
      <c r="K36" s="437"/>
      <c r="L36" s="374"/>
      <c r="M36" s="375"/>
      <c r="N36" s="291"/>
    </row>
    <row r="37" spans="2:14" s="376" customFormat="1" ht="66" customHeight="1" x14ac:dyDescent="0.2">
      <c r="B37" s="371"/>
      <c r="C37" s="372"/>
      <c r="D37" s="193"/>
      <c r="E37" s="379"/>
      <c r="F37" s="437" t="s">
        <v>286</v>
      </c>
      <c r="G37" s="437"/>
      <c r="H37" s="437"/>
      <c r="I37" s="437"/>
      <c r="J37" s="437"/>
      <c r="K37" s="437"/>
      <c r="L37" s="374"/>
      <c r="M37" s="375"/>
      <c r="N37" s="291"/>
    </row>
    <row r="38" spans="2:14" ht="9" customHeight="1" x14ac:dyDescent="0.25">
      <c r="B38" s="173"/>
      <c r="C38" s="183"/>
      <c r="D38" s="445"/>
      <c r="E38" s="445"/>
      <c r="F38" s="445"/>
      <c r="G38" s="445"/>
      <c r="H38" s="445"/>
      <c r="I38" s="445"/>
      <c r="J38" s="445"/>
      <c r="K38" s="445"/>
      <c r="L38" s="446"/>
      <c r="M38" s="267"/>
      <c r="N38" s="291"/>
    </row>
    <row r="39" spans="2:14" ht="102.75" customHeight="1" x14ac:dyDescent="0.25">
      <c r="B39" s="173"/>
      <c r="C39" s="183"/>
      <c r="D39" s="434" t="s">
        <v>269</v>
      </c>
      <c r="E39" s="434"/>
      <c r="F39" s="434"/>
      <c r="G39" s="434"/>
      <c r="H39" s="434"/>
      <c r="I39" s="434"/>
      <c r="J39" s="434"/>
      <c r="K39" s="434"/>
      <c r="L39" s="176"/>
      <c r="M39" s="267"/>
      <c r="N39" s="291"/>
    </row>
    <row r="40" spans="2:14" ht="52.5" customHeight="1" x14ac:dyDescent="0.25">
      <c r="B40" s="173"/>
      <c r="C40" s="183"/>
      <c r="D40" s="434" t="s">
        <v>281</v>
      </c>
      <c r="E40" s="434"/>
      <c r="F40" s="434"/>
      <c r="G40" s="434"/>
      <c r="H40" s="434"/>
      <c r="I40" s="434"/>
      <c r="J40" s="434"/>
      <c r="K40" s="434"/>
      <c r="L40" s="176"/>
      <c r="M40" s="267"/>
      <c r="N40" s="269"/>
    </row>
    <row r="41" spans="2:14" ht="41.25" customHeight="1" x14ac:dyDescent="0.25">
      <c r="B41" s="173"/>
      <c r="C41" s="183"/>
      <c r="D41" s="434" t="s">
        <v>279</v>
      </c>
      <c r="E41" s="434"/>
      <c r="F41" s="434"/>
      <c r="G41" s="434"/>
      <c r="H41" s="434"/>
      <c r="I41" s="434"/>
      <c r="J41" s="434"/>
      <c r="K41" s="434"/>
      <c r="L41" s="176"/>
      <c r="M41" s="267"/>
      <c r="N41" s="269"/>
    </row>
    <row r="42" spans="2:14" ht="96.75" customHeight="1" x14ac:dyDescent="0.25">
      <c r="B42" s="173"/>
      <c r="C42" s="183"/>
      <c r="D42" s="434" t="s">
        <v>280</v>
      </c>
      <c r="E42" s="434"/>
      <c r="F42" s="434"/>
      <c r="G42" s="434"/>
      <c r="H42" s="434"/>
      <c r="I42" s="434"/>
      <c r="J42" s="434"/>
      <c r="K42" s="434"/>
      <c r="L42" s="176"/>
      <c r="M42" s="267"/>
      <c r="N42" s="291"/>
    </row>
    <row r="43" spans="2:14" ht="144" customHeight="1" x14ac:dyDescent="0.25">
      <c r="B43" s="173"/>
      <c r="C43" s="183"/>
      <c r="D43" s="434" t="s">
        <v>267</v>
      </c>
      <c r="E43" s="434"/>
      <c r="F43" s="434"/>
      <c r="G43" s="434"/>
      <c r="H43" s="434"/>
      <c r="I43" s="434"/>
      <c r="J43" s="434"/>
      <c r="K43" s="434"/>
      <c r="L43" s="176"/>
      <c r="M43" s="267"/>
      <c r="N43" s="291"/>
    </row>
    <row r="44" spans="2:14" ht="66" customHeight="1" x14ac:dyDescent="0.25">
      <c r="B44" s="173"/>
      <c r="C44" s="183"/>
      <c r="D44" s="434" t="s">
        <v>266</v>
      </c>
      <c r="E44" s="434"/>
      <c r="F44" s="434"/>
      <c r="G44" s="434"/>
      <c r="H44" s="434"/>
      <c r="I44" s="434"/>
      <c r="J44" s="434"/>
      <c r="K44" s="434"/>
      <c r="L44" s="176"/>
      <c r="M44" s="267"/>
      <c r="N44" s="269"/>
    </row>
    <row r="45" spans="2:14" ht="68.25" customHeight="1" x14ac:dyDescent="0.25">
      <c r="B45" s="173"/>
      <c r="C45" s="183"/>
      <c r="D45" s="434" t="s">
        <v>278</v>
      </c>
      <c r="E45" s="434"/>
      <c r="F45" s="434"/>
      <c r="G45" s="434"/>
      <c r="H45" s="434"/>
      <c r="I45" s="434"/>
      <c r="J45" s="434"/>
      <c r="K45" s="434"/>
      <c r="L45" s="176"/>
      <c r="M45" s="267"/>
      <c r="N45" s="269"/>
    </row>
    <row r="46" spans="2:14" x14ac:dyDescent="0.25">
      <c r="B46" s="173"/>
      <c r="C46" s="217"/>
      <c r="D46" s="182"/>
      <c r="E46" s="182"/>
      <c r="F46" s="182"/>
      <c r="G46" s="182"/>
      <c r="H46" s="182"/>
      <c r="I46" s="182"/>
      <c r="J46" s="182"/>
      <c r="K46" s="182"/>
      <c r="L46" s="176"/>
    </row>
    <row r="47" spans="2:14" ht="61.9" customHeight="1" x14ac:dyDescent="0.25">
      <c r="B47" s="173"/>
      <c r="C47" s="184"/>
      <c r="D47" s="434" t="s">
        <v>183</v>
      </c>
      <c r="E47" s="434"/>
      <c r="F47" s="434"/>
      <c r="G47" s="434"/>
      <c r="H47" s="434"/>
      <c r="I47" s="434"/>
      <c r="J47" s="434"/>
      <c r="K47" s="434"/>
      <c r="L47" s="176"/>
      <c r="N47" s="291"/>
    </row>
    <row r="48" spans="2:14" ht="32.450000000000003" customHeight="1" x14ac:dyDescent="0.25">
      <c r="B48" s="173"/>
      <c r="C48" s="184"/>
      <c r="D48" s="434" t="s">
        <v>7</v>
      </c>
      <c r="E48" s="434"/>
      <c r="F48" s="434"/>
      <c r="G48" s="434"/>
      <c r="H48" s="434"/>
      <c r="I48" s="434"/>
      <c r="J48" s="434"/>
      <c r="K48" s="434"/>
      <c r="L48" s="176"/>
    </row>
    <row r="49" spans="2:14" ht="33.6" customHeight="1" x14ac:dyDescent="0.25">
      <c r="B49" s="173"/>
      <c r="C49" s="184"/>
      <c r="D49" s="185"/>
      <c r="E49" s="186"/>
      <c r="F49" s="434" t="s">
        <v>270</v>
      </c>
      <c r="G49" s="434"/>
      <c r="H49" s="434"/>
      <c r="I49" s="434"/>
      <c r="J49" s="434"/>
      <c r="K49" s="434"/>
      <c r="L49" s="176"/>
    </row>
    <row r="50" spans="2:14" ht="98.25" customHeight="1" x14ac:dyDescent="0.25">
      <c r="B50" s="173"/>
      <c r="C50" s="184"/>
      <c r="D50" s="185"/>
      <c r="E50" s="361"/>
      <c r="F50" s="437" t="s">
        <v>272</v>
      </c>
      <c r="G50" s="437"/>
      <c r="H50" s="437"/>
      <c r="I50" s="437"/>
      <c r="J50" s="437"/>
      <c r="K50" s="437"/>
      <c r="L50" s="176"/>
    </row>
    <row r="51" spans="2:14" ht="32.25" customHeight="1" x14ac:dyDescent="0.25">
      <c r="B51" s="173"/>
      <c r="C51" s="184"/>
      <c r="D51" s="185"/>
      <c r="E51" s="187"/>
      <c r="F51" s="440" t="s">
        <v>245</v>
      </c>
      <c r="G51" s="440"/>
      <c r="H51" s="440"/>
      <c r="I51" s="440"/>
      <c r="J51" s="440"/>
      <c r="K51" s="440"/>
      <c r="L51" s="176"/>
    </row>
    <row r="52" spans="2:14" ht="92.25" customHeight="1" x14ac:dyDescent="0.25">
      <c r="B52" s="173"/>
      <c r="C52" s="184"/>
      <c r="D52" s="185"/>
      <c r="E52" s="242"/>
      <c r="F52" s="440" t="s">
        <v>8</v>
      </c>
      <c r="G52" s="440"/>
      <c r="H52" s="440"/>
      <c r="I52" s="440"/>
      <c r="J52" s="440"/>
      <c r="K52" s="440"/>
      <c r="L52" s="176"/>
    </row>
    <row r="53" spans="2:14" ht="23.25" customHeight="1" x14ac:dyDescent="0.25">
      <c r="B53" s="173"/>
      <c r="C53" s="184"/>
      <c r="D53" s="185"/>
      <c r="E53" s="197"/>
      <c r="F53" s="440" t="s">
        <v>9</v>
      </c>
      <c r="G53" s="440"/>
      <c r="H53" s="440"/>
      <c r="I53" s="440"/>
      <c r="J53" s="440"/>
      <c r="K53" s="440"/>
      <c r="L53" s="176"/>
    </row>
    <row r="54" spans="2:14" ht="121.5" customHeight="1" x14ac:dyDescent="0.25">
      <c r="B54" s="173"/>
      <c r="C54" s="184"/>
      <c r="D54" s="434" t="s">
        <v>273</v>
      </c>
      <c r="E54" s="434"/>
      <c r="F54" s="434"/>
      <c r="G54" s="434"/>
      <c r="H54" s="434"/>
      <c r="I54" s="434"/>
      <c r="J54" s="434"/>
      <c r="K54" s="434"/>
      <c r="L54" s="176"/>
      <c r="N54" s="290"/>
    </row>
    <row r="55" spans="2:14" x14ac:dyDescent="0.25">
      <c r="B55" s="173"/>
      <c r="C55" s="217"/>
      <c r="D55" s="292"/>
      <c r="E55" s="292"/>
      <c r="F55" s="292"/>
      <c r="G55" s="292"/>
      <c r="H55" s="292"/>
      <c r="I55" s="292"/>
      <c r="J55" s="292"/>
      <c r="K55" s="292"/>
      <c r="L55" s="176"/>
      <c r="N55" s="290"/>
    </row>
    <row r="56" spans="2:14" ht="98.25" customHeight="1" x14ac:dyDescent="0.25">
      <c r="B56" s="173"/>
      <c r="C56" s="434" t="s">
        <v>198</v>
      </c>
      <c r="D56" s="434"/>
      <c r="E56" s="434"/>
      <c r="F56" s="434"/>
      <c r="G56" s="434"/>
      <c r="H56" s="434"/>
      <c r="I56" s="434"/>
      <c r="J56" s="434"/>
      <c r="K56" s="434"/>
      <c r="L56" s="176"/>
      <c r="N56" s="290"/>
    </row>
    <row r="57" spans="2:14" x14ac:dyDescent="0.25">
      <c r="B57" s="173"/>
      <c r="C57" s="217"/>
      <c r="D57" s="292"/>
      <c r="E57" s="292"/>
      <c r="F57" s="292"/>
      <c r="G57" s="292"/>
      <c r="H57" s="292"/>
      <c r="I57" s="292"/>
      <c r="J57" s="292"/>
      <c r="K57" s="292"/>
      <c r="L57" s="176"/>
      <c r="N57" s="290"/>
    </row>
    <row r="58" spans="2:14" ht="48.75" customHeight="1" x14ac:dyDescent="0.25">
      <c r="B58" s="173"/>
      <c r="C58" s="297"/>
      <c r="D58" s="434" t="s">
        <v>295</v>
      </c>
      <c r="E58" s="434"/>
      <c r="F58" s="434"/>
      <c r="G58" s="434"/>
      <c r="H58" s="434"/>
      <c r="I58" s="434"/>
      <c r="J58" s="434"/>
      <c r="K58" s="434"/>
      <c r="L58" s="176"/>
      <c r="N58" s="290"/>
    </row>
    <row r="59" spans="2:14" x14ac:dyDescent="0.25">
      <c r="B59" s="173"/>
      <c r="C59" s="217"/>
      <c r="D59" s="292"/>
      <c r="E59" s="292"/>
      <c r="F59" s="292"/>
      <c r="G59" s="292"/>
      <c r="H59" s="292"/>
      <c r="I59" s="292"/>
      <c r="J59" s="292"/>
      <c r="K59" s="292"/>
      <c r="L59" s="176"/>
      <c r="N59" s="290"/>
    </row>
    <row r="60" spans="2:14" ht="97.5" customHeight="1" x14ac:dyDescent="0.25">
      <c r="B60" s="173"/>
      <c r="C60" s="298"/>
      <c r="D60" s="434" t="s">
        <v>274</v>
      </c>
      <c r="E60" s="434"/>
      <c r="F60" s="434"/>
      <c r="G60" s="434"/>
      <c r="H60" s="434"/>
      <c r="I60" s="434"/>
      <c r="J60" s="434"/>
      <c r="K60" s="434"/>
      <c r="L60" s="176"/>
      <c r="N60" s="290"/>
    </row>
    <row r="61" spans="2:14" x14ac:dyDescent="0.25">
      <c r="B61" s="173"/>
      <c r="C61" s="217"/>
      <c r="D61" s="217"/>
      <c r="E61" s="217"/>
      <c r="F61" s="217"/>
      <c r="G61" s="217"/>
      <c r="H61" s="217"/>
      <c r="I61" s="217"/>
      <c r="J61" s="217"/>
      <c r="K61" s="217"/>
      <c r="L61" s="176"/>
    </row>
    <row r="62" spans="2:14" ht="54" customHeight="1" x14ac:dyDescent="0.25">
      <c r="B62" s="173"/>
      <c r="C62" s="243"/>
      <c r="D62" s="434" t="s">
        <v>275</v>
      </c>
      <c r="E62" s="434"/>
      <c r="F62" s="434"/>
      <c r="G62" s="434"/>
      <c r="H62" s="434"/>
      <c r="I62" s="434"/>
      <c r="J62" s="434"/>
      <c r="K62" s="434"/>
      <c r="L62" s="176"/>
    </row>
    <row r="63" spans="2:14" x14ac:dyDescent="0.25">
      <c r="B63" s="173"/>
      <c r="C63" s="244"/>
      <c r="D63" s="442" t="s">
        <v>191</v>
      </c>
      <c r="E63" s="442"/>
      <c r="F63" s="442"/>
      <c r="G63" s="442"/>
      <c r="H63" s="442"/>
      <c r="I63" s="442"/>
      <c r="J63" s="442"/>
      <c r="K63" s="442"/>
      <c r="L63" s="176"/>
    </row>
    <row r="64" spans="2:14" x14ac:dyDescent="0.25">
      <c r="B64" s="173"/>
      <c r="C64" s="244"/>
      <c r="D64" s="443" t="s">
        <v>10</v>
      </c>
      <c r="E64" s="443"/>
      <c r="F64" s="443"/>
      <c r="G64" s="443"/>
      <c r="H64" s="443"/>
      <c r="I64" s="443"/>
      <c r="J64" s="443"/>
      <c r="K64" s="443"/>
      <c r="L64" s="176"/>
    </row>
    <row r="65" spans="2:14" x14ac:dyDescent="0.25">
      <c r="B65" s="173"/>
      <c r="C65" s="244"/>
      <c r="D65" s="443" t="s">
        <v>11</v>
      </c>
      <c r="E65" s="443"/>
      <c r="F65" s="443"/>
      <c r="G65" s="443"/>
      <c r="H65" s="443"/>
      <c r="I65" s="443"/>
      <c r="J65" s="443"/>
      <c r="K65" s="443"/>
      <c r="L65" s="176"/>
    </row>
    <row r="66" spans="2:14" x14ac:dyDescent="0.25">
      <c r="B66" s="173"/>
      <c r="C66" s="244"/>
      <c r="D66" s="443" t="s">
        <v>12</v>
      </c>
      <c r="E66" s="443"/>
      <c r="F66" s="443"/>
      <c r="G66" s="443"/>
      <c r="H66" s="443"/>
      <c r="I66" s="443"/>
      <c r="J66" s="443"/>
      <c r="K66" s="443"/>
      <c r="L66" s="176"/>
    </row>
    <row r="67" spans="2:14" x14ac:dyDescent="0.25">
      <c r="B67" s="173"/>
      <c r="C67" s="244"/>
      <c r="D67" s="294"/>
      <c r="E67" s="294"/>
      <c r="F67" s="294"/>
      <c r="G67" s="294"/>
      <c r="H67" s="294"/>
      <c r="I67" s="294"/>
      <c r="J67" s="294"/>
      <c r="K67" s="294"/>
      <c r="L67" s="176"/>
    </row>
    <row r="68" spans="2:14" ht="33.75" customHeight="1" x14ac:dyDescent="0.25">
      <c r="B68" s="173"/>
      <c r="C68" s="244"/>
      <c r="D68" s="434" t="s">
        <v>197</v>
      </c>
      <c r="E68" s="444"/>
      <c r="F68" s="444"/>
      <c r="G68" s="444"/>
      <c r="H68" s="444"/>
      <c r="I68" s="444"/>
      <c r="J68" s="444"/>
      <c r="K68" s="444"/>
      <c r="L68" s="176"/>
      <c r="N68" s="195"/>
    </row>
    <row r="69" spans="2:14" x14ac:dyDescent="0.25">
      <c r="B69" s="173"/>
      <c r="C69" s="217"/>
      <c r="D69" s="293"/>
      <c r="E69" s="293"/>
      <c r="F69" s="293"/>
      <c r="G69" s="293"/>
      <c r="H69" s="293"/>
      <c r="I69" s="293"/>
      <c r="J69" s="293"/>
      <c r="K69" s="293"/>
      <c r="L69" s="176"/>
    </row>
    <row r="70" spans="2:14" ht="52.5" customHeight="1" x14ac:dyDescent="0.25">
      <c r="B70" s="173"/>
      <c r="C70" s="301"/>
      <c r="D70" s="434" t="s">
        <v>200</v>
      </c>
      <c r="E70" s="434"/>
      <c r="F70" s="434"/>
      <c r="G70" s="434"/>
      <c r="H70" s="434"/>
      <c r="I70" s="434"/>
      <c r="J70" s="434"/>
      <c r="K70" s="434"/>
      <c r="L70" s="176"/>
    </row>
    <row r="71" spans="2:14" x14ac:dyDescent="0.25">
      <c r="B71" s="173"/>
      <c r="C71" s="217"/>
      <c r="D71" s="193"/>
      <c r="E71" s="193"/>
      <c r="F71" s="193"/>
      <c r="G71" s="193"/>
      <c r="H71" s="193"/>
      <c r="I71" s="193"/>
      <c r="J71" s="193"/>
      <c r="K71" s="193"/>
      <c r="L71" s="176"/>
    </row>
    <row r="72" spans="2:14" ht="46.15" customHeight="1" x14ac:dyDescent="0.25">
      <c r="B72" s="173"/>
      <c r="C72" s="441" t="s">
        <v>199</v>
      </c>
      <c r="D72" s="441"/>
      <c r="E72" s="441"/>
      <c r="F72" s="441"/>
      <c r="G72" s="441"/>
      <c r="H72" s="441"/>
      <c r="I72" s="441"/>
      <c r="J72" s="441"/>
      <c r="K72" s="441"/>
      <c r="L72" s="176"/>
    </row>
    <row r="73" spans="2:14" ht="38.25" customHeight="1" x14ac:dyDescent="0.25">
      <c r="B73" s="173"/>
      <c r="C73" s="217"/>
      <c r="D73" s="186"/>
      <c r="E73" s="437" t="s">
        <v>173</v>
      </c>
      <c r="F73" s="437"/>
      <c r="G73" s="437"/>
      <c r="H73" s="437"/>
      <c r="I73" s="437"/>
      <c r="J73" s="437"/>
      <c r="K73" s="437"/>
      <c r="L73" s="176"/>
      <c r="N73" s="267"/>
    </row>
    <row r="74" spans="2:14" ht="45.6" customHeight="1" x14ac:dyDescent="0.25">
      <c r="B74" s="173"/>
      <c r="C74" s="217"/>
      <c r="D74" s="188"/>
      <c r="E74" s="437" t="s">
        <v>184</v>
      </c>
      <c r="F74" s="437"/>
      <c r="G74" s="437"/>
      <c r="H74" s="437"/>
      <c r="I74" s="437"/>
      <c r="J74" s="437"/>
      <c r="K74" s="437"/>
      <c r="L74" s="176"/>
      <c r="N74" s="291"/>
    </row>
    <row r="75" spans="2:14" ht="45" customHeight="1" x14ac:dyDescent="0.25">
      <c r="B75" s="173"/>
      <c r="C75" s="217"/>
      <c r="D75" s="189"/>
      <c r="E75" s="437" t="s">
        <v>164</v>
      </c>
      <c r="F75" s="437"/>
      <c r="G75" s="437"/>
      <c r="H75" s="437"/>
      <c r="I75" s="437"/>
      <c r="J75" s="437"/>
      <c r="K75" s="437"/>
      <c r="L75" s="176"/>
    </row>
    <row r="76" spans="2:14" x14ac:dyDescent="0.25">
      <c r="B76" s="173"/>
      <c r="C76" s="217"/>
      <c r="D76" s="293"/>
      <c r="E76" s="190"/>
      <c r="F76" s="292"/>
      <c r="G76" s="292"/>
      <c r="H76" s="292"/>
      <c r="I76" s="292"/>
      <c r="J76" s="292"/>
      <c r="K76" s="292"/>
      <c r="L76" s="176"/>
    </row>
    <row r="77" spans="2:14" ht="48" customHeight="1" x14ac:dyDescent="0.25">
      <c r="B77" s="173"/>
      <c r="C77" s="217"/>
      <c r="D77" s="434" t="s">
        <v>13</v>
      </c>
      <c r="E77" s="434"/>
      <c r="F77" s="434"/>
      <c r="G77" s="434"/>
      <c r="H77" s="434"/>
      <c r="I77" s="434"/>
      <c r="J77" s="434"/>
      <c r="K77" s="434"/>
      <c r="L77" s="176"/>
    </row>
    <row r="78" spans="2:14" ht="33" customHeight="1" thickBot="1" x14ac:dyDescent="0.3">
      <c r="B78" s="173"/>
      <c r="C78" s="217"/>
      <c r="D78" s="191"/>
      <c r="E78" s="437" t="s">
        <v>166</v>
      </c>
      <c r="F78" s="437"/>
      <c r="G78" s="437"/>
      <c r="H78" s="437"/>
      <c r="I78" s="437"/>
      <c r="J78" s="437"/>
      <c r="K78" s="437"/>
      <c r="L78" s="176"/>
    </row>
    <row r="79" spans="2:14" ht="33" customHeight="1" thickBot="1" x14ac:dyDescent="0.3">
      <c r="B79" s="173"/>
      <c r="C79" s="217"/>
      <c r="D79" s="192"/>
      <c r="E79" s="438" t="s">
        <v>165</v>
      </c>
      <c r="F79" s="437"/>
      <c r="G79" s="437"/>
      <c r="H79" s="437"/>
      <c r="I79" s="437"/>
      <c r="J79" s="437"/>
      <c r="K79" s="437"/>
      <c r="L79" s="176"/>
    </row>
    <row r="80" spans="2:14" x14ac:dyDescent="0.25">
      <c r="B80" s="173"/>
      <c r="C80" s="217"/>
      <c r="D80" s="293"/>
      <c r="E80" s="293"/>
      <c r="F80" s="293"/>
      <c r="G80" s="293"/>
      <c r="H80" s="293"/>
      <c r="I80" s="293"/>
      <c r="J80" s="293"/>
      <c r="K80" s="293"/>
      <c r="L80" s="176"/>
    </row>
    <row r="81" spans="2:14" ht="17.45" customHeight="1" x14ac:dyDescent="0.25">
      <c r="B81" s="173"/>
      <c r="C81" s="436" t="s">
        <v>14</v>
      </c>
      <c r="D81" s="436"/>
      <c r="E81" s="436"/>
      <c r="F81" s="436"/>
      <c r="G81" s="436"/>
      <c r="H81" s="436"/>
      <c r="I81" s="436"/>
      <c r="J81" s="436"/>
      <c r="K81" s="436"/>
      <c r="L81" s="176"/>
    </row>
    <row r="82" spans="2:14" ht="90" customHeight="1" x14ac:dyDescent="0.25">
      <c r="B82" s="173"/>
      <c r="C82" s="434" t="s">
        <v>276</v>
      </c>
      <c r="D82" s="434"/>
      <c r="E82" s="434"/>
      <c r="F82" s="434"/>
      <c r="G82" s="434"/>
      <c r="H82" s="434"/>
      <c r="I82" s="434"/>
      <c r="J82" s="434"/>
      <c r="K82" s="434"/>
      <c r="L82" s="176"/>
      <c r="N82" s="268"/>
    </row>
    <row r="83" spans="2:14" ht="15" customHeight="1" x14ac:dyDescent="0.25">
      <c r="B83" s="173"/>
      <c r="C83" s="292"/>
      <c r="D83" s="292"/>
      <c r="E83" s="292"/>
      <c r="F83" s="292"/>
      <c r="G83" s="292"/>
      <c r="H83" s="292"/>
      <c r="I83" s="292"/>
      <c r="J83" s="292"/>
      <c r="K83" s="292"/>
      <c r="L83" s="176"/>
      <c r="N83" s="268"/>
    </row>
    <row r="84" spans="2:14" ht="165" customHeight="1" x14ac:dyDescent="0.25">
      <c r="B84" s="173"/>
      <c r="C84" s="354"/>
      <c r="D84" s="434" t="s">
        <v>290</v>
      </c>
      <c r="E84" s="434"/>
      <c r="F84" s="434"/>
      <c r="G84" s="434"/>
      <c r="H84" s="434"/>
      <c r="I84" s="434"/>
      <c r="J84" s="434"/>
      <c r="K84" s="434"/>
      <c r="L84" s="176"/>
      <c r="N84" s="268"/>
    </row>
    <row r="85" spans="2:14" x14ac:dyDescent="0.25">
      <c r="B85" s="179"/>
      <c r="C85" s="435"/>
      <c r="D85" s="435"/>
      <c r="E85" s="435"/>
      <c r="F85" s="435"/>
      <c r="G85" s="435"/>
      <c r="H85" s="435"/>
      <c r="I85" s="435"/>
      <c r="J85" s="435"/>
      <c r="K85" s="435"/>
      <c r="L85" s="181"/>
    </row>
    <row r="87" spans="2:14" x14ac:dyDescent="0.25">
      <c r="C87" s="299"/>
    </row>
  </sheetData>
  <mergeCells count="46">
    <mergeCell ref="F37:K37"/>
    <mergeCell ref="D38:L38"/>
    <mergeCell ref="F50:K50"/>
    <mergeCell ref="D40:K40"/>
    <mergeCell ref="D33:K33"/>
    <mergeCell ref="F34:K34"/>
    <mergeCell ref="F35:K36"/>
    <mergeCell ref="D39:K39"/>
    <mergeCell ref="D47:K47"/>
    <mergeCell ref="D48:K48"/>
    <mergeCell ref="F49:K49"/>
    <mergeCell ref="F53:K53"/>
    <mergeCell ref="F52:K52"/>
    <mergeCell ref="C72:K72"/>
    <mergeCell ref="E73:K73"/>
    <mergeCell ref="E74:K74"/>
    <mergeCell ref="D54:K54"/>
    <mergeCell ref="D62:K62"/>
    <mergeCell ref="D63:K63"/>
    <mergeCell ref="D64:K64"/>
    <mergeCell ref="D65:K65"/>
    <mergeCell ref="D66:K66"/>
    <mergeCell ref="D68:K68"/>
    <mergeCell ref="C56:K56"/>
    <mergeCell ref="D58:K58"/>
    <mergeCell ref="D60:K60"/>
    <mergeCell ref="F51:K51"/>
    <mergeCell ref="D44:K44"/>
    <mergeCell ref="D43:K43"/>
    <mergeCell ref="D41:K41"/>
    <mergeCell ref="D42:K42"/>
    <mergeCell ref="D45:K45"/>
    <mergeCell ref="C18:K20"/>
    <mergeCell ref="C22:K25"/>
    <mergeCell ref="C27:K27"/>
    <mergeCell ref="C29:K29"/>
    <mergeCell ref="C31:K31"/>
    <mergeCell ref="C82:K82"/>
    <mergeCell ref="C85:K85"/>
    <mergeCell ref="D77:K77"/>
    <mergeCell ref="D70:K70"/>
    <mergeCell ref="C81:K81"/>
    <mergeCell ref="E75:K75"/>
    <mergeCell ref="E78:K78"/>
    <mergeCell ref="E79:K79"/>
    <mergeCell ref="D84:K84"/>
  </mergeCells>
  <hyperlinks>
    <hyperlink ref="G8" r:id="rId1" xr:uid="{00000000-0004-0000-0000-000000000000}"/>
  </hyperlinks>
  <pageMargins left="0.7" right="0.7" top="0.75" bottom="0.75" header="0.3" footer="0.3"/>
  <pageSetup paperSize="9" orientation="portrait" r:id="rId2"/>
  <drawing r:id="rId3"/>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sheetPr codeName="Sheet1">
    <tabColor theme="0" tint="-0.14999847407452621"/>
  </sheetPr>
  <dimension ref="A2:V82"/>
  <sheetViews>
    <sheetView topLeftCell="A6" zoomScale="67" zoomScaleNormal="80" workbookViewId="0">
      <selection activeCell="F6" sqref="F6"/>
    </sheetView>
  </sheetViews>
  <sheetFormatPr defaultColWidth="8.7109375" defaultRowHeight="12.75" x14ac:dyDescent="0.2"/>
  <cols>
    <col min="1" max="3" width="8.7109375" style="5"/>
    <col min="4" max="4" width="11.42578125" style="5" customWidth="1"/>
    <col min="5" max="5" width="38.28515625" style="5" customWidth="1"/>
    <col min="6" max="6" width="16.42578125" style="5" customWidth="1"/>
    <col min="7" max="7" width="22.140625" style="5" customWidth="1"/>
    <col min="8" max="8" width="21.140625" style="5" customWidth="1"/>
    <col min="9" max="9" width="18.5703125" style="5" customWidth="1"/>
    <col min="10" max="10" width="19" style="5" customWidth="1"/>
    <col min="11" max="11" width="16.28515625" style="5" customWidth="1"/>
    <col min="12" max="12" width="20.5703125" style="5" customWidth="1"/>
    <col min="13" max="13" width="20.140625" style="5" customWidth="1"/>
    <col min="14" max="14" width="18.5703125" style="5" customWidth="1"/>
    <col min="15" max="15" width="18.140625" style="5" customWidth="1"/>
    <col min="16" max="16" width="24.7109375" style="5" customWidth="1"/>
    <col min="17" max="17" width="21.42578125" style="5" customWidth="1"/>
    <col min="18" max="20" width="8.7109375" style="5"/>
    <col min="21" max="21" width="8.7109375" style="109"/>
    <col min="22" max="22" width="8.7109375" style="380"/>
    <col min="23" max="16384" width="8.7109375" style="5"/>
  </cols>
  <sheetData>
    <row r="2" spans="1:22" x14ac:dyDescent="0.2">
      <c r="U2" s="109">
        <v>4</v>
      </c>
      <c r="V2" s="380">
        <v>0</v>
      </c>
    </row>
    <row r="3" spans="1:22" ht="12.75" customHeight="1" x14ac:dyDescent="0.2">
      <c r="D3" s="448" t="s">
        <v>167</v>
      </c>
      <c r="E3" s="449"/>
      <c r="F3" s="450"/>
      <c r="H3" s="475" t="str">
        <f ca="1">IF(OR(AND($G$12="ok",$G$13="ok",$G$14="ok",$G$15="ok",$H$12="ok",$I$12="ok",$L$12&lt;&gt;"Not met"),
AND($I$12="ok",$J$12="ok",$J$13="ok",$J$14="ok",$J$15="ok",$L$12&lt;&gt;"Not met")),
"OK"&amp;CHAR(10)&amp;"adjustment"&amp;CHAR(10)&amp;"complies with all requirements",
"NOT OK"&amp;CHAR(10)&amp;"adjustment does not"&amp;CHAR(10)&amp;"comply with all requirements")</f>
        <v>NOT OK
adjustment does not
comply with all requirements</v>
      </c>
      <c r="I3" s="475"/>
      <c r="U3" s="109">
        <v>7</v>
      </c>
      <c r="V3" s="380">
        <v>0.02</v>
      </c>
    </row>
    <row r="4" spans="1:22" ht="13.5" thickBot="1" x14ac:dyDescent="0.25">
      <c r="D4" s="216" t="s">
        <v>15</v>
      </c>
      <c r="E4" s="18"/>
      <c r="F4" s="40" t="s">
        <v>163</v>
      </c>
      <c r="H4" s="475"/>
      <c r="I4" s="475"/>
      <c r="V4" s="380">
        <v>0.04</v>
      </c>
    </row>
    <row r="5" spans="1:22" ht="13.5" thickTop="1" x14ac:dyDescent="0.2">
      <c r="D5" s="215" t="s">
        <v>282</v>
      </c>
      <c r="F5" s="166">
        <v>7</v>
      </c>
      <c r="H5" s="475"/>
      <c r="I5" s="475"/>
      <c r="V5" s="380">
        <v>0.06</v>
      </c>
    </row>
    <row r="6" spans="1:22" ht="13.5" thickBot="1" x14ac:dyDescent="0.25">
      <c r="D6" s="247" t="s">
        <v>16</v>
      </c>
      <c r="E6" s="248"/>
      <c r="F6" s="167">
        <v>1.6</v>
      </c>
      <c r="H6" s="475"/>
      <c r="I6" s="475"/>
      <c r="V6" s="380">
        <v>0.08</v>
      </c>
    </row>
    <row r="7" spans="1:22" ht="13.5" thickTop="1" x14ac:dyDescent="0.2">
      <c r="D7" s="250"/>
      <c r="F7" s="266"/>
      <c r="V7" s="380">
        <v>0.1</v>
      </c>
    </row>
    <row r="8" spans="1:22" x14ac:dyDescent="0.2">
      <c r="D8" s="16"/>
      <c r="F8" s="17"/>
      <c r="V8" s="380">
        <v>0.12</v>
      </c>
    </row>
    <row r="9" spans="1:22" ht="18.75" customHeight="1" x14ac:dyDescent="0.2">
      <c r="D9" s="16"/>
      <c r="F9" s="17"/>
      <c r="G9" s="466" t="s">
        <v>168</v>
      </c>
      <c r="H9" s="467"/>
      <c r="I9" s="467"/>
      <c r="J9" s="468"/>
      <c r="L9" s="472" t="s">
        <v>169</v>
      </c>
      <c r="M9" s="473"/>
      <c r="N9" s="473"/>
      <c r="O9" s="473"/>
      <c r="P9" s="473"/>
      <c r="Q9" s="474"/>
      <c r="V9" s="380">
        <v>0.14000000000000001</v>
      </c>
    </row>
    <row r="10" spans="1:22" ht="18.75" customHeight="1" x14ac:dyDescent="0.2">
      <c r="A10" s="280"/>
      <c r="G10" s="469"/>
      <c r="H10" s="470"/>
      <c r="I10" s="470"/>
      <c r="J10" s="471"/>
      <c r="L10" s="454" t="s">
        <v>195</v>
      </c>
      <c r="M10" s="457"/>
      <c r="N10" s="458" t="s">
        <v>196</v>
      </c>
      <c r="O10" s="459"/>
      <c r="P10" s="454" t="s">
        <v>17</v>
      </c>
      <c r="Q10" s="455"/>
      <c r="V10" s="380">
        <v>0.16</v>
      </c>
    </row>
    <row r="11" spans="1:22" ht="107.25" customHeight="1" x14ac:dyDescent="0.2">
      <c r="A11" s="353"/>
      <c r="D11" s="212"/>
      <c r="E11" s="212"/>
      <c r="F11" s="213" t="s">
        <v>204</v>
      </c>
      <c r="G11" s="42" t="s">
        <v>18</v>
      </c>
      <c r="H11" s="218" t="s">
        <v>19</v>
      </c>
      <c r="I11" s="41" t="s">
        <v>20</v>
      </c>
      <c r="J11" s="92" t="str">
        <f>"Debt below 60% of GDP in T+"&amp;10+F5&amp;" **"</f>
        <v>Debt below 60% of GDP in T+17 **</v>
      </c>
      <c r="L11" s="92" t="s">
        <v>193</v>
      </c>
      <c r="M11" s="225" t="s">
        <v>194</v>
      </c>
      <c r="N11" s="365" t="s">
        <v>21</v>
      </c>
      <c r="O11" s="366" t="s">
        <v>22</v>
      </c>
      <c r="P11" s="261" t="s">
        <v>23</v>
      </c>
      <c r="Q11" s="92" t="s">
        <v>24</v>
      </c>
      <c r="V11" s="380">
        <v>0.18</v>
      </c>
    </row>
    <row r="12" spans="1:22" x14ac:dyDescent="0.2">
      <c r="D12" s="14" t="s">
        <v>25</v>
      </c>
      <c r="G12" s="10" t="str">
        <f ca="1">IF(OR('Adjust. no safeguard'!F57&gt;60,'Adjust. no safeguard'!F77&lt;-3),IF(SUM(OFFSET('Adjust. no safeguard'!$F$83,0,$F$5+1,1,10))=0,"ok","Not met"),"")</f>
        <v>ok</v>
      </c>
      <c r="H12" s="219" t="str">
        <f>IF(OR('Adjust. no safeguard'!F57&gt;60,'Adjust. no safeguard'!F77&lt;-3),IF($F$5=4,IF(Stochastic!$O$17&lt;Stochastic!$J$17,"ok","Not met"),IF(Stochastic!$R$17&lt;Stochastic!$M$17,"ok","Not met")),"")</f>
        <v>ok</v>
      </c>
      <c r="I12" s="8" t="str">
        <f ca="1">IF(MIN(OFFSET('Adjust. no safeguard'!$F$77,0,$F$5,1,11))&gt;-3.05,"ok","Not met")</f>
        <v>ok</v>
      </c>
      <c r="J12" s="12" t="str">
        <f ca="1">IF(OFFSET('Adjust. no safeguard'!$F$57,0,$F$5+10,1,1)&lt;60,"ok","Not met")</f>
        <v>ok</v>
      </c>
      <c r="L12" s="463" t="str">
        <f ca="1">_xlfn.LET(_xlpm.debtChange,OFFSET('Adjustment scenario'!F58,0,1,1,$F$5),
_xlpm.debt6090,OFFSET('Adjustment scenario'!F85,0,1,1,$F$5),
_xlpm.debt90,OFFSET('Adjustment scenario'!F84,0,1,1,$F$5),
_xlpm.EDP,OFFSET('Adjustment scenario'!F87,0,1,1,$F$5),
IF(AND(MAX(_xlpm.debt90)=0,MAX(_xlpm.debt6090)=0),"Debt below 60% of GDP over the adjustment period",
IF(MIN(_xlpm.EDP)=1,"Not applicable, reference year is the last year of adjustment",
IF(AND(MAX(_xlpm.debt90)=0,MAX(_xlpm.debt6090)=1),IF(AVERAGEIFS(_xlpm.debtChange,_xlpm.debt6090,1,_xlpm.EDP,0)&lt;-0.5,"ok","Not met"),
IF(AND(MAX(_xlpm.debt90)=1,MAX(_xlpm.debt6090)=0),IF(AVERAGEIFS(_xlpm.debtChange,_xlpm.EDP,0)&lt;-1,"ok","Not met"),
IF(AND(MAX(_xlpm.debt90)=1,MAX(_xlpm.debt6090)=1),IF(AND(AVERAGEIFS(_xlpm.debtChange,_xlpm.debt90,1,_xlpm.EDP,0)&lt;-1,AVERAGEIFS(_xlpm.debtChange,_xlpm.debt6090,1,_xlpm.EDP,0)&lt;-0.5),"ok","Not met")))))))</f>
        <v>Not met</v>
      </c>
      <c r="M12" s="503">
        <f ca="1">_xlfn.LET(_xlpm.debtChange,OFFSET('Adjustment scenario'!F58,0,1,1,$F$5),
_xlpm.debt60,OFFSET('Adjustment scenario'!F86,0,1,1,$F$5),
_xlpm.debt6090,OFFSET('Adjustment scenario'!F85,0,1,1,$F$5),
_xlpm.debt90,OFFSET('Adjustment scenario'!F84,0,1,1,$F$5),
_xlpm.EDP,OFFSET('Adjustment scenario'!F87,0,1,1,$F$5),
IF(AND(MAX(_xlpm.debt90)=0,MAX(_xlpm.debt6090)=0),"Debt below 60% of GDP over the adjustment period",
IF(MIN(_xlpm.EDP)=1,"Not applicable, reference year is the last year of adjustment",
IF(AND(MAX(_xlpm.debt90)=0,MAX(_xlpm.debt6090)=1),AVERAGEIFS(_xlpm.debtChange,_xlpm.debt60,1,_xlpm.EDP,0),
IF(AND(MAX(_xlpm.debt90)=1,MAX(_xlpm.debt6090)=0),AVERAGEIFS(_xlpm.debtChange,_xlpm.EDP,0),
IF(AND(MAX(_xlpm.debt90)=1,MAX(_xlpm.debt6090)=1),AVERAGEIFS(_xlpm.debtChange,_xlpm.debt60,1,_xlpm.EDP,0)))))))</f>
        <v>-0.10769084989482892</v>
      </c>
      <c r="N12" s="460" t="str">
        <f>IF(AND(O12=0,F6&lt;0.5),"not relevant","ok")</f>
        <v>ok</v>
      </c>
      <c r="O12" s="500">
        <f>IF(F6&lt;0.5,COUNTIFS('Adjustment scenario'!F77:H77,"&lt;"&amp;-3.049),0)+IF(AND(F5=4,J19&gt;0.5,J19&gt;F6),1,COUNTIFS(J19:M19,"&gt;" &amp; F6,J19:M19,"&gt;"&amp;0.5))</f>
        <v>0</v>
      </c>
      <c r="P12" s="463" t="str">
        <f>IF(OR(AND(F5=4,Q12=0,F6&lt;0.4),AND(F5=7,Q12=0,F6&lt;0.25)),"not relevant, 
(over the adjustment horizon)","ok")</f>
        <v>ok</v>
      </c>
      <c r="Q12" s="451">
        <f>IF(AND('Criteria results'!$F$5=4,'Criteria results'!$F$6&lt;=0.4),COUNTIFS('Adjustment scenario'!G13:J13,0.4,'Adjustment scenario'!F88:I88,0),IF(AND('Criteria results'!$F$5=7,'Criteria results'!$F$6&lt;=0.25),COUNTIFS('Adjustment scenario'!G13:M13,0.25,'Adjustment scenario'!F88:L88,0),0))</f>
        <v>0</v>
      </c>
      <c r="V12" s="380">
        <v>0.2</v>
      </c>
    </row>
    <row r="13" spans="1:22" x14ac:dyDescent="0.2">
      <c r="D13" s="14" t="s">
        <v>26</v>
      </c>
      <c r="G13" s="10" t="str">
        <f ca="1">IF(OR('Adjustment scenario'!F57&gt;60,'Adjustment scenario'!F77&lt;-3),IF(SUM(OFFSET('Financial stress'!$F$75,0,$F$5+1,1,10))=0,"ok","Not met"),"")</f>
        <v>ok</v>
      </c>
      <c r="H13" s="219"/>
      <c r="I13" s="8"/>
      <c r="J13" s="12" t="str">
        <f ca="1">IF(OR('Adjustment scenario'!F57&gt;60,'Adjustment scenario'!F77&lt;-3),IF(OFFSET('Financial stress'!$F$56,0,$F$5+10,1,1)&lt;60,"ok","Not met"),"")</f>
        <v>ok</v>
      </c>
      <c r="L13" s="464"/>
      <c r="M13" s="504"/>
      <c r="N13" s="461"/>
      <c r="O13" s="501"/>
      <c r="P13" s="464"/>
      <c r="Q13" s="452"/>
      <c r="V13" s="380">
        <v>0.22</v>
      </c>
    </row>
    <row r="14" spans="1:22" x14ac:dyDescent="0.2">
      <c r="D14" s="14" t="s">
        <v>27</v>
      </c>
      <c r="G14" s="10" t="str">
        <f ca="1">IF(OR('Adjustment scenario'!F57&gt;60,'Adjustment scenario'!F77&lt;-3),IF(SUM(OFFSET('Lower SPB'!$F$75,0,$F$5+1,1,10))=0,"ok","Not met"),"")</f>
        <v>ok</v>
      </c>
      <c r="H14" s="219"/>
      <c r="I14" s="8"/>
      <c r="J14" s="12" t="str">
        <f ca="1">IF(OR('Adjustment scenario'!F57&gt;60,'Adjustment scenario'!F77&lt;-3),IF(OFFSET('Lower SPB'!$F$56,0,$F$5+10,1,1)&lt;60,"ok","Not met"),"")</f>
        <v>ok</v>
      </c>
      <c r="L14" s="464"/>
      <c r="M14" s="504"/>
      <c r="N14" s="461"/>
      <c r="O14" s="501"/>
      <c r="P14" s="464"/>
      <c r="Q14" s="452"/>
      <c r="V14" s="380">
        <v>0.24</v>
      </c>
    </row>
    <row r="15" spans="1:22" x14ac:dyDescent="0.2">
      <c r="D15" s="15" t="s">
        <v>28</v>
      </c>
      <c r="E15" s="6"/>
      <c r="F15" s="6"/>
      <c r="G15" s="11" t="str">
        <f ca="1">IF(OR('Adjustment scenario'!F57&gt;60,'Adjustment scenario'!F77&lt;-3),IF(SUM(OFFSET('Adverse (r-g)'!$F$76,0,$F$5+1,1,10))=0,"ok","Not met"),"")</f>
        <v>ok</v>
      </c>
      <c r="H15" s="220"/>
      <c r="I15" s="9"/>
      <c r="J15" s="13" t="str">
        <f ca="1">IF(OR('Adjustment scenario'!F57&gt;60,'Adjustment scenario'!F77&lt;-3),IF(OFFSET('Adverse (r-g)'!$F$57,0,$F$5+10,1,1)&lt;60,"ok","Not met"),"")</f>
        <v>ok</v>
      </c>
      <c r="L15" s="465"/>
      <c r="M15" s="505"/>
      <c r="N15" s="462"/>
      <c r="O15" s="502"/>
      <c r="P15" s="465"/>
      <c r="Q15" s="453"/>
      <c r="V15" s="380">
        <v>0.26</v>
      </c>
    </row>
    <row r="16" spans="1:22" ht="102" customHeight="1" x14ac:dyDescent="0.2">
      <c r="D16" s="506" t="s">
        <v>291</v>
      </c>
      <c r="E16" s="506"/>
      <c r="F16" s="506"/>
      <c r="G16" s="506"/>
      <c r="H16" s="506"/>
      <c r="I16" s="506"/>
      <c r="J16" s="506"/>
      <c r="L16" s="456" t="s">
        <v>205</v>
      </c>
      <c r="M16" s="456"/>
      <c r="N16" s="456"/>
      <c r="O16" s="456"/>
      <c r="P16" s="456"/>
      <c r="Q16" s="456"/>
      <c r="V16" s="380">
        <v>0.28000000000000003</v>
      </c>
    </row>
    <row r="17" spans="4:22" ht="15.75" customHeight="1" x14ac:dyDescent="0.2">
      <c r="D17" s="226"/>
      <c r="E17" s="226"/>
      <c r="F17" s="226"/>
      <c r="G17" s="507" t="s">
        <v>172</v>
      </c>
      <c r="H17" s="508"/>
      <c r="I17" s="508"/>
      <c r="J17" s="509"/>
      <c r="K17" s="245"/>
      <c r="L17" s="245"/>
      <c r="M17" s="245"/>
      <c r="N17" s="245"/>
      <c r="O17" s="245"/>
      <c r="P17" s="232"/>
      <c r="V17" s="380">
        <v>0.3</v>
      </c>
    </row>
    <row r="18" spans="4:22" ht="13.5" customHeight="1" x14ac:dyDescent="0.2">
      <c r="D18" s="226"/>
      <c r="E18" s="227"/>
      <c r="F18" s="233"/>
      <c r="G18" s="228">
        <v>2025</v>
      </c>
      <c r="H18" s="229">
        <v>2026</v>
      </c>
      <c r="I18" s="229">
        <v>2027</v>
      </c>
      <c r="J18" s="229">
        <v>2028</v>
      </c>
      <c r="K18" s="229">
        <v>2029</v>
      </c>
      <c r="L18" s="229">
        <v>2030</v>
      </c>
      <c r="M18" s="246">
        <v>2031</v>
      </c>
      <c r="N18" s="234"/>
      <c r="P18" s="234"/>
      <c r="V18" s="380">
        <v>0.32</v>
      </c>
    </row>
    <row r="19" spans="4:22" ht="15" customHeight="1" x14ac:dyDescent="0.2">
      <c r="D19" s="510" t="s">
        <v>29</v>
      </c>
      <c r="E19" s="511"/>
      <c r="F19" s="512"/>
      <c r="G19" s="231">
        <f>'Adjustment scenario'!G12-'Adjustment scenario'!F12</f>
        <v>1.3301033000000002</v>
      </c>
      <c r="H19" s="238">
        <f>'Adjustment scenario'!H12-'Adjustment scenario'!G12</f>
        <v>0.30000000000000004</v>
      </c>
      <c r="I19" s="238">
        <f>'Adjustment scenario'!I12-'Adjustment scenario'!H12</f>
        <v>0.29999999999999982</v>
      </c>
      <c r="J19" s="238">
        <f>'Adjustment scenario'!J12-'Adjustment scenario'!I12</f>
        <v>0.40000000000000013</v>
      </c>
      <c r="K19" s="238">
        <f>'Adjustment scenario'!K12-'Adjustment scenario'!J12</f>
        <v>0.30000000000000004</v>
      </c>
      <c r="L19" s="238">
        <f>'Adjustment scenario'!L12-'Adjustment scenario'!K12</f>
        <v>0.19999999999999973</v>
      </c>
      <c r="M19" s="239">
        <f>'Adjustment scenario'!M12-'Adjustment scenario'!L12</f>
        <v>0.30000000000000027</v>
      </c>
      <c r="N19" s="231"/>
      <c r="P19" s="231"/>
      <c r="V19" s="380">
        <v>0.34</v>
      </c>
    </row>
    <row r="20" spans="4:22" ht="15" customHeight="1" x14ac:dyDescent="0.2">
      <c r="D20" s="492" t="s">
        <v>30</v>
      </c>
      <c r="E20" s="493"/>
      <c r="F20" s="494"/>
      <c r="G20" s="236">
        <f>'Adjustment scenario'!G79</f>
        <v>0.34574850140659708</v>
      </c>
      <c r="H20" s="237">
        <f>'Adjustment scenario'!H79</f>
        <v>2.3190267940026872</v>
      </c>
      <c r="I20" s="237">
        <f>'Adjustment scenario'!I79</f>
        <v>2.2739310440026874</v>
      </c>
      <c r="J20" s="237">
        <f>'Adjustment scenario'!J79</f>
        <v>2.1972015420035822</v>
      </c>
      <c r="K20" s="237">
        <f>'Adjustment scenario'!K79</f>
        <v>2.3750656440026869</v>
      </c>
      <c r="L20" s="237">
        <f>'Adjustment scenario'!L79</f>
        <v>2.586517546001792</v>
      </c>
      <c r="M20" s="240">
        <f>'Adjustment scenario'!M79</f>
        <v>2.4856013440026863</v>
      </c>
      <c r="N20" s="255"/>
      <c r="P20" s="231"/>
      <c r="V20" s="380">
        <v>0.36</v>
      </c>
    </row>
    <row r="21" spans="4:22" ht="15" customHeight="1" x14ac:dyDescent="0.2">
      <c r="D21" s="279" t="s">
        <v>41</v>
      </c>
      <c r="E21" s="271"/>
      <c r="F21" s="272"/>
      <c r="G21" s="275">
        <f>'Adjustment scenario'!G77</f>
        <v>-2.326768753785426</v>
      </c>
      <c r="H21" s="276">
        <f>'Adjustment scenario'!H77</f>
        <v>-1.7021517594360196</v>
      </c>
      <c r="I21" s="276">
        <f>'Adjustment scenario'!I77</f>
        <v>-1.201329116817921</v>
      </c>
      <c r="J21" s="276">
        <f>'Adjustment scenario'!J77</f>
        <v>-0.72127460976883762</v>
      </c>
      <c r="K21" s="276">
        <f>'Adjustment scenario'!K77</f>
        <v>-0.32831297484091371</v>
      </c>
      <c r="L21" s="276">
        <f>'Adjustment scenario'!L77</f>
        <v>-2.2529149008824634E-2</v>
      </c>
      <c r="M21" s="277">
        <f>'Adjustment scenario'!M77</f>
        <v>0.30576841222814455</v>
      </c>
      <c r="N21" s="255"/>
      <c r="P21" s="231"/>
      <c r="V21" s="380">
        <v>0.38</v>
      </c>
    </row>
    <row r="22" spans="4:22" ht="15" customHeight="1" x14ac:dyDescent="0.2">
      <c r="D22" s="279" t="s">
        <v>42</v>
      </c>
      <c r="E22" s="271"/>
      <c r="F22" s="272"/>
      <c r="G22" s="273">
        <f>'Adjustment scenario'!G78</f>
        <v>-0.7011561101185344</v>
      </c>
      <c r="H22" s="255">
        <f>'Adjustment scenario'!H78</f>
        <v>-0.49198330791917044</v>
      </c>
      <c r="I22" s="255">
        <f>'Adjustment scenario'!I78</f>
        <v>-0.26707070187058135</v>
      </c>
      <c r="J22" s="255">
        <f>'Adjustment scenario'!J78</f>
        <v>7.2272591019973742E-2</v>
      </c>
      <c r="K22" s="255">
        <f>'Adjustment scenario'!K78</f>
        <v>0.32913641452026576</v>
      </c>
      <c r="L22" s="255">
        <f>'Adjustment scenario'!L78</f>
        <v>0.50160493798336492</v>
      </c>
      <c r="M22" s="278">
        <f>'Adjustment scenario'!M78</f>
        <v>0.7842062496708766</v>
      </c>
      <c r="N22" s="255"/>
      <c r="P22" s="231"/>
      <c r="V22" s="380">
        <v>0.4</v>
      </c>
    </row>
    <row r="23" spans="4:22" ht="15" customHeight="1" x14ac:dyDescent="0.2">
      <c r="D23" s="279" t="s">
        <v>43</v>
      </c>
      <c r="E23" s="271"/>
      <c r="F23" s="272"/>
      <c r="G23" s="236">
        <f>'Adjustment scenario'!G57</f>
        <v>83.441422258514947</v>
      </c>
      <c r="H23" s="237">
        <f>'Adjustment scenario'!H57</f>
        <v>83.908534577415139</v>
      </c>
      <c r="I23" s="237">
        <f>'Adjustment scenario'!I57</f>
        <v>84.10902658197098</v>
      </c>
      <c r="J23" s="237">
        <f>'Adjustment scenario'!J57</f>
        <v>83.878399410117026</v>
      </c>
      <c r="K23" s="237">
        <f>'Adjustment scenario'!K57</f>
        <v>83.20570609783087</v>
      </c>
      <c r="L23" s="237">
        <f>'Adjustment scenario'!L57</f>
        <v>82.18827987907585</v>
      </c>
      <c r="M23" s="240">
        <f>'Adjustment scenario'!M57</f>
        <v>80.914668079488663</v>
      </c>
      <c r="N23" s="255"/>
      <c r="P23" s="231"/>
      <c r="V23" s="380">
        <v>0.42</v>
      </c>
    </row>
    <row r="24" spans="4:22" ht="15" customHeight="1" x14ac:dyDescent="0.2">
      <c r="D24" s="486" t="s">
        <v>31</v>
      </c>
      <c r="E24" s="486"/>
      <c r="F24" s="486"/>
      <c r="G24" s="274">
        <f>AVERAGE(G19:J19)</f>
        <v>0.58252582500000005</v>
      </c>
      <c r="I24" s="231"/>
      <c r="J24" s="231"/>
      <c r="K24" s="231"/>
      <c r="L24" s="231"/>
      <c r="M24" s="231"/>
      <c r="N24" s="231"/>
      <c r="P24" s="235"/>
      <c r="V24" s="380">
        <v>0.44</v>
      </c>
    </row>
    <row r="25" spans="4:22" x14ac:dyDescent="0.2">
      <c r="D25" s="241" t="s">
        <v>32</v>
      </c>
      <c r="E25" s="370"/>
      <c r="F25" s="369"/>
      <c r="G25" s="270">
        <f>IF(F5=4,AVERAGE(G19:J19),AVERAGE(G19:M19))</f>
        <v>0.44715761428571427</v>
      </c>
      <c r="H25" s="231"/>
      <c r="Q25" s="230"/>
      <c r="V25" s="380">
        <v>0.46</v>
      </c>
    </row>
    <row r="26" spans="4:22" x14ac:dyDescent="0.2">
      <c r="D26" s="495" t="s">
        <v>33</v>
      </c>
      <c r="E26" s="496"/>
      <c r="F26" s="496"/>
      <c r="G26" s="367">
        <f>AVERAGE(G20:J20)</f>
        <v>1.7839769703538886</v>
      </c>
      <c r="Q26" s="230"/>
      <c r="V26" s="380">
        <v>0.48</v>
      </c>
    </row>
    <row r="27" spans="4:22" ht="15" customHeight="1" x14ac:dyDescent="0.2">
      <c r="D27" s="497" t="s">
        <v>34</v>
      </c>
      <c r="E27" s="498"/>
      <c r="F27" s="498"/>
      <c r="G27" s="368">
        <f>IF(F5=4,AVERAGE(G20:J20),AVERAGE(G20:M20))</f>
        <v>2.0832989164889599</v>
      </c>
      <c r="H27" s="231"/>
      <c r="I27" s="231"/>
      <c r="J27" s="231"/>
      <c r="K27" s="231"/>
      <c r="L27" s="231"/>
      <c r="M27" s="231"/>
      <c r="N27" s="231"/>
      <c r="O27" s="231"/>
      <c r="P27" s="231"/>
      <c r="V27" s="380">
        <v>0.5</v>
      </c>
    </row>
    <row r="28" spans="4:22" ht="53.25" customHeight="1" x14ac:dyDescent="0.2">
      <c r="D28" s="499" t="s">
        <v>292</v>
      </c>
      <c r="E28" s="499"/>
      <c r="F28" s="499"/>
      <c r="G28" s="499"/>
      <c r="H28" s="499"/>
      <c r="I28" s="499"/>
      <c r="J28" s="499"/>
      <c r="K28" s="232"/>
      <c r="L28" s="232"/>
      <c r="M28" s="232"/>
      <c r="N28" s="232"/>
      <c r="O28" s="232"/>
      <c r="V28" s="380">
        <v>0.52</v>
      </c>
    </row>
    <row r="29" spans="4:22" x14ac:dyDescent="0.2">
      <c r="V29" s="380">
        <v>0.54</v>
      </c>
    </row>
    <row r="30" spans="4:22" ht="15.75" customHeight="1" x14ac:dyDescent="0.2">
      <c r="G30" s="487" t="s">
        <v>170</v>
      </c>
      <c r="H30" s="488"/>
      <c r="V30" s="380">
        <v>0.56000000000000005</v>
      </c>
    </row>
    <row r="31" spans="4:22" x14ac:dyDescent="0.2">
      <c r="G31" s="198" t="s">
        <v>35</v>
      </c>
      <c r="H31" s="199" t="s">
        <v>36</v>
      </c>
      <c r="V31" s="380">
        <v>0.57999999999999996</v>
      </c>
    </row>
    <row r="32" spans="4:22" x14ac:dyDescent="0.2">
      <c r="D32" s="362" t="s">
        <v>282</v>
      </c>
      <c r="E32" s="203"/>
      <c r="F32" s="204"/>
      <c r="G32" s="209">
        <v>4</v>
      </c>
      <c r="H32" s="200">
        <v>7</v>
      </c>
      <c r="V32" s="380">
        <v>0.6</v>
      </c>
    </row>
    <row r="33" spans="4:22" x14ac:dyDescent="0.2">
      <c r="D33" s="363" t="s">
        <v>37</v>
      </c>
      <c r="E33" s="205"/>
      <c r="F33" s="206"/>
      <c r="G33" s="210">
        <v>0.66</v>
      </c>
      <c r="H33" s="201">
        <v>0.3</v>
      </c>
      <c r="V33" s="380">
        <v>0.62</v>
      </c>
    </row>
    <row r="34" spans="4:22" x14ac:dyDescent="0.2">
      <c r="D34" s="364" t="s">
        <v>283</v>
      </c>
      <c r="E34" s="207"/>
      <c r="F34" s="208"/>
      <c r="G34" s="211">
        <v>71.319999694824219</v>
      </c>
      <c r="H34" s="202">
        <v>72.319999694824219</v>
      </c>
      <c r="V34" s="380">
        <v>0.64</v>
      </c>
    </row>
    <row r="35" spans="4:22" ht="40.15" customHeight="1" x14ac:dyDescent="0.2">
      <c r="D35" s="482" t="s">
        <v>190</v>
      </c>
      <c r="E35" s="482"/>
      <c r="F35" s="482"/>
      <c r="G35" s="482"/>
      <c r="H35" s="482"/>
      <c r="V35" s="380">
        <v>0.66</v>
      </c>
    </row>
    <row r="36" spans="4:22" x14ac:dyDescent="0.2">
      <c r="V36" s="380">
        <v>0.68</v>
      </c>
    </row>
    <row r="37" spans="4:22" ht="19.899999999999999" customHeight="1" x14ac:dyDescent="0.2">
      <c r="D37" s="226"/>
      <c r="E37" s="226"/>
      <c r="F37" s="226"/>
      <c r="H37" s="483" t="s">
        <v>265</v>
      </c>
      <c r="I37" s="484"/>
      <c r="J37" s="484"/>
      <c r="K37" s="484"/>
      <c r="L37" s="484"/>
      <c r="M37" s="484"/>
      <c r="N37" s="485"/>
      <c r="O37" s="256"/>
      <c r="V37" s="380">
        <v>0.7</v>
      </c>
    </row>
    <row r="38" spans="4:22" x14ac:dyDescent="0.2">
      <c r="D38" s="226"/>
      <c r="E38" s="226"/>
      <c r="F38" s="249"/>
      <c r="G38" s="304" t="s">
        <v>244</v>
      </c>
      <c r="H38" s="302">
        <v>2025</v>
      </c>
      <c r="I38" s="302">
        <v>2026</v>
      </c>
      <c r="J38" s="302">
        <v>2027</v>
      </c>
      <c r="K38" s="302">
        <v>2028</v>
      </c>
      <c r="L38" s="302">
        <v>2029</v>
      </c>
      <c r="M38" s="302">
        <v>2030</v>
      </c>
      <c r="N38" s="303">
        <v>2031</v>
      </c>
      <c r="V38" s="380">
        <v>0.72</v>
      </c>
    </row>
    <row r="39" spans="4:22" s="309" customFormat="1" ht="15" customHeight="1" x14ac:dyDescent="0.2">
      <c r="D39" s="489" t="s">
        <v>202</v>
      </c>
      <c r="E39" s="490"/>
      <c r="F39" s="491"/>
      <c r="G39" s="305"/>
      <c r="H39" s="310"/>
      <c r="I39" s="310"/>
      <c r="J39" s="310"/>
      <c r="K39" s="310"/>
      <c r="L39" s="310"/>
      <c r="M39" s="310"/>
      <c r="N39" s="311"/>
      <c r="U39" s="381"/>
      <c r="V39" s="382">
        <v>0.74</v>
      </c>
    </row>
    <row r="40" spans="4:22" s="309" customFormat="1" ht="15" customHeight="1" x14ac:dyDescent="0.2">
      <c r="D40" s="322" t="s">
        <v>30</v>
      </c>
      <c r="E40" s="323"/>
      <c r="F40" s="324"/>
      <c r="G40" s="308">
        <v>-6.0350156985669146E-2</v>
      </c>
      <c r="H40" s="318">
        <v>-0.14348043198566929</v>
      </c>
      <c r="I40" s="318">
        <v>-3.7421481985669303E-2</v>
      </c>
      <c r="J40" s="318">
        <v>-8.2517231985669515E-2</v>
      </c>
      <c r="K40" s="318">
        <v>2.2018518014331523E-2</v>
      </c>
      <c r="L40" s="312"/>
      <c r="M40" s="312"/>
      <c r="N40" s="313"/>
      <c r="U40" s="381"/>
      <c r="V40" s="382">
        <v>0.76</v>
      </c>
    </row>
    <row r="41" spans="4:22" s="309" customFormat="1" ht="15" customHeight="1" x14ac:dyDescent="0.2">
      <c r="D41" s="476" t="s">
        <v>192</v>
      </c>
      <c r="E41" s="477"/>
      <c r="F41" s="478"/>
      <c r="G41" s="201">
        <v>1.6</v>
      </c>
      <c r="H41" s="314">
        <v>1.6</v>
      </c>
      <c r="I41" s="314">
        <v>1.6</v>
      </c>
      <c r="J41" s="314">
        <v>1.6</v>
      </c>
      <c r="K41" s="314">
        <v>1.6</v>
      </c>
      <c r="L41" s="314"/>
      <c r="M41" s="314"/>
      <c r="N41" s="315"/>
      <c r="U41" s="381"/>
      <c r="V41" s="382">
        <v>0.78</v>
      </c>
    </row>
    <row r="42" spans="4:22" s="309" customFormat="1" ht="15" customHeight="1" x14ac:dyDescent="0.2">
      <c r="D42" s="489" t="s">
        <v>203</v>
      </c>
      <c r="E42" s="490"/>
      <c r="F42" s="491"/>
      <c r="G42" s="307"/>
      <c r="H42" s="316"/>
      <c r="I42" s="316"/>
      <c r="J42" s="316"/>
      <c r="K42" s="316"/>
      <c r="L42" s="316"/>
      <c r="M42" s="316"/>
      <c r="N42" s="317"/>
      <c r="U42" s="381"/>
      <c r="V42" s="382">
        <v>0.8</v>
      </c>
    </row>
    <row r="43" spans="4:22" s="309" customFormat="1" ht="15" customHeight="1" x14ac:dyDescent="0.2">
      <c r="D43" s="322" t="s">
        <v>30</v>
      </c>
      <c r="E43" s="323"/>
      <c r="F43" s="324"/>
      <c r="G43" s="308">
        <v>1.4622779598068074</v>
      </c>
      <c r="H43" s="318">
        <v>1.3791476848068074</v>
      </c>
      <c r="I43" s="318">
        <v>1.4852066348068074</v>
      </c>
      <c r="J43" s="318">
        <v>1.4401108848068074</v>
      </c>
      <c r="K43" s="318">
        <v>1.5446466348068071</v>
      </c>
      <c r="L43" s="318">
        <v>1.5412454848068073</v>
      </c>
      <c r="M43" s="318">
        <v>1.5714321348068074</v>
      </c>
      <c r="N43" s="319">
        <v>1.6517811848068071</v>
      </c>
      <c r="U43" s="381"/>
      <c r="V43" s="382">
        <v>0.82</v>
      </c>
    </row>
    <row r="44" spans="4:22" s="309" customFormat="1" ht="15" customHeight="1" x14ac:dyDescent="0.2">
      <c r="D44" s="479" t="s">
        <v>192</v>
      </c>
      <c r="E44" s="480"/>
      <c r="F44" s="481"/>
      <c r="G44" s="306">
        <v>0.7599999999999999</v>
      </c>
      <c r="H44" s="320">
        <v>0.76</v>
      </c>
      <c r="I44" s="320">
        <v>0.76</v>
      </c>
      <c r="J44" s="320">
        <v>0.7599999999999999</v>
      </c>
      <c r="K44" s="320">
        <v>0.75999999999999979</v>
      </c>
      <c r="L44" s="320">
        <v>0.75999999999999979</v>
      </c>
      <c r="M44" s="320">
        <v>0.75999999999999979</v>
      </c>
      <c r="N44" s="321">
        <v>0.75999999999999979</v>
      </c>
      <c r="U44" s="381"/>
      <c r="V44" s="382">
        <v>0.84</v>
      </c>
    </row>
    <row r="45" spans="4:22" x14ac:dyDescent="0.2">
      <c r="V45" s="380">
        <v>0.86</v>
      </c>
    </row>
    <row r="46" spans="4:22" x14ac:dyDescent="0.2">
      <c r="V46" s="380">
        <v>0.88</v>
      </c>
    </row>
    <row r="47" spans="4:22" x14ac:dyDescent="0.2">
      <c r="V47" s="380">
        <v>0.9</v>
      </c>
    </row>
    <row r="48" spans="4:22" x14ac:dyDescent="0.2">
      <c r="V48" s="380">
        <v>0.92</v>
      </c>
    </row>
    <row r="49" spans="22:22" x14ac:dyDescent="0.2">
      <c r="V49" s="380">
        <v>0.94</v>
      </c>
    </row>
    <row r="50" spans="22:22" x14ac:dyDescent="0.2">
      <c r="V50" s="380">
        <v>0.96</v>
      </c>
    </row>
    <row r="51" spans="22:22" x14ac:dyDescent="0.2">
      <c r="V51" s="380">
        <v>0.98</v>
      </c>
    </row>
    <row r="52" spans="22:22" x14ac:dyDescent="0.2">
      <c r="V52" s="380">
        <v>1</v>
      </c>
    </row>
    <row r="53" spans="22:22" x14ac:dyDescent="0.2">
      <c r="V53" s="380">
        <v>1.02</v>
      </c>
    </row>
    <row r="54" spans="22:22" x14ac:dyDescent="0.2">
      <c r="V54" s="380">
        <v>1.04</v>
      </c>
    </row>
    <row r="55" spans="22:22" x14ac:dyDescent="0.2">
      <c r="V55" s="380">
        <v>1.06</v>
      </c>
    </row>
    <row r="56" spans="22:22" x14ac:dyDescent="0.2">
      <c r="V56" s="380">
        <v>1.08</v>
      </c>
    </row>
    <row r="57" spans="22:22" x14ac:dyDescent="0.2">
      <c r="V57" s="380">
        <v>1.1000000000000001</v>
      </c>
    </row>
    <row r="58" spans="22:22" x14ac:dyDescent="0.2">
      <c r="V58" s="380">
        <v>1.1200000000000001</v>
      </c>
    </row>
    <row r="59" spans="22:22" x14ac:dyDescent="0.2">
      <c r="V59" s="380">
        <v>1.1399999999999999</v>
      </c>
    </row>
    <row r="60" spans="22:22" x14ac:dyDescent="0.2">
      <c r="V60" s="380">
        <v>1.1599999999999999</v>
      </c>
    </row>
    <row r="61" spans="22:22" x14ac:dyDescent="0.2">
      <c r="V61" s="380">
        <v>1.18</v>
      </c>
    </row>
    <row r="62" spans="22:22" x14ac:dyDescent="0.2">
      <c r="V62" s="380">
        <v>1.2</v>
      </c>
    </row>
    <row r="63" spans="22:22" x14ac:dyDescent="0.2">
      <c r="V63" s="380">
        <v>1.22</v>
      </c>
    </row>
    <row r="64" spans="22:22" x14ac:dyDescent="0.2">
      <c r="V64" s="380">
        <v>1.24</v>
      </c>
    </row>
    <row r="65" spans="22:22" x14ac:dyDescent="0.2">
      <c r="V65" s="380">
        <v>1.26</v>
      </c>
    </row>
    <row r="66" spans="22:22" x14ac:dyDescent="0.2">
      <c r="V66" s="380">
        <v>1.28</v>
      </c>
    </row>
    <row r="67" spans="22:22" x14ac:dyDescent="0.2">
      <c r="V67" s="380">
        <v>1.3</v>
      </c>
    </row>
    <row r="68" spans="22:22" x14ac:dyDescent="0.2">
      <c r="V68" s="380">
        <v>1.32</v>
      </c>
    </row>
    <row r="69" spans="22:22" x14ac:dyDescent="0.2">
      <c r="V69" s="380">
        <v>1.34</v>
      </c>
    </row>
    <row r="70" spans="22:22" x14ac:dyDescent="0.2">
      <c r="V70" s="380">
        <v>1.36</v>
      </c>
    </row>
    <row r="71" spans="22:22" x14ac:dyDescent="0.2">
      <c r="V71" s="380">
        <v>1.38</v>
      </c>
    </row>
    <row r="72" spans="22:22" x14ac:dyDescent="0.2">
      <c r="V72" s="380">
        <v>1.4</v>
      </c>
    </row>
    <row r="73" spans="22:22" x14ac:dyDescent="0.2">
      <c r="V73" s="380">
        <v>1.42</v>
      </c>
    </row>
    <row r="74" spans="22:22" x14ac:dyDescent="0.2">
      <c r="V74" s="380">
        <v>1.44</v>
      </c>
    </row>
    <row r="75" spans="22:22" x14ac:dyDescent="0.2">
      <c r="V75" s="380">
        <v>1.46</v>
      </c>
    </row>
    <row r="76" spans="22:22" x14ac:dyDescent="0.2">
      <c r="V76" s="380">
        <v>1.48</v>
      </c>
    </row>
    <row r="77" spans="22:22" x14ac:dyDescent="0.2">
      <c r="V77" s="380">
        <v>1.5</v>
      </c>
    </row>
    <row r="78" spans="22:22" x14ac:dyDescent="0.2">
      <c r="V78" s="380">
        <v>1.52</v>
      </c>
    </row>
    <row r="79" spans="22:22" x14ac:dyDescent="0.2">
      <c r="V79" s="380">
        <v>1.54</v>
      </c>
    </row>
    <row r="80" spans="22:22" x14ac:dyDescent="0.2">
      <c r="V80" s="380">
        <v>1.56</v>
      </c>
    </row>
    <row r="81" spans="22:22" x14ac:dyDescent="0.2">
      <c r="V81" s="380">
        <v>1.58</v>
      </c>
    </row>
    <row r="82" spans="22:22" x14ac:dyDescent="0.2">
      <c r="V82" s="380">
        <v>1.6</v>
      </c>
    </row>
  </sheetData>
  <mergeCells count="29">
    <mergeCell ref="D20:F20"/>
    <mergeCell ref="D26:F26"/>
    <mergeCell ref="D27:F27"/>
    <mergeCell ref="D28:J28"/>
    <mergeCell ref="O12:O15"/>
    <mergeCell ref="L12:L15"/>
    <mergeCell ref="M12:M15"/>
    <mergeCell ref="D16:J16"/>
    <mergeCell ref="G17:J17"/>
    <mergeCell ref="D19:F19"/>
    <mergeCell ref="D41:F41"/>
    <mergeCell ref="D44:F44"/>
    <mergeCell ref="D35:H35"/>
    <mergeCell ref="H37:N37"/>
    <mergeCell ref="D24:F24"/>
    <mergeCell ref="G30:H30"/>
    <mergeCell ref="D39:F39"/>
    <mergeCell ref="D42:F42"/>
    <mergeCell ref="D3:F3"/>
    <mergeCell ref="Q12:Q15"/>
    <mergeCell ref="P10:Q10"/>
    <mergeCell ref="L16:Q16"/>
    <mergeCell ref="L10:M10"/>
    <mergeCell ref="N10:O10"/>
    <mergeCell ref="N12:N15"/>
    <mergeCell ref="P12:P15"/>
    <mergeCell ref="G9:J10"/>
    <mergeCell ref="L9:Q9"/>
    <mergeCell ref="H3:I6"/>
  </mergeCells>
  <conditionalFormatting sqref="H3:I6">
    <cfRule type="expression" dxfId="41" priority="1">
      <formula>OR(AND($G$12="ok",$G$13="ok",$G$14="ok",$G$15="ok",$H$12="ok",$I$12="ok",$L$12&lt;&gt;"Not met"), AND($I$12="ok",$J$12="ok",$J$13="ok",$J$14="ok",$J$15="ok",$L$12&lt;&gt;"Not met"))</formula>
    </cfRule>
  </conditionalFormatting>
  <conditionalFormatting sqref="K18:K23">
    <cfRule type="expression" dxfId="40" priority="14">
      <formula>$F$5=4</formula>
    </cfRule>
  </conditionalFormatting>
  <conditionalFormatting sqref="K18:N23">
    <cfRule type="expression" dxfId="39" priority="12">
      <formula>$F$5=4</formula>
    </cfRule>
  </conditionalFormatting>
  <conditionalFormatting sqref="L18:N20 N21:N23">
    <cfRule type="expression" dxfId="38" priority="13">
      <formula>$F$5=4</formula>
    </cfRule>
  </conditionalFormatting>
  <conditionalFormatting sqref="L23:N23">
    <cfRule type="expression" dxfId="37" priority="4">
      <formula>$F$5=4</formula>
    </cfRule>
  </conditionalFormatting>
  <dataValidations count="2">
    <dataValidation type="list" allowBlank="1" showInputMessage="1" showErrorMessage="1" sqref="F6" xr:uid="{F61BD574-77F9-4796-8E1C-77E13D9FBD50}">
      <formula1>$V$2:$V$82</formula1>
    </dataValidation>
    <dataValidation type="list" allowBlank="1" showInputMessage="1" showErrorMessage="1" sqref="F5" xr:uid="{57C26B26-5D73-4443-A852-56F6CC793179}">
      <formula1>$U$2:$U$3</formula1>
    </dataValidation>
  </dataValidations>
  <pageMargins left="0.7" right="0.7" top="0.75" bottom="0.75" header="0.3" footer="0.3"/>
  <pageSetup paperSize="9" orientation="portrait" r:id="rId1"/>
  <drawing r:id="rId2"/>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200-000000000000}">
  <sheetPr codeName="Sheet8">
    <tabColor theme="8" tint="0.39997558519241921"/>
  </sheetPr>
  <dimension ref="A1:BB77"/>
  <sheetViews>
    <sheetView topLeftCell="A30" zoomScale="121" zoomScaleNormal="121" workbookViewId="0">
      <selection activeCell="D61" sqref="D61"/>
    </sheetView>
  </sheetViews>
  <sheetFormatPr defaultColWidth="8.85546875" defaultRowHeight="12.75" x14ac:dyDescent="0.2"/>
  <cols>
    <col min="1" max="1" width="8.7109375" style="137" customWidth="1"/>
    <col min="2" max="2" width="58.42578125" style="137" customWidth="1"/>
    <col min="3" max="6" width="8.7109375" style="137" customWidth="1"/>
    <col min="7" max="16384" width="8.85546875" style="137"/>
  </cols>
  <sheetData>
    <row r="1" spans="1:54" s="60" customFormat="1" ht="24.75" customHeight="1" x14ac:dyDescent="0.2">
      <c r="B1" s="130"/>
    </row>
    <row r="2" spans="1:54" s="60" customFormat="1" ht="11.25" customHeight="1" x14ac:dyDescent="0.2">
      <c r="B2" s="131"/>
    </row>
    <row r="3" spans="1:54" s="60" customFormat="1" ht="11.25" customHeight="1" x14ac:dyDescent="0.2">
      <c r="B3" s="132" t="s">
        <v>15</v>
      </c>
      <c r="C3" s="133" t="s">
        <v>163</v>
      </c>
    </row>
    <row r="4" spans="1:54" s="60" customFormat="1" ht="11.25" customHeight="1" x14ac:dyDescent="0.2">
      <c r="B4" s="134"/>
      <c r="C4" s="23"/>
    </row>
    <row r="5" spans="1:54" s="60" customFormat="1" ht="11.25" customHeight="1" x14ac:dyDescent="0.2">
      <c r="B5" s="135" t="s">
        <v>171</v>
      </c>
      <c r="C5" s="23">
        <v>2024</v>
      </c>
    </row>
    <row r="6" spans="1:54" x14ac:dyDescent="0.2">
      <c r="A6" s="60"/>
      <c r="B6" s="136" t="s">
        <v>44</v>
      </c>
      <c r="C6" s="282">
        <f>C5+'Criteria results'!$F$5</f>
        <v>2031</v>
      </c>
    </row>
    <row r="8" spans="1:54" s="138" customFormat="1" ht="12" customHeight="1" x14ac:dyDescent="0.2">
      <c r="B8" s="139" t="s">
        <v>45</v>
      </c>
      <c r="C8" s="140"/>
      <c r="D8" s="140"/>
      <c r="E8" s="140"/>
      <c r="F8" s="140"/>
      <c r="G8" s="140"/>
      <c r="H8" s="140"/>
      <c r="I8" s="140"/>
      <c r="J8" s="140"/>
      <c r="K8" s="140"/>
      <c r="L8" s="140"/>
      <c r="M8" s="140"/>
      <c r="N8" s="140"/>
      <c r="O8" s="140"/>
    </row>
    <row r="9" spans="1:54" x14ac:dyDescent="0.2">
      <c r="B9" s="60"/>
      <c r="C9" s="141">
        <v>2021</v>
      </c>
      <c r="D9" s="141">
        <v>2022</v>
      </c>
      <c r="E9" s="141">
        <v>2023</v>
      </c>
      <c r="F9" s="141">
        <v>2024</v>
      </c>
      <c r="G9" s="141">
        <v>2025</v>
      </c>
      <c r="H9" s="141">
        <v>2026</v>
      </c>
      <c r="I9" s="141">
        <v>2027</v>
      </c>
      <c r="J9" s="141">
        <v>2028</v>
      </c>
      <c r="K9" s="141">
        <v>2029</v>
      </c>
      <c r="L9" s="141">
        <v>2030</v>
      </c>
      <c r="M9" s="141">
        <v>2031</v>
      </c>
      <c r="N9" s="141">
        <v>2032</v>
      </c>
      <c r="O9" s="141">
        <v>2033</v>
      </c>
      <c r="P9" s="141">
        <v>2034</v>
      </c>
      <c r="Q9" s="141">
        <v>2035</v>
      </c>
      <c r="R9" s="141">
        <v>2036</v>
      </c>
      <c r="S9" s="141">
        <v>2037</v>
      </c>
      <c r="T9" s="141">
        <v>2038</v>
      </c>
      <c r="U9" s="141">
        <v>2039</v>
      </c>
      <c r="V9" s="141">
        <v>2040</v>
      </c>
      <c r="W9" s="141">
        <v>2041</v>
      </c>
      <c r="X9" s="141"/>
      <c r="Y9" s="141"/>
      <c r="Z9" s="141"/>
      <c r="AA9" s="141"/>
      <c r="AB9" s="141"/>
      <c r="AC9" s="141"/>
      <c r="AD9" s="141"/>
      <c r="AE9" s="141"/>
      <c r="AF9" s="141"/>
      <c r="AG9" s="141"/>
      <c r="AH9" s="141"/>
      <c r="AI9" s="141"/>
      <c r="AJ9" s="141"/>
      <c r="AK9" s="141"/>
      <c r="AL9" s="141"/>
      <c r="AM9" s="141"/>
      <c r="AN9" s="141"/>
      <c r="AO9" s="141"/>
      <c r="AP9" s="141"/>
      <c r="AQ9" s="141"/>
      <c r="AR9" s="141"/>
      <c r="AS9" s="141"/>
      <c r="AT9" s="141"/>
      <c r="AU9" s="141"/>
      <c r="AV9" s="141"/>
      <c r="AW9" s="141"/>
      <c r="AX9" s="141"/>
      <c r="AY9" s="141"/>
      <c r="AZ9" s="141"/>
      <c r="BA9" s="141"/>
      <c r="BB9" s="141"/>
    </row>
    <row r="10" spans="1:54" s="142" customFormat="1" x14ac:dyDescent="0.2">
      <c r="B10" s="143" t="s">
        <v>46</v>
      </c>
      <c r="C10" s="144"/>
      <c r="D10" s="144"/>
      <c r="E10" s="144"/>
      <c r="F10" s="144"/>
      <c r="G10" s="144"/>
      <c r="H10" s="144"/>
      <c r="I10" s="144"/>
      <c r="J10" s="144"/>
      <c r="K10" s="144"/>
      <c r="L10" s="144"/>
      <c r="M10" s="144"/>
      <c r="N10" s="144"/>
      <c r="O10" s="144"/>
    </row>
    <row r="11" spans="1:54" x14ac:dyDescent="0.2">
      <c r="B11" s="145" t="s">
        <v>288</v>
      </c>
      <c r="C11" s="146"/>
      <c r="D11" s="146"/>
      <c r="E11" s="146"/>
      <c r="F11" s="146"/>
      <c r="G11" s="146"/>
      <c r="H11" s="146"/>
      <c r="I11" s="146"/>
      <c r="J11" s="146"/>
      <c r="K11" s="146"/>
      <c r="L11" s="146"/>
      <c r="M11" s="146"/>
      <c r="N11" s="146"/>
      <c r="O11" s="146"/>
    </row>
    <row r="12" spans="1:54" x14ac:dyDescent="0.2">
      <c r="A12" s="60"/>
      <c r="B12" s="60" t="s">
        <v>43</v>
      </c>
      <c r="C12" s="59">
        <v>72.584819999999993</v>
      </c>
      <c r="D12" s="147">
        <v>73.511600000000001</v>
      </c>
      <c r="E12" s="147">
        <v>75.830699999999993</v>
      </c>
      <c r="F12" s="147">
        <v>80.487430000000003</v>
      </c>
      <c r="G12" s="59" t="s">
        <v>47</v>
      </c>
      <c r="H12" s="59" t="s">
        <v>47</v>
      </c>
      <c r="I12" s="59" t="s">
        <v>47</v>
      </c>
      <c r="J12" s="59" t="s">
        <v>47</v>
      </c>
      <c r="K12" s="59" t="s">
        <v>47</v>
      </c>
      <c r="L12" s="59" t="s">
        <v>47</v>
      </c>
      <c r="M12" s="59" t="s">
        <v>47</v>
      </c>
      <c r="N12" s="59" t="s">
        <v>47</v>
      </c>
      <c r="O12" s="59" t="s">
        <v>47</v>
      </c>
    </row>
    <row r="13" spans="1:54" x14ac:dyDescent="0.2">
      <c r="A13" s="60"/>
      <c r="B13" s="60" t="s">
        <v>48</v>
      </c>
      <c r="C13" s="59">
        <v>-2.1345519999999998</v>
      </c>
      <c r="D13" s="147">
        <v>0.29205680000000001</v>
      </c>
      <c r="E13" s="147">
        <v>-0.2445959</v>
      </c>
      <c r="F13" s="147">
        <v>-0.53010330000000006</v>
      </c>
      <c r="G13" s="59"/>
      <c r="H13" s="59"/>
      <c r="I13" s="59"/>
      <c r="J13" s="59"/>
      <c r="K13" s="59"/>
      <c r="L13" s="59"/>
      <c r="M13" s="59"/>
      <c r="N13" s="59"/>
      <c r="O13" s="59"/>
      <c r="P13" s="59"/>
      <c r="Q13" s="59"/>
      <c r="R13" s="59"/>
      <c r="S13" s="59"/>
      <c r="T13" s="59"/>
      <c r="U13" s="59"/>
      <c r="V13" s="59"/>
      <c r="W13" s="59"/>
      <c r="X13" s="59"/>
      <c r="Y13" s="59"/>
      <c r="Z13" s="59"/>
      <c r="AA13" s="59"/>
      <c r="AB13" s="59"/>
      <c r="AC13" s="59"/>
      <c r="AD13" s="59"/>
      <c r="AE13" s="59"/>
      <c r="AF13" s="59"/>
      <c r="AG13" s="59"/>
      <c r="AH13" s="59"/>
      <c r="AI13" s="59"/>
      <c r="AJ13" s="59"/>
      <c r="AK13" s="59"/>
      <c r="AL13" s="59"/>
      <c r="AM13" s="59"/>
      <c r="AN13" s="59"/>
      <c r="AO13" s="59"/>
      <c r="AP13" s="59"/>
      <c r="AQ13" s="59"/>
      <c r="AR13" s="59"/>
      <c r="AS13" s="59"/>
      <c r="AT13" s="59"/>
      <c r="AU13" s="59"/>
      <c r="AV13" s="59"/>
      <c r="AW13" s="59"/>
      <c r="AX13" s="59"/>
      <c r="AY13" s="59"/>
      <c r="AZ13" s="59"/>
      <c r="BA13" s="59"/>
      <c r="BB13" s="59"/>
    </row>
    <row r="14" spans="1:54" x14ac:dyDescent="0.2">
      <c r="A14" s="60"/>
      <c r="B14" s="60" t="s">
        <v>49</v>
      </c>
      <c r="C14" s="59">
        <v>0</v>
      </c>
      <c r="D14" s="147">
        <v>0</v>
      </c>
      <c r="E14" s="147">
        <v>0</v>
      </c>
      <c r="F14" s="147">
        <v>0</v>
      </c>
      <c r="G14" s="147">
        <v>0</v>
      </c>
      <c r="H14" s="147">
        <v>0</v>
      </c>
      <c r="I14" s="147">
        <v>0</v>
      </c>
      <c r="J14" s="147">
        <v>0</v>
      </c>
      <c r="K14" s="147">
        <v>0</v>
      </c>
      <c r="L14" s="147">
        <v>0</v>
      </c>
      <c r="M14" s="147">
        <v>0</v>
      </c>
      <c r="N14" s="147">
        <v>0</v>
      </c>
      <c r="O14" s="147">
        <v>0</v>
      </c>
      <c r="P14" s="147">
        <v>0</v>
      </c>
      <c r="Q14" s="147">
        <v>0</v>
      </c>
      <c r="R14" s="147">
        <v>0</v>
      </c>
      <c r="S14" s="147">
        <v>0</v>
      </c>
      <c r="T14" s="147">
        <v>0</v>
      </c>
      <c r="U14" s="147">
        <v>0</v>
      </c>
      <c r="V14" s="147">
        <v>0</v>
      </c>
      <c r="W14" s="147">
        <v>0</v>
      </c>
      <c r="X14" s="59"/>
      <c r="Y14" s="59"/>
      <c r="Z14" s="59"/>
      <c r="AA14" s="59"/>
      <c r="AB14" s="59"/>
      <c r="AC14" s="59"/>
      <c r="AD14" s="59"/>
      <c r="AE14" s="59"/>
      <c r="AF14" s="59"/>
      <c r="AG14" s="59"/>
      <c r="AH14" s="59"/>
      <c r="AI14" s="59"/>
      <c r="AJ14" s="59"/>
      <c r="AK14" s="59"/>
      <c r="AL14" s="59"/>
      <c r="AM14" s="59"/>
      <c r="AN14" s="59"/>
      <c r="AO14" s="59"/>
      <c r="AP14" s="59"/>
      <c r="AQ14" s="59"/>
      <c r="AR14" s="59"/>
      <c r="AS14" s="59"/>
      <c r="AT14" s="59"/>
      <c r="AU14" s="59"/>
      <c r="AV14" s="59"/>
      <c r="AW14" s="59"/>
      <c r="AX14" s="59"/>
      <c r="AY14" s="59"/>
      <c r="AZ14" s="59"/>
      <c r="BA14" s="59"/>
      <c r="BB14" s="59"/>
    </row>
    <row r="15" spans="1:54" x14ac:dyDescent="0.2">
      <c r="A15" s="60"/>
      <c r="B15" s="60" t="s">
        <v>50</v>
      </c>
      <c r="C15" s="59">
        <v>-1.1351690000000001</v>
      </c>
      <c r="D15" s="147">
        <v>4.8490650000000004</v>
      </c>
      <c r="E15" s="147">
        <v>2.318794</v>
      </c>
      <c r="F15" s="147">
        <v>2.6028570000000002</v>
      </c>
      <c r="G15" s="147">
        <v>1.6620999999999999</v>
      </c>
      <c r="H15" s="147">
        <v>1.6902729999999999</v>
      </c>
      <c r="I15" s="147">
        <v>1.702215</v>
      </c>
      <c r="J15" s="147">
        <v>1.648048</v>
      </c>
      <c r="K15" s="147">
        <v>1.5813470000000001</v>
      </c>
      <c r="L15" s="147">
        <v>1.5408029999999999</v>
      </c>
      <c r="M15" s="147">
        <v>1.5229809999999999</v>
      </c>
      <c r="N15" s="147">
        <v>1.526135</v>
      </c>
      <c r="O15" s="147">
        <v>1.3735219999999999</v>
      </c>
      <c r="P15" s="147">
        <v>1.2209080000000001</v>
      </c>
      <c r="Q15" s="147">
        <v>1.068295</v>
      </c>
      <c r="R15" s="147">
        <v>0.91568099999999997</v>
      </c>
      <c r="S15" s="147">
        <v>0.76306750000000001</v>
      </c>
      <c r="T15" s="147">
        <v>0.61045400000000005</v>
      </c>
      <c r="U15" s="147">
        <v>0.45784049999999998</v>
      </c>
      <c r="V15" s="147">
        <v>0.30522700000000003</v>
      </c>
      <c r="W15" s="147">
        <v>0.15261350000000001</v>
      </c>
      <c r="X15" s="59"/>
      <c r="Y15" s="59"/>
      <c r="Z15" s="59"/>
      <c r="AA15" s="59"/>
      <c r="AB15" s="59"/>
      <c r="AC15" s="59"/>
      <c r="AD15" s="59"/>
      <c r="AE15" s="59"/>
      <c r="AF15" s="59"/>
      <c r="AG15" s="59"/>
      <c r="AH15" s="59"/>
      <c r="AI15" s="59"/>
      <c r="AJ15" s="59"/>
      <c r="AK15" s="59"/>
      <c r="AL15" s="59"/>
      <c r="AM15" s="59"/>
      <c r="AN15" s="59"/>
      <c r="AO15" s="59"/>
      <c r="AP15" s="59"/>
      <c r="AQ15" s="59"/>
      <c r="AR15" s="59"/>
      <c r="AS15" s="59"/>
      <c r="AT15" s="59"/>
      <c r="AU15" s="59"/>
      <c r="AV15" s="59"/>
      <c r="AW15" s="59"/>
      <c r="AX15" s="59"/>
      <c r="AY15" s="59"/>
      <c r="AZ15" s="59"/>
      <c r="BA15" s="59"/>
      <c r="BB15" s="59"/>
    </row>
    <row r="16" spans="1:54" x14ac:dyDescent="0.2">
      <c r="A16" s="60"/>
      <c r="B16" s="60" t="s">
        <v>51</v>
      </c>
      <c r="C16" s="59">
        <v>-1.1932039999999999</v>
      </c>
      <c r="D16" s="147">
        <v>5.1764349999999997</v>
      </c>
      <c r="E16" s="147">
        <v>2.2785220000000002</v>
      </c>
      <c r="F16" s="147">
        <v>2.6170640000000001</v>
      </c>
      <c r="G16" s="147">
        <v>1.6700109999999999</v>
      </c>
      <c r="H16" s="147">
        <v>1.6902729999999999</v>
      </c>
      <c r="I16" s="147">
        <v>1.702215</v>
      </c>
      <c r="J16" s="147">
        <v>1.648048</v>
      </c>
      <c r="K16" s="147">
        <v>1.5813470000000001</v>
      </c>
      <c r="L16" s="147">
        <v>1.5408029999999999</v>
      </c>
      <c r="M16" s="147">
        <v>1.5229809999999999</v>
      </c>
      <c r="N16" s="147">
        <v>1.526135</v>
      </c>
      <c r="O16" s="147">
        <v>1.3735219999999999</v>
      </c>
      <c r="P16" s="147">
        <v>1.2209080000000001</v>
      </c>
      <c r="Q16" s="147">
        <v>1.068295</v>
      </c>
      <c r="R16" s="147">
        <v>0.91568099999999997</v>
      </c>
      <c r="S16" s="147">
        <v>0.76306750000000001</v>
      </c>
      <c r="T16" s="147">
        <v>0.61045400000000005</v>
      </c>
      <c r="U16" s="147">
        <v>0.45784049999999998</v>
      </c>
      <c r="V16" s="147">
        <v>0.30522700000000003</v>
      </c>
      <c r="W16" s="147">
        <v>0.15261350000000001</v>
      </c>
      <c r="X16" s="59"/>
      <c r="Y16" s="59"/>
      <c r="Z16" s="59"/>
      <c r="AA16" s="59"/>
      <c r="AB16" s="59"/>
      <c r="AC16" s="59"/>
      <c r="AD16" s="59"/>
      <c r="AE16" s="59"/>
      <c r="AF16" s="59"/>
      <c r="AG16" s="59"/>
      <c r="AH16" s="59"/>
      <c r="AI16" s="59"/>
      <c r="AJ16" s="59"/>
      <c r="AK16" s="59"/>
      <c r="AL16" s="59"/>
      <c r="AM16" s="59"/>
      <c r="AN16" s="59"/>
      <c r="AO16" s="59"/>
      <c r="AP16" s="59"/>
      <c r="AQ16" s="59"/>
      <c r="AR16" s="59"/>
      <c r="AS16" s="59"/>
      <c r="AT16" s="59"/>
      <c r="AU16" s="59"/>
      <c r="AV16" s="59"/>
      <c r="AW16" s="59"/>
      <c r="AX16" s="59"/>
      <c r="AY16" s="59"/>
      <c r="AZ16" s="59"/>
    </row>
    <row r="17" spans="1:54" x14ac:dyDescent="0.2">
      <c r="A17" s="60"/>
      <c r="B17" s="358" t="s">
        <v>287</v>
      </c>
      <c r="C17" s="59"/>
      <c r="D17" s="360">
        <v>0</v>
      </c>
      <c r="E17" s="360">
        <v>0</v>
      </c>
      <c r="F17" s="360">
        <v>0</v>
      </c>
      <c r="G17" s="59"/>
      <c r="H17" s="59"/>
      <c r="I17" s="59"/>
      <c r="J17" s="59"/>
      <c r="K17" s="59"/>
      <c r="L17" s="59"/>
      <c r="M17" s="59"/>
      <c r="N17" s="59"/>
      <c r="O17" s="59"/>
      <c r="P17" s="59"/>
      <c r="Q17" s="59"/>
      <c r="R17" s="59"/>
      <c r="S17" s="59"/>
      <c r="T17" s="59"/>
      <c r="U17" s="59"/>
      <c r="V17" s="59"/>
      <c r="W17" s="59"/>
      <c r="X17" s="59"/>
      <c r="Y17" s="59"/>
      <c r="Z17" s="59"/>
      <c r="AA17" s="59"/>
      <c r="AB17" s="59"/>
      <c r="AC17" s="59"/>
      <c r="AD17" s="59"/>
      <c r="AE17" s="59"/>
      <c r="AF17" s="59"/>
      <c r="AG17" s="59"/>
      <c r="AH17" s="59"/>
      <c r="AI17" s="59"/>
      <c r="AJ17" s="59"/>
      <c r="AK17" s="59"/>
      <c r="AL17" s="59"/>
      <c r="AM17" s="59"/>
      <c r="AN17" s="59"/>
      <c r="AO17" s="59"/>
      <c r="AP17" s="59"/>
      <c r="AQ17" s="59"/>
      <c r="AR17" s="59"/>
      <c r="AS17" s="59"/>
      <c r="AT17" s="59"/>
      <c r="AU17" s="59"/>
      <c r="AV17" s="59"/>
      <c r="AW17" s="59"/>
      <c r="AX17" s="59"/>
      <c r="AY17" s="59"/>
      <c r="AZ17" s="59"/>
      <c r="BA17" s="59"/>
      <c r="BB17" s="59"/>
    </row>
    <row r="18" spans="1:54" ht="15" x14ac:dyDescent="0.25">
      <c r="A18" s="60"/>
      <c r="B18" s="60"/>
      <c r="C18" s="59"/>
      <c r="D18" s="405"/>
      <c r="E18" s="406"/>
      <c r="F18" s="406"/>
      <c r="G18" s="230"/>
      <c r="H18" s="406"/>
      <c r="I18" s="230"/>
      <c r="J18" s="230"/>
      <c r="K18" s="230"/>
      <c r="L18" s="230"/>
      <c r="M18" s="230"/>
      <c r="N18" s="230"/>
      <c r="O18" s="230"/>
      <c r="P18" s="230"/>
      <c r="Q18" s="230"/>
      <c r="R18" s="230"/>
      <c r="S18" s="230"/>
      <c r="T18" s="230"/>
      <c r="U18" s="230"/>
      <c r="V18" s="230"/>
    </row>
    <row r="19" spans="1:54" x14ac:dyDescent="0.2">
      <c r="A19" s="60"/>
      <c r="B19" s="145" t="s">
        <v>271</v>
      </c>
      <c r="C19" s="59"/>
      <c r="D19" s="59"/>
      <c r="E19" s="59"/>
      <c r="F19" s="59"/>
      <c r="G19" s="59"/>
      <c r="H19" s="59"/>
      <c r="I19" s="59"/>
      <c r="J19" s="59"/>
      <c r="K19" s="59"/>
      <c r="L19" s="59"/>
      <c r="M19" s="59"/>
      <c r="N19" s="59"/>
      <c r="O19" s="59"/>
    </row>
    <row r="20" spans="1:54" x14ac:dyDescent="0.2">
      <c r="A20" s="60"/>
      <c r="B20" s="60" t="s">
        <v>52</v>
      </c>
      <c r="C20" s="59">
        <f t="shared" ref="C20:T20" si="0">(C21+C22+C23+C24-C25)</f>
        <v>0</v>
      </c>
      <c r="D20" s="148">
        <f t="shared" si="0"/>
        <v>23.655849999999997</v>
      </c>
      <c r="E20" s="148">
        <f t="shared" si="0"/>
        <v>23.83699</v>
      </c>
      <c r="F20" s="148">
        <f t="shared" si="0"/>
        <v>23.96105</v>
      </c>
      <c r="G20" s="148">
        <f t="shared" si="0"/>
        <v>23.911249999999999</v>
      </c>
      <c r="H20" s="148">
        <f t="shared" si="0"/>
        <v>23.909049999999997</v>
      </c>
      <c r="I20" s="148">
        <f t="shared" si="0"/>
        <v>23.948919999999998</v>
      </c>
      <c r="J20" s="148">
        <f t="shared" si="0"/>
        <v>24.046380000000003</v>
      </c>
      <c r="K20" s="148">
        <f t="shared" si="0"/>
        <v>24.15964</v>
      </c>
      <c r="L20" s="148">
        <f t="shared" si="0"/>
        <v>24.232299999999999</v>
      </c>
      <c r="M20" s="148">
        <f t="shared" si="0"/>
        <v>24.288240000000002</v>
      </c>
      <c r="N20" s="148">
        <f t="shared" si="0"/>
        <v>24.322410000000001</v>
      </c>
      <c r="O20" s="148">
        <f t="shared" si="0"/>
        <v>24.319019999999998</v>
      </c>
      <c r="P20" s="148">
        <f t="shared" si="0"/>
        <v>24.31607</v>
      </c>
      <c r="Q20" s="148">
        <f t="shared" si="0"/>
        <v>24.304599999999997</v>
      </c>
      <c r="R20" s="148">
        <f t="shared" si="0"/>
        <v>24.277160000000002</v>
      </c>
      <c r="S20" s="148">
        <f t="shared" si="0"/>
        <v>24.230790000000002</v>
      </c>
      <c r="T20" s="148">
        <f t="shared" si="0"/>
        <v>24.168680000000002</v>
      </c>
      <c r="U20" s="148">
        <f>(U21+U22+U23+U24-U25)</f>
        <v>24.092350000000003</v>
      </c>
      <c r="V20" s="148">
        <f>(V21+V22+V23+V24-V25)</f>
        <v>24.017060000000001</v>
      </c>
      <c r="W20" s="148">
        <f>(W21+W22+W23+W24-W25)</f>
        <v>23.958480000000002</v>
      </c>
      <c r="X20" s="59"/>
      <c r="Y20" s="59"/>
      <c r="Z20" s="59"/>
      <c r="AA20" s="59"/>
      <c r="AB20" s="59"/>
      <c r="AC20" s="59"/>
      <c r="AD20" s="59"/>
      <c r="AE20" s="59"/>
      <c r="AF20" s="59"/>
      <c r="AG20" s="59"/>
      <c r="AH20" s="59"/>
      <c r="AI20" s="59"/>
      <c r="AJ20" s="59"/>
      <c r="AK20" s="59"/>
      <c r="AL20" s="59"/>
      <c r="AM20" s="59"/>
      <c r="AN20" s="59"/>
      <c r="AO20" s="59"/>
      <c r="AP20" s="59"/>
      <c r="AQ20" s="59"/>
      <c r="AR20" s="59"/>
      <c r="AS20" s="59"/>
      <c r="AT20" s="59"/>
      <c r="AU20" s="59"/>
      <c r="AV20" s="59"/>
      <c r="AW20" s="59"/>
      <c r="AX20" s="59"/>
      <c r="AY20" s="59"/>
      <c r="AZ20" s="59"/>
      <c r="BA20" s="59"/>
      <c r="BB20" s="59"/>
    </row>
    <row r="21" spans="1:54" x14ac:dyDescent="0.2">
      <c r="A21" s="60"/>
      <c r="B21" s="149" t="s">
        <v>53</v>
      </c>
      <c r="C21" s="59">
        <v>0</v>
      </c>
      <c r="D21" s="148">
        <v>12.75253</v>
      </c>
      <c r="E21" s="148">
        <v>13.051629999999999</v>
      </c>
      <c r="F21" s="148">
        <v>13.265540000000001</v>
      </c>
      <c r="G21" s="148">
        <v>13.18962</v>
      </c>
      <c r="H21" s="148">
        <v>13.142029999999998</v>
      </c>
      <c r="I21" s="148">
        <v>13.11401</v>
      </c>
      <c r="J21" s="148">
        <v>13.178880000000001</v>
      </c>
      <c r="K21" s="148">
        <v>13.25747</v>
      </c>
      <c r="L21" s="148">
        <v>13.29903</v>
      </c>
      <c r="M21" s="148">
        <v>13.31495</v>
      </c>
      <c r="N21" s="148">
        <v>13.304360000000001</v>
      </c>
      <c r="O21" s="148">
        <v>13.2629</v>
      </c>
      <c r="P21" s="148">
        <v>13.217840000000001</v>
      </c>
      <c r="Q21" s="148">
        <v>13.158149999999999</v>
      </c>
      <c r="R21" s="148">
        <v>13.081250000000001</v>
      </c>
      <c r="S21" s="148">
        <v>12.982460000000001</v>
      </c>
      <c r="T21" s="148">
        <v>12.873180000000001</v>
      </c>
      <c r="U21" s="148">
        <v>12.750959999999999</v>
      </c>
      <c r="V21" s="148">
        <v>12.636140000000001</v>
      </c>
      <c r="W21" s="148">
        <v>12.55068</v>
      </c>
      <c r="X21" s="59"/>
      <c r="Y21" s="59"/>
      <c r="Z21" s="59"/>
      <c r="AA21" s="59"/>
      <c r="AB21" s="59"/>
      <c r="AC21" s="59"/>
      <c r="AD21" s="59"/>
      <c r="AE21" s="59"/>
      <c r="AF21" s="59"/>
      <c r="AG21" s="59"/>
      <c r="AH21" s="59"/>
      <c r="AI21" s="59"/>
      <c r="AJ21" s="59"/>
      <c r="AK21" s="59"/>
      <c r="AL21" s="59"/>
      <c r="AM21" s="59"/>
      <c r="AN21" s="59"/>
      <c r="AO21" s="59"/>
      <c r="AP21" s="59"/>
      <c r="AQ21" s="59"/>
      <c r="AR21" s="59"/>
      <c r="AS21" s="59"/>
      <c r="AT21" s="59"/>
      <c r="AU21" s="59"/>
      <c r="AV21" s="59"/>
      <c r="AW21" s="59"/>
      <c r="AX21" s="59"/>
      <c r="AY21" s="59"/>
      <c r="AZ21" s="59"/>
      <c r="BA21" s="59"/>
      <c r="BB21" s="59"/>
    </row>
    <row r="22" spans="1:54" x14ac:dyDescent="0.2">
      <c r="A22" s="60"/>
      <c r="B22" s="150" t="s">
        <v>54</v>
      </c>
      <c r="C22" s="59">
        <v>0</v>
      </c>
      <c r="D22" s="148">
        <v>6.2264300000000006</v>
      </c>
      <c r="E22" s="148">
        <v>6.2125199999999996</v>
      </c>
      <c r="F22" s="148">
        <v>6.2122099999999998</v>
      </c>
      <c r="G22" s="148">
        <v>6.24024</v>
      </c>
      <c r="H22" s="148">
        <v>6.2697900000000004</v>
      </c>
      <c r="I22" s="148">
        <v>6.30023</v>
      </c>
      <c r="J22" s="148">
        <v>6.3258499999999991</v>
      </c>
      <c r="K22" s="148">
        <v>6.3533200000000001</v>
      </c>
      <c r="L22" s="148">
        <v>6.3764799999999999</v>
      </c>
      <c r="M22" s="148">
        <v>6.3974199999999994</v>
      </c>
      <c r="N22" s="148">
        <v>6.4209000000000005</v>
      </c>
      <c r="O22" s="148">
        <v>6.4349299999999996</v>
      </c>
      <c r="P22" s="148">
        <v>6.44834</v>
      </c>
      <c r="Q22" s="148">
        <v>6.4629599999999998</v>
      </c>
      <c r="R22" s="148">
        <v>6.4788600000000001</v>
      </c>
      <c r="S22" s="148">
        <v>6.4963300000000004</v>
      </c>
      <c r="T22" s="148">
        <v>6.5105800000000009</v>
      </c>
      <c r="U22" s="148">
        <v>6.5257800000000001</v>
      </c>
      <c r="V22" s="148">
        <v>6.5442399999999994</v>
      </c>
      <c r="W22" s="148">
        <v>6.5568400000000002</v>
      </c>
      <c r="X22" s="59"/>
      <c r="Y22" s="59"/>
      <c r="Z22" s="59"/>
      <c r="AA22" s="59"/>
      <c r="AB22" s="59"/>
      <c r="AC22" s="59"/>
      <c r="AD22" s="59"/>
      <c r="AE22" s="59"/>
      <c r="AF22" s="59"/>
      <c r="AG22" s="59"/>
      <c r="AH22" s="59"/>
      <c r="AI22" s="59"/>
      <c r="AJ22" s="59"/>
      <c r="AK22" s="59"/>
      <c r="AL22" s="59"/>
      <c r="AM22" s="59"/>
      <c r="AN22" s="59"/>
      <c r="AO22" s="59"/>
      <c r="AP22" s="59"/>
      <c r="AQ22" s="59"/>
      <c r="AR22" s="59"/>
      <c r="AS22" s="59"/>
      <c r="AT22" s="59"/>
      <c r="AU22" s="59"/>
      <c r="AV22" s="59"/>
      <c r="AW22" s="59"/>
      <c r="AX22" s="59"/>
      <c r="AY22" s="59"/>
      <c r="AZ22" s="59"/>
      <c r="BA22" s="59"/>
      <c r="BB22" s="59"/>
    </row>
    <row r="23" spans="1:54" x14ac:dyDescent="0.2">
      <c r="A23" s="60"/>
      <c r="B23" s="150" t="s">
        <v>55</v>
      </c>
      <c r="C23" s="59">
        <v>0</v>
      </c>
      <c r="D23" s="148">
        <v>2.09605</v>
      </c>
      <c r="E23" s="148">
        <v>2.1229299999999998</v>
      </c>
      <c r="F23" s="148">
        <v>2.1484399999999999</v>
      </c>
      <c r="G23" s="148">
        <v>2.1887400000000001</v>
      </c>
      <c r="H23" s="148">
        <v>2.2475000000000001</v>
      </c>
      <c r="I23" s="148">
        <v>2.3259499999999997</v>
      </c>
      <c r="J23" s="148">
        <v>2.38679</v>
      </c>
      <c r="K23" s="148">
        <v>2.4540600000000001</v>
      </c>
      <c r="L23" s="148">
        <v>2.5214699999999999</v>
      </c>
      <c r="M23" s="148">
        <v>2.59592</v>
      </c>
      <c r="N23" s="148">
        <v>2.67021</v>
      </c>
      <c r="O23" s="148">
        <v>2.7360500000000001</v>
      </c>
      <c r="P23" s="148">
        <v>2.7967599999999999</v>
      </c>
      <c r="Q23" s="148">
        <v>2.8543799999999999</v>
      </c>
      <c r="R23" s="148">
        <v>2.9076200000000001</v>
      </c>
      <c r="S23" s="148">
        <v>2.95608</v>
      </c>
      <c r="T23" s="148">
        <v>2.99587</v>
      </c>
      <c r="U23" s="148">
        <v>3.0290600000000003</v>
      </c>
      <c r="V23" s="148">
        <v>3.0579700000000001</v>
      </c>
      <c r="W23" s="148">
        <v>3.0828700000000002</v>
      </c>
      <c r="X23" s="59"/>
      <c r="Y23" s="59"/>
      <c r="Z23" s="59"/>
      <c r="AA23" s="59"/>
      <c r="AB23" s="59"/>
      <c r="AC23" s="59"/>
      <c r="AD23" s="59"/>
      <c r="AE23" s="59"/>
      <c r="AF23" s="59"/>
      <c r="AG23" s="59"/>
      <c r="AH23" s="59"/>
      <c r="AI23" s="59"/>
      <c r="AJ23" s="59"/>
      <c r="AK23" s="59"/>
      <c r="AL23" s="59"/>
      <c r="AM23" s="59"/>
      <c r="AN23" s="59"/>
      <c r="AO23" s="59"/>
      <c r="AP23" s="59"/>
      <c r="AQ23" s="59"/>
      <c r="AR23" s="59"/>
      <c r="AS23" s="59"/>
      <c r="AT23" s="59"/>
      <c r="AU23" s="59"/>
      <c r="AV23" s="59"/>
      <c r="AW23" s="59"/>
      <c r="AX23" s="59"/>
      <c r="AY23" s="59"/>
      <c r="AZ23" s="59"/>
      <c r="BA23" s="59"/>
      <c r="BB23" s="59"/>
    </row>
    <row r="24" spans="1:54" x14ac:dyDescent="0.2">
      <c r="A24" s="60"/>
      <c r="B24" s="150" t="s">
        <v>56</v>
      </c>
      <c r="C24" s="59">
        <v>0</v>
      </c>
      <c r="D24" s="148">
        <v>5.2752499999999998</v>
      </c>
      <c r="E24" s="148">
        <v>5.2078899999999999</v>
      </c>
      <c r="F24" s="148">
        <v>5.1376900000000001</v>
      </c>
      <c r="G24" s="148">
        <v>5.0797400000000001</v>
      </c>
      <c r="H24" s="148">
        <v>5.0267200000000001</v>
      </c>
      <c r="I24" s="148">
        <v>4.9797799999999999</v>
      </c>
      <c r="J24" s="148">
        <v>4.9394800000000005</v>
      </c>
      <c r="K24" s="148">
        <v>4.8961999999999994</v>
      </c>
      <c r="L24" s="148">
        <v>4.84544</v>
      </c>
      <c r="M24" s="148">
        <v>4.79352</v>
      </c>
      <c r="N24" s="148">
        <v>4.7381199999999994</v>
      </c>
      <c r="O24" s="148">
        <v>4.6875800000000005</v>
      </c>
      <c r="P24" s="148">
        <v>4.6461000000000006</v>
      </c>
      <c r="Q24" s="148">
        <v>4.6093999999999999</v>
      </c>
      <c r="R24" s="148">
        <v>4.5734399999999997</v>
      </c>
      <c r="S24" s="148">
        <v>4.5390300000000003</v>
      </c>
      <c r="T24" s="148">
        <v>4.50922</v>
      </c>
      <c r="U24" s="148">
        <v>4.4807199999999998</v>
      </c>
      <c r="V24" s="148">
        <v>4.4487300000000003</v>
      </c>
      <c r="W24" s="148">
        <v>4.42014</v>
      </c>
      <c r="X24" s="59"/>
      <c r="Y24" s="59"/>
      <c r="Z24" s="59"/>
      <c r="AA24" s="59"/>
      <c r="AB24" s="59"/>
      <c r="AC24" s="59"/>
      <c r="AD24" s="59"/>
      <c r="AE24" s="59"/>
      <c r="AF24" s="59"/>
      <c r="AG24" s="59"/>
      <c r="AH24" s="59"/>
      <c r="AI24" s="59"/>
      <c r="AJ24" s="59"/>
      <c r="AK24" s="59"/>
      <c r="AL24" s="59"/>
      <c r="AM24" s="59"/>
      <c r="AN24" s="59"/>
      <c r="AO24" s="59"/>
      <c r="AP24" s="59"/>
      <c r="AQ24" s="59"/>
      <c r="AR24" s="59"/>
      <c r="AS24" s="59"/>
      <c r="AT24" s="59"/>
      <c r="AU24" s="59"/>
      <c r="AV24" s="59"/>
      <c r="AW24" s="59"/>
      <c r="AX24" s="59"/>
      <c r="AY24" s="59"/>
      <c r="AZ24" s="59"/>
      <c r="BA24" s="59"/>
      <c r="BB24" s="59"/>
    </row>
    <row r="25" spans="1:54" x14ac:dyDescent="0.2">
      <c r="A25" s="60"/>
      <c r="B25" s="150" t="s">
        <v>57</v>
      </c>
      <c r="C25" s="59">
        <v>0</v>
      </c>
      <c r="D25" s="148">
        <v>2.69441</v>
      </c>
      <c r="E25" s="148">
        <v>2.7579800000000003</v>
      </c>
      <c r="F25" s="148">
        <v>2.8028299999999997</v>
      </c>
      <c r="G25" s="148">
        <v>2.7870900000000001</v>
      </c>
      <c r="H25" s="148">
        <v>2.7769900000000001</v>
      </c>
      <c r="I25" s="148">
        <v>2.7710499999999998</v>
      </c>
      <c r="J25" s="148">
        <v>2.7846200000000003</v>
      </c>
      <c r="K25" s="148">
        <v>2.8014100000000002</v>
      </c>
      <c r="L25" s="148">
        <v>2.81012</v>
      </c>
      <c r="M25" s="148">
        <v>2.8135699999999999</v>
      </c>
      <c r="N25" s="148">
        <v>2.8111799999999998</v>
      </c>
      <c r="O25" s="148">
        <v>2.8024400000000003</v>
      </c>
      <c r="P25" s="148">
        <v>2.79297</v>
      </c>
      <c r="Q25" s="148">
        <v>2.7802899999999999</v>
      </c>
      <c r="R25" s="148">
        <v>2.7640099999999999</v>
      </c>
      <c r="S25" s="148">
        <v>2.7431100000000002</v>
      </c>
      <c r="T25" s="148">
        <v>2.72017</v>
      </c>
      <c r="U25" s="148">
        <v>2.6941699999999997</v>
      </c>
      <c r="V25" s="148">
        <v>2.6700200000000001</v>
      </c>
      <c r="W25" s="148">
        <v>2.65205</v>
      </c>
      <c r="X25" s="59"/>
      <c r="Y25" s="59"/>
      <c r="Z25" s="59"/>
      <c r="AA25" s="59"/>
      <c r="AB25" s="59"/>
      <c r="AC25" s="59"/>
      <c r="AD25" s="59"/>
      <c r="AE25" s="59"/>
      <c r="AF25" s="59"/>
      <c r="AG25" s="59"/>
      <c r="AH25" s="59"/>
      <c r="AI25" s="59"/>
      <c r="AJ25" s="59"/>
      <c r="AK25" s="59"/>
      <c r="AL25" s="59"/>
      <c r="AM25" s="59"/>
      <c r="AN25" s="59"/>
      <c r="AO25" s="59"/>
      <c r="AP25" s="59"/>
      <c r="AQ25" s="59"/>
      <c r="AR25" s="59"/>
      <c r="AS25" s="59"/>
      <c r="AT25" s="59"/>
      <c r="AU25" s="59"/>
      <c r="AV25" s="59"/>
      <c r="AW25" s="59"/>
      <c r="AX25" s="59"/>
      <c r="AY25" s="59"/>
      <c r="AZ25" s="59"/>
      <c r="BA25" s="59"/>
      <c r="BB25" s="59"/>
    </row>
    <row r="26" spans="1:54" x14ac:dyDescent="0.2">
      <c r="A26" s="60"/>
      <c r="B26" s="149" t="s">
        <v>58</v>
      </c>
      <c r="C26" s="59">
        <v>2.0641180000000001</v>
      </c>
      <c r="D26" s="148">
        <v>2.1110479999999998</v>
      </c>
      <c r="E26" s="148">
        <v>2.1176979999999999</v>
      </c>
      <c r="F26" s="148">
        <v>2.1243479999999999</v>
      </c>
      <c r="G26" s="148">
        <v>2.1309979999999999</v>
      </c>
      <c r="H26" s="148">
        <v>2.137648</v>
      </c>
      <c r="I26" s="148">
        <v>2.1442990000000002</v>
      </c>
      <c r="J26" s="148">
        <v>2.1509490000000002</v>
      </c>
      <c r="K26" s="148">
        <v>2.1575989999999998</v>
      </c>
      <c r="L26" s="148">
        <v>2.1642489999999999</v>
      </c>
      <c r="M26" s="148">
        <v>2.1708989999999999</v>
      </c>
      <c r="N26" s="148">
        <v>2.1775500000000001</v>
      </c>
      <c r="O26" s="148">
        <v>2.1842000000000001</v>
      </c>
      <c r="P26" s="148">
        <v>2.1908500000000002</v>
      </c>
      <c r="Q26" s="148">
        <v>2.1974999999999998</v>
      </c>
      <c r="R26" s="148">
        <v>2.2041499999999998</v>
      </c>
      <c r="S26" s="148">
        <v>2.210801</v>
      </c>
      <c r="T26" s="148">
        <v>2.2174510000000001</v>
      </c>
      <c r="U26" s="148">
        <v>2.2241010000000001</v>
      </c>
      <c r="V26" s="148">
        <v>2.2307510000000002</v>
      </c>
      <c r="W26" s="148">
        <v>2.2374010000000002</v>
      </c>
      <c r="X26" s="59"/>
      <c r="Y26" s="59"/>
      <c r="Z26" s="59"/>
      <c r="AA26" s="59"/>
      <c r="AB26" s="59"/>
      <c r="AC26" s="59"/>
      <c r="AD26" s="59"/>
      <c r="AE26" s="59"/>
      <c r="AF26" s="59"/>
      <c r="AG26" s="59"/>
      <c r="AH26" s="59"/>
      <c r="AI26" s="59"/>
      <c r="AJ26" s="59"/>
      <c r="AK26" s="59"/>
      <c r="AL26" s="59"/>
      <c r="AM26" s="59"/>
      <c r="AN26" s="59"/>
      <c r="AO26" s="59"/>
      <c r="AP26" s="59"/>
      <c r="AQ26" s="59"/>
      <c r="AR26" s="59"/>
      <c r="AS26" s="59"/>
      <c r="AT26" s="59"/>
      <c r="AU26" s="59"/>
      <c r="AV26" s="59"/>
      <c r="AW26" s="59"/>
      <c r="AX26" s="59"/>
      <c r="AY26" s="59"/>
      <c r="AZ26" s="59"/>
      <c r="BA26" s="59"/>
      <c r="BB26" s="59"/>
    </row>
    <row r="27" spans="1:54" x14ac:dyDescent="0.2">
      <c r="A27" s="60"/>
      <c r="B27" s="60"/>
      <c r="C27" s="60"/>
      <c r="D27" s="60"/>
      <c r="E27" s="60"/>
      <c r="F27" s="60"/>
      <c r="G27" s="60"/>
      <c r="H27" s="60"/>
      <c r="I27" s="60"/>
      <c r="J27" s="60"/>
      <c r="K27" s="60"/>
      <c r="L27" s="60"/>
      <c r="M27" s="60"/>
      <c r="N27" s="60"/>
      <c r="O27" s="60"/>
    </row>
    <row r="28" spans="1:54" s="142" customFormat="1" x14ac:dyDescent="0.2">
      <c r="A28" s="151"/>
      <c r="B28" s="143" t="s">
        <v>243</v>
      </c>
      <c r="C28" s="151"/>
      <c r="D28" s="151"/>
      <c r="E28" s="151"/>
      <c r="F28" s="151"/>
      <c r="G28" s="151"/>
      <c r="H28" s="151"/>
      <c r="I28" s="151"/>
      <c r="J28" s="151"/>
      <c r="K28" s="151"/>
      <c r="L28" s="151"/>
      <c r="M28" s="151"/>
      <c r="N28" s="151"/>
      <c r="O28" s="151"/>
    </row>
    <row r="29" spans="1:54" x14ac:dyDescent="0.2">
      <c r="A29" s="60"/>
      <c r="B29" s="145" t="s">
        <v>59</v>
      </c>
      <c r="C29" s="60"/>
      <c r="D29" s="60"/>
      <c r="E29" s="60"/>
      <c r="F29" s="60"/>
      <c r="G29" s="60"/>
      <c r="H29" s="60"/>
      <c r="I29" s="60"/>
      <c r="J29" s="60"/>
      <c r="K29" s="60"/>
      <c r="L29" s="60"/>
      <c r="M29" s="60"/>
      <c r="N29" s="60"/>
      <c r="O29" s="60"/>
    </row>
    <row r="30" spans="1:54" x14ac:dyDescent="0.2">
      <c r="A30" s="60"/>
      <c r="B30" s="60" t="s">
        <v>60</v>
      </c>
      <c r="C30" s="152">
        <v>2.8381799999999999</v>
      </c>
      <c r="D30" s="153">
        <v>1.335467</v>
      </c>
      <c r="E30" s="153">
        <v>-1.0353760000000001</v>
      </c>
      <c r="F30" s="153">
        <v>3.9589600000000003E-2</v>
      </c>
      <c r="G30" s="153">
        <v>1.6580349999999999</v>
      </c>
      <c r="H30" s="153">
        <v>1.3102849999999999</v>
      </c>
      <c r="I30" s="153">
        <v>1.414615</v>
      </c>
      <c r="J30" s="153">
        <v>1.0487979999999999</v>
      </c>
      <c r="K30" s="153">
        <v>0.58138120000000004</v>
      </c>
      <c r="L30" s="153">
        <v>0.55843980000000004</v>
      </c>
      <c r="M30" s="153">
        <v>0.58565610000000001</v>
      </c>
      <c r="N30" s="153">
        <v>0.65826850000000003</v>
      </c>
      <c r="O30" s="153">
        <v>0.68445089999999997</v>
      </c>
      <c r="P30" s="417">
        <v>0.88988429999999996</v>
      </c>
      <c r="Q30" s="417">
        <v>1.09531</v>
      </c>
      <c r="R30" s="417">
        <v>1.3007420000000001</v>
      </c>
      <c r="S30" s="417">
        <v>1.375005</v>
      </c>
      <c r="T30" s="417">
        <v>1.4239539999999999</v>
      </c>
      <c r="U30" s="417">
        <v>1.4860420000000001</v>
      </c>
      <c r="V30" s="417">
        <v>1.5330820000000001</v>
      </c>
      <c r="W30" s="417">
        <v>1.4883029999999999</v>
      </c>
      <c r="X30" s="152"/>
      <c r="Y30" s="152"/>
      <c r="Z30" s="152"/>
      <c r="AA30" s="152"/>
      <c r="AB30" s="152"/>
      <c r="AC30" s="152"/>
      <c r="AD30" s="152"/>
      <c r="AE30" s="152"/>
      <c r="AF30" s="152"/>
      <c r="AG30" s="152"/>
      <c r="AH30" s="152"/>
      <c r="AI30" s="152"/>
      <c r="AJ30" s="152"/>
      <c r="AK30" s="152"/>
      <c r="AL30" s="152"/>
      <c r="AM30" s="152"/>
      <c r="AN30" s="152"/>
      <c r="AO30" s="152"/>
      <c r="AP30" s="152"/>
      <c r="AQ30" s="152"/>
      <c r="AR30" s="152"/>
      <c r="AS30" s="152"/>
      <c r="AT30" s="152"/>
      <c r="AU30" s="152"/>
      <c r="AV30" s="152"/>
      <c r="AW30" s="152"/>
      <c r="AX30" s="152"/>
      <c r="AY30" s="152"/>
      <c r="AZ30" s="152"/>
      <c r="BA30" s="152"/>
      <c r="BB30" s="152"/>
    </row>
    <row r="31" spans="1:54" x14ac:dyDescent="0.2">
      <c r="A31" s="60"/>
      <c r="B31" s="295" t="s">
        <v>201</v>
      </c>
      <c r="C31" s="152">
        <v>230.55600000000001</v>
      </c>
    </row>
    <row r="32" spans="1:54" x14ac:dyDescent="0.2">
      <c r="A32" s="60"/>
      <c r="B32" s="145" t="s">
        <v>62</v>
      </c>
      <c r="C32" s="60"/>
      <c r="D32" s="60"/>
      <c r="E32" s="60"/>
      <c r="F32" s="60"/>
      <c r="G32" s="60"/>
      <c r="H32" s="60"/>
      <c r="I32" s="60"/>
      <c r="J32" s="60"/>
      <c r="K32" s="60"/>
      <c r="L32" s="60"/>
      <c r="M32" s="60"/>
      <c r="N32" s="60"/>
      <c r="O32" s="60"/>
      <c r="P32" s="60"/>
      <c r="Q32" s="60"/>
      <c r="R32" s="60"/>
      <c r="S32" s="60"/>
      <c r="T32" s="60"/>
      <c r="U32" s="60"/>
      <c r="V32" s="60"/>
      <c r="W32" s="60"/>
      <c r="X32" s="60"/>
      <c r="Y32" s="60"/>
      <c r="Z32" s="60"/>
      <c r="AA32" s="60"/>
      <c r="AB32" s="60"/>
      <c r="AC32" s="60"/>
      <c r="AD32" s="60"/>
      <c r="AE32" s="60"/>
      <c r="AF32" s="60"/>
      <c r="AG32" s="60"/>
      <c r="AH32" s="60"/>
      <c r="AI32" s="60"/>
      <c r="AJ32" s="60"/>
      <c r="AK32" s="60"/>
      <c r="AL32" s="60"/>
      <c r="AM32" s="60"/>
      <c r="AN32" s="60"/>
      <c r="AO32" s="60"/>
      <c r="AP32" s="60"/>
      <c r="AQ32" s="60"/>
      <c r="AR32" s="60"/>
      <c r="AS32" s="60"/>
      <c r="AT32" s="60"/>
      <c r="AU32" s="60"/>
      <c r="AV32" s="60"/>
      <c r="AW32" s="60"/>
      <c r="AX32" s="60"/>
      <c r="AY32" s="60"/>
      <c r="AZ32" s="60"/>
      <c r="BA32" s="60"/>
      <c r="BB32" s="60"/>
    </row>
    <row r="33" spans="1:54" x14ac:dyDescent="0.2">
      <c r="A33" s="60"/>
      <c r="B33" s="60" t="s">
        <v>60</v>
      </c>
      <c r="C33" s="152">
        <v>0.68060670000000001</v>
      </c>
      <c r="D33" s="153">
        <v>1.2226809999999999</v>
      </c>
      <c r="E33" s="153">
        <v>1.0916300000000001</v>
      </c>
      <c r="F33" s="153">
        <v>0.63010730000000004</v>
      </c>
      <c r="G33" s="153">
        <v>0.63180159999999996</v>
      </c>
      <c r="H33" s="153">
        <v>0.68473079999999997</v>
      </c>
      <c r="I33" s="153">
        <v>0.58650530000000001</v>
      </c>
      <c r="J33" s="153">
        <v>0.63791129999999996</v>
      </c>
      <c r="K33" s="153">
        <v>0.58138040000000002</v>
      </c>
      <c r="L33" s="153">
        <v>0.55843730000000003</v>
      </c>
      <c r="M33" s="153">
        <v>0.58565659999999997</v>
      </c>
      <c r="N33" s="153">
        <v>0.65826910000000005</v>
      </c>
      <c r="O33" s="153">
        <v>0.68445239999999996</v>
      </c>
      <c r="P33" s="417">
        <v>0.88988239999999996</v>
      </c>
      <c r="Q33" s="417">
        <v>1.095313</v>
      </c>
      <c r="R33" s="417">
        <v>1.300743</v>
      </c>
      <c r="S33" s="417">
        <v>1.3750089999999999</v>
      </c>
      <c r="T33" s="417">
        <v>1.4239520000000001</v>
      </c>
      <c r="U33" s="417">
        <v>1.486043</v>
      </c>
      <c r="V33" s="417">
        <v>1.5330779999999999</v>
      </c>
      <c r="W33" s="417">
        <v>1.488302</v>
      </c>
      <c r="X33" s="152"/>
      <c r="Y33" s="152"/>
      <c r="Z33" s="152"/>
      <c r="AA33" s="152"/>
      <c r="AB33" s="152"/>
      <c r="AC33" s="152"/>
      <c r="AD33" s="152"/>
      <c r="AE33" s="152"/>
      <c r="AF33" s="152"/>
      <c r="AG33" s="152"/>
      <c r="AH33" s="152"/>
      <c r="AI33" s="152"/>
      <c r="AJ33" s="152"/>
      <c r="AK33" s="152"/>
      <c r="AL33" s="152"/>
      <c r="AM33" s="152"/>
      <c r="AN33" s="152"/>
      <c r="AO33" s="152"/>
      <c r="AP33" s="152"/>
      <c r="AQ33" s="152"/>
      <c r="AR33" s="152"/>
      <c r="AS33" s="152"/>
      <c r="AT33" s="152"/>
      <c r="AU33" s="152"/>
      <c r="AV33" s="152"/>
      <c r="AW33" s="152"/>
      <c r="AX33" s="152"/>
      <c r="AY33" s="152"/>
      <c r="AZ33" s="152"/>
      <c r="BA33" s="152"/>
      <c r="BB33" s="152"/>
    </row>
    <row r="34" spans="1:54" x14ac:dyDescent="0.2">
      <c r="A34" s="60"/>
      <c r="B34" s="295" t="s">
        <v>201</v>
      </c>
      <c r="C34" s="152">
        <v>231.15090000000001</v>
      </c>
      <c r="D34" s="60"/>
      <c r="E34" s="60"/>
      <c r="F34" s="60"/>
      <c r="G34" s="60"/>
      <c r="H34" s="60"/>
      <c r="I34" s="60"/>
      <c r="J34" s="60"/>
      <c r="K34" s="60"/>
      <c r="L34" s="60"/>
      <c r="M34" s="60"/>
      <c r="N34" s="60"/>
      <c r="O34" s="60"/>
      <c r="P34" s="60"/>
      <c r="Q34" s="60"/>
      <c r="R34" s="60"/>
      <c r="S34" s="60"/>
      <c r="T34" s="60"/>
      <c r="U34" s="60"/>
      <c r="V34" s="60"/>
      <c r="W34" s="60"/>
      <c r="X34" s="60"/>
      <c r="Y34" s="60"/>
      <c r="Z34" s="60"/>
      <c r="AA34" s="60"/>
      <c r="AB34" s="60"/>
      <c r="AC34" s="60"/>
      <c r="AD34" s="60"/>
      <c r="AE34" s="60"/>
      <c r="AF34" s="60"/>
      <c r="AG34" s="60"/>
      <c r="AH34" s="60"/>
      <c r="AI34" s="60"/>
      <c r="AJ34" s="60"/>
      <c r="AK34" s="60"/>
      <c r="AL34" s="60"/>
      <c r="AM34" s="60"/>
      <c r="AN34" s="60"/>
      <c r="AO34" s="60"/>
      <c r="AP34" s="60"/>
      <c r="AQ34" s="60"/>
      <c r="AR34" s="60"/>
      <c r="AS34" s="60"/>
      <c r="AT34" s="60"/>
      <c r="AU34" s="60"/>
      <c r="AV34" s="60"/>
      <c r="AW34" s="60"/>
      <c r="AX34" s="60"/>
      <c r="AY34" s="60"/>
      <c r="AZ34" s="60"/>
      <c r="BA34" s="60"/>
      <c r="BB34" s="60"/>
    </row>
    <row r="35" spans="1:54" x14ac:dyDescent="0.2">
      <c r="A35" s="60"/>
      <c r="B35" s="295"/>
      <c r="C35" s="152"/>
      <c r="D35" s="60"/>
      <c r="E35" s="60"/>
      <c r="F35" s="60"/>
      <c r="G35" s="60"/>
      <c r="H35" s="60"/>
      <c r="I35" s="60"/>
      <c r="J35" s="60"/>
      <c r="K35" s="60"/>
      <c r="L35" s="60"/>
      <c r="M35" s="60"/>
      <c r="N35" s="60"/>
      <c r="O35" s="60"/>
      <c r="P35" s="60"/>
      <c r="Q35" s="60"/>
      <c r="R35" s="60"/>
      <c r="S35" s="60"/>
      <c r="T35" s="60"/>
      <c r="U35" s="60"/>
      <c r="V35" s="60"/>
      <c r="W35" s="60"/>
      <c r="X35" s="60"/>
      <c r="Y35" s="60"/>
      <c r="Z35" s="60"/>
      <c r="AA35" s="60"/>
      <c r="AB35" s="60"/>
      <c r="AC35" s="60"/>
      <c r="AD35" s="60"/>
      <c r="AE35" s="60"/>
      <c r="AF35" s="60"/>
      <c r="AG35" s="60"/>
      <c r="AH35" s="60"/>
      <c r="AI35" s="60"/>
      <c r="AJ35" s="60"/>
      <c r="AK35" s="60"/>
      <c r="AL35" s="60"/>
      <c r="AM35" s="60"/>
      <c r="AN35" s="60"/>
      <c r="AO35" s="60"/>
      <c r="AP35" s="60"/>
      <c r="AQ35" s="60"/>
      <c r="AR35" s="60"/>
      <c r="AS35" s="60"/>
      <c r="AT35" s="60"/>
      <c r="AU35" s="60"/>
      <c r="AV35" s="60"/>
      <c r="AW35" s="60"/>
      <c r="AX35" s="60"/>
      <c r="AY35" s="60"/>
      <c r="AZ35" s="60"/>
      <c r="BA35" s="60"/>
      <c r="BB35" s="60"/>
    </row>
    <row r="36" spans="1:54" s="142" customFormat="1" x14ac:dyDescent="0.2">
      <c r="A36" s="151"/>
      <c r="B36" s="143" t="s">
        <v>255</v>
      </c>
      <c r="C36" s="151"/>
      <c r="D36" s="151"/>
      <c r="E36" s="151"/>
      <c r="F36" s="151"/>
      <c r="G36" s="151"/>
      <c r="H36" s="151"/>
      <c r="I36" s="151"/>
      <c r="J36" s="151"/>
      <c r="K36" s="151"/>
      <c r="L36" s="151"/>
      <c r="M36" s="151"/>
      <c r="N36" s="151"/>
      <c r="O36" s="151"/>
      <c r="P36" s="151"/>
      <c r="Q36" s="151"/>
      <c r="R36" s="151"/>
      <c r="S36" s="151"/>
      <c r="T36" s="151"/>
      <c r="U36" s="151"/>
      <c r="V36" s="151"/>
      <c r="W36" s="151"/>
      <c r="X36" s="151"/>
      <c r="Y36" s="151"/>
      <c r="Z36" s="151"/>
      <c r="AA36" s="151"/>
      <c r="AB36" s="151"/>
      <c r="AC36" s="151"/>
      <c r="AD36" s="151"/>
      <c r="AE36" s="151"/>
      <c r="AF36" s="151"/>
      <c r="AG36" s="151"/>
      <c r="AH36" s="151"/>
      <c r="AI36" s="151"/>
      <c r="AJ36" s="151"/>
      <c r="AK36" s="151"/>
      <c r="AL36" s="151"/>
      <c r="AM36" s="151"/>
      <c r="AN36" s="151"/>
      <c r="AO36" s="151"/>
      <c r="AP36" s="151"/>
      <c r="AQ36" s="151"/>
      <c r="AR36" s="151"/>
      <c r="AS36" s="151"/>
      <c r="AT36" s="151"/>
      <c r="AU36" s="151"/>
      <c r="AV36" s="151"/>
      <c r="AW36" s="151"/>
      <c r="AX36" s="151"/>
      <c r="AY36" s="151"/>
      <c r="AZ36" s="151"/>
      <c r="BA36" s="151"/>
      <c r="BB36" s="151"/>
    </row>
    <row r="37" spans="1:54" x14ac:dyDescent="0.2">
      <c r="A37" s="60"/>
      <c r="B37" s="60" t="s">
        <v>63</v>
      </c>
      <c r="C37" s="59">
        <v>0.73297140000000005</v>
      </c>
      <c r="D37" s="147">
        <v>0.83926920000000005</v>
      </c>
      <c r="E37" s="147">
        <v>1.5804370000000001</v>
      </c>
      <c r="F37" s="147">
        <v>1.6625099999999999</v>
      </c>
      <c r="G37" s="147">
        <v>1.8895660000000001</v>
      </c>
      <c r="H37" s="59"/>
      <c r="I37" s="59"/>
      <c r="J37" s="59"/>
      <c r="K37" s="59"/>
      <c r="L37" s="59"/>
      <c r="M37" s="59"/>
      <c r="N37" s="59"/>
      <c r="O37" s="59"/>
      <c r="P37" s="59"/>
      <c r="Q37" s="59"/>
      <c r="R37" s="59"/>
      <c r="S37" s="59"/>
      <c r="T37" s="59"/>
      <c r="U37" s="59"/>
      <c r="V37" s="59"/>
      <c r="W37" s="59"/>
      <c r="X37" s="59"/>
      <c r="Y37" s="59"/>
      <c r="Z37" s="59"/>
      <c r="AA37" s="59"/>
      <c r="AB37" s="59"/>
      <c r="AC37" s="59"/>
      <c r="AD37" s="59"/>
      <c r="AE37" s="59"/>
      <c r="AF37" s="59"/>
      <c r="AG37" s="59"/>
      <c r="AH37" s="59"/>
      <c r="AI37" s="59"/>
      <c r="AJ37" s="59"/>
      <c r="AK37" s="59"/>
      <c r="AL37" s="59"/>
      <c r="AM37" s="59"/>
      <c r="AN37" s="59"/>
      <c r="AO37" s="59"/>
      <c r="AP37" s="59"/>
      <c r="AQ37" s="59"/>
      <c r="AR37" s="59"/>
      <c r="AS37" s="59"/>
      <c r="AT37" s="59"/>
      <c r="AU37" s="59"/>
      <c r="AV37" s="59"/>
      <c r="AW37" s="59"/>
      <c r="AX37" s="59"/>
      <c r="AY37" s="59"/>
      <c r="AZ37" s="59"/>
      <c r="BA37" s="59"/>
      <c r="BB37" s="59"/>
    </row>
    <row r="38" spans="1:54" x14ac:dyDescent="0.2">
      <c r="A38" s="60"/>
      <c r="B38" s="149" t="s">
        <v>64</v>
      </c>
      <c r="D38" s="147">
        <v>0.35</v>
      </c>
      <c r="E38" s="147">
        <v>3.43</v>
      </c>
      <c r="F38" s="284">
        <v>3.5642079999999998</v>
      </c>
      <c r="G38" s="285">
        <v>2.8163749999999999</v>
      </c>
      <c r="H38" s="59"/>
    </row>
    <row r="39" spans="1:54" x14ac:dyDescent="0.2">
      <c r="A39" s="60"/>
      <c r="B39" s="149" t="s">
        <v>65</v>
      </c>
      <c r="D39" s="147">
        <v>1.69</v>
      </c>
      <c r="E39" s="147">
        <v>3.04</v>
      </c>
      <c r="F39" s="286">
        <v>2.9418000000000002</v>
      </c>
      <c r="G39" s="287">
        <v>3.0140359999999999</v>
      </c>
      <c r="H39" s="59"/>
    </row>
    <row r="40" spans="1:54" x14ac:dyDescent="0.2">
      <c r="A40" s="60"/>
      <c r="B40" s="150"/>
      <c r="C40" s="59"/>
      <c r="D40" s="59"/>
      <c r="E40" s="154"/>
      <c r="F40" s="283" t="s">
        <v>71</v>
      </c>
      <c r="G40" s="154"/>
      <c r="H40" s="154"/>
      <c r="I40" s="154"/>
      <c r="J40" s="154"/>
      <c r="K40" s="154"/>
      <c r="L40" s="154"/>
      <c r="M40" s="154"/>
      <c r="N40" s="154"/>
      <c r="O40" s="154"/>
      <c r="P40" s="154"/>
      <c r="Q40" s="154"/>
      <c r="R40" s="154"/>
      <c r="S40" s="154"/>
      <c r="T40" s="154"/>
      <c r="U40" s="154"/>
      <c r="V40" s="154"/>
      <c r="W40" s="154"/>
      <c r="X40" s="59"/>
      <c r="Y40" s="59"/>
      <c r="Z40" s="59"/>
      <c r="AA40" s="59"/>
      <c r="AB40" s="59"/>
      <c r="AC40" s="59"/>
      <c r="AD40" s="59"/>
      <c r="AE40" s="59"/>
      <c r="AF40" s="59"/>
      <c r="AG40" s="59"/>
      <c r="AH40" s="59"/>
      <c r="AI40" s="59"/>
      <c r="AJ40" s="59"/>
      <c r="AK40" s="59"/>
      <c r="AL40" s="59"/>
      <c r="AM40" s="59"/>
      <c r="AN40" s="59"/>
      <c r="AO40" s="59"/>
      <c r="AP40" s="59"/>
      <c r="AQ40" s="59"/>
      <c r="AR40" s="59"/>
      <c r="AS40" s="59"/>
      <c r="AT40" s="59"/>
      <c r="AU40" s="59"/>
      <c r="AV40" s="59"/>
      <c r="AW40" s="59"/>
      <c r="AX40" s="59"/>
      <c r="AY40" s="59"/>
      <c r="AZ40" s="59"/>
      <c r="BA40" s="59"/>
      <c r="BB40" s="59"/>
    </row>
    <row r="41" spans="1:54" s="142" customFormat="1" x14ac:dyDescent="0.2">
      <c r="A41" s="151"/>
      <c r="B41" s="155" t="s">
        <v>256</v>
      </c>
      <c r="C41" s="156"/>
      <c r="D41" s="156"/>
      <c r="E41" s="156"/>
      <c r="F41" s="156"/>
      <c r="G41" s="157"/>
      <c r="H41" s="157"/>
      <c r="I41" s="157"/>
      <c r="J41" s="157"/>
      <c r="K41" s="157"/>
      <c r="L41" s="157"/>
      <c r="M41" s="157"/>
      <c r="N41" s="157"/>
      <c r="O41" s="157"/>
      <c r="P41" s="157"/>
      <c r="Q41" s="157"/>
      <c r="R41" s="157"/>
      <c r="S41" s="157"/>
      <c r="T41" s="157"/>
      <c r="U41" s="157"/>
      <c r="V41" s="157"/>
      <c r="W41" s="157"/>
      <c r="X41" s="156"/>
      <c r="Y41" s="156"/>
      <c r="Z41" s="156"/>
      <c r="AA41" s="156"/>
      <c r="AB41" s="156"/>
      <c r="AC41" s="156"/>
      <c r="AD41" s="156"/>
      <c r="AE41" s="156"/>
      <c r="AF41" s="156"/>
      <c r="AG41" s="156"/>
      <c r="AH41" s="156"/>
      <c r="AI41" s="156"/>
      <c r="AJ41" s="156"/>
      <c r="AK41" s="156"/>
      <c r="AL41" s="156"/>
      <c r="AM41" s="156"/>
      <c r="AN41" s="156"/>
      <c r="AO41" s="156"/>
      <c r="AP41" s="156"/>
      <c r="AQ41" s="156"/>
      <c r="AR41" s="156"/>
      <c r="AS41" s="156"/>
      <c r="AT41" s="156"/>
      <c r="AU41" s="156"/>
      <c r="AV41" s="156"/>
      <c r="AW41" s="156"/>
      <c r="AX41" s="156"/>
      <c r="AY41" s="156"/>
      <c r="AZ41" s="156"/>
      <c r="BA41" s="156"/>
      <c r="BB41" s="156"/>
    </row>
    <row r="42" spans="1:54" x14ac:dyDescent="0.2">
      <c r="A42" s="60"/>
      <c r="B42" s="60" t="s">
        <v>66</v>
      </c>
      <c r="C42" s="59">
        <v>2.397958</v>
      </c>
      <c r="D42" s="147">
        <v>5.3837979999999996</v>
      </c>
      <c r="E42" s="147">
        <v>4.7975909999999997</v>
      </c>
      <c r="F42" s="147">
        <v>1.8000020000000001</v>
      </c>
      <c r="G42" s="147">
        <v>2.124962</v>
      </c>
      <c r="H42" s="59"/>
      <c r="I42" s="59"/>
      <c r="J42" s="59"/>
      <c r="K42" s="59"/>
      <c r="L42" s="59"/>
      <c r="M42" s="59"/>
      <c r="N42" s="59"/>
      <c r="O42" s="59"/>
      <c r="P42" s="59"/>
      <c r="Q42" s="59"/>
      <c r="R42" s="59"/>
      <c r="S42" s="59"/>
      <c r="T42" s="59"/>
      <c r="U42" s="59"/>
      <c r="V42" s="59"/>
      <c r="W42" s="59"/>
      <c r="X42" s="59"/>
      <c r="Y42" s="59"/>
      <c r="Z42" s="59"/>
      <c r="AA42" s="59"/>
      <c r="AB42" s="59"/>
      <c r="AC42" s="59"/>
      <c r="AD42" s="59"/>
      <c r="AE42" s="59"/>
      <c r="AF42" s="59"/>
      <c r="AG42" s="59"/>
      <c r="AH42" s="59"/>
      <c r="AI42" s="59"/>
      <c r="AJ42" s="59"/>
      <c r="AK42" s="59"/>
      <c r="AL42" s="59"/>
      <c r="AM42" s="59"/>
      <c r="AN42" s="59"/>
      <c r="AO42" s="59"/>
      <c r="AP42" s="59"/>
      <c r="AQ42" s="59"/>
      <c r="AR42" s="59"/>
      <c r="AS42" s="59"/>
      <c r="AT42" s="59"/>
      <c r="AU42" s="59"/>
      <c r="AV42" s="59"/>
      <c r="AW42" s="59"/>
      <c r="AX42" s="59"/>
      <c r="AY42" s="59"/>
      <c r="AZ42" s="59"/>
      <c r="BA42" s="59"/>
      <c r="BB42" s="59"/>
    </row>
    <row r="43" spans="1:54" x14ac:dyDescent="0.2">
      <c r="A43" s="60"/>
    </row>
    <row r="44" spans="1:54" s="142" customFormat="1" x14ac:dyDescent="0.2">
      <c r="A44" s="151"/>
      <c r="B44" s="155" t="s">
        <v>257</v>
      </c>
      <c r="C44" s="156"/>
      <c r="D44" s="156"/>
      <c r="E44" s="156"/>
      <c r="F44" s="156"/>
      <c r="G44" s="157"/>
      <c r="H44" s="157"/>
      <c r="I44" s="157"/>
      <c r="J44" s="157"/>
      <c r="K44" s="157"/>
      <c r="L44" s="157"/>
      <c r="M44" s="157"/>
      <c r="N44" s="157"/>
      <c r="O44" s="157"/>
      <c r="P44" s="157"/>
      <c r="Q44" s="157"/>
      <c r="R44" s="157"/>
      <c r="S44" s="157"/>
      <c r="T44" s="157"/>
      <c r="U44" s="157"/>
      <c r="V44" s="157"/>
      <c r="W44" s="157"/>
      <c r="X44" s="156"/>
      <c r="Y44" s="156"/>
      <c r="Z44" s="156"/>
      <c r="AA44" s="156"/>
      <c r="AB44" s="156"/>
      <c r="AC44" s="156"/>
      <c r="AD44" s="156"/>
      <c r="AE44" s="156"/>
      <c r="AF44" s="156"/>
      <c r="AG44" s="156"/>
      <c r="AH44" s="156"/>
      <c r="AI44" s="156"/>
      <c r="AJ44" s="156"/>
      <c r="AK44" s="156"/>
      <c r="AL44" s="156"/>
      <c r="AM44" s="156"/>
      <c r="AN44" s="156"/>
      <c r="AO44" s="156"/>
      <c r="AP44" s="156"/>
      <c r="AQ44" s="156"/>
      <c r="AR44" s="156"/>
      <c r="AS44" s="156"/>
      <c r="AT44" s="156"/>
      <c r="AU44" s="156"/>
      <c r="AV44" s="156"/>
      <c r="AW44" s="156"/>
      <c r="AX44" s="156"/>
      <c r="AY44" s="156"/>
      <c r="AZ44" s="156"/>
      <c r="BA44" s="156"/>
      <c r="BB44" s="156"/>
    </row>
    <row r="45" spans="1:54" x14ac:dyDescent="0.2">
      <c r="A45" s="60"/>
      <c r="B45" s="60" t="s">
        <v>30</v>
      </c>
      <c r="C45" s="59">
        <v>2.9505508900764243</v>
      </c>
      <c r="D45" s="147">
        <v>5.7681103325160432</v>
      </c>
      <c r="E45" s="147">
        <v>7.4830230810080138</v>
      </c>
      <c r="F45" s="147">
        <v>3.9912900392291735</v>
      </c>
      <c r="G45" s="59"/>
      <c r="H45" s="59"/>
      <c r="I45" s="59"/>
      <c r="J45" s="59"/>
      <c r="K45" s="59"/>
      <c r="L45" s="59"/>
      <c r="M45" s="59"/>
      <c r="N45" s="59"/>
      <c r="O45" s="59"/>
      <c r="P45" s="59"/>
      <c r="Q45" s="59"/>
      <c r="R45" s="59"/>
      <c r="S45" s="59"/>
      <c r="T45" s="59"/>
      <c r="U45" s="59"/>
      <c r="V45" s="59"/>
      <c r="W45" s="59"/>
      <c r="X45" s="59"/>
      <c r="Y45" s="59"/>
      <c r="Z45" s="59"/>
      <c r="AA45" s="59"/>
      <c r="AB45" s="59"/>
      <c r="AC45" s="59"/>
      <c r="AD45" s="59"/>
      <c r="AE45" s="59"/>
      <c r="AF45" s="59"/>
      <c r="AG45" s="59"/>
      <c r="AH45" s="59"/>
      <c r="AI45" s="59"/>
      <c r="AJ45" s="59"/>
      <c r="AK45" s="59"/>
      <c r="AL45" s="59"/>
      <c r="AM45" s="59"/>
      <c r="AN45" s="59"/>
      <c r="AO45" s="59"/>
      <c r="AP45" s="59"/>
      <c r="AQ45" s="59"/>
      <c r="AR45" s="59"/>
      <c r="AS45" s="59"/>
      <c r="AT45" s="59"/>
      <c r="AU45" s="59"/>
      <c r="AV45" s="59"/>
      <c r="AW45" s="59"/>
      <c r="AX45" s="59"/>
      <c r="AY45" s="59"/>
      <c r="AZ45" s="59"/>
      <c r="BA45" s="59"/>
      <c r="BB45" s="59"/>
    </row>
    <row r="46" spans="1:54" x14ac:dyDescent="0.2">
      <c r="A46" s="60"/>
    </row>
    <row r="47" spans="1:54" s="138" customFormat="1" x14ac:dyDescent="0.2">
      <c r="A47" s="140"/>
      <c r="B47" s="139" t="s">
        <v>67</v>
      </c>
      <c r="C47" s="158"/>
      <c r="D47" s="158"/>
    </row>
    <row r="48" spans="1:54" x14ac:dyDescent="0.2">
      <c r="A48" s="60"/>
      <c r="B48" s="159"/>
      <c r="C48" s="59"/>
      <c r="D48" s="59"/>
      <c r="E48" s="296" t="s">
        <v>174</v>
      </c>
    </row>
    <row r="49" spans="1:5" x14ac:dyDescent="0.2">
      <c r="A49" s="60"/>
      <c r="B49" s="383" t="s">
        <v>68</v>
      </c>
      <c r="C49" s="399">
        <v>0.75</v>
      </c>
      <c r="D49" s="59"/>
      <c r="E49" s="60" t="s">
        <v>69</v>
      </c>
    </row>
    <row r="50" spans="1:5" x14ac:dyDescent="0.2">
      <c r="A50" s="60"/>
      <c r="B50" s="383" t="s">
        <v>258</v>
      </c>
      <c r="C50" s="400">
        <v>0.58199999999999996</v>
      </c>
      <c r="D50" s="59"/>
      <c r="E50" s="60" t="s">
        <v>70</v>
      </c>
    </row>
    <row r="51" spans="1:5" x14ac:dyDescent="0.2">
      <c r="A51" s="60"/>
      <c r="B51" s="60"/>
      <c r="C51" s="59"/>
      <c r="D51" s="59"/>
    </row>
    <row r="52" spans="1:5" x14ac:dyDescent="0.2">
      <c r="A52" s="60"/>
      <c r="B52" s="149" t="s">
        <v>247</v>
      </c>
      <c r="C52" s="160">
        <v>3.2313800000000001</v>
      </c>
      <c r="D52" s="59"/>
      <c r="E52" s="60" t="s">
        <v>71</v>
      </c>
    </row>
    <row r="53" spans="1:5" x14ac:dyDescent="0.2">
      <c r="A53" s="60"/>
      <c r="B53" s="149" t="s">
        <v>248</v>
      </c>
      <c r="C53" s="160">
        <v>2.7260900000000001</v>
      </c>
      <c r="D53" s="59"/>
      <c r="E53" s="60" t="s">
        <v>71</v>
      </c>
    </row>
    <row r="54" spans="1:5" x14ac:dyDescent="0.2">
      <c r="A54" s="60"/>
      <c r="B54" s="149" t="s">
        <v>249</v>
      </c>
      <c r="C54" s="147">
        <v>4</v>
      </c>
      <c r="D54" s="59"/>
      <c r="E54" s="60" t="s">
        <v>72</v>
      </c>
    </row>
    <row r="55" spans="1:5" x14ac:dyDescent="0.2">
      <c r="A55" s="60"/>
      <c r="B55" s="149" t="s">
        <v>250</v>
      </c>
      <c r="C55" s="147">
        <v>2</v>
      </c>
      <c r="D55" s="59"/>
      <c r="E55" s="60" t="s">
        <v>72</v>
      </c>
    </row>
    <row r="56" spans="1:5" x14ac:dyDescent="0.2">
      <c r="A56" s="60"/>
      <c r="B56" s="149"/>
      <c r="C56" s="59"/>
      <c r="D56" s="59"/>
    </row>
    <row r="57" spans="1:5" x14ac:dyDescent="0.2">
      <c r="A57" s="60"/>
      <c r="B57" s="383" t="s">
        <v>73</v>
      </c>
      <c r="C57" s="431">
        <v>0.1082933</v>
      </c>
      <c r="D57" s="196"/>
      <c r="E57" s="295" t="s">
        <v>175</v>
      </c>
    </row>
    <row r="58" spans="1:5" x14ac:dyDescent="0.2">
      <c r="A58" s="60"/>
      <c r="B58" s="60" t="s">
        <v>74</v>
      </c>
      <c r="C58" s="98">
        <f>1-C57</f>
        <v>0.89170669999999996</v>
      </c>
      <c r="E58" s="295" t="s">
        <v>175</v>
      </c>
    </row>
    <row r="59" spans="1:5" x14ac:dyDescent="0.2">
      <c r="A59" s="60"/>
      <c r="B59" s="430" t="s">
        <v>251</v>
      </c>
      <c r="C59" s="431">
        <v>3.7849389999999997E-2</v>
      </c>
      <c r="E59" s="295" t="s">
        <v>176</v>
      </c>
    </row>
    <row r="60" spans="1:5" x14ac:dyDescent="0.2">
      <c r="A60" s="60"/>
      <c r="B60" s="60"/>
      <c r="C60" s="152"/>
    </row>
    <row r="61" spans="1:5" x14ac:dyDescent="0.2">
      <c r="A61" s="60"/>
      <c r="B61" s="60" t="s">
        <v>252</v>
      </c>
      <c r="C61" s="161">
        <v>2.5499999999999998</v>
      </c>
      <c r="E61" s="60" t="s">
        <v>75</v>
      </c>
    </row>
    <row r="62" spans="1:5" x14ac:dyDescent="0.2">
      <c r="A62" s="60"/>
      <c r="B62" s="60" t="s">
        <v>253</v>
      </c>
      <c r="C62" s="152">
        <v>2</v>
      </c>
      <c r="E62" s="60" t="s">
        <v>76</v>
      </c>
    </row>
    <row r="63" spans="1:5" x14ac:dyDescent="0.2">
      <c r="A63" s="60"/>
      <c r="B63" s="60"/>
      <c r="C63" s="152"/>
      <c r="E63" s="60"/>
    </row>
    <row r="64" spans="1:5" x14ac:dyDescent="0.2">
      <c r="A64" s="60"/>
      <c r="B64" s="383" t="s">
        <v>246</v>
      </c>
      <c r="C64" s="400">
        <v>55.167771482475928</v>
      </c>
      <c r="D64" s="60"/>
      <c r="E64" s="60" t="s">
        <v>242</v>
      </c>
    </row>
    <row r="65" spans="1:7" x14ac:dyDescent="0.2">
      <c r="A65" s="60"/>
      <c r="B65" s="60"/>
      <c r="C65" s="152"/>
      <c r="E65" s="60"/>
    </row>
    <row r="66" spans="1:7" x14ac:dyDescent="0.2">
      <c r="A66" s="60"/>
      <c r="B66" s="383" t="s">
        <v>77</v>
      </c>
      <c r="C66" s="389">
        <v>0.80328982092622114</v>
      </c>
      <c r="D66" s="1"/>
      <c r="E66" s="60" t="s">
        <v>78</v>
      </c>
    </row>
    <row r="67" spans="1:7" x14ac:dyDescent="0.2">
      <c r="A67" s="60"/>
      <c r="B67" s="401" t="s">
        <v>177</v>
      </c>
      <c r="C67" s="389">
        <v>3.4906994270292035E-2</v>
      </c>
      <c r="D67" s="1"/>
      <c r="E67" s="60" t="s">
        <v>78</v>
      </c>
    </row>
    <row r="68" spans="1:7" x14ac:dyDescent="0.2">
      <c r="A68" s="60"/>
      <c r="B68" s="401" t="s">
        <v>178</v>
      </c>
      <c r="C68" s="389">
        <v>9.0857973435485018E-2</v>
      </c>
      <c r="D68" s="1"/>
      <c r="E68" s="60" t="s">
        <v>78</v>
      </c>
    </row>
    <row r="69" spans="1:7" x14ac:dyDescent="0.2">
      <c r="A69" s="60"/>
      <c r="B69" s="402" t="s">
        <v>79</v>
      </c>
      <c r="C69" s="389">
        <v>6.400704106562774E-2</v>
      </c>
      <c r="D69" s="1"/>
      <c r="E69" s="60" t="s">
        <v>78</v>
      </c>
    </row>
    <row r="70" spans="1:7" x14ac:dyDescent="0.2">
      <c r="A70" s="60"/>
      <c r="B70" s="402" t="s">
        <v>80</v>
      </c>
      <c r="C70" s="389">
        <v>6.938167581714995E-3</v>
      </c>
      <c r="D70" s="1"/>
      <c r="E70" s="60" t="s">
        <v>78</v>
      </c>
    </row>
    <row r="71" spans="1:7" x14ac:dyDescent="0.2">
      <c r="A71" s="60"/>
      <c r="B71" s="149"/>
      <c r="C71" s="59"/>
      <c r="E71" s="60"/>
    </row>
    <row r="72" spans="1:7" s="138" customFormat="1" x14ac:dyDescent="0.2">
      <c r="B72" s="139" t="s">
        <v>81</v>
      </c>
      <c r="C72" s="158"/>
      <c r="D72" s="158"/>
    </row>
    <row r="73" spans="1:7" x14ac:dyDescent="0.2">
      <c r="B73" s="162"/>
      <c r="C73" s="163" t="s">
        <v>82</v>
      </c>
      <c r="D73" s="163" t="s">
        <v>83</v>
      </c>
      <c r="E73" s="164" t="s">
        <v>84</v>
      </c>
      <c r="F73" s="164" t="s">
        <v>85</v>
      </c>
      <c r="G73" s="164" t="s">
        <v>86</v>
      </c>
    </row>
    <row r="74" spans="1:7" x14ac:dyDescent="0.2">
      <c r="A74" s="60"/>
      <c r="B74" s="295" t="s">
        <v>179</v>
      </c>
      <c r="C74" s="34">
        <v>-5.509918212890625</v>
      </c>
      <c r="D74" s="34">
        <v>-7.7355880737304688</v>
      </c>
      <c r="E74" s="34">
        <v>-9.3208160400390625</v>
      </c>
      <c r="F74" s="34">
        <v>-10.7491455078125</v>
      </c>
      <c r="G74" s="34">
        <v>-11.610519409179688</v>
      </c>
    </row>
    <row r="75" spans="1:7" x14ac:dyDescent="0.2">
      <c r="A75" s="60"/>
      <c r="B75" s="295" t="s">
        <v>180</v>
      </c>
      <c r="C75" s="34">
        <v>-2.3272857666015625</v>
      </c>
      <c r="D75" s="34">
        <v>-3.1960678100585938</v>
      </c>
      <c r="E75" s="34">
        <v>-3.84124755859375</v>
      </c>
      <c r="F75" s="34">
        <v>-4.437347412109375</v>
      </c>
      <c r="G75" s="34">
        <v>-4.8707504272460938</v>
      </c>
    </row>
    <row r="76" spans="1:7" x14ac:dyDescent="0.2">
      <c r="A76" s="60"/>
      <c r="B76" s="295" t="s">
        <v>181</v>
      </c>
      <c r="C76" s="34">
        <v>2.3377532958984375</v>
      </c>
      <c r="D76" s="34">
        <v>3.1748428344726563</v>
      </c>
      <c r="E76" s="34">
        <v>3.8534317016601563</v>
      </c>
      <c r="F76" s="34">
        <v>4.7290725708007813</v>
      </c>
      <c r="G76" s="34">
        <v>5.16644287109375</v>
      </c>
    </row>
    <row r="77" spans="1:7" x14ac:dyDescent="0.2">
      <c r="A77" s="60"/>
      <c r="B77" s="295" t="s">
        <v>182</v>
      </c>
      <c r="C77" s="34">
        <v>5.8120574951171875</v>
      </c>
      <c r="D77" s="34">
        <v>8.1052932739257813</v>
      </c>
      <c r="E77" s="34">
        <v>9.7723388671875</v>
      </c>
      <c r="F77" s="34">
        <v>11.541404724121094</v>
      </c>
      <c r="G77" s="34">
        <v>12.887916564941406</v>
      </c>
    </row>
  </sheetData>
  <phoneticPr fontId="15" type="noConversion"/>
  <pageMargins left="0.7" right="0.7" top="0.75" bottom="0.75" header="0.3" footer="0.3"/>
  <pageSetup paperSize="9" orientation="portrait" r:id="rId1"/>
  <ignoredErrors>
    <ignoredError sqref="X58:Y58 C4:C6 D58 F58:W58 C19:Y20" unlockedFormula="1"/>
  </ignoredErrors>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300-000000000000}">
  <sheetPr codeName="Sheet3">
    <tabColor rgb="FF0070C0"/>
  </sheetPr>
  <dimension ref="A1:AY123"/>
  <sheetViews>
    <sheetView tabSelected="1" topLeftCell="C11" zoomScale="160" zoomScaleNormal="160" workbookViewId="0">
      <selection activeCell="N41" sqref="N41"/>
    </sheetView>
  </sheetViews>
  <sheetFormatPr defaultColWidth="9.28515625" defaultRowHeight="11.25" outlineLevelRow="1" x14ac:dyDescent="0.2"/>
  <cols>
    <col min="1" max="1" width="9.28515625" style="26" customWidth="1"/>
    <col min="2" max="2" width="30.140625" style="26" customWidth="1"/>
    <col min="3" max="38" width="9.28515625" style="26" customWidth="1"/>
    <col min="39" max="48" width="11.42578125" style="26" bestFit="1" customWidth="1"/>
    <col min="49" max="16384" width="9.28515625" style="26"/>
  </cols>
  <sheetData>
    <row r="1" spans="1:51" ht="24.75" customHeight="1" x14ac:dyDescent="0.2">
      <c r="B1" s="39"/>
    </row>
    <row r="2" spans="1:51" ht="11.25" customHeight="1" x14ac:dyDescent="0.2">
      <c r="B2" s="27"/>
    </row>
    <row r="3" spans="1:51" ht="11.25" customHeight="1" x14ac:dyDescent="0.2">
      <c r="B3" s="19" t="s">
        <v>15</v>
      </c>
      <c r="C3" s="20" t="str">
        <f>'Input data'!C3</f>
        <v>FI</v>
      </c>
    </row>
    <row r="4" spans="1:51" x14ac:dyDescent="0.2">
      <c r="B4" s="64" t="s">
        <v>38</v>
      </c>
      <c r="C4" s="21"/>
    </row>
    <row r="5" spans="1:51" x14ac:dyDescent="0.2">
      <c r="A5" s="29"/>
      <c r="B5" s="22" t="str">
        <f>'Input data'!B5</f>
        <v>Last year before the adjustment</v>
      </c>
      <c r="C5" s="23">
        <f>+'Input data'!C5</f>
        <v>2024</v>
      </c>
    </row>
    <row r="6" spans="1:51" x14ac:dyDescent="0.2">
      <c r="A6" s="29"/>
      <c r="B6" s="65" t="s">
        <v>44</v>
      </c>
      <c r="C6" s="23">
        <f>+C5+'Criteria results'!$F$5</f>
        <v>2031</v>
      </c>
      <c r="E6" s="43"/>
      <c r="F6" s="29"/>
    </row>
    <row r="7" spans="1:51" x14ac:dyDescent="0.2">
      <c r="A7" s="29"/>
      <c r="B7" s="24"/>
      <c r="C7" s="66"/>
      <c r="E7" s="43"/>
      <c r="F7" s="29"/>
    </row>
    <row r="8" spans="1:51" x14ac:dyDescent="0.2">
      <c r="A8" s="29"/>
      <c r="C8" s="29"/>
      <c r="E8" s="43"/>
      <c r="F8" s="29"/>
    </row>
    <row r="9" spans="1:51" s="71" customFormat="1" ht="12.75" x14ac:dyDescent="0.2">
      <c r="B9" s="25" t="s">
        <v>45</v>
      </c>
    </row>
    <row r="10" spans="1:51" x14ac:dyDescent="0.2">
      <c r="C10" s="31">
        <v>2021</v>
      </c>
      <c r="D10" s="31">
        <v>2022</v>
      </c>
      <c r="E10" s="31">
        <v>2023</v>
      </c>
      <c r="F10" s="31">
        <v>2024</v>
      </c>
      <c r="G10" s="31">
        <v>2025</v>
      </c>
      <c r="H10" s="31">
        <v>2026</v>
      </c>
      <c r="I10" s="31">
        <v>2027</v>
      </c>
      <c r="J10" s="31">
        <v>2028</v>
      </c>
      <c r="K10" s="31">
        <v>2029</v>
      </c>
      <c r="L10" s="31">
        <v>2030</v>
      </c>
      <c r="M10" s="31">
        <v>2031</v>
      </c>
      <c r="N10" s="31">
        <v>2032</v>
      </c>
      <c r="O10" s="31">
        <v>2033</v>
      </c>
      <c r="P10" s="31">
        <v>2034</v>
      </c>
      <c r="Q10" s="31">
        <v>2035</v>
      </c>
      <c r="R10" s="31">
        <v>2036</v>
      </c>
      <c r="S10" s="31">
        <v>2037</v>
      </c>
      <c r="T10" s="31">
        <v>2038</v>
      </c>
      <c r="U10" s="31">
        <v>2039</v>
      </c>
      <c r="V10" s="31">
        <v>2040</v>
      </c>
      <c r="W10" s="31">
        <v>2041</v>
      </c>
      <c r="X10" s="29"/>
      <c r="Y10" s="29"/>
      <c r="Z10" s="29"/>
      <c r="AA10" s="29"/>
      <c r="AB10" s="29"/>
      <c r="AC10" s="29"/>
      <c r="AD10" s="29"/>
      <c r="AE10" s="29"/>
      <c r="AF10" s="29"/>
      <c r="AG10" s="29"/>
      <c r="AH10" s="29"/>
      <c r="AI10" s="29"/>
      <c r="AJ10" s="29"/>
      <c r="AK10" s="29"/>
      <c r="AL10" s="29"/>
      <c r="AM10" s="29"/>
      <c r="AN10" s="29"/>
      <c r="AO10" s="29"/>
      <c r="AP10" s="29"/>
      <c r="AQ10" s="29"/>
      <c r="AR10" s="29"/>
      <c r="AS10" s="29"/>
      <c r="AT10" s="29"/>
      <c r="AU10" s="29"/>
      <c r="AV10" s="29"/>
      <c r="AW10" s="29"/>
      <c r="AX10" s="29"/>
    </row>
    <row r="11" spans="1:51" x14ac:dyDescent="0.2">
      <c r="B11" s="28" t="s">
        <v>46</v>
      </c>
      <c r="C11" s="29"/>
      <c r="D11" s="29"/>
      <c r="E11" s="29"/>
      <c r="F11" s="29"/>
      <c r="G11" s="29"/>
      <c r="H11" s="29"/>
      <c r="I11" s="29"/>
      <c r="J11" s="29"/>
      <c r="K11" s="29"/>
      <c r="L11" s="29"/>
      <c r="M11" s="29"/>
      <c r="N11" s="29"/>
      <c r="O11" s="29"/>
      <c r="P11" s="29"/>
      <c r="Q11" s="29"/>
      <c r="R11" s="29"/>
      <c r="S11" s="29"/>
      <c r="T11" s="29"/>
      <c r="U11" s="29"/>
      <c r="V11" s="29"/>
      <c r="W11" s="29"/>
      <c r="X11" s="29"/>
      <c r="Y11" s="29"/>
      <c r="Z11" s="29"/>
      <c r="AA11" s="29"/>
      <c r="AB11" s="29"/>
      <c r="AC11" s="29"/>
      <c r="AD11" s="29"/>
      <c r="AE11" s="29"/>
      <c r="AF11" s="29"/>
      <c r="AG11" s="29"/>
      <c r="AH11" s="29"/>
      <c r="AI11" s="29"/>
      <c r="AJ11" s="29"/>
      <c r="AK11" s="29"/>
      <c r="AL11" s="29"/>
      <c r="AM11" s="29"/>
      <c r="AN11" s="29"/>
      <c r="AO11" s="29"/>
      <c r="AP11" s="29"/>
      <c r="AQ11" s="29"/>
      <c r="AR11" s="29"/>
      <c r="AS11" s="29"/>
      <c r="AT11" s="29"/>
      <c r="AU11" s="29"/>
      <c r="AV11" s="29"/>
      <c r="AW11" s="29"/>
      <c r="AX11" s="29"/>
    </row>
    <row r="12" spans="1:51" x14ac:dyDescent="0.2">
      <c r="B12" s="384" t="s">
        <v>48</v>
      </c>
      <c r="C12" s="1">
        <f>'Input data'!C13</f>
        <v>-2.1345519999999998</v>
      </c>
      <c r="D12" s="1">
        <f>'Input data'!D13</f>
        <v>0.29205680000000001</v>
      </c>
      <c r="E12" s="389">
        <f>'Input data'!E13</f>
        <v>-0.2445959</v>
      </c>
      <c r="F12" s="386">
        <f>'Input data'!F13</f>
        <v>-0.53010330000000006</v>
      </c>
      <c r="G12" s="1">
        <f>F12</f>
        <v>-0.53010330000000006</v>
      </c>
      <c r="H12" s="1">
        <f t="shared" ref="H12:W12" si="0">G12</f>
        <v>-0.53010330000000006</v>
      </c>
      <c r="I12" s="1">
        <f t="shared" si="0"/>
        <v>-0.53010330000000006</v>
      </c>
      <c r="J12" s="1">
        <f t="shared" si="0"/>
        <v>-0.53010330000000006</v>
      </c>
      <c r="K12" s="1">
        <f t="shared" si="0"/>
        <v>-0.53010330000000006</v>
      </c>
      <c r="L12" s="1">
        <f t="shared" si="0"/>
        <v>-0.53010330000000006</v>
      </c>
      <c r="M12" s="1">
        <f t="shared" si="0"/>
        <v>-0.53010330000000006</v>
      </c>
      <c r="N12" s="1">
        <f t="shared" si="0"/>
        <v>-0.53010330000000006</v>
      </c>
      <c r="O12" s="1">
        <f t="shared" si="0"/>
        <v>-0.53010330000000006</v>
      </c>
      <c r="P12" s="1">
        <f t="shared" si="0"/>
        <v>-0.53010330000000006</v>
      </c>
      <c r="Q12" s="1">
        <f t="shared" si="0"/>
        <v>-0.53010330000000006</v>
      </c>
      <c r="R12" s="1">
        <f t="shared" si="0"/>
        <v>-0.53010330000000006</v>
      </c>
      <c r="S12" s="1">
        <f t="shared" si="0"/>
        <v>-0.53010330000000006</v>
      </c>
      <c r="T12" s="1">
        <f t="shared" si="0"/>
        <v>-0.53010330000000006</v>
      </c>
      <c r="U12" s="1">
        <f t="shared" si="0"/>
        <v>-0.53010330000000006</v>
      </c>
      <c r="V12" s="1">
        <f t="shared" si="0"/>
        <v>-0.53010330000000006</v>
      </c>
      <c r="W12" s="1">
        <f t="shared" si="0"/>
        <v>-0.53010330000000006</v>
      </c>
      <c r="X12" s="59"/>
      <c r="Y12" s="59"/>
      <c r="Z12" s="59"/>
      <c r="AA12" s="59"/>
      <c r="AB12" s="59"/>
      <c r="AC12" s="59"/>
      <c r="AD12" s="59"/>
      <c r="AE12" s="59"/>
      <c r="AF12" s="59"/>
      <c r="AG12" s="59"/>
      <c r="AH12" s="59"/>
      <c r="AI12" s="59"/>
      <c r="AJ12" s="59"/>
      <c r="AK12" s="59"/>
      <c r="AL12" s="59"/>
      <c r="AM12" s="59"/>
      <c r="AN12" s="59"/>
      <c r="AO12" s="59"/>
      <c r="AP12" s="59"/>
      <c r="AQ12" s="59"/>
      <c r="AR12" s="59"/>
      <c r="AS12" s="59"/>
      <c r="AT12" s="59"/>
      <c r="AU12" s="59"/>
      <c r="AV12" s="59"/>
      <c r="AW12" s="59"/>
      <c r="AX12" s="59"/>
      <c r="AY12" s="60"/>
    </row>
    <row r="13" spans="1:51" x14ac:dyDescent="0.2">
      <c r="B13" s="26" t="s">
        <v>49</v>
      </c>
      <c r="C13" s="1">
        <f>'Input data'!C14</f>
        <v>0</v>
      </c>
      <c r="D13" s="1">
        <f>'Input data'!D14</f>
        <v>0</v>
      </c>
      <c r="E13" s="2">
        <f>'Input data'!E14</f>
        <v>0</v>
      </c>
      <c r="F13" s="2">
        <f>'Input data'!F14</f>
        <v>0</v>
      </c>
      <c r="G13" s="2">
        <f>'Input data'!G14</f>
        <v>0</v>
      </c>
      <c r="H13" s="2">
        <v>0</v>
      </c>
      <c r="I13" s="2">
        <v>0</v>
      </c>
      <c r="J13" s="2">
        <v>0</v>
      </c>
      <c r="K13" s="2">
        <v>0</v>
      </c>
      <c r="L13" s="2">
        <v>0</v>
      </c>
      <c r="M13" s="2">
        <v>0</v>
      </c>
      <c r="N13" s="2">
        <v>0</v>
      </c>
      <c r="O13" s="2">
        <v>0</v>
      </c>
      <c r="P13" s="2">
        <v>0</v>
      </c>
      <c r="Q13" s="2">
        <v>0</v>
      </c>
      <c r="R13" s="2">
        <v>0</v>
      </c>
      <c r="S13" s="2">
        <v>0</v>
      </c>
      <c r="T13" s="2">
        <v>0</v>
      </c>
      <c r="U13" s="2">
        <v>0</v>
      </c>
      <c r="V13" s="2">
        <v>0</v>
      </c>
      <c r="W13" s="2">
        <v>0</v>
      </c>
      <c r="X13" s="59"/>
      <c r="Y13" s="59"/>
      <c r="Z13" s="59"/>
      <c r="AA13" s="59"/>
      <c r="AB13" s="59"/>
      <c r="AC13" s="59"/>
      <c r="AD13" s="59"/>
      <c r="AE13" s="59"/>
      <c r="AF13" s="59"/>
      <c r="AG13" s="59"/>
      <c r="AH13" s="59"/>
      <c r="AI13" s="59"/>
      <c r="AJ13" s="59"/>
      <c r="AK13" s="59"/>
      <c r="AL13" s="59"/>
      <c r="AM13" s="59"/>
      <c r="AN13" s="59"/>
      <c r="AO13" s="59"/>
      <c r="AP13" s="59"/>
      <c r="AQ13" s="59"/>
      <c r="AR13" s="59"/>
      <c r="AS13" s="59"/>
      <c r="AT13" s="59"/>
      <c r="AU13" s="59"/>
      <c r="AV13" s="59"/>
      <c r="AW13" s="59"/>
      <c r="AX13" s="59"/>
      <c r="AY13" s="60"/>
    </row>
    <row r="14" spans="1:51" x14ac:dyDescent="0.2">
      <c r="B14" s="384" t="s">
        <v>87</v>
      </c>
      <c r="C14" s="1">
        <f>'Input data'!C15</f>
        <v>-1.1351690000000001</v>
      </c>
      <c r="D14" s="221">
        <v>5.1764000000000001</v>
      </c>
      <c r="E14" s="389">
        <v>2.1434000000000006</v>
      </c>
      <c r="F14" s="389">
        <v>2.5484</v>
      </c>
      <c r="G14" s="389">
        <v>1.2831856559816486</v>
      </c>
      <c r="H14" s="389">
        <v>1.7268620127167971</v>
      </c>
      <c r="I14" s="389">
        <v>1.4444254457205703</v>
      </c>
      <c r="J14" s="389">
        <v>1.3768241518246878</v>
      </c>
      <c r="K14" s="389">
        <v>1.0241608740131773</v>
      </c>
      <c r="L14" s="389">
        <v>1.0623847406019646</v>
      </c>
      <c r="M14" s="389">
        <f>'Input data'!M15</f>
        <v>1.5229809999999999</v>
      </c>
      <c r="N14" s="389">
        <f>'Input data'!N15</f>
        <v>1.526135</v>
      </c>
      <c r="O14" s="389">
        <f>'Input data'!O15</f>
        <v>1.3735219999999999</v>
      </c>
      <c r="P14" s="389">
        <f>'Input data'!P15</f>
        <v>1.2209080000000001</v>
      </c>
      <c r="Q14" s="389">
        <f>'Input data'!Q15</f>
        <v>1.068295</v>
      </c>
      <c r="R14" s="389">
        <f>'Input data'!R15</f>
        <v>0.91568099999999997</v>
      </c>
      <c r="S14" s="389">
        <f>'Input data'!S15</f>
        <v>0.76306750000000001</v>
      </c>
      <c r="T14" s="389">
        <f>'Input data'!T15</f>
        <v>0.61045400000000005</v>
      </c>
      <c r="U14" s="433">
        <f>'Input data'!U15</f>
        <v>0.45784049999999998</v>
      </c>
      <c r="V14" s="433">
        <f>'Input data'!V15</f>
        <v>0.30522700000000003</v>
      </c>
      <c r="W14" s="433">
        <f>'Input data'!W15</f>
        <v>0.15261350000000001</v>
      </c>
      <c r="X14" s="59"/>
      <c r="Y14" s="59"/>
      <c r="Z14" s="59"/>
      <c r="AA14" s="59"/>
      <c r="AB14" s="59"/>
      <c r="AC14" s="59"/>
      <c r="AD14" s="59"/>
      <c r="AE14" s="59"/>
      <c r="AF14" s="59"/>
      <c r="AG14" s="59"/>
      <c r="AH14" s="59"/>
      <c r="AI14" s="59"/>
      <c r="AJ14" s="59"/>
      <c r="AK14" s="59"/>
      <c r="AL14" s="59"/>
      <c r="AM14" s="59"/>
      <c r="AN14" s="59"/>
      <c r="AO14" s="59"/>
      <c r="AP14" s="59"/>
      <c r="AQ14" s="59"/>
      <c r="AR14" s="59"/>
      <c r="AS14" s="59"/>
      <c r="AT14" s="59"/>
      <c r="AU14" s="59"/>
      <c r="AV14" s="59"/>
      <c r="AW14" s="59"/>
      <c r="AX14" s="59"/>
      <c r="AY14" s="60"/>
    </row>
    <row r="15" spans="1:51" ht="13.5" customHeight="1" x14ac:dyDescent="0.2">
      <c r="B15" s="26" t="s">
        <v>406</v>
      </c>
      <c r="C15" s="1"/>
      <c r="D15" s="221">
        <v>4.8490650000000004</v>
      </c>
      <c r="E15" s="221">
        <v>2.318794</v>
      </c>
      <c r="F15" s="221">
        <v>2.6028570000000002</v>
      </c>
      <c r="G15" s="221">
        <v>1.6620999999999999</v>
      </c>
      <c r="H15" s="221">
        <v>1.6902729999999999</v>
      </c>
      <c r="I15" s="221">
        <v>1.702215</v>
      </c>
      <c r="J15" s="221">
        <v>1.648048</v>
      </c>
      <c r="K15" s="221">
        <v>1.5813470000000001</v>
      </c>
      <c r="L15" s="221">
        <v>1.5408029999999999</v>
      </c>
      <c r="M15" s="221">
        <v>1.5229809999999999</v>
      </c>
      <c r="N15" s="221">
        <v>1.526135</v>
      </c>
      <c r="O15" s="221">
        <v>1.3735219999999999</v>
      </c>
      <c r="P15" s="221">
        <v>1.2209080000000001</v>
      </c>
      <c r="Q15" s="221">
        <v>1.068295</v>
      </c>
      <c r="R15" s="221">
        <v>0.91568099999999997</v>
      </c>
      <c r="S15" s="221">
        <v>0.76306750000000001</v>
      </c>
      <c r="T15" s="221">
        <v>0.61045400000000005</v>
      </c>
      <c r="U15" s="221">
        <v>0.45784049999999998</v>
      </c>
      <c r="V15" s="221">
        <v>0.30522700000000003</v>
      </c>
      <c r="W15" s="221">
        <v>0.15261350000000001</v>
      </c>
      <c r="X15" s="1"/>
      <c r="Y15" s="1"/>
      <c r="Z15" s="1"/>
      <c r="AA15" s="1"/>
      <c r="AB15" s="1"/>
      <c r="AC15" s="1"/>
      <c r="AD15" s="1"/>
      <c r="AE15" s="1"/>
      <c r="AF15" s="1"/>
      <c r="AG15" s="1"/>
      <c r="AH15" s="1"/>
      <c r="AI15" s="1"/>
      <c r="AJ15" s="1"/>
      <c r="AK15" s="1"/>
      <c r="AL15" s="1"/>
      <c r="AM15" s="1"/>
      <c r="AN15" s="1"/>
      <c r="AO15" s="1"/>
      <c r="AP15" s="1"/>
      <c r="AQ15" s="1"/>
      <c r="AR15" s="1"/>
      <c r="AS15" s="1"/>
      <c r="AT15" s="1"/>
      <c r="AU15" s="1"/>
      <c r="AV15" s="1"/>
      <c r="AW15" s="1"/>
      <c r="AX15" s="1"/>
    </row>
    <row r="16" spans="1:51" ht="11.25" customHeight="1" x14ac:dyDescent="0.2">
      <c r="B16" s="30" t="str">
        <f>'Input data'!B19</f>
        <v>Cost of ageing and selected public revenue (based on the Commission-Council 2024 Ageing Report ("AR 2024"))</v>
      </c>
      <c r="C16" s="1"/>
      <c r="D16" s="1"/>
      <c r="E16" s="1"/>
      <c r="F16" s="1"/>
      <c r="G16" s="1"/>
      <c r="H16" s="1"/>
      <c r="I16" s="1"/>
      <c r="J16" s="1"/>
      <c r="K16" s="1"/>
      <c r="L16" s="1"/>
      <c r="M16" s="1"/>
      <c r="N16" s="1"/>
      <c r="O16" s="1"/>
      <c r="P16" s="1"/>
      <c r="Q16" s="1"/>
      <c r="R16" s="1"/>
      <c r="S16" s="1"/>
      <c r="T16" s="1"/>
      <c r="U16" s="1"/>
      <c r="V16" s="1"/>
      <c r="W16" s="1"/>
      <c r="X16" s="1"/>
      <c r="Y16" s="1"/>
      <c r="Z16" s="1"/>
      <c r="AA16" s="1"/>
      <c r="AB16" s="1"/>
      <c r="AC16" s="1"/>
      <c r="AD16" s="1"/>
      <c r="AE16" s="1"/>
      <c r="AF16" s="1"/>
      <c r="AG16" s="1"/>
      <c r="AH16" s="1"/>
      <c r="AI16" s="1"/>
      <c r="AJ16" s="1"/>
      <c r="AK16" s="1"/>
      <c r="AL16" s="1"/>
      <c r="AM16" s="1"/>
      <c r="AN16" s="1"/>
      <c r="AO16" s="1"/>
      <c r="AP16" s="1"/>
      <c r="AQ16" s="1"/>
      <c r="AR16" s="1"/>
      <c r="AS16" s="1"/>
      <c r="AT16" s="1"/>
      <c r="AU16" s="1"/>
      <c r="AV16" s="1"/>
      <c r="AW16" s="1"/>
      <c r="AX16" s="1"/>
    </row>
    <row r="17" spans="1:50" x14ac:dyDescent="0.2">
      <c r="A17" s="61"/>
      <c r="B17" s="384" t="s">
        <v>52</v>
      </c>
      <c r="C17" s="1">
        <f>'Input data'!C20</f>
        <v>0</v>
      </c>
      <c r="D17" s="1">
        <f>'Input data'!D20</f>
        <v>23.655849999999997</v>
      </c>
      <c r="E17" s="386">
        <f>'Input data'!E20</f>
        <v>23.83699</v>
      </c>
      <c r="F17" s="386">
        <f>'Input data'!F20</f>
        <v>23.96105</v>
      </c>
      <c r="G17" s="386">
        <f>'Input data'!G20</f>
        <v>23.911249999999999</v>
      </c>
      <c r="H17" s="386">
        <f>'Input data'!H20</f>
        <v>23.909049999999997</v>
      </c>
      <c r="I17" s="386">
        <f>'Input data'!I20</f>
        <v>23.948919999999998</v>
      </c>
      <c r="J17" s="386">
        <f>'Input data'!J20</f>
        <v>24.046380000000003</v>
      </c>
      <c r="K17" s="386">
        <f>'Input data'!K20</f>
        <v>24.15964</v>
      </c>
      <c r="L17" s="386">
        <f>'Input data'!L20</f>
        <v>24.232299999999999</v>
      </c>
      <c r="M17" s="386">
        <f>'Input data'!M20</f>
        <v>24.288240000000002</v>
      </c>
      <c r="N17" s="386">
        <f>'Input data'!N20</f>
        <v>24.322410000000001</v>
      </c>
      <c r="O17" s="386">
        <f>'Input data'!O20</f>
        <v>24.319019999999998</v>
      </c>
      <c r="P17" s="386">
        <f>'Input data'!P20</f>
        <v>24.31607</v>
      </c>
      <c r="Q17" s="386">
        <f>'Input data'!Q20</f>
        <v>24.304599999999997</v>
      </c>
      <c r="R17" s="386">
        <f>'Input data'!R20</f>
        <v>24.277160000000002</v>
      </c>
      <c r="S17" s="386">
        <f>'Input data'!S20</f>
        <v>24.230790000000002</v>
      </c>
      <c r="T17" s="386">
        <f>'Input data'!T20</f>
        <v>24.168680000000002</v>
      </c>
      <c r="U17" s="101">
        <f>'Input data'!U20</f>
        <v>24.092350000000003</v>
      </c>
      <c r="V17" s="101">
        <f>'Input data'!V20</f>
        <v>24.017060000000001</v>
      </c>
      <c r="W17" s="101">
        <f>'Input data'!W20</f>
        <v>23.958480000000002</v>
      </c>
      <c r="X17" s="1"/>
      <c r="Y17" s="1"/>
      <c r="Z17" s="1"/>
      <c r="AA17" s="1"/>
      <c r="AB17" s="1"/>
      <c r="AC17" s="1"/>
      <c r="AD17" s="1"/>
      <c r="AE17" s="1"/>
      <c r="AF17" s="1"/>
      <c r="AG17" s="1"/>
      <c r="AH17" s="1"/>
      <c r="AI17" s="1"/>
      <c r="AJ17" s="1"/>
      <c r="AK17" s="1"/>
      <c r="AL17" s="1"/>
      <c r="AM17" s="1"/>
      <c r="AN17" s="1"/>
      <c r="AO17" s="1"/>
      <c r="AP17" s="1"/>
      <c r="AQ17" s="1"/>
      <c r="AR17" s="1"/>
      <c r="AS17" s="1"/>
      <c r="AT17" s="1"/>
      <c r="AU17" s="1"/>
      <c r="AV17" s="1"/>
      <c r="AW17" s="1"/>
      <c r="AX17" s="1"/>
    </row>
    <row r="18" spans="1:50" x14ac:dyDescent="0.2">
      <c r="A18" s="61"/>
      <c r="B18" s="384" t="str">
        <f>'Input data'!B26</f>
        <v>Property income</v>
      </c>
      <c r="C18" s="1">
        <f>'Input data'!C26</f>
        <v>2.0641180000000001</v>
      </c>
      <c r="D18" s="1">
        <f>'Input data'!D26</f>
        <v>2.1110479999999998</v>
      </c>
      <c r="E18" s="386">
        <f>'Input data'!E26</f>
        <v>2.1176979999999999</v>
      </c>
      <c r="F18" s="386">
        <f>'Input data'!F26</f>
        <v>2.1243479999999999</v>
      </c>
      <c r="G18" s="386">
        <f>'Input data'!G26</f>
        <v>2.1309979999999999</v>
      </c>
      <c r="H18" s="386">
        <f>'Input data'!H26</f>
        <v>2.137648</v>
      </c>
      <c r="I18" s="386">
        <f>'Input data'!I26</f>
        <v>2.1442990000000002</v>
      </c>
      <c r="J18" s="386">
        <f>'Input data'!J26</f>
        <v>2.1509490000000002</v>
      </c>
      <c r="K18" s="386">
        <f>'Input data'!K26</f>
        <v>2.1575989999999998</v>
      </c>
      <c r="L18" s="386">
        <f>'Input data'!L26</f>
        <v>2.1642489999999999</v>
      </c>
      <c r="M18" s="386">
        <f>'Input data'!M26</f>
        <v>2.1708989999999999</v>
      </c>
      <c r="N18" s="386">
        <f>'Input data'!N26</f>
        <v>2.1775500000000001</v>
      </c>
      <c r="O18" s="386">
        <f>'Input data'!O26</f>
        <v>2.1842000000000001</v>
      </c>
      <c r="P18" s="386">
        <f>'Input data'!P26</f>
        <v>2.1908500000000002</v>
      </c>
      <c r="Q18" s="386">
        <f>'Input data'!Q26</f>
        <v>2.1974999999999998</v>
      </c>
      <c r="R18" s="386">
        <f>'Input data'!R26</f>
        <v>2.2041499999999998</v>
      </c>
      <c r="S18" s="386">
        <f>'Input data'!S26</f>
        <v>2.210801</v>
      </c>
      <c r="T18" s="386">
        <f>'Input data'!T26</f>
        <v>2.2174510000000001</v>
      </c>
      <c r="U18" s="101">
        <f>'Input data'!U26</f>
        <v>2.2241010000000001</v>
      </c>
      <c r="V18" s="101">
        <f>'Input data'!V26</f>
        <v>2.2307510000000002</v>
      </c>
      <c r="W18" s="101">
        <f>'Input data'!W26</f>
        <v>2.2374010000000002</v>
      </c>
      <c r="X18" s="1"/>
      <c r="Y18" s="1"/>
      <c r="Z18" s="1"/>
      <c r="AA18" s="1"/>
      <c r="AB18" s="1"/>
      <c r="AC18" s="1"/>
      <c r="AD18" s="1"/>
      <c r="AE18" s="1"/>
      <c r="AF18" s="1"/>
      <c r="AG18" s="1"/>
      <c r="AH18" s="1"/>
      <c r="AI18" s="1"/>
      <c r="AJ18" s="1"/>
      <c r="AK18" s="1"/>
      <c r="AL18" s="1"/>
      <c r="AM18" s="1"/>
      <c r="AN18" s="1"/>
      <c r="AO18" s="1"/>
      <c r="AP18" s="1"/>
      <c r="AQ18" s="1"/>
      <c r="AR18" s="1"/>
      <c r="AS18" s="1"/>
      <c r="AT18" s="1"/>
      <c r="AU18" s="1"/>
      <c r="AV18" s="1"/>
      <c r="AW18" s="1"/>
      <c r="AX18" s="1"/>
    </row>
    <row r="20" spans="1:50" x14ac:dyDescent="0.2">
      <c r="B20" s="28" t="s">
        <v>88</v>
      </c>
    </row>
    <row r="21" spans="1:50" ht="10.5" customHeight="1" x14ac:dyDescent="0.2">
      <c r="B21" s="30" t="s">
        <v>89</v>
      </c>
    </row>
    <row r="22" spans="1:50" x14ac:dyDescent="0.2">
      <c r="B22" s="26" t="s">
        <v>61</v>
      </c>
      <c r="C22" s="34">
        <f>'Input data'!C31</f>
        <v>230.55600000000001</v>
      </c>
      <c r="D22" s="98">
        <f>C22*(D23/100+1)</f>
        <v>233.63499929652002</v>
      </c>
      <c r="E22" s="404">
        <f>D22*(E23/100+1)</f>
        <v>231.21599858620368</v>
      </c>
      <c r="F22" s="100">
        <f>E22*(F23/100+1)</f>
        <v>231.30753607517994</v>
      </c>
      <c r="G22" s="100">
        <f>F22*(G23/100+1)</f>
        <v>235.14269598094404</v>
      </c>
      <c r="H22" s="34">
        <f>IF(AND(H49&gt;1,G49&gt;1),IF(AND(H49&gt;0,G49&gt;0),H26*(H50/100+1),0)+IF(H49&gt;0,G22*(1+H51/100),0)-G22*(1+'Input data'!H30/100),IF(H49=1,H26,G22*(1+H51/100)))</f>
        <v>238.22373545497797</v>
      </c>
      <c r="I22" s="34">
        <f>IF(AND(I49&gt;1,H49&gt;1),IF(AND(I49&gt;0,H49&gt;0),I26*(I50/100+1),0)+IF(I49&gt;0,H22*(1+I51/100),0)-H22*(1+'Input data'!I30/100),IF(I49=1,I26,H22*(1+I51/100)))</f>
        <v>241.59368415028439</v>
      </c>
      <c r="J22" s="34">
        <f>IF(AND(J49&gt;1,I49&gt;1),IF(AND(J49&gt;0,I49&gt;0),J26*(J50/100+1),0)+IF(J49&gt;0,I22*(1+J51/100),0)-I22*(1+'Input data'!J30/100),IF(J49=1,J26,I22*(1+J51/100)))</f>
        <v>244.12751387777888</v>
      </c>
      <c r="K22" s="34">
        <f>IF(AND(K49&gt;1,J49&gt;1),IF(AND(K49&gt;0,J49&gt;0),K26*(K50/100+1),0)+IF(K49&gt;0,J22*(1+K51/100),0)-J22*(1+'Input data'!K30/100),IF(K49=1,K26,J22*(1+K51/100)))</f>
        <v>245.54682534749168</v>
      </c>
      <c r="L22" s="34">
        <f>IF(AND(L49&gt;1,K49&gt;1),IF(AND(L49&gt;0,K49&gt;0),L26*(L50/100+1),0)+IF(L49&gt;0,K22*(1+L51/100),0)-K22*(1+'Input data'!L30/100),IF(L49=1,L26,K22*(1+L51/100)))</f>
        <v>246.91805654786859</v>
      </c>
      <c r="M22" s="34">
        <f>IF(AND(M49&gt;1,L49&gt;1),IF(AND(M49&gt;0,L49&gt;0),M26*(M50/100+1),0)+IF(M49&gt;0,L22*(1+M51/100),0)-L22*(1+'Input data'!M30/100),IF(M49=1,M26,L22*(1+M51/100)))</f>
        <v>248.36414720804265</v>
      </c>
      <c r="N22" s="34">
        <f>IF(AND(N49&gt;1,M49&gt;1),IF(AND(N49&gt;0,M49&gt;0),N26*(N50/100+1),0)+IF(N49&gt;0,M22*(1+N51/100),0)-M22*(1+'Input data'!N30/100),IF(N49=1,N26,M22*(1+N51/100)))</f>
        <v>249.9990501544068</v>
      </c>
      <c r="O22" s="34">
        <f>IF(AND(O49&gt;1,N49&gt;1),IF(AND(O49&gt;0,N49&gt;0),O26*(O50/100+1),0)+IF(O49&gt;0,N22*(1+O51/100),0)-N22*(1+'Input data'!O30/100),IF(O49=1,O26,N22*(1+O51/100)))</f>
        <v>251.71017090318009</v>
      </c>
      <c r="P22" s="34">
        <f>IF(AND(P49&gt;1,O49&gt;1),IF(AND(P49&gt;0,O49&gt;0),P26*(P50/100+1),0)+IF(P49&gt;0,O22*(1+P51/100),0)-O22*(1+'Input data'!P30/100),IF(P49=1,P26,O22*(1+P51/100)))</f>
        <v>253.95010019555068</v>
      </c>
      <c r="Q22" s="34">
        <f>IF(AND(Q49&gt;1,P49&gt;1),IF(AND(Q49&gt;0,P49&gt;0),Q26*(Q50/100+1),0)+IF(Q49&gt;0,P22*(1+Q51/100),0)-P22*(1+'Input data'!Q30/100),IF(Q49=1,Q26,P22*(1+Q51/100)))</f>
        <v>256.73164103800258</v>
      </c>
      <c r="R22" s="34">
        <f>IF(AND(R49&gt;1,Q49&gt;1),IF(AND(R49&gt;0,Q49&gt;0),R26*(R50/100+1),0)+IF(R49&gt;0,Q22*(1+R51/100),0)-Q22*(1+'Input data'!R30/100),IF(R49=1,R26,Q22*(1+R51/100)))</f>
        <v>260.07105732027316</v>
      </c>
      <c r="S22" s="34">
        <f>IF(AND(S49&gt;1,R49&gt;1),IF(AND(S49&gt;0,R49&gt;0),S26*(S50/100+1),0)+IF(S49&gt;0,R22*(1+S51/100),0)-R22*(1+'Input data'!S30/100),IF(S49=1,S26,R22*(1+S51/100)))</f>
        <v>263.64704736197979</v>
      </c>
      <c r="T22" s="34">
        <f>IF(AND(T49&gt;1,S49&gt;1),IF(AND(T49&gt;0,S49&gt;0),T26*(T50/100+1),0)+IF(T49&gt;0,S22*(1+T51/100),0)-S22*(1+'Input data'!T30/100),IF(T49=1,T26,S22*(1+T51/100)))</f>
        <v>267.40126003877259</v>
      </c>
      <c r="U22" s="34">
        <f>IF(AND(U49&gt;1,T49&gt;1),IF(AND(U49&gt;0,T49&gt;0),U26*(U50/100+1),0)+IF(U49&gt;0,T22*(1+U51/100),0)-T22*(1+'Input data'!U30/100),IF(U49=1,U26,T22*(1+U51/100)))</f>
        <v>271.37495507147798</v>
      </c>
      <c r="V22" s="34">
        <f>IF(AND(V49&gt;1,U49&gt;1),IF(AND(V49&gt;0,U49&gt;0),V26*(V50/100+1),0)+IF(V49&gt;0,U22*(1+V51/100),0)-U22*(1+'Input data'!V30/100),IF(V49=1,V26,U22*(1+V51/100)))</f>
        <v>275.53535566018689</v>
      </c>
      <c r="W22" s="34">
        <f>IF(AND(W49&gt;1,V49&gt;1),IF(AND(W49&gt;0,V49&gt;0),W26*(W50/100+1),0)+IF(W49&gt;0,V22*(1+W51/100),0)-V22*(1+'Input data'!W30/100),IF(W49=1,W26,V22*(1+W51/100)))</f>
        <v>279.63615662453816</v>
      </c>
      <c r="X22" s="34"/>
      <c r="Y22" s="34"/>
      <c r="Z22" s="34"/>
      <c r="AA22" s="34"/>
      <c r="AB22" s="34"/>
      <c r="AC22" s="34"/>
      <c r="AD22" s="34"/>
      <c r="AE22" s="34"/>
      <c r="AF22" s="34"/>
      <c r="AG22" s="34"/>
      <c r="AH22" s="34"/>
      <c r="AI22" s="34"/>
      <c r="AJ22" s="34"/>
      <c r="AK22" s="34"/>
      <c r="AL22" s="34"/>
      <c r="AM22" s="34"/>
      <c r="AN22" s="34"/>
      <c r="AO22" s="34"/>
      <c r="AP22" s="34"/>
      <c r="AQ22" s="34"/>
      <c r="AR22" s="34"/>
      <c r="AS22" s="34"/>
      <c r="AT22" s="34"/>
      <c r="AU22" s="34"/>
      <c r="AV22" s="34"/>
    </row>
    <row r="23" spans="1:50" x14ac:dyDescent="0.2">
      <c r="A23" s="61"/>
      <c r="B23" s="62" t="s">
        <v>60</v>
      </c>
      <c r="C23" s="34">
        <f>+'Input data'!C30</f>
        <v>2.8381799999999999</v>
      </c>
      <c r="D23" s="34">
        <f>+'Input data'!D30</f>
        <v>1.335467</v>
      </c>
      <c r="E23" s="100">
        <f>+'Input data'!E30</f>
        <v>-1.0353760000000001</v>
      </c>
      <c r="F23" s="100">
        <f>+'Input data'!F30</f>
        <v>3.9589600000000003E-2</v>
      </c>
      <c r="G23" s="100">
        <f>+'Input data'!G30</f>
        <v>1.6580349999999999</v>
      </c>
      <c r="H23" s="34">
        <f>100*(H22/G22-1)</f>
        <v>1.310285000000011</v>
      </c>
      <c r="I23" s="34">
        <f>100*(I22/H22-1)</f>
        <v>1.4146149999999968</v>
      </c>
      <c r="J23" s="34">
        <f t="shared" ref="J23:T23" si="1">100*(J22/I22-1)</f>
        <v>1.0487979999999952</v>
      </c>
      <c r="K23" s="34">
        <f t="shared" si="1"/>
        <v>0.58138119999999738</v>
      </c>
      <c r="L23" s="34">
        <f t="shared" si="1"/>
        <v>0.55843980000001014</v>
      </c>
      <c r="M23" s="34">
        <f t="shared" si="1"/>
        <v>0.58565610000000934</v>
      </c>
      <c r="N23" s="34">
        <f t="shared" si="1"/>
        <v>0.65826849999999215</v>
      </c>
      <c r="O23" s="34">
        <f t="shared" si="1"/>
        <v>0.68445089999999986</v>
      </c>
      <c r="P23" s="34">
        <f t="shared" si="1"/>
        <v>0.88988430000001006</v>
      </c>
      <c r="Q23" s="34">
        <f t="shared" si="1"/>
        <v>1.0953100000000049</v>
      </c>
      <c r="R23" s="34">
        <f t="shared" si="1"/>
        <v>1.3007420000000103</v>
      </c>
      <c r="S23" s="34">
        <f t="shared" si="1"/>
        <v>1.3750050000000069</v>
      </c>
      <c r="T23" s="34">
        <f t="shared" si="1"/>
        <v>1.4239539999999939</v>
      </c>
      <c r="U23" s="34">
        <f>100*(U22/T22-1)</f>
        <v>1.4860419999999985</v>
      </c>
      <c r="V23" s="34">
        <f>100*(V22/U22-1)</f>
        <v>1.5330819999999967</v>
      </c>
      <c r="W23" s="34">
        <f>100*(W22/V22-1)</f>
        <v>1.4883030000000019</v>
      </c>
      <c r="X23" s="1"/>
      <c r="Y23" s="1"/>
      <c r="Z23" s="1"/>
      <c r="AA23" s="1"/>
      <c r="AB23" s="1"/>
      <c r="AC23" s="1"/>
      <c r="AD23" s="1"/>
      <c r="AE23" s="1"/>
      <c r="AF23" s="1"/>
      <c r="AG23" s="1"/>
      <c r="AH23" s="1"/>
      <c r="AI23" s="1"/>
      <c r="AJ23" s="1"/>
      <c r="AK23" s="1"/>
      <c r="AL23" s="1"/>
      <c r="AM23" s="1"/>
      <c r="AN23" s="1"/>
      <c r="AO23" s="1"/>
      <c r="AP23" s="1"/>
      <c r="AQ23" s="1"/>
      <c r="AR23" s="1"/>
      <c r="AS23" s="1"/>
      <c r="AT23" s="1"/>
      <c r="AU23" s="1"/>
      <c r="AV23" s="1"/>
      <c r="AW23" s="1"/>
      <c r="AX23" s="1"/>
    </row>
    <row r="24" spans="1:50" ht="5.25" customHeight="1" x14ac:dyDescent="0.2">
      <c r="C24" s="34"/>
      <c r="D24" s="34"/>
      <c r="E24" s="34"/>
      <c r="F24" s="34"/>
      <c r="G24" s="34"/>
      <c r="H24" s="34"/>
      <c r="I24" s="34"/>
      <c r="J24" s="34"/>
      <c r="K24" s="34"/>
      <c r="L24" s="34"/>
      <c r="M24" s="34"/>
      <c r="N24" s="34"/>
      <c r="O24" s="34"/>
      <c r="P24" s="34"/>
      <c r="Q24" s="34"/>
      <c r="R24" s="34"/>
      <c r="S24" s="34"/>
      <c r="T24" s="34"/>
      <c r="U24" s="34"/>
      <c r="V24" s="34"/>
      <c r="W24" s="34"/>
      <c r="X24" s="34"/>
      <c r="Y24" s="34"/>
      <c r="Z24" s="34"/>
      <c r="AA24" s="34"/>
      <c r="AB24" s="34"/>
      <c r="AC24" s="34"/>
      <c r="AD24" s="34"/>
      <c r="AE24" s="34"/>
      <c r="AF24" s="34"/>
      <c r="AG24" s="34"/>
      <c r="AH24" s="34"/>
      <c r="AI24" s="34"/>
      <c r="AJ24" s="34"/>
      <c r="AK24" s="34"/>
      <c r="AL24" s="34"/>
      <c r="AM24" s="34"/>
      <c r="AN24" s="34"/>
      <c r="AO24" s="34"/>
      <c r="AP24" s="34"/>
      <c r="AQ24" s="34"/>
      <c r="AR24" s="34"/>
      <c r="AS24" s="34"/>
      <c r="AT24" s="34"/>
      <c r="AU24" s="34"/>
      <c r="AV24" s="34"/>
    </row>
    <row r="25" spans="1:50" ht="15" x14ac:dyDescent="0.2">
      <c r="A25" s="223"/>
      <c r="B25" s="30" t="s">
        <v>90</v>
      </c>
      <c r="C25" s="222"/>
      <c r="D25" s="222"/>
      <c r="E25" s="222"/>
      <c r="F25" s="432">
        <f>(F26-E26)/E26</f>
        <v>9.3508747222221297E-3</v>
      </c>
      <c r="G25" s="432">
        <f t="shared" ref="G25:W25" si="2">(G26-F26)/F26</f>
        <v>9.3508747222221574E-3</v>
      </c>
      <c r="H25" s="432">
        <f t="shared" si="2"/>
        <v>9.3508747222222008E-3</v>
      </c>
      <c r="I25" s="432">
        <f t="shared" si="2"/>
        <v>9.3508747222221782E-3</v>
      </c>
      <c r="J25" s="432">
        <f t="shared" si="2"/>
        <v>9.3508747222222129E-3</v>
      </c>
      <c r="K25" s="432">
        <f t="shared" si="2"/>
        <v>9.3508747222222181E-3</v>
      </c>
      <c r="L25" s="432">
        <f t="shared" si="2"/>
        <v>9.3508747222221834E-3</v>
      </c>
      <c r="M25" s="432">
        <f t="shared" si="2"/>
        <v>9.3508747222221661E-3</v>
      </c>
      <c r="N25" s="432">
        <f t="shared" si="2"/>
        <v>9.3508747222222667E-3</v>
      </c>
      <c r="O25" s="432">
        <f t="shared" si="2"/>
        <v>9.3508747222222442E-3</v>
      </c>
      <c r="P25" s="432">
        <f t="shared" si="2"/>
        <v>9.3508747222221175E-3</v>
      </c>
      <c r="Q25" s="432">
        <f t="shared" si="2"/>
        <v>9.350874722222147E-3</v>
      </c>
      <c r="R25" s="432">
        <f t="shared" si="2"/>
        <v>9.3508747222221696E-3</v>
      </c>
      <c r="S25" s="432">
        <f t="shared" si="2"/>
        <v>9.3508747222221886E-3</v>
      </c>
      <c r="T25" s="432">
        <f t="shared" si="2"/>
        <v>9.3508747222221938E-3</v>
      </c>
      <c r="U25" s="432">
        <f t="shared" si="2"/>
        <v>9.3508747222221331E-3</v>
      </c>
      <c r="V25" s="432">
        <f t="shared" si="2"/>
        <v>9.3508747222221938E-3</v>
      </c>
      <c r="W25" s="432">
        <f t="shared" si="2"/>
        <v>9.3508747222222823E-3</v>
      </c>
    </row>
    <row r="26" spans="1:50" x14ac:dyDescent="0.2">
      <c r="B26" s="384" t="s">
        <v>61</v>
      </c>
      <c r="C26" s="34">
        <f>'Input data'!C34</f>
        <v>231.15090000000001</v>
      </c>
      <c r="D26" s="34">
        <f>+C26*(1+'Input data'!D33/100)</f>
        <v>233.97713813562902</v>
      </c>
      <c r="E26" s="416">
        <v>236.531302768659</v>
      </c>
      <c r="F26" s="416">
        <v>238.74307734873273</v>
      </c>
      <c r="G26" s="416">
        <v>240.97553395581852</v>
      </c>
      <c r="H26" s="416">
        <v>243.22886598495998</v>
      </c>
      <c r="I26" s="416">
        <v>245.50326863961351</v>
      </c>
      <c r="J26" s="416">
        <v>247.7989389485586</v>
      </c>
      <c r="K26" s="416">
        <v>250.11607578296616</v>
      </c>
      <c r="L26" s="416">
        <v>252.45487987362651</v>
      </c>
      <c r="M26" s="416">
        <v>254.81555382833844</v>
      </c>
      <c r="N26" s="416">
        <v>257.19830214946091</v>
      </c>
      <c r="O26" s="416">
        <v>259.60333125162879</v>
      </c>
      <c r="P26" s="416">
        <v>262.0308494796343</v>
      </c>
      <c r="Q26" s="416">
        <v>264.48106712647581</v>
      </c>
      <c r="R26" s="416">
        <v>266.95419645157511</v>
      </c>
      <c r="S26" s="416">
        <v>269.45045169916528</v>
      </c>
      <c r="T26" s="416">
        <v>271.97004911685036</v>
      </c>
      <c r="U26" s="97">
        <v>274.51320697433863</v>
      </c>
      <c r="V26" s="97">
        <v>277.08014558235112</v>
      </c>
      <c r="W26" s="97">
        <v>279.6710873117068</v>
      </c>
      <c r="X26" s="34"/>
      <c r="Y26" s="34"/>
      <c r="Z26" s="34"/>
      <c r="AA26" s="34"/>
      <c r="AB26" s="34"/>
      <c r="AC26" s="34"/>
      <c r="AD26" s="34"/>
      <c r="AE26" s="34"/>
      <c r="AF26" s="34"/>
      <c r="AG26" s="34"/>
      <c r="AH26" s="34"/>
      <c r="AI26" s="34"/>
      <c r="AJ26" s="34"/>
      <c r="AK26" s="34"/>
      <c r="AL26" s="34"/>
      <c r="AM26" s="34"/>
      <c r="AN26" s="34"/>
      <c r="AO26" s="34"/>
      <c r="AP26" s="34"/>
      <c r="AQ26" s="34"/>
      <c r="AR26" s="34"/>
      <c r="AS26" s="34"/>
      <c r="AT26" s="34"/>
      <c r="AU26" s="34"/>
      <c r="AV26" s="34"/>
    </row>
    <row r="27" spans="1:50" ht="11.25" customHeight="1" x14ac:dyDescent="0.2">
      <c r="B27" s="26" t="s">
        <v>406</v>
      </c>
      <c r="C27" s="34"/>
      <c r="D27" s="34"/>
      <c r="E27" s="34">
        <v>236.531302768659</v>
      </c>
      <c r="F27" s="34">
        <v>238.0217037741894</v>
      </c>
      <c r="G27" s="34">
        <v>239.52552870698202</v>
      </c>
      <c r="H27" s="34">
        <v>241.16563377590157</v>
      </c>
      <c r="I27" s="34">
        <v>242.58008299977581</v>
      </c>
      <c r="J27" s="34">
        <v>244.12752876078073</v>
      </c>
      <c r="K27" s="34">
        <v>245.54683836400028</v>
      </c>
      <c r="L27" s="34">
        <v>246.91806349839558</v>
      </c>
      <c r="M27" s="34">
        <v>248.36415543386613</v>
      </c>
      <c r="N27" s="34">
        <v>249.99905992456323</v>
      </c>
      <c r="O27" s="34">
        <v>251.71018449019431</v>
      </c>
      <c r="P27" s="34">
        <v>253.9501091209801</v>
      </c>
      <c r="Q27" s="34">
        <v>256.73165767969641</v>
      </c>
      <c r="R27" s="34">
        <v>260.07107674574905</v>
      </c>
      <c r="S27" s="34">
        <v>263.64707745740003</v>
      </c>
      <c r="T27" s="34">
        <v>267.40128528979625</v>
      </c>
      <c r="U27" s="34">
        <v>271.37498337175526</v>
      </c>
      <c r="V27" s="34">
        <v>275.53537353933132</v>
      </c>
      <c r="W27" s="34">
        <v>279.63617201442469</v>
      </c>
      <c r="X27" s="34"/>
      <c r="Y27" s="34"/>
      <c r="Z27" s="34"/>
      <c r="AA27" s="34"/>
      <c r="AB27" s="34"/>
      <c r="AC27" s="34"/>
      <c r="AD27" s="34"/>
      <c r="AE27" s="34"/>
      <c r="AF27" s="34"/>
      <c r="AG27" s="34"/>
      <c r="AH27" s="34"/>
      <c r="AI27" s="34"/>
      <c r="AJ27" s="34"/>
      <c r="AK27" s="34"/>
      <c r="AL27" s="34"/>
      <c r="AM27" s="34"/>
      <c r="AN27" s="34"/>
      <c r="AO27" s="34"/>
      <c r="AP27" s="34"/>
      <c r="AQ27" s="34"/>
      <c r="AR27" s="34"/>
      <c r="AS27" s="34"/>
      <c r="AT27" s="34"/>
      <c r="AU27" s="34"/>
      <c r="AV27" s="34"/>
    </row>
    <row r="28" spans="1:50" x14ac:dyDescent="0.2">
      <c r="B28" s="30" t="s">
        <v>91</v>
      </c>
      <c r="C28" s="34"/>
      <c r="D28" s="34"/>
      <c r="E28" s="34"/>
      <c r="F28" s="34"/>
      <c r="G28" s="34"/>
      <c r="H28" s="34"/>
      <c r="I28" s="34"/>
      <c r="J28" s="34"/>
      <c r="K28" s="34"/>
      <c r="L28" s="34"/>
      <c r="M28" s="34"/>
      <c r="N28" s="34"/>
      <c r="O28" s="34"/>
      <c r="P28" s="34"/>
      <c r="Q28" s="34"/>
      <c r="R28" s="34"/>
      <c r="S28" s="34"/>
      <c r="T28" s="34"/>
      <c r="U28" s="34"/>
      <c r="V28" s="34"/>
      <c r="W28" s="34"/>
      <c r="X28" s="34"/>
      <c r="Y28" s="34"/>
      <c r="Z28" s="34"/>
      <c r="AA28" s="34"/>
      <c r="AB28" s="34"/>
      <c r="AC28" s="34"/>
      <c r="AD28" s="34"/>
      <c r="AE28" s="34"/>
      <c r="AF28" s="34"/>
      <c r="AG28" s="34"/>
      <c r="AH28" s="34"/>
      <c r="AI28" s="34"/>
      <c r="AJ28" s="34"/>
      <c r="AK28" s="34"/>
      <c r="AL28" s="34"/>
      <c r="AM28" s="34"/>
      <c r="AN28" s="34"/>
      <c r="AO28" s="34"/>
      <c r="AP28" s="34"/>
      <c r="AQ28" s="34"/>
      <c r="AR28" s="34"/>
      <c r="AS28" s="34"/>
      <c r="AT28" s="34"/>
      <c r="AU28" s="34"/>
      <c r="AV28" s="34"/>
    </row>
    <row r="29" spans="1:50" x14ac:dyDescent="0.2">
      <c r="B29" s="384" t="s">
        <v>91</v>
      </c>
      <c r="C29" s="34">
        <f t="shared" ref="C29:T29" si="3">100*(C22/C26-1)</f>
        <v>-0.25736434510962303</v>
      </c>
      <c r="D29" s="34">
        <f t="shared" si="3"/>
        <v>-0.14622746557002575</v>
      </c>
      <c r="E29" s="416">
        <f t="shared" si="3"/>
        <v>-2.2471884779047602</v>
      </c>
      <c r="F29" s="416">
        <f t="shared" si="3"/>
        <v>-3.11445314189851</v>
      </c>
      <c r="G29" s="416">
        <f>100*(G22/G26-1)</f>
        <v>-2.4205104473153272</v>
      </c>
      <c r="H29" s="97">
        <f>100*(H22/H26-1)</f>
        <v>-2.0577864020019376</v>
      </c>
      <c r="I29" s="97">
        <f t="shared" si="3"/>
        <v>-1.5924775710698169</v>
      </c>
      <c r="J29" s="97">
        <f t="shared" si="3"/>
        <v>-1.4816145244035406</v>
      </c>
      <c r="K29" s="97">
        <f t="shared" si="3"/>
        <v>-1.8268519611028045</v>
      </c>
      <c r="L29" s="97">
        <f t="shared" si="3"/>
        <v>-2.1931932266587739</v>
      </c>
      <c r="M29" s="97">
        <f t="shared" si="3"/>
        <v>-2.5317946739789265</v>
      </c>
      <c r="N29" s="97">
        <f t="shared" si="3"/>
        <v>-2.7991055675284149</v>
      </c>
      <c r="O29" s="97">
        <f t="shared" si="3"/>
        <v>-3.0404695927410907</v>
      </c>
      <c r="P29" s="97">
        <f t="shared" si="3"/>
        <v>-3.0838923356280912</v>
      </c>
      <c r="Q29" s="97">
        <f t="shared" si="3"/>
        <v>-2.9300494635283059</v>
      </c>
      <c r="R29" s="97">
        <f t="shared" si="3"/>
        <v>-2.578397051926673</v>
      </c>
      <c r="S29" s="97">
        <f t="shared" si="3"/>
        <v>-2.1537927661983813</v>
      </c>
      <c r="T29" s="97">
        <f t="shared" si="3"/>
        <v>-1.6798868452293503</v>
      </c>
      <c r="U29" s="97">
        <f>100*(U22/U26-1)</f>
        <v>-1.1432061639037983</v>
      </c>
      <c r="V29" s="97">
        <f>100*(V22/V26-1)</f>
        <v>-0.55752458153126572</v>
      </c>
      <c r="W29" s="97">
        <f>100*(W22/W26-1)</f>
        <v>-1.2489917175351195E-2</v>
      </c>
      <c r="X29" s="34"/>
      <c r="Y29" s="34"/>
      <c r="Z29" s="34"/>
      <c r="AA29" s="34"/>
      <c r="AB29" s="34"/>
      <c r="AC29" s="34"/>
      <c r="AD29" s="34"/>
      <c r="AE29" s="34"/>
      <c r="AF29" s="34"/>
      <c r="AG29" s="34"/>
      <c r="AH29" s="34"/>
      <c r="AI29" s="34"/>
      <c r="AJ29" s="34"/>
      <c r="AK29" s="34"/>
      <c r="AL29" s="34"/>
      <c r="AM29" s="34"/>
      <c r="AN29" s="34"/>
      <c r="AO29" s="34"/>
      <c r="AP29" s="34"/>
      <c r="AQ29" s="34"/>
      <c r="AR29" s="34"/>
      <c r="AS29" s="34"/>
      <c r="AT29" s="34"/>
      <c r="AU29" s="34"/>
      <c r="AV29" s="34"/>
    </row>
    <row r="30" spans="1:50" ht="5.25" customHeight="1" x14ac:dyDescent="0.2">
      <c r="C30" s="34"/>
      <c r="D30" s="34"/>
      <c r="E30" s="34"/>
      <c r="F30" s="34"/>
      <c r="G30" s="34"/>
      <c r="H30" s="34"/>
      <c r="I30" s="34"/>
      <c r="J30" s="34"/>
      <c r="K30" s="34"/>
      <c r="L30" s="34"/>
      <c r="M30" s="34"/>
      <c r="N30" s="34"/>
      <c r="O30" s="34"/>
      <c r="P30" s="34"/>
      <c r="Q30" s="34"/>
      <c r="R30" s="34"/>
      <c r="S30" s="34"/>
      <c r="T30" s="34"/>
      <c r="U30" s="34"/>
      <c r="V30" s="34"/>
      <c r="W30" s="34"/>
      <c r="X30" s="34"/>
      <c r="Y30" s="34"/>
      <c r="Z30" s="34"/>
      <c r="AA30" s="34"/>
      <c r="AB30" s="34"/>
      <c r="AC30" s="34"/>
      <c r="AD30" s="34"/>
      <c r="AE30" s="34"/>
      <c r="AF30" s="34"/>
      <c r="AG30" s="34"/>
      <c r="AH30" s="34"/>
      <c r="AI30" s="34"/>
      <c r="AJ30" s="34"/>
      <c r="AK30" s="34"/>
      <c r="AL30" s="34"/>
      <c r="AM30" s="34"/>
      <c r="AN30" s="34"/>
      <c r="AO30" s="34"/>
      <c r="AP30" s="34"/>
      <c r="AQ30" s="34"/>
      <c r="AR30" s="34"/>
      <c r="AS30" s="34"/>
      <c r="AT30" s="34"/>
      <c r="AU30" s="34"/>
      <c r="AV30" s="34"/>
    </row>
    <row r="31" spans="1:50" x14ac:dyDescent="0.2">
      <c r="B31" s="30" t="s">
        <v>92</v>
      </c>
      <c r="C31" s="34"/>
      <c r="D31" s="34"/>
      <c r="E31" s="34"/>
      <c r="F31" s="34"/>
      <c r="G31" s="34"/>
      <c r="H31" s="34"/>
      <c r="I31" s="34"/>
      <c r="J31" s="34"/>
      <c r="K31" s="34"/>
      <c r="L31" s="34"/>
      <c r="M31" s="34"/>
      <c r="N31" s="34"/>
      <c r="O31" s="34"/>
      <c r="P31" s="34"/>
      <c r="Q31" s="34"/>
      <c r="R31" s="34"/>
      <c r="S31" s="34"/>
      <c r="T31" s="34"/>
      <c r="U31" s="34"/>
      <c r="V31" s="34"/>
      <c r="W31" s="34"/>
      <c r="X31" s="34"/>
      <c r="Y31" s="34"/>
      <c r="Z31" s="34"/>
      <c r="AA31" s="34"/>
      <c r="AB31" s="34"/>
      <c r="AC31" s="34"/>
      <c r="AD31" s="34"/>
      <c r="AE31" s="34"/>
      <c r="AF31" s="34"/>
      <c r="AG31" s="34"/>
      <c r="AH31" s="34"/>
      <c r="AI31" s="34"/>
      <c r="AJ31" s="34"/>
      <c r="AK31" s="34"/>
      <c r="AL31" s="34"/>
      <c r="AM31" s="34"/>
      <c r="AN31" s="34"/>
      <c r="AO31" s="34"/>
      <c r="AP31" s="34"/>
      <c r="AQ31" s="34"/>
      <c r="AR31" s="34"/>
      <c r="AS31" s="34"/>
      <c r="AT31" s="34"/>
      <c r="AU31" s="34"/>
      <c r="AV31" s="34"/>
    </row>
    <row r="32" spans="1:50" x14ac:dyDescent="0.2">
      <c r="B32" s="26" t="s">
        <v>60</v>
      </c>
      <c r="C32" s="1">
        <f t="shared" ref="C32:W32" si="4">100*((1+C23/100)*(1+C41/100)-1)</f>
        <v>5.3041963643644108</v>
      </c>
      <c r="D32" s="1">
        <f t="shared" si="4"/>
        <v>6.7911638456366497</v>
      </c>
      <c r="E32" s="2">
        <f t="shared" si="4"/>
        <v>3.7125418942078214</v>
      </c>
      <c r="F32" s="2">
        <f t="shared" si="4"/>
        <v>1.8403042135917813</v>
      </c>
      <c r="G32" s="2">
        <f>100*((1+G23/100)*(1+G41/100)-1)</f>
        <v>3.8182296136966887</v>
      </c>
      <c r="H32" s="1">
        <f>100*((1+H23/100)*(1+H41/100)-1)</f>
        <v>3.5169159594865107</v>
      </c>
      <c r="I32" s="1">
        <f t="shared" si="4"/>
        <v>3.6773996940222098</v>
      </c>
      <c r="J32" s="1">
        <f t="shared" si="4"/>
        <v>3.3571074802229539</v>
      </c>
      <c r="K32" s="1">
        <f t="shared" si="4"/>
        <v>2.9324518750875717</v>
      </c>
      <c r="L32" s="1">
        <f t="shared" si="4"/>
        <v>2.9624006718910856</v>
      </c>
      <c r="M32" s="1">
        <f t="shared" si="4"/>
        <v>3.0437085153064425</v>
      </c>
      <c r="N32" s="1">
        <f t="shared" si="4"/>
        <v>3.1715748603416083</v>
      </c>
      <c r="O32" s="1">
        <f t="shared" si="4"/>
        <v>3.2519043979500006</v>
      </c>
      <c r="P32" s="1">
        <f t="shared" si="4"/>
        <v>3.4348316314675165</v>
      </c>
      <c r="Q32" s="1">
        <f t="shared" si="4"/>
        <v>3.6176379845000106</v>
      </c>
      <c r="R32" s="1">
        <f t="shared" si="4"/>
        <v>3.8003378088500073</v>
      </c>
      <c r="S32" s="1">
        <f t="shared" si="4"/>
        <v>3.8485551219999969</v>
      </c>
      <c r="T32" s="1">
        <f t="shared" si="4"/>
        <v>3.8708068902499893</v>
      </c>
      <c r="U32" s="1">
        <f t="shared" si="4"/>
        <v>3.9064841016999807</v>
      </c>
      <c r="V32" s="1">
        <f t="shared" si="4"/>
        <v>3.9267244081499841</v>
      </c>
      <c r="W32" s="1">
        <f t="shared" si="4"/>
        <v>3.8529804599000128</v>
      </c>
      <c r="X32" s="1"/>
      <c r="Y32" s="1"/>
      <c r="Z32" s="1"/>
      <c r="AA32" s="1"/>
      <c r="AB32" s="1"/>
      <c r="AC32" s="1"/>
      <c r="AD32" s="1"/>
      <c r="AE32" s="1"/>
      <c r="AF32" s="1"/>
      <c r="AG32" s="1"/>
      <c r="AH32" s="1"/>
      <c r="AI32" s="1"/>
      <c r="AJ32" s="1"/>
      <c r="AK32" s="1"/>
      <c r="AL32" s="1"/>
      <c r="AM32" s="1"/>
      <c r="AN32" s="1"/>
      <c r="AO32" s="1"/>
      <c r="AP32" s="1"/>
      <c r="AQ32" s="1"/>
      <c r="AR32" s="1"/>
      <c r="AS32" s="1"/>
      <c r="AT32" s="1"/>
      <c r="AU32" s="1"/>
      <c r="AV32" s="1"/>
      <c r="AW32" s="1"/>
      <c r="AX32" s="1"/>
    </row>
    <row r="33" spans="2:51" x14ac:dyDescent="0.2">
      <c r="B33" s="26" t="s">
        <v>405</v>
      </c>
      <c r="H33" s="352">
        <f>H35-H32</f>
        <v>-1.5122412395450868</v>
      </c>
      <c r="I33" s="352">
        <f t="shared" ref="I33:W33" si="5">I35-I32</f>
        <v>-1.5815004290795978</v>
      </c>
      <c r="J33" s="352">
        <f t="shared" si="5"/>
        <v>-1.1777593092479686</v>
      </c>
      <c r="K33" s="352">
        <f t="shared" si="5"/>
        <v>-0.67466385000614748</v>
      </c>
      <c r="L33" s="352">
        <f t="shared" si="5"/>
        <v>-0.62862944202412496</v>
      </c>
      <c r="M33" s="352">
        <f t="shared" si="5"/>
        <v>-0.63668082441423124</v>
      </c>
      <c r="N33" s="352">
        <f t="shared" si="5"/>
        <v>-0.69424085650494671</v>
      </c>
      <c r="O33" s="352">
        <f t="shared" si="5"/>
        <v>-0.70752706002196186</v>
      </c>
      <c r="P33" s="352">
        <f t="shared" si="5"/>
        <v>-0.82937116371943542</v>
      </c>
      <c r="Q33" s="352">
        <f t="shared" si="5"/>
        <v>-0.95511588512990864</v>
      </c>
      <c r="R33" s="352">
        <f t="shared" si="5"/>
        <v>-1.0848118884829634</v>
      </c>
      <c r="S33" s="352">
        <f t="shared" si="5"/>
        <v>-1.0840831813990977</v>
      </c>
      <c r="T33" s="352">
        <f t="shared" si="5"/>
        <v>-1.0611198173116057</v>
      </c>
      <c r="U33" s="352">
        <f t="shared" si="5"/>
        <v>-1.0549821613131733</v>
      </c>
      <c r="V33" s="352">
        <f t="shared" si="5"/>
        <v>-1.0365850770841676</v>
      </c>
      <c r="W33" s="352">
        <f t="shared" si="5"/>
        <v>-0.92713764899111384</v>
      </c>
    </row>
    <row r="34" spans="2:51" x14ac:dyDescent="0.2">
      <c r="B34" s="28" t="s">
        <v>93</v>
      </c>
    </row>
    <row r="35" spans="2:51" x14ac:dyDescent="0.2">
      <c r="B35" s="384" t="s">
        <v>63</v>
      </c>
      <c r="C35" s="1">
        <f>'Input data'!C37</f>
        <v>0.73297140000000005</v>
      </c>
      <c r="D35" s="1">
        <f>'Input data'!D37</f>
        <v>0.83926920000000005</v>
      </c>
      <c r="E35" s="389">
        <f>'Input data'!E37</f>
        <v>1.5804370000000001</v>
      </c>
      <c r="F35" s="389">
        <f>'Input data'!F37</f>
        <v>1.6625099999999999</v>
      </c>
      <c r="G35" s="389">
        <f>'Input data'!G37</f>
        <v>1.8895660000000001</v>
      </c>
      <c r="H35" s="1">
        <f>H96</f>
        <v>2.0046747199414239</v>
      </c>
      <c r="I35" s="1">
        <f t="shared" ref="I35:W35" si="6">I96</f>
        <v>2.095899264942612</v>
      </c>
      <c r="J35" s="1">
        <f t="shared" si="6"/>
        <v>2.1793481709749853</v>
      </c>
      <c r="K35" s="1">
        <f t="shared" si="6"/>
        <v>2.2577880250814242</v>
      </c>
      <c r="L35" s="1">
        <f t="shared" si="6"/>
        <v>2.3337712298669606</v>
      </c>
      <c r="M35" s="1">
        <f t="shared" si="6"/>
        <v>2.4070276908922112</v>
      </c>
      <c r="N35" s="1">
        <f t="shared" si="6"/>
        <v>2.4773340038366616</v>
      </c>
      <c r="O35" s="1">
        <f t="shared" si="6"/>
        <v>2.5443773379280388</v>
      </c>
      <c r="P35" s="1">
        <f t="shared" si="6"/>
        <v>2.605460467748081</v>
      </c>
      <c r="Q35" s="1">
        <f t="shared" si="6"/>
        <v>2.662522099370102</v>
      </c>
      <c r="R35" s="1">
        <f t="shared" si="6"/>
        <v>2.7155259203670439</v>
      </c>
      <c r="S35" s="1">
        <f t="shared" si="6"/>
        <v>2.7644719406008993</v>
      </c>
      <c r="T35" s="1">
        <f>T96</f>
        <v>2.8096870729383836</v>
      </c>
      <c r="U35" s="1">
        <f t="shared" si="6"/>
        <v>2.8515019403868074</v>
      </c>
      <c r="V35" s="1">
        <f t="shared" si="6"/>
        <v>2.8901393310658166</v>
      </c>
      <c r="W35" s="1">
        <f t="shared" si="6"/>
        <v>2.925842810908899</v>
      </c>
      <c r="X35" s="59"/>
      <c r="Y35" s="59"/>
      <c r="Z35" s="59"/>
      <c r="AA35" s="59"/>
      <c r="AB35" s="59"/>
      <c r="AC35" s="59"/>
      <c r="AD35" s="59"/>
      <c r="AE35" s="59"/>
      <c r="AF35" s="59"/>
      <c r="AG35" s="59"/>
      <c r="AH35" s="59"/>
      <c r="AI35" s="59"/>
      <c r="AJ35" s="59"/>
      <c r="AK35" s="59"/>
      <c r="AL35" s="59"/>
      <c r="AM35" s="59"/>
      <c r="AN35" s="59"/>
      <c r="AO35" s="59"/>
      <c r="AP35" s="59"/>
      <c r="AQ35" s="59"/>
      <c r="AR35" s="59"/>
      <c r="AS35" s="59"/>
      <c r="AT35" s="59"/>
      <c r="AU35" s="59"/>
      <c r="AV35" s="59"/>
      <c r="AW35" s="59"/>
      <c r="AX35" s="59"/>
      <c r="AY35" s="60"/>
    </row>
    <row r="36" spans="2:51" x14ac:dyDescent="0.2">
      <c r="B36" s="390" t="s">
        <v>94</v>
      </c>
      <c r="C36" s="1"/>
      <c r="D36" s="1"/>
      <c r="E36" s="386">
        <f>'Input data'!E39</f>
        <v>3.04</v>
      </c>
      <c r="F36" s="386">
        <f>'Input data'!F39</f>
        <v>2.9418000000000002</v>
      </c>
      <c r="G36" s="386">
        <f>'Input data'!G39</f>
        <v>3.0140359999999999</v>
      </c>
      <c r="H36" s="386">
        <f t="shared" ref="H36:N36" si="7">G36+($O$36-$G$36)/($O$10-$G$10)</f>
        <v>3.041204</v>
      </c>
      <c r="I36" s="386">
        <f t="shared" si="7"/>
        <v>3.0683720000000001</v>
      </c>
      <c r="J36" s="386">
        <f t="shared" si="7"/>
        <v>3.0955400000000002</v>
      </c>
      <c r="K36" s="386">
        <f t="shared" si="7"/>
        <v>3.1227080000000003</v>
      </c>
      <c r="L36" s="386">
        <f t="shared" si="7"/>
        <v>3.1498760000000003</v>
      </c>
      <c r="M36" s="386">
        <f t="shared" si="7"/>
        <v>3.1770440000000004</v>
      </c>
      <c r="N36" s="386">
        <f t="shared" si="7"/>
        <v>3.2042120000000005</v>
      </c>
      <c r="O36" s="386">
        <f>'Input data'!$C$52</f>
        <v>3.2313800000000001</v>
      </c>
      <c r="P36" s="386">
        <f>$O$36+('Input data'!$C$54-'Input data'!$C$52)/20*('Baseline NFPC'!P$10-2033)</f>
        <v>3.2698110000000002</v>
      </c>
      <c r="Q36" s="386">
        <f>$O$36+('Input data'!$C$54-'Input data'!$C$52)/20*('Baseline NFPC'!Q$10-2033)</f>
        <v>3.3082419999999999</v>
      </c>
      <c r="R36" s="386">
        <f>$O$36+('Input data'!$C$54-'Input data'!$C$52)/20*('Baseline NFPC'!R$10-2033)</f>
        <v>3.346673</v>
      </c>
      <c r="S36" s="386">
        <f>$O$36+('Input data'!$C$54-'Input data'!$C$52)/20*('Baseline NFPC'!S$10-2033)</f>
        <v>3.3851040000000001</v>
      </c>
      <c r="T36" s="386">
        <f>$O$36+('Input data'!$C$54-'Input data'!$C$52)/20*('Baseline NFPC'!T$10-2033)</f>
        <v>3.4235350000000002</v>
      </c>
      <c r="U36" s="1">
        <f>$O$36+('Input data'!$C$54-'Input data'!$C$52)/20*('Baseline NFPC'!U$10-2033)</f>
        <v>3.4619660000000003</v>
      </c>
      <c r="V36" s="1">
        <f>$O$36+('Input data'!$C$54-'Input data'!$C$52)/20*('Baseline NFPC'!V$10-2033)</f>
        <v>3.500397</v>
      </c>
      <c r="W36" s="1">
        <f>$O$36+('Input data'!$C$54-'Input data'!$C$52)/20*('Baseline NFPC'!W$10-2033)</f>
        <v>3.5388280000000001</v>
      </c>
      <c r="X36" s="59"/>
      <c r="Y36" s="59"/>
      <c r="Z36" s="59"/>
      <c r="AA36" s="59"/>
      <c r="AB36" s="59"/>
      <c r="AC36" s="59"/>
      <c r="AD36" s="59"/>
      <c r="AE36" s="59"/>
      <c r="AF36" s="59"/>
      <c r="AG36" s="59"/>
      <c r="AH36" s="59"/>
      <c r="AI36" s="59"/>
      <c r="AJ36" s="59"/>
      <c r="AK36" s="59"/>
      <c r="AL36" s="59"/>
      <c r="AM36" s="59"/>
      <c r="AN36" s="59"/>
      <c r="AO36" s="59"/>
      <c r="AP36" s="59"/>
      <c r="AQ36" s="59"/>
      <c r="AR36" s="59"/>
      <c r="AS36" s="59"/>
      <c r="AT36" s="59"/>
      <c r="AU36" s="59"/>
      <c r="AV36" s="59"/>
      <c r="AW36" s="59"/>
      <c r="AX36" s="59"/>
      <c r="AY36" s="60"/>
    </row>
    <row r="37" spans="2:51" x14ac:dyDescent="0.2">
      <c r="B37" s="390" t="s">
        <v>95</v>
      </c>
      <c r="C37" s="1"/>
      <c r="D37" s="1"/>
      <c r="E37" s="386">
        <f>'Input data'!E$38</f>
        <v>3.43</v>
      </c>
      <c r="F37" s="386">
        <f>'Input data'!F$38</f>
        <v>3.5642079999999998</v>
      </c>
      <c r="G37" s="386">
        <f>'Input data'!G$38</f>
        <v>2.8163749999999999</v>
      </c>
      <c r="H37" s="386">
        <f>G37+($O$37-$G$37)/($O$10-$G$10)</f>
        <v>2.8050893749999997</v>
      </c>
      <c r="I37" s="386">
        <f t="shared" ref="I37:N37" si="8">H37+($O$37-$G$37)/($O$10-$G$10)</f>
        <v>2.7938037499999995</v>
      </c>
      <c r="J37" s="386">
        <f t="shared" si="8"/>
        <v>2.7825181249999993</v>
      </c>
      <c r="K37" s="386">
        <f t="shared" si="8"/>
        <v>2.7712324999999991</v>
      </c>
      <c r="L37" s="386">
        <f t="shared" si="8"/>
        <v>2.7599468749999989</v>
      </c>
      <c r="M37" s="386">
        <f t="shared" si="8"/>
        <v>2.7486612499999987</v>
      </c>
      <c r="N37" s="386">
        <f t="shared" si="8"/>
        <v>2.7373756249999985</v>
      </c>
      <c r="O37" s="386">
        <f>'Input data'!$C$53</f>
        <v>2.7260900000000001</v>
      </c>
      <c r="P37" s="386">
        <f>$O$37+('Input data'!$C$55-'Input data'!$C$53)/20*('Baseline NFPC'!P$10-2033)</f>
        <v>2.6897855000000002</v>
      </c>
      <c r="Q37" s="386">
        <f>$O$37+('Input data'!$C$55-'Input data'!$C$53)/20*('Baseline NFPC'!Q$10-2033)</f>
        <v>2.6534810000000002</v>
      </c>
      <c r="R37" s="386">
        <f>$O$37+('Input data'!$C$55-'Input data'!$C$53)/20*('Baseline NFPC'!R$10-2033)</f>
        <v>2.6171765000000002</v>
      </c>
      <c r="S37" s="386">
        <f>$O$37+('Input data'!$C$55-'Input data'!$C$53)/20*('Baseline NFPC'!S$10-2033)</f>
        <v>2.5808720000000003</v>
      </c>
      <c r="T37" s="386">
        <f>$O$37+('Input data'!$C$55-'Input data'!$C$53)/20*('Baseline NFPC'!T$10-2033)</f>
        <v>2.5445675000000003</v>
      </c>
      <c r="U37" s="1">
        <f>$O$37+('Input data'!$C$55-'Input data'!$C$53)/20*('Baseline NFPC'!U$10-2033)</f>
        <v>2.5082629999999999</v>
      </c>
      <c r="V37" s="1">
        <f>$O$37+('Input data'!$C$55-'Input data'!$C$53)/20*('Baseline NFPC'!V$10-2033)</f>
        <v>2.4719584999999999</v>
      </c>
      <c r="W37" s="1">
        <f>$O$37+('Input data'!$C$55-'Input data'!$C$53)/20*('Baseline NFPC'!W$10-2033)</f>
        <v>2.435654</v>
      </c>
      <c r="X37" s="59"/>
      <c r="Y37" s="59"/>
      <c r="Z37" s="59"/>
      <c r="AA37" s="59"/>
      <c r="AB37" s="59"/>
      <c r="AC37" s="59"/>
      <c r="AD37" s="59"/>
      <c r="AE37" s="59"/>
      <c r="AF37" s="59"/>
      <c r="AG37" s="59"/>
      <c r="AH37" s="59"/>
      <c r="AI37" s="59"/>
      <c r="AJ37" s="59"/>
      <c r="AK37" s="59"/>
      <c r="AL37" s="59"/>
      <c r="AM37" s="59"/>
      <c r="AN37" s="59"/>
      <c r="AO37" s="59"/>
      <c r="AP37" s="59"/>
      <c r="AQ37" s="59"/>
      <c r="AR37" s="59"/>
      <c r="AS37" s="59"/>
      <c r="AT37" s="59"/>
      <c r="AU37" s="59"/>
      <c r="AV37" s="59"/>
      <c r="AW37" s="59"/>
      <c r="AX37" s="59"/>
      <c r="AY37" s="60"/>
    </row>
    <row r="38" spans="2:51" x14ac:dyDescent="0.2">
      <c r="B38" s="384" t="s">
        <v>96</v>
      </c>
      <c r="C38" s="103">
        <v>6.1590999999999998E-3</v>
      </c>
      <c r="D38" s="103">
        <v>4.1645340000000003E-2</v>
      </c>
      <c r="E38" s="103">
        <v>3.9429850000000002E-2</v>
      </c>
      <c r="F38" s="387">
        <v>3.1775579999999998E-2</v>
      </c>
      <c r="G38" s="103">
        <f>IF(OR($C$3="EL",$C$3="CY",$C$3="IE",$C$3="PT"),VLOOKUP($C$3,$B$110:$T$114,MATCH(G$10,$B$110:$T$110,0),0),$F$38+('Input data'!$C$59-$F$38)/($O$10-$F$10)*(G10-$F$10))</f>
        <v>3.2450447777777773E-2</v>
      </c>
      <c r="H38" s="103">
        <f>IF(OR($C$3="EL",$C$3="CY",$C$3="IE",$C$3="PT"),VLOOKUP($C$3,$B$110:$T$114,MATCH(H$10,$B$110:$T$110,0),0),$F$38+('Input data'!$C$59-$F$38)/($O$10-$F$10)*(H10-$F$10))</f>
        <v>3.3125315555555555E-2</v>
      </c>
      <c r="I38" s="103">
        <f>IF(OR($C$3="EL",$C$3="CY",$C$3="IE",$C$3="PT"),VLOOKUP($C$3,$B$110:$T$114,MATCH(I$10,$B$110:$T$110,0),0),$F$38+('Input data'!$C$59-$F$38)/($O$10-$F$10)*(I10-$F$10))</f>
        <v>3.3800183333333331E-2</v>
      </c>
      <c r="J38" s="103">
        <f>IF(OR($C$3="EL",$C$3="CY",$C$3="IE",$C$3="PT"),VLOOKUP($C$3,$B$110:$T$114,MATCH(J$10,$B$110:$T$110,0),0),$F$38+('Input data'!$C$59-$F$38)/($O$10-$F$10)*(J10-$F$10))</f>
        <v>3.4475051111111106E-2</v>
      </c>
      <c r="K38" s="103">
        <f>IF(OR($C$3="EL",$C$3="CY",$C$3="IE",$C$3="PT"),VLOOKUP($C$3,$B$110:$T$114,MATCH(K$10,$B$110:$T$110,0),0),$F$38+('Input data'!$C$59-$F$38)/($O$10-$F$10)*(K10-$F$10))</f>
        <v>3.5149918888888888E-2</v>
      </c>
      <c r="L38" s="103">
        <f>IF(OR($C$3="EL",$C$3="CY",$C$3="IE",$C$3="PT"),VLOOKUP($C$3,$B$110:$T$114,MATCH(L$10,$B$110:$T$110,0),0),$F$38+('Input data'!$C$59-$F$38)/($O$10-$F$10)*(L10-$F$10))</f>
        <v>3.5824786666666664E-2</v>
      </c>
      <c r="M38" s="103">
        <f>IF(OR($C$3="EL",$C$3="CY",$C$3="IE",$C$3="PT"),VLOOKUP($C$3,$B$110:$T$114,MATCH(M$10,$B$110:$T$110,0),0),$F$38+('Input data'!$C$59-$F$38)/($O$10-$F$10)*(M10-$F$10))</f>
        <v>3.6499654444444439E-2</v>
      </c>
      <c r="N38" s="103">
        <f>IF(OR($C$3="EL",$C$3="CY",$C$3="IE",$C$3="PT"),VLOOKUP($C$3,$B$110:$T$114,MATCH(N$10,$B$110:$T$110,0),0),$F$38+('Input data'!$C$59-$F$38)/($O$10-$F$10)*(N10-$F$10))</f>
        <v>3.7174522222222221E-2</v>
      </c>
      <c r="O38" s="388">
        <f>IF(OR($C$3="EL",$C$3="CY",$C$3="IE",$C$3="PT"),VLOOKUP($C$3,$B$110:$T$114,MATCH(O$10,$B$110:$T$110,0),0),'Input data'!$C$59)</f>
        <v>3.7849389999999997E-2</v>
      </c>
      <c r="P38" s="103">
        <f>IF(OR($C$3="EL",$C$3="CY",$C$3="IE",$C$3="PT"),VLOOKUP($C$3,$B$110:$T$114,MATCH(P$10,$B$110:$T$110,0),0),'Input data'!$C$59)</f>
        <v>3.7849389999999997E-2</v>
      </c>
      <c r="Q38" s="103">
        <f>IF(OR($C$3="EL",$C$3="CY",$C$3="IE",$C$3="PT"),VLOOKUP($C$3,$B$110:$T$114,MATCH(Q$10,$B$110:$T$110,0),0),'Input data'!$C$59)</f>
        <v>3.7849389999999997E-2</v>
      </c>
      <c r="R38" s="103">
        <f>IF(OR($C$3="EL",$C$3="CY",$C$3="IE",$C$3="PT"),VLOOKUP($C$3,$B$110:$T$114,MATCH(R$10,$B$110:$T$110,0),0),'Input data'!$C$59)</f>
        <v>3.7849389999999997E-2</v>
      </c>
      <c r="S38" s="103">
        <f>IF(OR($C$3="EL",$C$3="CY",$C$3="IE",$C$3="PT"),VLOOKUP($C$3,$B$110:$T$114,MATCH(S$10,$B$110:$T$110,0),0),'Input data'!$C$59)</f>
        <v>3.7849389999999997E-2</v>
      </c>
      <c r="T38" s="103">
        <f>IF(OR($C$3="EL",$C$3="CY",$C$3="IE",$C$3="PT"),VLOOKUP($C$3,$B$110:$T$114,MATCH(T$10,$B$110:$T$110,0),0),'Input data'!$C$59)</f>
        <v>3.7849389999999997E-2</v>
      </c>
      <c r="U38" s="1">
        <f>IF(OR($C$3="EL",$C$3="CY",$C$3="IE",$C$3="PT"),VLOOKUP($C$3,$B$110:$W$114,MATCH(U$10,$B$110:$W$110,0),0),'Input data'!$C$59)</f>
        <v>3.7849389999999997E-2</v>
      </c>
      <c r="V38" s="1">
        <f>IF(OR($C$3="EL",$C$3="CY",$C$3="IE",$C$3="PT"),VLOOKUP($C$3,$B$110:$W$114,MATCH(V$10,$B$110:$W$110,0),0),'Input data'!$C$59)</f>
        <v>3.7849389999999997E-2</v>
      </c>
      <c r="W38" s="1">
        <f>IF(OR($C$3="EL",$C$3="CY",$C$3="IE",$C$3="PT"),VLOOKUP($C$3,$B$110:$W$114,MATCH(W$10,$B$110:$W$110,0),0),'Input data'!$C$59)</f>
        <v>3.7849389999999997E-2</v>
      </c>
      <c r="X38" s="59"/>
      <c r="Y38" s="59"/>
      <c r="Z38" s="59"/>
      <c r="AA38" s="59"/>
      <c r="AB38" s="59"/>
      <c r="AC38" s="59"/>
      <c r="AD38" s="59"/>
      <c r="AE38" s="59"/>
      <c r="AF38" s="59"/>
      <c r="AG38" s="59"/>
      <c r="AH38" s="59"/>
      <c r="AI38" s="59"/>
      <c r="AJ38" s="59"/>
      <c r="AK38" s="59"/>
      <c r="AL38" s="59"/>
      <c r="AM38" s="59"/>
      <c r="AN38" s="59"/>
      <c r="AO38" s="59"/>
      <c r="AP38" s="59"/>
      <c r="AQ38" s="59"/>
      <c r="AR38" s="59"/>
      <c r="AS38" s="59"/>
      <c r="AT38" s="59"/>
      <c r="AU38" s="59"/>
      <c r="AV38" s="59"/>
      <c r="AW38" s="59"/>
      <c r="AX38" s="59"/>
      <c r="AY38" s="60"/>
    </row>
    <row r="39" spans="2:51" x14ac:dyDescent="0.2">
      <c r="C39" s="1"/>
      <c r="D39" s="1"/>
      <c r="E39" s="1"/>
      <c r="F39" s="1"/>
      <c r="G39" s="1"/>
      <c r="H39" s="1"/>
      <c r="I39" s="1"/>
      <c r="J39" s="1"/>
      <c r="K39" s="1"/>
      <c r="L39" s="1"/>
      <c r="M39" s="1"/>
      <c r="N39" s="1"/>
      <c r="O39" s="1"/>
      <c r="P39" s="1"/>
      <c r="Q39" s="1"/>
      <c r="R39" s="1"/>
      <c r="S39" s="1"/>
      <c r="T39" s="1"/>
      <c r="U39" s="1"/>
      <c r="V39" s="1"/>
      <c r="W39" s="1"/>
      <c r="X39" s="59"/>
      <c r="Y39" s="59"/>
      <c r="Z39" s="59"/>
      <c r="AA39" s="59"/>
      <c r="AB39" s="59"/>
      <c r="AC39" s="59"/>
      <c r="AD39" s="59"/>
      <c r="AE39" s="59"/>
      <c r="AF39" s="59"/>
      <c r="AG39" s="59"/>
      <c r="AH39" s="59"/>
      <c r="AI39" s="59"/>
      <c r="AJ39" s="59"/>
      <c r="AK39" s="59"/>
      <c r="AL39" s="59"/>
      <c r="AM39" s="59"/>
      <c r="AN39" s="59"/>
      <c r="AO39" s="59"/>
      <c r="AP39" s="59"/>
      <c r="AQ39" s="59"/>
      <c r="AR39" s="59"/>
      <c r="AS39" s="59"/>
      <c r="AT39" s="59"/>
      <c r="AU39" s="59"/>
      <c r="AV39" s="59"/>
      <c r="AW39" s="59"/>
      <c r="AX39" s="59"/>
      <c r="AY39" s="60"/>
    </row>
    <row r="40" spans="2:51" x14ac:dyDescent="0.2">
      <c r="B40" s="28" t="s">
        <v>97</v>
      </c>
      <c r="C40" s="1"/>
      <c r="D40" s="1"/>
      <c r="E40" s="1"/>
      <c r="F40" s="1"/>
      <c r="G40" s="103"/>
      <c r="H40" s="103"/>
      <c r="I40" s="103"/>
      <c r="J40" s="103"/>
      <c r="K40" s="103"/>
      <c r="L40" s="103"/>
      <c r="M40" s="103"/>
      <c r="N40" s="1"/>
      <c r="O40" s="103"/>
      <c r="P40" s="103"/>
      <c r="Q40" s="103"/>
      <c r="R40" s="1"/>
      <c r="S40" s="1"/>
      <c r="T40" s="1"/>
      <c r="U40" s="1"/>
      <c r="V40" s="1"/>
      <c r="W40" s="1"/>
      <c r="X40" s="59"/>
      <c r="Y40" s="59"/>
      <c r="Z40" s="59"/>
      <c r="AA40" s="59"/>
      <c r="AB40" s="59"/>
      <c r="AC40" s="59"/>
      <c r="AD40" s="59"/>
      <c r="AE40" s="59"/>
      <c r="AF40" s="59"/>
      <c r="AG40" s="59"/>
      <c r="AH40" s="59"/>
      <c r="AI40" s="59"/>
      <c r="AJ40" s="59"/>
      <c r="AK40" s="59"/>
      <c r="AL40" s="59"/>
      <c r="AM40" s="59"/>
      <c r="AN40" s="59"/>
      <c r="AO40" s="59"/>
      <c r="AP40" s="59"/>
      <c r="AQ40" s="59"/>
      <c r="AR40" s="59"/>
      <c r="AS40" s="59"/>
      <c r="AT40" s="59"/>
      <c r="AU40" s="59"/>
      <c r="AV40" s="59"/>
      <c r="AW40" s="59"/>
      <c r="AX40" s="59"/>
      <c r="AY40" s="60"/>
    </row>
    <row r="41" spans="2:51" x14ac:dyDescent="0.2">
      <c r="B41" s="384" t="s">
        <v>66</v>
      </c>
      <c r="C41" s="1">
        <f>'Input data'!C42</f>
        <v>2.397958</v>
      </c>
      <c r="D41" s="1">
        <f>'Input data'!D42</f>
        <v>5.3837979999999996</v>
      </c>
      <c r="E41" s="386">
        <f>'Input data'!E42</f>
        <v>4.7975909999999997</v>
      </c>
      <c r="F41" s="386">
        <f>'Input data'!F42</f>
        <v>1.8000020000000001</v>
      </c>
      <c r="G41" s="386">
        <f>'Input data'!G42</f>
        <v>2.124962</v>
      </c>
      <c r="H41" s="386">
        <f t="shared" ref="H41:N41" si="9">$G$41+($O$41-$G$41)/($O$10-$G$10)*(H10-$G$10)</f>
        <v>2.1780917500000001</v>
      </c>
      <c r="I41" s="386">
        <f t="shared" si="9"/>
        <v>2.2312215000000002</v>
      </c>
      <c r="J41" s="386">
        <f t="shared" si="9"/>
        <v>2.2843512499999998</v>
      </c>
      <c r="K41" s="386">
        <f t="shared" si="9"/>
        <v>2.3374809999999999</v>
      </c>
      <c r="L41" s="386">
        <f t="shared" si="9"/>
        <v>2.39061075</v>
      </c>
      <c r="M41" s="386">
        <f t="shared" si="9"/>
        <v>2.4437404999999996</v>
      </c>
      <c r="N41" s="386">
        <f>$G$41+($O$41-$G$41)/($O$10-$G$10)*(N10-$G$10)</f>
        <v>2.4968702499999997</v>
      </c>
      <c r="O41" s="389">
        <f>'Input data'!$C$61</f>
        <v>2.5499999999999998</v>
      </c>
      <c r="P41" s="386">
        <f>$O$41+('Input data'!$C$62-'Input data'!$C$61)/20*(P$10-2033)</f>
        <v>2.5225</v>
      </c>
      <c r="Q41" s="386">
        <f>$O$41+('Input data'!$C$62-'Input data'!$C$61)/20*(Q$10-2033)</f>
        <v>2.4949999999999997</v>
      </c>
      <c r="R41" s="386">
        <f>$O$41+('Input data'!$C$62-'Input data'!$C$61)/20*(R$10-2033)</f>
        <v>2.4674999999999998</v>
      </c>
      <c r="S41" s="386">
        <f>$O$41+('Input data'!$C$62-'Input data'!$C$61)/20*(S$10-2033)</f>
        <v>2.44</v>
      </c>
      <c r="T41" s="386">
        <f>$O$41+('Input data'!$C$62-'Input data'!$C$61)/20*(T$10-2033)</f>
        <v>2.4124999999999996</v>
      </c>
      <c r="U41" s="1">
        <f>$O$41+('Input data'!$C$62-'Input data'!$C$61)/20*(U$10-2033)</f>
        <v>2.3849999999999998</v>
      </c>
      <c r="V41" s="1">
        <f>$O$41+('Input data'!$C$62-'Input data'!$C$61)/20*(V$10-2033)</f>
        <v>2.3574999999999999</v>
      </c>
      <c r="W41" s="1">
        <f>$O$41+('Input data'!$C$62-'Input data'!$C$61)/20*(W$10-2033)</f>
        <v>2.33</v>
      </c>
      <c r="X41" s="59"/>
      <c r="Y41" s="59"/>
      <c r="Z41" s="59"/>
      <c r="AA41" s="59"/>
      <c r="AB41" s="59"/>
      <c r="AC41" s="59"/>
      <c r="AD41" s="59"/>
      <c r="AE41" s="59"/>
      <c r="AF41" s="59"/>
      <c r="AG41" s="59"/>
      <c r="AH41" s="59"/>
      <c r="AI41" s="59"/>
      <c r="AJ41" s="59"/>
      <c r="AK41" s="59"/>
      <c r="AL41" s="59"/>
      <c r="AM41" s="59"/>
      <c r="AN41" s="59"/>
      <c r="AO41" s="59"/>
      <c r="AP41" s="59"/>
      <c r="AQ41" s="59"/>
      <c r="AR41" s="59"/>
      <c r="AS41" s="59"/>
      <c r="AT41" s="59"/>
      <c r="AU41" s="59"/>
      <c r="AV41" s="59"/>
      <c r="AW41" s="59"/>
      <c r="AX41" s="59"/>
      <c r="AY41" s="60"/>
    </row>
    <row r="42" spans="2:51" x14ac:dyDescent="0.2">
      <c r="B42" s="26" t="s">
        <v>98</v>
      </c>
      <c r="C42" s="1">
        <v>0.99918229999999997</v>
      </c>
      <c r="D42" s="1">
        <v>1.0048170000000001</v>
      </c>
      <c r="E42" s="1">
        <v>0.99943179999999998</v>
      </c>
      <c r="F42" s="1">
        <v>1.0001910000000001</v>
      </c>
      <c r="G42" s="1">
        <v>1.000102</v>
      </c>
      <c r="H42" s="1">
        <v>1</v>
      </c>
      <c r="I42" s="1">
        <v>1</v>
      </c>
      <c r="J42" s="1">
        <v>1</v>
      </c>
      <c r="K42" s="1">
        <v>1</v>
      </c>
      <c r="L42" s="1">
        <v>1</v>
      </c>
      <c r="M42" s="1">
        <v>1</v>
      </c>
      <c r="N42" s="1">
        <v>1</v>
      </c>
      <c r="O42" s="1">
        <v>1</v>
      </c>
      <c r="P42" s="1">
        <v>1</v>
      </c>
      <c r="Q42" s="1">
        <v>1</v>
      </c>
      <c r="R42" s="1">
        <v>1</v>
      </c>
      <c r="S42" s="1">
        <v>1</v>
      </c>
      <c r="T42" s="1">
        <v>1</v>
      </c>
      <c r="U42" s="1">
        <v>1</v>
      </c>
      <c r="V42" s="1">
        <v>1</v>
      </c>
      <c r="W42" s="1">
        <v>1</v>
      </c>
      <c r="X42" s="1"/>
      <c r="Y42" s="63"/>
      <c r="Z42" s="63"/>
      <c r="AA42" s="63"/>
      <c r="AB42" s="63"/>
      <c r="AC42" s="63"/>
      <c r="AD42" s="63"/>
      <c r="AE42" s="63"/>
      <c r="AF42" s="63"/>
      <c r="AG42" s="63"/>
      <c r="AH42" s="63"/>
      <c r="AI42" s="63"/>
      <c r="AJ42" s="63"/>
      <c r="AK42" s="63"/>
      <c r="AL42" s="63"/>
      <c r="AM42" s="63"/>
      <c r="AN42" s="63"/>
      <c r="AO42" s="63"/>
      <c r="AP42" s="63"/>
      <c r="AQ42" s="63"/>
      <c r="AR42" s="63"/>
      <c r="AS42" s="63"/>
      <c r="AT42" s="63"/>
      <c r="AU42" s="63"/>
      <c r="AV42" s="63"/>
      <c r="AW42" s="63"/>
      <c r="AX42" s="63"/>
      <c r="AY42" s="60"/>
    </row>
    <row r="43" spans="2:51" x14ac:dyDescent="0.2">
      <c r="C43" s="36"/>
    </row>
    <row r="44" spans="2:51" s="71" customFormat="1" ht="12.75" x14ac:dyDescent="0.2">
      <c r="B44" s="75" t="s">
        <v>99</v>
      </c>
      <c r="C44" s="76"/>
    </row>
    <row r="45" spans="2:51" x14ac:dyDescent="0.2">
      <c r="C45" s="36"/>
    </row>
    <row r="46" spans="2:51" x14ac:dyDescent="0.2">
      <c r="B46" s="391" t="s">
        <v>68</v>
      </c>
      <c r="C46" s="392">
        <f>'Input data'!C49</f>
        <v>0.75</v>
      </c>
    </row>
    <row r="47" spans="2:51" x14ac:dyDescent="0.2">
      <c r="B47" s="393" t="s">
        <v>258</v>
      </c>
      <c r="C47" s="394">
        <f>'Input data'!C50</f>
        <v>0.58199999999999996</v>
      </c>
    </row>
    <row r="48" spans="2:51" x14ac:dyDescent="0.2">
      <c r="C48" s="58"/>
    </row>
    <row r="49" spans="2:48" outlineLevel="1" x14ac:dyDescent="0.2">
      <c r="B49" s="26" t="s">
        <v>100</v>
      </c>
      <c r="C49" s="34"/>
      <c r="D49" s="34">
        <f>IF(AND(ABS((D12-C12)-('Input data'!D13-'Input data'!C13))&gt;0.0001,ABS(D12-C12)&gt;0.0001,D$10&gt;$C$5),4,IF(C49=4,3,IF(C49=3,2,IF(C49=2,1,0))))</f>
        <v>0</v>
      </c>
      <c r="E49" s="34">
        <f>IF(AND(ABS((E12-D12)-('Input data'!E13-'Input data'!D13))&gt;0.0001,ABS(E12-D12)&gt;0.0001,E$10&gt;$C$5),4,IF(D49=4,3,IF(D49=3,2,IF(D49=2,1,0))))</f>
        <v>0</v>
      </c>
      <c r="F49" s="34">
        <f>IF(AND(ABS((F12-E12)-('Input data'!F13-'Input data'!E13))&gt;0.0001,ABS(F12-E12)&gt;0.0001,F$10&gt;$C$5),4,IF(E49=4,3,IF(E49=3,2,IF(E49=2,1,0))))</f>
        <v>0</v>
      </c>
      <c r="G49" s="34">
        <f>IF(AND(ABS((G12-F12)-('Input data'!G13-'Input data'!F13))&gt;0.0001,ABS(G12-F12)&gt;0.0001,G$10&gt;$C$5),4,IF(F49=4,3,IF(F49=3,2,IF(F49=2,1,0))))</f>
        <v>0</v>
      </c>
      <c r="H49" s="34">
        <f>IF(AND(ABS((H12-G12)-('Input data'!H13-'Input data'!G13))&gt;0.0001,ABS(H12-G12)&gt;0.0001,H$10&gt;$C$5),4,IF(G49=4,3,IF(G49=3,2,IF(G49=2,1,0))))</f>
        <v>0</v>
      </c>
      <c r="I49" s="34">
        <f>IF(AND(ABS((I12-H12)-('Input data'!I13-'Input data'!H13))&gt;0.0001,ABS(I12-H12)&gt;0.0001,I$10&gt;$C$5),4,IF(H49=4,3,IF(H49=3,2,IF(H49=2,1,0))))</f>
        <v>0</v>
      </c>
      <c r="J49" s="34">
        <f>IF(AND(ABS((J12-I12)-('Input data'!J13-'Input data'!I13))&gt;0.0001,ABS(J12-I12)&gt;0.0001,J$10&gt;$C$5),4,IF(I49=4,3,IF(I49=3,2,IF(I49=2,1,0))))</f>
        <v>0</v>
      </c>
      <c r="K49" s="34">
        <f>IF(AND(ABS((K12-J12)-('Input data'!K13-'Input data'!J13))&gt;0.0001,ABS(K12-J12)&gt;0.0001,K$10&gt;$C$5),4,IF(J49=4,3,IF(J49=3,2,IF(J49=2,1,0))))</f>
        <v>0</v>
      </c>
      <c r="L49" s="34">
        <f>IF(AND(ABS((L12-K12)-('Input data'!L13-'Input data'!K13))&gt;0.0001,ABS(L12-K12)&gt;0.0001,L$10&gt;$C$5),4,IF(K49=4,3,IF(K49=3,2,IF(K49=2,1,0))))</f>
        <v>0</v>
      </c>
      <c r="M49" s="34">
        <f>IF(AND(ABS((M12-L12)-('Input data'!M13-'Input data'!L13))&gt;0.0001,ABS(M12-L12)&gt;0.0001,M$10&gt;$C$5),4,IF(L49=4,3,IF(L49=3,2,IF(L49=2,1,0))))</f>
        <v>0</v>
      </c>
      <c r="N49" s="34">
        <f>IF(AND(ABS((N12-M12)-('Input data'!N13-'Input data'!M13))&gt;0.0001,ABS(N12-M12)&gt;0.0001,N$10&gt;$C$5),4,IF(M49=4,3,IF(M49=3,2,IF(M49=2,1,0))))</f>
        <v>0</v>
      </c>
      <c r="O49" s="34">
        <f>IF(AND(ABS((O12-N12)-('Input data'!O13-'Input data'!N13))&gt;0.0001,ABS(O12-N12)&gt;0.0001,O$10&gt;$C$5),4,IF(N49=4,3,IF(N49=3,2,IF(N49=2,1,0))))</f>
        <v>0</v>
      </c>
      <c r="P49" s="34">
        <f>IF(AND(ABS((P12-O12)-('Input data'!P13-'Input data'!O13))&gt;0.0001,ABS(P12-O12)&gt;0.0001,P$10&gt;$C$5),4,IF(O49=4,3,IF(O49=3,2,IF(O49=2,1,0))))</f>
        <v>0</v>
      </c>
      <c r="Q49" s="34">
        <f>IF(AND(ABS((Q12-P12)-('Input data'!Q13-'Input data'!P13))&gt;0.0001,ABS(Q12-P12)&gt;0.0001,Q$10&gt;$C$5),4,IF(P49=4,3,IF(P49=3,2,IF(P49=2,1,0))))</f>
        <v>0</v>
      </c>
      <c r="R49" s="34">
        <f>IF(AND(ABS((R12-Q12)-('Input data'!R13-'Input data'!Q13))&gt;0.0001,ABS(R12-Q12)&gt;0.0001,R$10&gt;$C$5),4,IF(Q49=4,3,IF(Q49=3,2,IF(Q49=2,1,0))))</f>
        <v>0</v>
      </c>
      <c r="S49" s="34">
        <f>IF(AND(ABS((S12-R12)-('Input data'!S13-'Input data'!R13))&gt;0.0001,ABS(S12-R12)&gt;0.0001,S$10&gt;$C$5),4,IF(R49=4,3,IF(R49=3,2,IF(R49=2,1,0))))</f>
        <v>0</v>
      </c>
      <c r="T49" s="34">
        <f>IF(AND(ABS((T12-S12)-('Input data'!T13-'Input data'!S13))&gt;0.0001,ABS(T12-S12)&gt;0.0001,T$10&gt;$C$5),4,IF(S49=4,3,IF(S49=3,2,IF(S49=2,1,0))))</f>
        <v>0</v>
      </c>
      <c r="U49" s="34">
        <f>IF(AND(ABS((U12-T12)-('Input data'!U13-'Input data'!T13))&gt;0.0001,ABS(U12-T12)&gt;0.0001,U$10&gt;$C$5),4,IF(T49=4,3,IF(T49=3,2,IF(T49=2,1,0))))</f>
        <v>0</v>
      </c>
      <c r="V49" s="34">
        <f>IF(AND(ABS((V12-U12)-('Input data'!V13-'Input data'!U13))&gt;0.0001,ABS(V12-U12)&gt;0.0001,V$10&gt;$C$5),4,IF(U49=4,3,IF(U49=3,2,IF(U49=2,1,0))))</f>
        <v>0</v>
      </c>
      <c r="W49" s="34">
        <f>IF(AND(ABS((W12-V12)-('Input data'!W13-'Input data'!V13))&gt;0.0001,ABS(W12-V12)&gt;0.0001,W$10&gt;$C$5),4,IF(V49=4,3,IF(V49=3,2,IF(V49=2,1,0))))</f>
        <v>0</v>
      </c>
      <c r="X49" s="34"/>
      <c r="Y49" s="34"/>
      <c r="Z49" s="34"/>
      <c r="AA49" s="34"/>
      <c r="AB49" s="34"/>
      <c r="AC49" s="34"/>
      <c r="AD49" s="34"/>
      <c r="AE49" s="34"/>
      <c r="AF49" s="34"/>
      <c r="AG49" s="34"/>
      <c r="AH49" s="34"/>
      <c r="AI49" s="34"/>
      <c r="AJ49" s="34"/>
      <c r="AK49" s="34"/>
      <c r="AL49" s="34"/>
      <c r="AM49" s="34"/>
      <c r="AN49" s="34"/>
      <c r="AO49" s="34"/>
      <c r="AP49" s="34"/>
      <c r="AQ49" s="34"/>
      <c r="AR49" s="34"/>
      <c r="AS49" s="34"/>
      <c r="AT49" s="34"/>
      <c r="AU49" s="34"/>
      <c r="AV49" s="34"/>
    </row>
    <row r="50" spans="2:48" outlineLevel="1" x14ac:dyDescent="0.2">
      <c r="B50" s="26" t="s">
        <v>101</v>
      </c>
      <c r="C50" s="34"/>
      <c r="D50" s="34">
        <f t="shared" ref="D50:W50" si="10">IF(C49=4,2/3*C29,IF(C49=3,1/3*B29,0))</f>
        <v>0</v>
      </c>
      <c r="E50" s="34">
        <f t="shared" si="10"/>
        <v>0</v>
      </c>
      <c r="F50" s="34">
        <f t="shared" si="10"/>
        <v>0</v>
      </c>
      <c r="G50" s="34">
        <f t="shared" si="10"/>
        <v>0</v>
      </c>
      <c r="H50" s="34">
        <f t="shared" si="10"/>
        <v>0</v>
      </c>
      <c r="I50" s="34">
        <f t="shared" si="10"/>
        <v>0</v>
      </c>
      <c r="J50" s="34">
        <f t="shared" si="10"/>
        <v>0</v>
      </c>
      <c r="K50" s="34">
        <f t="shared" si="10"/>
        <v>0</v>
      </c>
      <c r="L50" s="34">
        <f t="shared" si="10"/>
        <v>0</v>
      </c>
      <c r="M50" s="34">
        <f t="shared" si="10"/>
        <v>0</v>
      </c>
      <c r="N50" s="34">
        <f t="shared" si="10"/>
        <v>0</v>
      </c>
      <c r="O50" s="34">
        <f t="shared" si="10"/>
        <v>0</v>
      </c>
      <c r="P50" s="34">
        <f t="shared" si="10"/>
        <v>0</v>
      </c>
      <c r="Q50" s="34">
        <f t="shared" si="10"/>
        <v>0</v>
      </c>
      <c r="R50" s="34">
        <f t="shared" si="10"/>
        <v>0</v>
      </c>
      <c r="S50" s="34">
        <f t="shared" si="10"/>
        <v>0</v>
      </c>
      <c r="T50" s="34">
        <f t="shared" si="10"/>
        <v>0</v>
      </c>
      <c r="U50" s="34">
        <f t="shared" si="10"/>
        <v>0</v>
      </c>
      <c r="V50" s="34">
        <f t="shared" si="10"/>
        <v>0</v>
      </c>
      <c r="W50" s="34">
        <f t="shared" si="10"/>
        <v>0</v>
      </c>
      <c r="X50" s="34"/>
      <c r="Y50" s="34"/>
      <c r="Z50" s="34"/>
      <c r="AA50" s="34"/>
      <c r="AB50" s="34"/>
      <c r="AC50" s="34"/>
      <c r="AD50" s="34"/>
      <c r="AE50" s="34"/>
      <c r="AF50" s="34"/>
      <c r="AG50" s="34"/>
      <c r="AH50" s="34"/>
      <c r="AI50" s="34"/>
      <c r="AJ50" s="34"/>
      <c r="AK50" s="34"/>
      <c r="AL50" s="34"/>
      <c r="AM50" s="34"/>
      <c r="AN50" s="34"/>
      <c r="AO50" s="34"/>
      <c r="AP50" s="34"/>
      <c r="AQ50" s="34"/>
      <c r="AR50" s="34"/>
      <c r="AS50" s="34"/>
      <c r="AT50" s="34"/>
      <c r="AU50" s="34"/>
      <c r="AV50" s="34"/>
    </row>
    <row r="51" spans="2:48" outlineLevel="1" x14ac:dyDescent="0.2">
      <c r="B51" s="26" t="s">
        <v>102</v>
      </c>
      <c r="C51" s="34"/>
      <c r="D51" s="34">
        <f>'Input data'!D30-$C$46*((D12-C12)-('Input data'!D13-'Input data'!C13))</f>
        <v>1.335467</v>
      </c>
      <c r="E51" s="34">
        <f>'Input data'!E30-$C$46*((E12-D12)-('Input data'!E13-'Input data'!D13))</f>
        <v>-1.0353760000000001</v>
      </c>
      <c r="F51" s="34">
        <f>'Input data'!F30-$C$46*((F12-E12)-('Input data'!F13-'Input data'!E13))</f>
        <v>3.9589600000000003E-2</v>
      </c>
      <c r="G51" s="34">
        <f>'Input data'!G30-$C$46*((G12-F12)-('Input data'!G13-'Input data'!F13))</f>
        <v>2.0556124750000002</v>
      </c>
      <c r="H51" s="34">
        <f>'Input data'!H30-$C$46*((H12-G12))</f>
        <v>1.3102849999999999</v>
      </c>
      <c r="I51" s="34">
        <f>'Input data'!I30-$C$46*((I12-H12))</f>
        <v>1.414615</v>
      </c>
      <c r="J51" s="34">
        <f>'Input data'!J30-$C$46*((J12-I12))</f>
        <v>1.0487979999999999</v>
      </c>
      <c r="K51" s="34">
        <f>'Input data'!K30-$C$46*((K12-J12))</f>
        <v>0.58138120000000004</v>
      </c>
      <c r="L51" s="34">
        <f>'Input data'!L30-$C$46*((L12-K12))</f>
        <v>0.55843980000000004</v>
      </c>
      <c r="M51" s="34">
        <f>'Input data'!M30-$C$46*((M12-L12))</f>
        <v>0.58565610000000001</v>
      </c>
      <c r="N51" s="34">
        <f>'Input data'!N30-$C$46*((N12-M12))</f>
        <v>0.65826850000000003</v>
      </c>
      <c r="O51" s="34">
        <f>'Input data'!O30-$C$46*((O12-N12))</f>
        <v>0.68445089999999997</v>
      </c>
      <c r="P51" s="34">
        <f>'Input data'!P30-$C$46*((P12-O12))</f>
        <v>0.88988429999999996</v>
      </c>
      <c r="Q51" s="34">
        <f>'Input data'!Q30-$C$46*((Q12-P12))</f>
        <v>1.09531</v>
      </c>
      <c r="R51" s="34">
        <f>'Input data'!R30-$C$46*((R12-Q12))</f>
        <v>1.3007420000000001</v>
      </c>
      <c r="S51" s="34">
        <f>'Input data'!S30-$C$46*((S12-R12))</f>
        <v>1.375005</v>
      </c>
      <c r="T51" s="34">
        <f>'Input data'!T30-$C$46*((T12-S12))</f>
        <v>1.4239539999999999</v>
      </c>
      <c r="U51" s="34">
        <f>'Input data'!U30-$C$46*((U12-T12))</f>
        <v>1.4860420000000001</v>
      </c>
      <c r="V51" s="34">
        <f>'Input data'!V30-$C$46*((V12-U12))</f>
        <v>1.5330820000000001</v>
      </c>
      <c r="W51" s="34">
        <f>'Input data'!W30-$C$46*((W12-V12))</f>
        <v>1.4883029999999999</v>
      </c>
      <c r="X51" s="34"/>
      <c r="Y51" s="34"/>
      <c r="Z51" s="34"/>
      <c r="AA51" s="34"/>
      <c r="AB51" s="34"/>
      <c r="AC51" s="34"/>
      <c r="AD51" s="34"/>
      <c r="AE51" s="34"/>
      <c r="AF51" s="34"/>
      <c r="AG51" s="34"/>
      <c r="AH51" s="34"/>
      <c r="AI51" s="34"/>
      <c r="AJ51" s="34"/>
      <c r="AK51" s="34"/>
      <c r="AL51" s="34"/>
      <c r="AM51" s="34"/>
      <c r="AN51" s="34"/>
      <c r="AO51" s="34"/>
      <c r="AP51" s="34"/>
      <c r="AQ51" s="34"/>
      <c r="AR51" s="34"/>
      <c r="AS51" s="34"/>
      <c r="AT51" s="34"/>
      <c r="AU51" s="34"/>
      <c r="AV51" s="34"/>
    </row>
    <row r="52" spans="2:48" x14ac:dyDescent="0.2">
      <c r="C52" s="36"/>
    </row>
    <row r="53" spans="2:48" s="71" customFormat="1" ht="12.75" outlineLevel="1" x14ac:dyDescent="0.2">
      <c r="B53" s="72" t="s">
        <v>103</v>
      </c>
      <c r="C53" s="73"/>
      <c r="E53" s="74"/>
      <c r="F53" s="73"/>
    </row>
    <row r="54" spans="2:48" outlineLevel="1" x14ac:dyDescent="0.2">
      <c r="B54" s="43"/>
      <c r="C54" s="29"/>
      <c r="E54" s="44"/>
      <c r="F54" s="29"/>
    </row>
    <row r="55" spans="2:48" outlineLevel="1" x14ac:dyDescent="0.2">
      <c r="B55" s="85"/>
      <c r="C55" s="86">
        <v>2021</v>
      </c>
      <c r="D55" s="86">
        <v>2022</v>
      </c>
      <c r="E55" s="86">
        <v>2023</v>
      </c>
      <c r="F55" s="86">
        <v>2024</v>
      </c>
      <c r="G55" s="86">
        <v>2025</v>
      </c>
      <c r="H55" s="86">
        <v>2026</v>
      </c>
      <c r="I55" s="86">
        <v>2027</v>
      </c>
      <c r="J55" s="86">
        <v>2028</v>
      </c>
      <c r="K55" s="86">
        <v>2029</v>
      </c>
      <c r="L55" s="86">
        <v>2030</v>
      </c>
      <c r="M55" s="86">
        <v>2031</v>
      </c>
      <c r="N55" s="86">
        <v>2032</v>
      </c>
      <c r="O55" s="86">
        <v>2033</v>
      </c>
      <c r="P55" s="86">
        <v>2034</v>
      </c>
      <c r="Q55" s="86">
        <v>2035</v>
      </c>
      <c r="R55" s="86">
        <v>2036</v>
      </c>
      <c r="S55" s="86">
        <v>2037</v>
      </c>
      <c r="T55" s="86">
        <v>2038</v>
      </c>
      <c r="U55" s="86">
        <v>2039</v>
      </c>
      <c r="V55" s="86">
        <v>2040</v>
      </c>
      <c r="W55" s="86">
        <v>2041</v>
      </c>
    </row>
    <row r="56" spans="2:48" ht="10.5" customHeight="1" outlineLevel="1" x14ac:dyDescent="0.2">
      <c r="B56" s="87" t="s">
        <v>104</v>
      </c>
      <c r="C56" s="45">
        <f>+'Input data'!C12</f>
        <v>72.584819999999993</v>
      </c>
      <c r="D56" s="45">
        <f>+C56+D57</f>
        <v>73.511610584961744</v>
      </c>
      <c r="E56" s="45">
        <v>76.63</v>
      </c>
      <c r="F56" s="410">
        <v>81.66850402875248</v>
      </c>
      <c r="G56" s="45">
        <f>+F56+G57</f>
        <v>83.703874634914953</v>
      </c>
      <c r="H56" s="45">
        <f t="shared" ref="H56:T56" si="11">+G56+H57</f>
        <v>85.833782946456154</v>
      </c>
      <c r="I56" s="45">
        <f t="shared" si="11"/>
        <v>87.651529218535416</v>
      </c>
      <c r="J56" s="45">
        <f t="shared" si="11"/>
        <v>89.751915697117241</v>
      </c>
      <c r="K56" s="45">
        <f t="shared" si="11"/>
        <v>92.503659928560182</v>
      </c>
      <c r="L56" s="45">
        <f t="shared" si="11"/>
        <v>95.517579324702609</v>
      </c>
      <c r="M56" s="45">
        <f t="shared" si="11"/>
        <v>98.734628335522899</v>
      </c>
      <c r="N56" s="45">
        <f t="shared" si="11"/>
        <v>102.06371940363989</v>
      </c>
      <c r="O56" s="45">
        <f t="shared" si="11"/>
        <v>105.33563090814532</v>
      </c>
      <c r="P56" s="45">
        <f t="shared" si="11"/>
        <v>108.32537321129342</v>
      </c>
      <c r="Q56" s="45">
        <f t="shared" si="11"/>
        <v>110.90094794186102</v>
      </c>
      <c r="R56" s="45">
        <f>+Q56+R57</f>
        <v>112.92464733336413</v>
      </c>
      <c r="S56" s="45">
        <f t="shared" si="11"/>
        <v>114.47578330611367</v>
      </c>
      <c r="T56" s="45">
        <f t="shared" si="11"/>
        <v>115.53910397932074</v>
      </c>
      <c r="U56" s="45">
        <f>+T56+U57</f>
        <v>116.0508504183473</v>
      </c>
      <c r="V56" s="45">
        <f>+U56+V57</f>
        <v>116.00275359010053</v>
      </c>
      <c r="W56" s="45">
        <f>+V56+W57</f>
        <v>115.54151292377406</v>
      </c>
      <c r="X56" s="38"/>
      <c r="Y56" s="38"/>
      <c r="Z56" s="38"/>
      <c r="AA56" s="38"/>
      <c r="AB56" s="38"/>
      <c r="AC56" s="38"/>
      <c r="AD56" s="38"/>
      <c r="AE56" s="38"/>
      <c r="AF56" s="38"/>
      <c r="AG56" s="38"/>
      <c r="AH56" s="38"/>
      <c r="AI56" s="38"/>
      <c r="AJ56" s="38"/>
      <c r="AK56" s="38"/>
      <c r="AL56" s="38"/>
      <c r="AM56" s="38"/>
      <c r="AN56" s="38"/>
      <c r="AO56" s="38"/>
      <c r="AP56" s="38"/>
      <c r="AQ56" s="38"/>
      <c r="AR56" s="38"/>
      <c r="AS56" s="38"/>
      <c r="AT56" s="38"/>
      <c r="AU56" s="38"/>
      <c r="AV56" s="38"/>
    </row>
    <row r="57" spans="2:48" outlineLevel="1" x14ac:dyDescent="0.2">
      <c r="B57" s="88" t="s">
        <v>105</v>
      </c>
      <c r="C57" s="47"/>
      <c r="D57" s="47">
        <f>-D58+D66+D71</f>
        <v>0.92679058496175504</v>
      </c>
      <c r="E57" s="47">
        <f t="shared" ref="E57:T57" si="12">-E58+E66+E71</f>
        <v>2.3191055941405705</v>
      </c>
      <c r="F57" s="47">
        <f>-F58+F66+F71</f>
        <v>4.8262338278202694</v>
      </c>
      <c r="G57" s="47">
        <f>-G58+G66+G71</f>
        <v>2.0353706061624743</v>
      </c>
      <c r="H57" s="47">
        <f t="shared" si="12"/>
        <v>2.129908311541195</v>
      </c>
      <c r="I57" s="47">
        <f t="shared" si="12"/>
        <v>1.8177462720792552</v>
      </c>
      <c r="J57" s="47">
        <f t="shared" si="12"/>
        <v>2.1003864785818265</v>
      </c>
      <c r="K57" s="47">
        <f t="shared" si="12"/>
        <v>2.751744231442939</v>
      </c>
      <c r="L57" s="47">
        <f t="shared" si="12"/>
        <v>3.0139193961424313</v>
      </c>
      <c r="M57" s="47">
        <f t="shared" si="12"/>
        <v>3.2170490108202938</v>
      </c>
      <c r="N57" s="47">
        <f t="shared" si="12"/>
        <v>3.3290910681169921</v>
      </c>
      <c r="O57" s="47">
        <f t="shared" si="12"/>
        <v>3.2719115045054248</v>
      </c>
      <c r="P57" s="47">
        <f t="shared" si="12"/>
        <v>2.9897423031481036</v>
      </c>
      <c r="Q57" s="47">
        <f t="shared" si="12"/>
        <v>2.5755747305676007</v>
      </c>
      <c r="R57" s="47">
        <f>-R58+R66+R71</f>
        <v>2.0236993915031123</v>
      </c>
      <c r="S57" s="47">
        <f t="shared" si="12"/>
        <v>1.5511359727495369</v>
      </c>
      <c r="T57" s="47">
        <f t="shared" si="12"/>
        <v>1.0633206732070708</v>
      </c>
      <c r="U57" s="47">
        <f>-U58+U66+U71</f>
        <v>0.51174643902655415</v>
      </c>
      <c r="V57" s="47">
        <f>-V58+V66+V71</f>
        <v>-4.8096828246774193E-2</v>
      </c>
      <c r="W57" s="47">
        <f>-W58+W66+W71</f>
        <v>-0.46124066632646249</v>
      </c>
    </row>
    <row r="58" spans="2:48" outlineLevel="1" x14ac:dyDescent="0.2">
      <c r="B58" s="397" t="s">
        <v>106</v>
      </c>
      <c r="C58" s="48"/>
      <c r="D58" s="48">
        <f>D59+D60-D61-D62-D63-D64-D65</f>
        <v>0.20695241503824502</v>
      </c>
      <c r="E58" s="398">
        <f>E59+E60-E61-E62-E63-E64-E65</f>
        <v>-1.5524595941405703</v>
      </c>
      <c r="F58" s="398">
        <f>F59+F60-F61-F62-F63-F64-F65</f>
        <v>-2.3427150285849327</v>
      </c>
      <c r="G58" s="48">
        <f t="shared" ref="G58:T58" si="13">G59+G60-G61-G62-G63-G64-G65</f>
        <v>-1.8823903803375193</v>
      </c>
      <c r="H58" s="48">
        <f t="shared" si="13"/>
        <v>-1.6624349859651244</v>
      </c>
      <c r="I58" s="48">
        <f t="shared" si="13"/>
        <v>-1.4248442463626305</v>
      </c>
      <c r="J58" s="48">
        <f t="shared" si="13"/>
        <v>-1.4511319532028628</v>
      </c>
      <c r="K58" s="48">
        <f t="shared" si="13"/>
        <v>-1.7586701413618315</v>
      </c>
      <c r="L58" s="48">
        <f t="shared" si="13"/>
        <v>-2.0378907579154051</v>
      </c>
      <c r="M58" s="48">
        <f t="shared" si="13"/>
        <v>-2.2842468002557368</v>
      </c>
      <c r="N58" s="48">
        <f t="shared" si="13"/>
        <v>-2.4673407403015384</v>
      </c>
      <c r="O58" s="48">
        <f t="shared" si="13"/>
        <v>-2.5977746029753126</v>
      </c>
      <c r="P58" s="48">
        <f t="shared" si="13"/>
        <v>-2.6134466393355482</v>
      </c>
      <c r="Q58" s="48">
        <f t="shared" si="13"/>
        <v>-2.5057900877734709</v>
      </c>
      <c r="R58" s="48">
        <f t="shared" si="13"/>
        <v>-2.2670383842213258</v>
      </c>
      <c r="S58" s="48">
        <f t="shared" si="13"/>
        <v>-1.9668976899274599</v>
      </c>
      <c r="T58" s="48">
        <f t="shared" si="13"/>
        <v>-1.6223244439234834</v>
      </c>
      <c r="U58" s="48">
        <f>U59+U60-U61-U62-U63-U64-U65</f>
        <v>-1.2269962873920135</v>
      </c>
      <c r="V58" s="48">
        <f>V59+V60-V61-V62-V63-V64-V65</f>
        <v>-0.80418960645119697</v>
      </c>
      <c r="W58" s="48">
        <f>W59+W60-W61-W62-W63-W64-W65</f>
        <v>-0.42174943179605551</v>
      </c>
    </row>
    <row r="59" spans="2:48" outlineLevel="1" x14ac:dyDescent="0.2">
      <c r="B59" s="79" t="s">
        <v>107</v>
      </c>
      <c r="C59" s="1"/>
      <c r="D59" s="1">
        <f>D12</f>
        <v>0.29205680000000001</v>
      </c>
      <c r="E59" s="1">
        <f>E12</f>
        <v>-0.2445959</v>
      </c>
      <c r="F59" s="1">
        <f>F12</f>
        <v>-0.53010330000000006</v>
      </c>
      <c r="G59" s="1">
        <f t="shared" ref="G59:W59" si="14">IF(G12="",F59,G12)</f>
        <v>-0.53010330000000006</v>
      </c>
      <c r="H59" s="1">
        <f>IF(H12="",G59,H12)</f>
        <v>-0.53010330000000006</v>
      </c>
      <c r="I59" s="1">
        <f t="shared" si="14"/>
        <v>-0.53010330000000006</v>
      </c>
      <c r="J59" s="1">
        <f t="shared" si="14"/>
        <v>-0.53010330000000006</v>
      </c>
      <c r="K59" s="1">
        <f t="shared" si="14"/>
        <v>-0.53010330000000006</v>
      </c>
      <c r="L59" s="1">
        <f t="shared" si="14"/>
        <v>-0.53010330000000006</v>
      </c>
      <c r="M59" s="1">
        <f t="shared" si="14"/>
        <v>-0.53010330000000006</v>
      </c>
      <c r="N59" s="1">
        <f t="shared" si="14"/>
        <v>-0.53010330000000006</v>
      </c>
      <c r="O59" s="1">
        <f t="shared" si="14"/>
        <v>-0.53010330000000006</v>
      </c>
      <c r="P59" s="1">
        <f t="shared" si="14"/>
        <v>-0.53010330000000006</v>
      </c>
      <c r="Q59" s="1">
        <f t="shared" si="14"/>
        <v>-0.53010330000000006</v>
      </c>
      <c r="R59" s="1">
        <f t="shared" si="14"/>
        <v>-0.53010330000000006</v>
      </c>
      <c r="S59" s="1">
        <f t="shared" si="14"/>
        <v>-0.53010330000000006</v>
      </c>
      <c r="T59" s="1">
        <f t="shared" si="14"/>
        <v>-0.53010330000000006</v>
      </c>
      <c r="U59" s="1">
        <f t="shared" si="14"/>
        <v>-0.53010330000000006</v>
      </c>
      <c r="V59" s="1">
        <f t="shared" si="14"/>
        <v>-0.53010330000000006</v>
      </c>
      <c r="W59" s="1">
        <f t="shared" si="14"/>
        <v>-0.53010330000000006</v>
      </c>
    </row>
    <row r="60" spans="2:48" outlineLevel="1" x14ac:dyDescent="0.2">
      <c r="B60" s="79" t="s">
        <v>108</v>
      </c>
      <c r="C60" s="1"/>
      <c r="D60" s="1">
        <v>0</v>
      </c>
      <c r="E60" s="1">
        <v>0</v>
      </c>
      <c r="F60" s="1">
        <v>0</v>
      </c>
      <c r="G60" s="1">
        <v>0</v>
      </c>
      <c r="H60" s="1">
        <v>0</v>
      </c>
      <c r="I60" s="1">
        <v>0</v>
      </c>
      <c r="J60" s="1">
        <v>0</v>
      </c>
      <c r="K60" s="1">
        <v>0</v>
      </c>
      <c r="L60" s="1">
        <v>0</v>
      </c>
      <c r="M60" s="1">
        <v>0</v>
      </c>
      <c r="N60" s="1">
        <v>0</v>
      </c>
      <c r="O60" s="1">
        <v>0</v>
      </c>
      <c r="P60" s="1">
        <v>0</v>
      </c>
      <c r="Q60" s="1">
        <v>0</v>
      </c>
      <c r="R60" s="1">
        <v>0</v>
      </c>
      <c r="S60" s="1">
        <v>0</v>
      </c>
      <c r="T60" s="1">
        <v>0</v>
      </c>
      <c r="U60" s="1">
        <v>0</v>
      </c>
      <c r="V60" s="1">
        <v>0</v>
      </c>
      <c r="W60" s="1">
        <v>0</v>
      </c>
    </row>
    <row r="61" spans="2:48" outlineLevel="1" x14ac:dyDescent="0.2">
      <c r="B61" s="79" t="s">
        <v>109</v>
      </c>
      <c r="C61" s="1"/>
      <c r="D61" s="1">
        <f t="shared" ref="D61:W61" si="15">-$C$47*D29</f>
        <v>8.5104384961754986E-2</v>
      </c>
      <c r="E61" s="1">
        <f t="shared" si="15"/>
        <v>1.3078636941405704</v>
      </c>
      <c r="F61" s="1">
        <f t="shared" si="15"/>
        <v>1.8126117285849326</v>
      </c>
      <c r="G61" s="1">
        <f t="shared" si="15"/>
        <v>1.4087370803375203</v>
      </c>
      <c r="H61" s="1">
        <f>-$C$47*H29</f>
        <v>1.1976316859651277</v>
      </c>
      <c r="I61" s="1">
        <f t="shared" si="15"/>
        <v>0.92682194636263338</v>
      </c>
      <c r="J61" s="1">
        <f>-$C$47*J29</f>
        <v>0.86229965320286051</v>
      </c>
      <c r="K61" s="1">
        <f t="shared" si="15"/>
        <v>1.0632278413618321</v>
      </c>
      <c r="L61" s="1">
        <f t="shared" si="15"/>
        <v>1.2764384579154064</v>
      </c>
      <c r="M61" s="1">
        <f t="shared" si="15"/>
        <v>1.4735045002557352</v>
      </c>
      <c r="N61" s="1">
        <f t="shared" si="15"/>
        <v>1.6290794403015374</v>
      </c>
      <c r="O61" s="1">
        <f t="shared" si="15"/>
        <v>1.7695533029753148</v>
      </c>
      <c r="P61" s="1">
        <f t="shared" si="15"/>
        <v>1.7948253393355489</v>
      </c>
      <c r="Q61" s="1">
        <f t="shared" si="15"/>
        <v>1.7052887877734739</v>
      </c>
      <c r="R61" s="1">
        <f t="shared" si="15"/>
        <v>1.5006270842213236</v>
      </c>
      <c r="S61" s="1">
        <f t="shared" si="15"/>
        <v>1.2535073899274578</v>
      </c>
      <c r="T61" s="1">
        <f t="shared" si="15"/>
        <v>0.97769414392348175</v>
      </c>
      <c r="U61" s="1">
        <f t="shared" si="15"/>
        <v>0.66534598739201056</v>
      </c>
      <c r="V61" s="1">
        <f t="shared" si="15"/>
        <v>0.3244793064511966</v>
      </c>
      <c r="W61" s="1">
        <f t="shared" si="15"/>
        <v>7.269131796054395E-3</v>
      </c>
    </row>
    <row r="62" spans="2:48" outlineLevel="1" x14ac:dyDescent="0.2">
      <c r="B62" s="79" t="s">
        <v>110</v>
      </c>
      <c r="C62" s="1"/>
      <c r="D62" s="1">
        <f t="shared" ref="D62:W62" si="16">-D13</f>
        <v>0</v>
      </c>
      <c r="E62" s="1">
        <f t="shared" si="16"/>
        <v>0</v>
      </c>
      <c r="F62" s="1">
        <f t="shared" si="16"/>
        <v>0</v>
      </c>
      <c r="G62" s="1">
        <f t="shared" si="16"/>
        <v>0</v>
      </c>
      <c r="H62" s="1">
        <f>-H13</f>
        <v>0</v>
      </c>
      <c r="I62" s="1">
        <f t="shared" si="16"/>
        <v>0</v>
      </c>
      <c r="J62" s="1">
        <f t="shared" si="16"/>
        <v>0</v>
      </c>
      <c r="K62" s="1">
        <f t="shared" si="16"/>
        <v>0</v>
      </c>
      <c r="L62" s="1">
        <f t="shared" si="16"/>
        <v>0</v>
      </c>
      <c r="M62" s="1">
        <f t="shared" si="16"/>
        <v>0</v>
      </c>
      <c r="N62" s="1">
        <f t="shared" si="16"/>
        <v>0</v>
      </c>
      <c r="O62" s="1">
        <f t="shared" si="16"/>
        <v>0</v>
      </c>
      <c r="P62" s="1">
        <f t="shared" si="16"/>
        <v>0</v>
      </c>
      <c r="Q62" s="1">
        <f t="shared" si="16"/>
        <v>0</v>
      </c>
      <c r="R62" s="1">
        <f t="shared" si="16"/>
        <v>0</v>
      </c>
      <c r="S62" s="1">
        <f t="shared" si="16"/>
        <v>0</v>
      </c>
      <c r="T62" s="1">
        <f t="shared" si="16"/>
        <v>0</v>
      </c>
      <c r="U62" s="1">
        <f t="shared" si="16"/>
        <v>0</v>
      </c>
      <c r="V62" s="1">
        <f t="shared" si="16"/>
        <v>0</v>
      </c>
      <c r="W62" s="1">
        <f t="shared" si="16"/>
        <v>0</v>
      </c>
    </row>
    <row r="63" spans="2:48" outlineLevel="1" x14ac:dyDescent="0.2">
      <c r="B63" s="79" t="s">
        <v>111</v>
      </c>
      <c r="C63" s="1"/>
      <c r="D63" s="1">
        <f>IF(D$55&lt;=$C$5,0,HLOOKUP(D$55,'Input data'!$C$9:$BB$26,12,FALSE)-HLOOKUP($C$5,'Input data'!$C$9:$BB$26,12,FALSE))</f>
        <v>0</v>
      </c>
      <c r="E63" s="1">
        <f>IF(E$55&lt;=$C$5,0,HLOOKUP(E$55,'Input data'!$C$9:$BB$26,12,FALSE)-HLOOKUP($C$5,'Input data'!$C$9:$BB$26,12,FALSE))</f>
        <v>0</v>
      </c>
      <c r="F63" s="1">
        <f>IF(F$55&lt;=$C$5,0,HLOOKUP(F$55,'Input data'!$C$9:$BB$26,12,FALSE)-HLOOKUP($C$5,'Input data'!$C$9:$BB$26,12,FALSE))</f>
        <v>0</v>
      </c>
      <c r="G63" s="1">
        <f>IF(G$55&lt;=$C$5,0,HLOOKUP(G$55,'Input data'!$C$9:$BB$26,12,FALSE)-HLOOKUP($C$5,'Input data'!$C$9:$BB$26,12,FALSE))</f>
        <v>-4.9800000000001177E-2</v>
      </c>
      <c r="H63" s="1">
        <f>IF(H$55&lt;=$C$5,0,HLOOKUP(H$55,'Input data'!$C$9:$BB$26,12,FALSE)-HLOOKUP($C$5,'Input data'!$C$9:$BB$26,12,FALSE))</f>
        <v>-5.2000000000003155E-2</v>
      </c>
      <c r="I63" s="1">
        <f>IF(I$55&lt;=$C$5,0,HLOOKUP(I$55,'Input data'!$C$9:$BB$26,12,FALSE)-HLOOKUP($C$5,'Input data'!$C$9:$BB$26,12,FALSE))</f>
        <v>-1.2130000000002639E-2</v>
      </c>
      <c r="J63" s="1">
        <f>IF(J$55&lt;=$C$5,0,HLOOKUP(J$55,'Input data'!$C$9:$BB$26,12,FALSE)-HLOOKUP($C$5,'Input data'!$C$9:$BB$26,12,FALSE))</f>
        <v>8.533000000000257E-2</v>
      </c>
      <c r="K63" s="1">
        <f>IF(K$55&lt;=$C$5,0,HLOOKUP(K$55,'Input data'!$C$9:$BB$26,12,FALSE)-HLOOKUP($C$5,'Input data'!$C$9:$BB$26,12,FALSE))</f>
        <v>0.19858999999999938</v>
      </c>
      <c r="L63" s="1">
        <f>IF(L$55&lt;=$C$5,0,HLOOKUP(L$55,'Input data'!$C$9:$BB$26,12,FALSE)-HLOOKUP($C$5,'Input data'!$C$9:$BB$26,12,FALSE))</f>
        <v>0.27124999999999844</v>
      </c>
      <c r="M63" s="1">
        <f>IF(M$55&lt;=$C$5,0,HLOOKUP(M$55,'Input data'!$C$9:$BB$26,12,FALSE)-HLOOKUP($C$5,'Input data'!$C$9:$BB$26,12,FALSE))</f>
        <v>0.32719000000000165</v>
      </c>
      <c r="N63" s="1">
        <f>IF(N$55&lt;=$C$5,0,HLOOKUP(N$55,'Input data'!$C$9:$BB$26,12,FALSE)-HLOOKUP($C$5,'Input data'!$C$9:$BB$26,12,FALSE))</f>
        <v>0.36136000000000124</v>
      </c>
      <c r="O63" s="1">
        <f>IF(O$55&lt;=$C$5,0,HLOOKUP(O$55,'Input data'!$C$9:$BB$26,12,FALSE)-HLOOKUP($C$5,'Input data'!$C$9:$BB$26,12,FALSE))</f>
        <v>0.35796999999999812</v>
      </c>
      <c r="P63" s="1">
        <f>IF(P$55&lt;=$C$5,0,HLOOKUP(P$55,'Input data'!$C$9:$BB$26,12,FALSE)-HLOOKUP($C$5,'Input data'!$C$9:$BB$26,12,FALSE))</f>
        <v>0.35501999999999967</v>
      </c>
      <c r="Q63" s="1">
        <f>IF(Q$55&lt;=$C$5,0,HLOOKUP(Q$55,'Input data'!$C$9:$BB$26,12,FALSE)-HLOOKUP($C$5,'Input data'!$C$9:$BB$26,12,FALSE))</f>
        <v>0.34354999999999691</v>
      </c>
      <c r="R63" s="1">
        <f>IF(R$55&lt;=$C$5,0,HLOOKUP(R$55,'Input data'!$C$9:$BB$26,12,FALSE)-HLOOKUP($C$5,'Input data'!$C$9:$BB$26,12,FALSE))</f>
        <v>0.31611000000000189</v>
      </c>
      <c r="S63" s="1">
        <f>IF(S$55&lt;=$C$5,0,HLOOKUP(S$55,'Input data'!$C$9:$BB$26,12,FALSE)-HLOOKUP($C$5,'Input data'!$C$9:$BB$26,12,FALSE))</f>
        <v>0.26974000000000231</v>
      </c>
      <c r="T63" s="1">
        <f>IF(T$55&lt;=$C$5,0,HLOOKUP(T$55,'Input data'!$C$9:$BB$26,12,FALSE)-HLOOKUP($C$5,'Input data'!$C$9:$BB$26,12,FALSE))</f>
        <v>0.20763000000000176</v>
      </c>
      <c r="U63" s="1">
        <f>IF(U$55&lt;=$C$5,0,HLOOKUP(U$55,'Input data'!$C$9:$BB$26,12,FALSE)-HLOOKUP($C$5,'Input data'!$C$9:$BB$26,12,FALSE))</f>
        <v>0.13130000000000308</v>
      </c>
      <c r="V63" s="1">
        <f>IF(V$55&lt;=$C$5,0,HLOOKUP(V$55,'Input data'!$C$9:$BB$26,12,FALSE)-HLOOKUP($C$5,'Input data'!$C$9:$BB$26,12,FALSE))</f>
        <v>5.6010000000000559E-2</v>
      </c>
      <c r="W63" s="1">
        <f>IF(W$55&lt;=$C$5,0,HLOOKUP(W$55,'Input data'!$C$9:$BB$26,12,FALSE)-HLOOKUP($C$5,'Input data'!$C$9:$BB$26,12,FALSE))</f>
        <v>-2.5699999999986289E-3</v>
      </c>
    </row>
    <row r="64" spans="2:48" outlineLevel="1" x14ac:dyDescent="0.2">
      <c r="B64" s="79" t="s">
        <v>112</v>
      </c>
      <c r="C64" s="1"/>
      <c r="D64" s="1">
        <f>IF(D$55&lt;=$C$5,0,-HLOOKUP(D$55,'Input data'!$C$9:$BB$26,18,FALSE)+HLOOKUP($C$5,'Input data'!$C$9:$BB$26,18,FALSE))</f>
        <v>0</v>
      </c>
      <c r="E64" s="1">
        <f>IF(E$55&lt;=$C$5,0,-HLOOKUP(E$55,'Input data'!$C$9:$BB$26,18,FALSE)+HLOOKUP($C$5,'Input data'!$C$9:$BB$26,18,FALSE))</f>
        <v>0</v>
      </c>
      <c r="F64" s="1">
        <f>IF(F$55&lt;=$C$5,0,-HLOOKUP(F$55,'Input data'!$C$9:$BB$26,18,FALSE)+HLOOKUP($C$5,'Input data'!$C$9:$BB$26,18,FALSE))</f>
        <v>0</v>
      </c>
      <c r="G64" s="1">
        <f>IF(G$55&lt;=$C$5,0,-HLOOKUP(G$55,'Input data'!$C$9:$BB$26,18,FALSE)+HLOOKUP($C$5,'Input data'!$C$9:$BB$26,18,FALSE))</f>
        <v>-6.6500000000000448E-3</v>
      </c>
      <c r="H64" s="1">
        <f>IF(H$55&lt;=$C$5,0,-HLOOKUP(H$55,'Input data'!$C$9:$BB$26,18,FALSE)+HLOOKUP($C$5,'Input data'!$C$9:$BB$26,18,FALSE))</f>
        <v>-1.330000000000009E-2</v>
      </c>
      <c r="I64" s="1">
        <f>IF(I$55&lt;=$C$5,0,-HLOOKUP(I$55,'Input data'!$C$9:$BB$26,18,FALSE)+HLOOKUP($C$5,'Input data'!$C$9:$BB$26,18,FALSE))</f>
        <v>-1.9951000000000274E-2</v>
      </c>
      <c r="J64" s="1">
        <f>IF(J$55&lt;=$C$5,0,-HLOOKUP(J$55,'Input data'!$C$9:$BB$26,18,FALSE)+HLOOKUP($C$5,'Input data'!$C$9:$BB$26,18,FALSE))</f>
        <v>-2.6601000000000319E-2</v>
      </c>
      <c r="K64" s="1">
        <f>IF(K$55&lt;=$C$5,0,-HLOOKUP(K$55,'Input data'!$C$9:$BB$26,18,FALSE)+HLOOKUP($C$5,'Input data'!$C$9:$BB$26,18,FALSE))</f>
        <v>-3.325099999999992E-2</v>
      </c>
      <c r="L64" s="1">
        <f>IF(L$55&lt;=$C$5,0,-HLOOKUP(L$55,'Input data'!$C$9:$BB$26,18,FALSE)+HLOOKUP($C$5,'Input data'!$C$9:$BB$26,18,FALSE))</f>
        <v>-3.9900999999999964E-2</v>
      </c>
      <c r="M64" s="1">
        <f>IF(M$55&lt;=$C$5,0,-HLOOKUP(M$55,'Input data'!$C$9:$BB$26,18,FALSE)+HLOOKUP($C$5,'Input data'!$C$9:$BB$26,18,FALSE))</f>
        <v>-4.6551000000000009E-2</v>
      </c>
      <c r="N64" s="1">
        <f>IF(N$55&lt;=$C$5,0,-HLOOKUP(N$55,'Input data'!$C$9:$BB$26,18,FALSE)+HLOOKUP($C$5,'Input data'!$C$9:$BB$26,18,FALSE))</f>
        <v>-5.3202000000000194E-2</v>
      </c>
      <c r="O64" s="1">
        <f>IF(O$55&lt;=$C$5,0,-HLOOKUP(O$55,'Input data'!$C$9:$BB$26,18,FALSE)+HLOOKUP($C$5,'Input data'!$C$9:$BB$26,18,FALSE))</f>
        <v>-5.9852000000000238E-2</v>
      </c>
      <c r="P64" s="1">
        <f>IF(P$55&lt;=$C$5,0,-HLOOKUP(P$55,'Input data'!$C$9:$BB$26,18,FALSE)+HLOOKUP($C$5,'Input data'!$C$9:$BB$26,18,FALSE))</f>
        <v>-6.6502000000000283E-2</v>
      </c>
      <c r="Q64" s="1">
        <f>IF(Q$55&lt;=$C$5,0,-HLOOKUP(Q$55,'Input data'!$C$9:$BB$26,18,FALSE)+HLOOKUP($C$5,'Input data'!$C$9:$BB$26,18,FALSE))</f>
        <v>-7.3151999999999884E-2</v>
      </c>
      <c r="R64" s="1">
        <f>IF(R$55&lt;=$C$5,0,-HLOOKUP(R$55,'Input data'!$C$9:$BB$26,18,FALSE)+HLOOKUP($C$5,'Input data'!$C$9:$BB$26,18,FALSE))</f>
        <v>-7.9801999999999929E-2</v>
      </c>
      <c r="S64" s="1">
        <f>IF(S$55&lt;=$C$5,0,-HLOOKUP(S$55,'Input data'!$C$9:$BB$26,18,FALSE)+HLOOKUP($C$5,'Input data'!$C$9:$BB$26,18,FALSE))</f>
        <v>-8.6453000000000113E-2</v>
      </c>
      <c r="T64" s="1">
        <f>IF(T$55&lt;=$C$5,0,-HLOOKUP(T$55,'Input data'!$C$9:$BB$26,18,FALSE)+HLOOKUP($C$5,'Input data'!$C$9:$BB$26,18,FALSE))</f>
        <v>-9.3103000000000158E-2</v>
      </c>
      <c r="U64" s="1">
        <f>IF(U$55&lt;=$C$5,0,-HLOOKUP(U$55,'Input data'!$C$9:$BB$26,18,FALSE)+HLOOKUP($C$5,'Input data'!$C$9:$BB$26,18,FALSE))</f>
        <v>-9.9753000000000203E-2</v>
      </c>
      <c r="V64" s="1">
        <f>IF(V$55&lt;=$C$5,0,-HLOOKUP(V$55,'Input data'!$C$9:$BB$26,18,FALSE)+HLOOKUP($C$5,'Input data'!$C$9:$BB$26,18,FALSE))</f>
        <v>-0.10640300000000025</v>
      </c>
      <c r="W64" s="1">
        <f>IF(W$55&lt;=$C$5,0,-HLOOKUP(W$55,'Input data'!$C$9:$BB$26,18,FALSE)+HLOOKUP($C$5,'Input data'!$C$9:$BB$26,18,FALSE))</f>
        <v>-0.11305300000000029</v>
      </c>
    </row>
    <row r="65" spans="2:23" outlineLevel="1" x14ac:dyDescent="0.2">
      <c r="B65" s="79" t="s">
        <v>113</v>
      </c>
      <c r="C65" s="37"/>
      <c r="D65" s="37">
        <v>0</v>
      </c>
      <c r="E65" s="37">
        <v>0</v>
      </c>
      <c r="F65" s="37">
        <v>0</v>
      </c>
      <c r="G65" s="37">
        <v>0</v>
      </c>
      <c r="H65" s="37">
        <v>0</v>
      </c>
      <c r="I65" s="37">
        <v>0</v>
      </c>
      <c r="J65" s="37">
        <v>0</v>
      </c>
      <c r="K65" s="37">
        <v>0</v>
      </c>
      <c r="L65" s="37">
        <v>0</v>
      </c>
      <c r="M65" s="37">
        <v>0</v>
      </c>
      <c r="N65" s="37">
        <v>0</v>
      </c>
      <c r="O65" s="37">
        <v>0</v>
      </c>
      <c r="P65" s="37">
        <v>0</v>
      </c>
      <c r="Q65" s="37">
        <v>0</v>
      </c>
      <c r="R65" s="37">
        <v>0</v>
      </c>
      <c r="S65" s="37">
        <v>0</v>
      </c>
      <c r="T65" s="37">
        <v>0</v>
      </c>
      <c r="U65" s="37">
        <v>0</v>
      </c>
      <c r="V65" s="37">
        <v>0</v>
      </c>
      <c r="W65" s="37">
        <v>0</v>
      </c>
    </row>
    <row r="66" spans="2:23" outlineLevel="1" x14ac:dyDescent="0.2">
      <c r="B66" s="84" t="s">
        <v>114</v>
      </c>
      <c r="C66" s="48"/>
      <c r="D66" s="48">
        <f>SUM(D67:D70)</f>
        <v>-4.0426919999999997</v>
      </c>
      <c r="E66" s="48">
        <f t="shared" ref="E66:T66" si="17">SUM(E67:E70)</f>
        <v>-1.511876</v>
      </c>
      <c r="F66" s="48">
        <f t="shared" si="17"/>
        <v>-0.13354520076466284</v>
      </c>
      <c r="G66" s="48">
        <f>SUM(G67:G70)</f>
        <v>-1.5170307741750448</v>
      </c>
      <c r="H66" s="48">
        <f t="shared" si="17"/>
        <v>-1.2227996744239293</v>
      </c>
      <c r="I66" s="48">
        <f t="shared" si="17"/>
        <v>-1.3093129742833753</v>
      </c>
      <c r="J66" s="48">
        <f t="shared" si="17"/>
        <v>-0.99879347462103618</v>
      </c>
      <c r="K66" s="48">
        <f t="shared" si="17"/>
        <v>-0.58827290991889258</v>
      </c>
      <c r="L66" s="48">
        <f t="shared" si="17"/>
        <v>-0.56477436177297391</v>
      </c>
      <c r="M66" s="48">
        <f t="shared" si="17"/>
        <v>-0.59017878943544289</v>
      </c>
      <c r="N66" s="48">
        <f t="shared" si="17"/>
        <v>-0.66438467218454633</v>
      </c>
      <c r="O66" s="48">
        <f t="shared" si="17"/>
        <v>-0.69938509846988772</v>
      </c>
      <c r="P66" s="48">
        <f t="shared" si="17"/>
        <v>-0.84461233618744469</v>
      </c>
      <c r="Q66" s="48">
        <f t="shared" si="17"/>
        <v>-0.99851035720587</v>
      </c>
      <c r="R66" s="48">
        <f t="shared" si="17"/>
        <v>-1.1590199927182134</v>
      </c>
      <c r="S66" s="48">
        <f t="shared" si="17"/>
        <v>-1.1788292171779231</v>
      </c>
      <c r="T66" s="48">
        <f t="shared" si="17"/>
        <v>-1.1694577707164127</v>
      </c>
      <c r="U66" s="48">
        <f>SUM(U67:U70)</f>
        <v>-1.1730903483654593</v>
      </c>
      <c r="V66" s="48">
        <f>SUM(V67:V70)</f>
        <v>-1.1575134346979712</v>
      </c>
      <c r="W66" s="48">
        <f>SUM(W67:W70)</f>
        <v>-1.035603598122518</v>
      </c>
    </row>
    <row r="67" spans="2:23" outlineLevel="1" x14ac:dyDescent="0.2">
      <c r="B67" s="79" t="s">
        <v>115</v>
      </c>
      <c r="C67" s="34"/>
      <c r="D67" s="34">
        <f t="shared" ref="D67:W67" si="18">C56*D35/100*(1/(1+D32/100))</f>
        <v>0.57044236264340553</v>
      </c>
      <c r="E67" s="34">
        <f t="shared" si="18"/>
        <v>1.1202161973483911</v>
      </c>
      <c r="F67" s="34">
        <f t="shared" si="18"/>
        <v>1.2509599444322677</v>
      </c>
      <c r="G67" s="34">
        <f>F56*G35/100*(1/(1+G32/100))</f>
        <v>1.4864251592211182</v>
      </c>
      <c r="H67" s="34">
        <f>G56*H35/100*(1/(1+H32/100))</f>
        <v>1.6209818452032692</v>
      </c>
      <c r="I67" s="34">
        <f t="shared" si="18"/>
        <v>1.7351801175149815</v>
      </c>
      <c r="J67" s="34">
        <f t="shared" si="18"/>
        <v>1.848186395136177</v>
      </c>
      <c r="K67" s="34">
        <f t="shared" si="18"/>
        <v>1.9686774850654589</v>
      </c>
      <c r="L67" s="34">
        <f t="shared" si="18"/>
        <v>2.0967108263784611</v>
      </c>
      <c r="M67" s="34">
        <f t="shared" si="18"/>
        <v>2.2312226696247102</v>
      </c>
      <c r="N67" s="34">
        <f t="shared" si="18"/>
        <v>2.3707949836267117</v>
      </c>
      <c r="O67" s="34">
        <f t="shared" si="18"/>
        <v>2.5150975780009301</v>
      </c>
      <c r="P67" s="34">
        <f t="shared" si="18"/>
        <v>2.6533404448737121</v>
      </c>
      <c r="Q67" s="34">
        <f t="shared" si="18"/>
        <v>2.7834903951461123</v>
      </c>
      <c r="R67" s="34">
        <f t="shared" si="18"/>
        <v>2.9012853434444543</v>
      </c>
      <c r="S67" s="34">
        <f t="shared" si="18"/>
        <v>3.0060795606505608</v>
      </c>
      <c r="T67" s="34">
        <f t="shared" si="18"/>
        <v>3.0965498213519185</v>
      </c>
      <c r="U67" s="34">
        <f t="shared" si="18"/>
        <v>3.1707355131477883</v>
      </c>
      <c r="V67" s="34">
        <f t="shared" si="18"/>
        <v>3.2273039404232287</v>
      </c>
      <c r="W67" s="34">
        <f t="shared" si="18"/>
        <v>3.2681375260894354</v>
      </c>
    </row>
    <row r="68" spans="2:23" outlineLevel="1" x14ac:dyDescent="0.2">
      <c r="B68" s="79" t="s">
        <v>116</v>
      </c>
      <c r="C68" s="34"/>
      <c r="D68" s="34">
        <f t="shared" ref="D68:W68" si="19">-C56*(D23/100)*(1/(1+D32/100))</f>
        <v>-0.90770273794427436</v>
      </c>
      <c r="E68" s="34">
        <f t="shared" si="19"/>
        <v>0.7338761149895805</v>
      </c>
      <c r="F68" s="34">
        <f t="shared" si="19"/>
        <v>-2.978929679586631E-2</v>
      </c>
      <c r="G68" s="34">
        <f t="shared" si="19"/>
        <v>-1.304291535129859</v>
      </c>
      <c r="H68" s="34">
        <f t="shared" si="19"/>
        <v>-1.059497671075657</v>
      </c>
      <c r="I68" s="34">
        <f t="shared" si="19"/>
        <v>-1.171149712677465</v>
      </c>
      <c r="J68" s="34">
        <f t="shared" si="19"/>
        <v>-0.88942841747899493</v>
      </c>
      <c r="K68" s="34">
        <f t="shared" si="19"/>
        <v>-0.50693513561312153</v>
      </c>
      <c r="L68" s="34">
        <f t="shared" si="19"/>
        <v>-0.50171446093599825</v>
      </c>
      <c r="M68" s="34">
        <f t="shared" si="19"/>
        <v>-0.54288082013699346</v>
      </c>
      <c r="N68" s="34">
        <f t="shared" si="19"/>
        <v>-0.62995932533220023</v>
      </c>
      <c r="O68" s="34">
        <f t="shared" si="19"/>
        <v>-0.67657449042223916</v>
      </c>
      <c r="P68" s="34">
        <f t="shared" si="19"/>
        <v>-0.90623750913746626</v>
      </c>
      <c r="Q68" s="34">
        <f t="shared" si="19"/>
        <v>-1.1450740128800365</v>
      </c>
      <c r="R68" s="34">
        <f t="shared" si="19"/>
        <v>-1.3897211114422239</v>
      </c>
      <c r="S68" s="34">
        <f t="shared" si="19"/>
        <v>-1.4951768421255505</v>
      </c>
      <c r="T68" s="34">
        <f t="shared" si="19"/>
        <v>-1.5693365096711707</v>
      </c>
      <c r="U68" s="34">
        <f t="shared" si="19"/>
        <v>-1.6524085348474276</v>
      </c>
      <c r="V68" s="34">
        <f t="shared" si="19"/>
        <v>-1.711931852699748</v>
      </c>
      <c r="W68" s="34">
        <f t="shared" si="19"/>
        <v>-1.6624197535001957</v>
      </c>
    </row>
    <row r="69" spans="2:23" outlineLevel="1" x14ac:dyDescent="0.2">
      <c r="B69" s="79" t="s">
        <v>117</v>
      </c>
      <c r="C69" s="34"/>
      <c r="D69" s="34">
        <f>-C56*D41/100*(1/(1+D41/100))</f>
        <v>-3.7081792093539843</v>
      </c>
      <c r="E69" s="34">
        <f t="shared" ref="E69:T69" si="20">-D56*E41/100*(1/(1+E41/100))</f>
        <v>-3.3653315689090335</v>
      </c>
      <c r="F69" s="34">
        <f>-E56*F41/100*(1/(1+F41/100))</f>
        <v>-1.3549523629675371</v>
      </c>
      <c r="G69" s="34">
        <f>-F56*G41/100*(1/(1+G41/100))</f>
        <v>-1.6993148810958276</v>
      </c>
      <c r="H69" s="34">
        <f t="shared" si="20"/>
        <v>-1.7842838485515415</v>
      </c>
      <c r="I69" s="34">
        <f t="shared" si="20"/>
        <v>-1.8733433791208918</v>
      </c>
      <c r="J69" s="34">
        <f t="shared" si="20"/>
        <v>-1.9575514522782183</v>
      </c>
      <c r="K69" s="34">
        <f t="shared" si="20"/>
        <v>-2.05001525937123</v>
      </c>
      <c r="L69" s="34">
        <f t="shared" si="20"/>
        <v>-2.1597707272154367</v>
      </c>
      <c r="M69" s="34">
        <f t="shared" si="20"/>
        <v>-2.2785206389231596</v>
      </c>
      <c r="N69" s="34">
        <f t="shared" si="20"/>
        <v>-2.4052203304790578</v>
      </c>
      <c r="O69" s="34">
        <f t="shared" si="20"/>
        <v>-2.5379081860485786</v>
      </c>
      <c r="P69" s="34">
        <f t="shared" si="20"/>
        <v>-2.5917152719236904</v>
      </c>
      <c r="Q69" s="34">
        <f t="shared" si="20"/>
        <v>-2.6369267394719458</v>
      </c>
      <c r="R69" s="34">
        <f t="shared" si="20"/>
        <v>-2.6705842247204439</v>
      </c>
      <c r="S69" s="34">
        <f t="shared" si="20"/>
        <v>-2.6897319357029335</v>
      </c>
      <c r="T69" s="34">
        <f t="shared" si="20"/>
        <v>-2.6966710823971605</v>
      </c>
      <c r="U69" s="34">
        <f>-T56*U41/100*(1/(1+U41/100))</f>
        <v>-2.6914173266658201</v>
      </c>
      <c r="V69" s="34">
        <f>-U56*V41/100*(1/(1+V41/100))</f>
        <v>-2.6728855224214518</v>
      </c>
      <c r="W69" s="34">
        <f>-V56*W41/100*(1/(1+W41/100))</f>
        <v>-2.6413213707117578</v>
      </c>
    </row>
    <row r="70" spans="2:23" outlineLevel="1" x14ac:dyDescent="0.2">
      <c r="B70" s="79" t="s">
        <v>118</v>
      </c>
      <c r="C70" s="49"/>
      <c r="D70" s="49">
        <v>2.7475846548536964E-3</v>
      </c>
      <c r="E70" s="49">
        <v>-6.3674342893804692E-4</v>
      </c>
      <c r="F70" s="49">
        <v>2.3651456647297286E-4</v>
      </c>
      <c r="G70" s="49">
        <v>1.5048282952356828E-4</v>
      </c>
      <c r="H70" s="49">
        <v>0</v>
      </c>
      <c r="I70" s="49">
        <v>0</v>
      </c>
      <c r="J70" s="49">
        <v>0</v>
      </c>
      <c r="K70" s="49">
        <v>0</v>
      </c>
      <c r="L70" s="49">
        <v>0</v>
      </c>
      <c r="M70" s="49">
        <v>0</v>
      </c>
      <c r="N70" s="49">
        <v>0</v>
      </c>
      <c r="O70" s="49">
        <v>0</v>
      </c>
      <c r="P70" s="49">
        <v>0</v>
      </c>
      <c r="Q70" s="49">
        <v>0</v>
      </c>
      <c r="R70" s="49">
        <v>0</v>
      </c>
      <c r="S70" s="49">
        <v>0</v>
      </c>
      <c r="T70" s="49">
        <v>0</v>
      </c>
      <c r="U70" s="49">
        <v>0</v>
      </c>
      <c r="V70" s="49">
        <v>0</v>
      </c>
      <c r="W70" s="49">
        <v>0</v>
      </c>
    </row>
    <row r="71" spans="2:23" outlineLevel="1" x14ac:dyDescent="0.2">
      <c r="B71" s="84" t="s">
        <v>119</v>
      </c>
      <c r="C71" s="50"/>
      <c r="D71" s="50">
        <f>'Input data'!D16</f>
        <v>5.1764349999999997</v>
      </c>
      <c r="E71" s="50">
        <f>'Input data'!E16</f>
        <v>2.2785220000000002</v>
      </c>
      <c r="F71" s="50">
        <f>'Input data'!F16</f>
        <v>2.6170640000000001</v>
      </c>
      <c r="G71" s="50">
        <f>'Input data'!G16</f>
        <v>1.6700109999999999</v>
      </c>
      <c r="H71" s="50">
        <f>'Input data'!H16</f>
        <v>1.6902729999999999</v>
      </c>
      <c r="I71" s="50">
        <f>'Input data'!I16</f>
        <v>1.702215</v>
      </c>
      <c r="J71" s="50">
        <f>'Input data'!J16</f>
        <v>1.648048</v>
      </c>
      <c r="K71" s="50">
        <f>'Input data'!K16</f>
        <v>1.5813470000000001</v>
      </c>
      <c r="L71" s="50">
        <f>'Input data'!L16</f>
        <v>1.5408029999999999</v>
      </c>
      <c r="M71" s="50">
        <f>'Input data'!M16</f>
        <v>1.5229809999999999</v>
      </c>
      <c r="N71" s="50">
        <f>'Input data'!N16</f>
        <v>1.526135</v>
      </c>
      <c r="O71" s="50">
        <f>'Input data'!O16</f>
        <v>1.3735219999999999</v>
      </c>
      <c r="P71" s="50">
        <f>'Input data'!P16</f>
        <v>1.2209080000000001</v>
      </c>
      <c r="Q71" s="50">
        <f>'Input data'!Q16</f>
        <v>1.068295</v>
      </c>
      <c r="R71" s="50">
        <f>'Input data'!R16</f>
        <v>0.91568099999999997</v>
      </c>
      <c r="S71" s="50">
        <f>'Input data'!S16</f>
        <v>0.76306750000000001</v>
      </c>
      <c r="T71" s="50">
        <f>'Input data'!T16</f>
        <v>0.61045400000000005</v>
      </c>
      <c r="U71" s="50">
        <f>'Input data'!U16</f>
        <v>0.45784049999999998</v>
      </c>
      <c r="V71" s="50">
        <f>'Input data'!V16</f>
        <v>0.30522700000000003</v>
      </c>
      <c r="W71" s="50">
        <f>'Input data'!W16</f>
        <v>0.15261350000000001</v>
      </c>
    </row>
    <row r="72" spans="2:23" outlineLevel="1" x14ac:dyDescent="0.2">
      <c r="B72" s="79" t="s">
        <v>120</v>
      </c>
      <c r="C72" s="34"/>
      <c r="D72" s="34">
        <f t="shared" ref="D72:W72" si="21">D14</f>
        <v>5.1764000000000001</v>
      </c>
      <c r="E72" s="34">
        <f t="shared" si="21"/>
        <v>2.1434000000000006</v>
      </c>
      <c r="F72" s="34">
        <f t="shared" si="21"/>
        <v>2.5484</v>
      </c>
      <c r="G72" s="34">
        <f t="shared" si="21"/>
        <v>1.2831856559816486</v>
      </c>
      <c r="H72" s="34">
        <f>H14</f>
        <v>1.7268620127167971</v>
      </c>
      <c r="I72" s="34">
        <f t="shared" si="21"/>
        <v>1.4444254457205703</v>
      </c>
      <c r="J72" s="34">
        <f t="shared" si="21"/>
        <v>1.3768241518246878</v>
      </c>
      <c r="K72" s="34">
        <f t="shared" si="21"/>
        <v>1.0241608740131773</v>
      </c>
      <c r="L72" s="34">
        <f t="shared" si="21"/>
        <v>1.0623847406019646</v>
      </c>
      <c r="M72" s="34">
        <f t="shared" si="21"/>
        <v>1.5229809999999999</v>
      </c>
      <c r="N72" s="34">
        <f t="shared" si="21"/>
        <v>1.526135</v>
      </c>
      <c r="O72" s="34">
        <f t="shared" si="21"/>
        <v>1.3735219999999999</v>
      </c>
      <c r="P72" s="34">
        <f t="shared" si="21"/>
        <v>1.2209080000000001</v>
      </c>
      <c r="Q72" s="34">
        <f t="shared" si="21"/>
        <v>1.068295</v>
      </c>
      <c r="R72" s="34">
        <f t="shared" si="21"/>
        <v>0.91568099999999997</v>
      </c>
      <c r="S72" s="34">
        <f t="shared" si="21"/>
        <v>0.76306750000000001</v>
      </c>
      <c r="T72" s="34">
        <f t="shared" si="21"/>
        <v>0.61045400000000005</v>
      </c>
      <c r="U72" s="34">
        <f t="shared" si="21"/>
        <v>0.45784049999999998</v>
      </c>
      <c r="V72" s="34">
        <f t="shared" si="21"/>
        <v>0.30522700000000003</v>
      </c>
      <c r="W72" s="34">
        <f t="shared" si="21"/>
        <v>0.15261350000000001</v>
      </c>
    </row>
    <row r="73" spans="2:23" outlineLevel="1" x14ac:dyDescent="0.2">
      <c r="B73" s="89" t="s">
        <v>121</v>
      </c>
      <c r="C73" s="49"/>
      <c r="D73" s="49">
        <f>+D71-D72</f>
        <v>3.4999999999563158E-5</v>
      </c>
      <c r="E73" s="49">
        <f t="shared" ref="E73:T73" si="22">+E71-E72</f>
        <v>0.13512199999999952</v>
      </c>
      <c r="F73" s="49">
        <f>+F71-F72</f>
        <v>6.8664000000000058E-2</v>
      </c>
      <c r="G73" s="49">
        <f t="shared" si="22"/>
        <v>0.38682534401835134</v>
      </c>
      <c r="H73" s="49">
        <f t="shared" si="22"/>
        <v>-3.6589012716797154E-2</v>
      </c>
      <c r="I73" s="49">
        <f t="shared" si="22"/>
        <v>0.25778955427942973</v>
      </c>
      <c r="J73" s="49">
        <f t="shared" si="22"/>
        <v>0.2712238481753122</v>
      </c>
      <c r="K73" s="49">
        <f t="shared" si="22"/>
        <v>0.55718612598682271</v>
      </c>
      <c r="L73" s="49">
        <f t="shared" si="22"/>
        <v>0.47841825939803528</v>
      </c>
      <c r="M73" s="49">
        <f t="shared" si="22"/>
        <v>0</v>
      </c>
      <c r="N73" s="49">
        <f t="shared" si="22"/>
        <v>0</v>
      </c>
      <c r="O73" s="49">
        <f t="shared" si="22"/>
        <v>0</v>
      </c>
      <c r="P73" s="49">
        <f t="shared" si="22"/>
        <v>0</v>
      </c>
      <c r="Q73" s="49">
        <f t="shared" si="22"/>
        <v>0</v>
      </c>
      <c r="R73" s="49">
        <f t="shared" si="22"/>
        <v>0</v>
      </c>
      <c r="S73" s="49">
        <f t="shared" si="22"/>
        <v>0</v>
      </c>
      <c r="T73" s="49">
        <f t="shared" si="22"/>
        <v>0</v>
      </c>
      <c r="U73" s="49">
        <f>+U71-U72</f>
        <v>0</v>
      </c>
      <c r="V73" s="49">
        <f>+V71-V72</f>
        <v>0</v>
      </c>
      <c r="W73" s="49">
        <f>+W71-W72</f>
        <v>0</v>
      </c>
    </row>
    <row r="74" spans="2:23" outlineLevel="1" x14ac:dyDescent="0.2">
      <c r="B74" s="79"/>
      <c r="C74" s="34"/>
      <c r="D74" s="34"/>
      <c r="E74" s="34"/>
      <c r="F74" s="34"/>
      <c r="G74" s="34"/>
      <c r="H74" s="34"/>
      <c r="I74" s="34"/>
      <c r="J74" s="34"/>
      <c r="K74" s="34"/>
      <c r="L74" s="34"/>
      <c r="M74" s="34"/>
      <c r="N74" s="34"/>
      <c r="O74" s="34"/>
      <c r="P74" s="34"/>
      <c r="Q74" s="34"/>
      <c r="R74" s="34"/>
      <c r="S74" s="34"/>
      <c r="T74" s="34"/>
      <c r="U74" s="34"/>
      <c r="V74" s="34"/>
      <c r="W74" s="34"/>
    </row>
    <row r="75" spans="2:23" ht="10.5" customHeight="1" outlineLevel="1" x14ac:dyDescent="0.2">
      <c r="B75" s="91" t="s">
        <v>122</v>
      </c>
    </row>
    <row r="76" spans="2:23" x14ac:dyDescent="0.2">
      <c r="B76" s="395" t="s">
        <v>41</v>
      </c>
      <c r="C76" s="77"/>
      <c r="D76" s="78">
        <f>D58-D67</f>
        <v>-0.36348994760516051</v>
      </c>
      <c r="E76" s="396">
        <f t="shared" ref="E76:T76" si="23">E58-E67</f>
        <v>-2.6726757914889614</v>
      </c>
      <c r="F76" s="396">
        <f t="shared" si="23"/>
        <v>-3.5936749730172002</v>
      </c>
      <c r="G76" s="78">
        <f t="shared" si="23"/>
        <v>-3.3688155395586374</v>
      </c>
      <c r="H76" s="78">
        <f t="shared" si="23"/>
        <v>-3.2834168311683936</v>
      </c>
      <c r="I76" s="78">
        <f t="shared" si="23"/>
        <v>-3.160024363877612</v>
      </c>
      <c r="J76" s="78">
        <f t="shared" si="23"/>
        <v>-3.2993183483390398</v>
      </c>
      <c r="K76" s="78">
        <f t="shared" si="23"/>
        <v>-3.7273476264272905</v>
      </c>
      <c r="L76" s="78">
        <f t="shared" si="23"/>
        <v>-4.1346015842938666</v>
      </c>
      <c r="M76" s="78">
        <f t="shared" si="23"/>
        <v>-4.515469469880447</v>
      </c>
      <c r="N76" s="78">
        <f t="shared" si="23"/>
        <v>-4.8381357239282501</v>
      </c>
      <c r="O76" s="78">
        <f t="shared" si="23"/>
        <v>-5.1128721809762432</v>
      </c>
      <c r="P76" s="78">
        <f t="shared" si="23"/>
        <v>-5.2667870842092608</v>
      </c>
      <c r="Q76" s="78">
        <f t="shared" si="23"/>
        <v>-5.2892804829195832</v>
      </c>
      <c r="R76" s="78">
        <f t="shared" si="23"/>
        <v>-5.1683237276657801</v>
      </c>
      <c r="S76" s="78">
        <f t="shared" si="23"/>
        <v>-4.9729772505780208</v>
      </c>
      <c r="T76" s="78">
        <f t="shared" si="23"/>
        <v>-4.7188742652754021</v>
      </c>
      <c r="U76" s="78">
        <f>U58-U67</f>
        <v>-4.3977318005398018</v>
      </c>
      <c r="V76" s="78">
        <f>V58-V67</f>
        <v>-4.031493546874426</v>
      </c>
      <c r="W76" s="78">
        <f>W58-W67</f>
        <v>-3.6898869578854909</v>
      </c>
    </row>
    <row r="77" spans="2:23" ht="12" thickBot="1" x14ac:dyDescent="0.25">
      <c r="B77" s="384" t="s">
        <v>42</v>
      </c>
      <c r="D77" s="34">
        <f>D59-D67-D63-D64-D65</f>
        <v>-0.27838556264340553</v>
      </c>
      <c r="E77" s="385">
        <f>E59-E67-E63-E64-E65</f>
        <v>-1.364812097348391</v>
      </c>
      <c r="F77" s="385">
        <f t="shared" ref="F77:W77" si="24">F59-F67-F63-F64-F65</f>
        <v>-1.7810632444322678</v>
      </c>
      <c r="G77" s="34">
        <f t="shared" si="24"/>
        <v>-1.9600784592211169</v>
      </c>
      <c r="H77" s="34">
        <f t="shared" si="24"/>
        <v>-2.0857851452032659</v>
      </c>
      <c r="I77" s="34">
        <f t="shared" si="24"/>
        <v>-2.2332024175149785</v>
      </c>
      <c r="J77" s="34">
        <f t="shared" si="24"/>
        <v>-2.4370186951361794</v>
      </c>
      <c r="K77" s="34">
        <f t="shared" si="24"/>
        <v>-2.6641197850654583</v>
      </c>
      <c r="L77" s="34">
        <f t="shared" si="24"/>
        <v>-2.8581631263784595</v>
      </c>
      <c r="M77" s="34">
        <f t="shared" si="24"/>
        <v>-3.0419649696247117</v>
      </c>
      <c r="N77" s="34">
        <f t="shared" si="24"/>
        <v>-3.2090562836267127</v>
      </c>
      <c r="O77" s="34">
        <f t="shared" si="24"/>
        <v>-3.343318878000928</v>
      </c>
      <c r="P77" s="34">
        <f t="shared" si="24"/>
        <v>-3.4719617448737115</v>
      </c>
      <c r="Q77" s="34">
        <f t="shared" si="24"/>
        <v>-3.5839916951461093</v>
      </c>
      <c r="R77" s="34">
        <f t="shared" si="24"/>
        <v>-3.6676966434444562</v>
      </c>
      <c r="S77" s="34">
        <f t="shared" si="24"/>
        <v>-3.719469860650563</v>
      </c>
      <c r="T77" s="34">
        <f t="shared" si="24"/>
        <v>-3.74118012135192</v>
      </c>
      <c r="U77" s="34">
        <f t="shared" si="24"/>
        <v>-3.7323858131477912</v>
      </c>
      <c r="V77" s="34">
        <f t="shared" si="24"/>
        <v>-3.7070142404232289</v>
      </c>
      <c r="W77" s="34">
        <f t="shared" si="24"/>
        <v>-3.6826178260894364</v>
      </c>
    </row>
    <row r="78" spans="2:23" ht="12" thickBot="1" x14ac:dyDescent="0.25">
      <c r="B78" s="35" t="s">
        <v>123</v>
      </c>
      <c r="C78" s="35"/>
      <c r="D78" s="281">
        <f>'Input data'!D45</f>
        <v>5.7681103325160432</v>
      </c>
      <c r="E78" s="281">
        <f>'Input data'!E45</f>
        <v>7.4830230810080138</v>
      </c>
      <c r="F78" s="281">
        <f>'Input data'!F45</f>
        <v>3.9912900392291735</v>
      </c>
      <c r="G78" s="412">
        <f>'Input data'!G33+G41-(G$12-F$12)/'Input data'!$C$64*100</f>
        <v>2.7567636000000002</v>
      </c>
      <c r="H78" s="413">
        <f>'Input data'!H33+H41-(H$12-G$12)/'Input data'!$C$64*100</f>
        <v>2.8628225500000002</v>
      </c>
      <c r="I78" s="413">
        <f>'Input data'!I33+I41-(I$12-H$12)/'Input data'!$C$64*100</f>
        <v>2.8177268</v>
      </c>
      <c r="J78" s="414">
        <f>'Input data'!J33+J41-(J$12-I$12)/'Input data'!$C$64*100</f>
        <v>2.9222625499999997</v>
      </c>
      <c r="K78" s="49">
        <f>'Input data'!K33+K41-(K$12-J$12)/'Input data'!$C$64*100</f>
        <v>2.9188613999999999</v>
      </c>
      <c r="L78" s="49">
        <f>'Input data'!L33+L41-(L$12-K$12)/'Input data'!$C$64*100</f>
        <v>2.94904805</v>
      </c>
      <c r="M78" s="49">
        <f>'Input data'!M33+M41-(M$12-L$12)/'Input data'!$C$64*100</f>
        <v>3.0293970999999997</v>
      </c>
      <c r="N78" s="49">
        <f>'Input data'!N33+N41-(N$12-M$12)/'Input data'!$C$64*100</f>
        <v>3.1551393499999998</v>
      </c>
      <c r="O78" s="49">
        <f>'Input data'!O33+O41-(O$12-N$12)/'Input data'!$C$64*100</f>
        <v>3.2344523999999999</v>
      </c>
      <c r="P78" s="49">
        <f>'Input data'!P33+P41-(P$12-O$12)/'Input data'!$C$64*100</f>
        <v>3.4123823999999998</v>
      </c>
      <c r="Q78" s="49">
        <f>'Input data'!Q33+Q41-(Q$12-P$12)/'Input data'!$C$64*100</f>
        <v>3.5903129999999996</v>
      </c>
      <c r="R78" s="49">
        <f>'Input data'!R33+R41-(R$12-Q$12)/'Input data'!$C$64*100</f>
        <v>3.768243</v>
      </c>
      <c r="S78" s="49">
        <f>'Input data'!S33+S41-(S$12-R$12)/'Input data'!$C$64*100</f>
        <v>3.8150089999999999</v>
      </c>
      <c r="T78" s="49">
        <f>'Input data'!T33+T41-(T$12-S$12)/'Input data'!$C$64*100</f>
        <v>3.8364519999999995</v>
      </c>
      <c r="U78" s="49">
        <f>'Input data'!U33+U41-(U$12-T$12)/'Input data'!$C$64*100</f>
        <v>3.8710429999999998</v>
      </c>
      <c r="V78" s="49">
        <f>'Input data'!V33+V41-(V$12-U$12)/'Input data'!$C$64*100</f>
        <v>3.8905779999999996</v>
      </c>
      <c r="W78" s="49">
        <f>'Input data'!W33+W41-(W$12-V$12)/'Input data'!$C$64*100</f>
        <v>3.8183020000000001</v>
      </c>
    </row>
    <row r="79" spans="2:23" x14ac:dyDescent="0.2">
      <c r="D79" s="34"/>
      <c r="E79" s="34"/>
      <c r="F79" s="34"/>
      <c r="G79" s="34"/>
      <c r="H79" s="34"/>
      <c r="I79" s="34"/>
      <c r="J79" s="34"/>
      <c r="K79" s="34"/>
      <c r="L79" s="34"/>
      <c r="M79" s="34"/>
      <c r="N79" s="34"/>
      <c r="O79" s="34"/>
      <c r="P79" s="34"/>
      <c r="Q79" s="34"/>
      <c r="R79" s="34"/>
      <c r="S79" s="34"/>
      <c r="T79" s="34"/>
      <c r="U79" s="34"/>
      <c r="V79" s="34"/>
      <c r="W79" s="34"/>
    </row>
    <row r="80" spans="2:23" x14ac:dyDescent="0.2">
      <c r="D80" s="53"/>
    </row>
    <row r="81" spans="2:23" s="93" customFormat="1" ht="12.75" outlineLevel="1" x14ac:dyDescent="0.2">
      <c r="B81" s="94" t="s">
        <v>124</v>
      </c>
      <c r="C81" s="95"/>
      <c r="E81" s="96"/>
      <c r="F81" s="95"/>
    </row>
    <row r="82" spans="2:23" x14ac:dyDescent="0.2">
      <c r="C82" s="34"/>
      <c r="D82" s="34"/>
      <c r="E82" s="34"/>
      <c r="F82" s="34"/>
      <c r="G82" s="34"/>
      <c r="H82" s="34"/>
      <c r="I82" s="34"/>
      <c r="J82" s="34"/>
      <c r="K82" s="34"/>
      <c r="L82" s="34"/>
      <c r="M82" s="34"/>
      <c r="N82" s="34"/>
      <c r="O82" s="34"/>
      <c r="P82" s="34"/>
      <c r="Q82" s="34"/>
      <c r="R82" s="34"/>
      <c r="S82" s="34"/>
      <c r="T82" s="34"/>
      <c r="U82" s="34"/>
      <c r="V82" s="34"/>
      <c r="W82" s="34"/>
    </row>
    <row r="83" spans="2:23" x14ac:dyDescent="0.2">
      <c r="B83" s="26" t="s">
        <v>125</v>
      </c>
      <c r="D83" s="29">
        <f t="shared" ref="D83:W83" si="25">IF((D87-C87*D42/((1+D23/100)*(1+D41/100)))&gt;0,1,0)</f>
        <v>1</v>
      </c>
      <c r="E83" s="29">
        <f t="shared" si="25"/>
        <v>1</v>
      </c>
      <c r="F83" s="29">
        <f t="shared" si="25"/>
        <v>1</v>
      </c>
      <c r="G83" s="29">
        <f t="shared" si="25"/>
        <v>1</v>
      </c>
      <c r="H83" s="29">
        <f t="shared" si="25"/>
        <v>1</v>
      </c>
      <c r="I83" s="29">
        <f t="shared" si="25"/>
        <v>1</v>
      </c>
      <c r="J83" s="29">
        <f t="shared" si="25"/>
        <v>1</v>
      </c>
      <c r="K83" s="29">
        <f t="shared" si="25"/>
        <v>1</v>
      </c>
      <c r="L83" s="29">
        <f t="shared" si="25"/>
        <v>1</v>
      </c>
      <c r="M83" s="29">
        <f t="shared" si="25"/>
        <v>1</v>
      </c>
      <c r="N83" s="29">
        <f t="shared" si="25"/>
        <v>1</v>
      </c>
      <c r="O83" s="29">
        <f t="shared" si="25"/>
        <v>1</v>
      </c>
      <c r="P83" s="29">
        <f t="shared" si="25"/>
        <v>1</v>
      </c>
      <c r="Q83" s="29">
        <f t="shared" si="25"/>
        <v>1</v>
      </c>
      <c r="R83" s="29">
        <f t="shared" si="25"/>
        <v>1</v>
      </c>
      <c r="S83" s="29">
        <f t="shared" si="25"/>
        <v>1</v>
      </c>
      <c r="T83" s="29">
        <f t="shared" si="25"/>
        <v>1</v>
      </c>
      <c r="U83" s="29">
        <f t="shared" si="25"/>
        <v>1</v>
      </c>
      <c r="V83" s="29">
        <f t="shared" si="25"/>
        <v>1</v>
      </c>
      <c r="W83" s="29">
        <f t="shared" si="25"/>
        <v>1</v>
      </c>
    </row>
    <row r="84" spans="2:23" x14ac:dyDescent="0.2">
      <c r="B84" s="26" t="s">
        <v>126</v>
      </c>
      <c r="D84" s="29">
        <f t="shared" ref="D84:W84" si="26">IF(AND(D83=0,ABS(D87-C87*D42/((1+D23/100)*(1+D41/100)))&lt;((C93*C87*D42/((1+D23/100)*(1+D41/100))+(D38*C87*C94*D42/((1+D23/100)*(1+D41/100)))))),1,0)</f>
        <v>0</v>
      </c>
      <c r="E84" s="29">
        <f t="shared" si="26"/>
        <v>0</v>
      </c>
      <c r="F84" s="29">
        <f t="shared" si="26"/>
        <v>0</v>
      </c>
      <c r="G84" s="29">
        <f t="shared" si="26"/>
        <v>0</v>
      </c>
      <c r="H84" s="29">
        <f t="shared" si="26"/>
        <v>0</v>
      </c>
      <c r="I84" s="29">
        <f t="shared" si="26"/>
        <v>0</v>
      </c>
      <c r="J84" s="29">
        <f t="shared" si="26"/>
        <v>0</v>
      </c>
      <c r="K84" s="29">
        <f t="shared" si="26"/>
        <v>0</v>
      </c>
      <c r="L84" s="29">
        <f t="shared" si="26"/>
        <v>0</v>
      </c>
      <c r="M84" s="29">
        <f t="shared" si="26"/>
        <v>0</v>
      </c>
      <c r="N84" s="29">
        <f t="shared" si="26"/>
        <v>0</v>
      </c>
      <c r="O84" s="29">
        <f t="shared" si="26"/>
        <v>0</v>
      </c>
      <c r="P84" s="29">
        <f t="shared" si="26"/>
        <v>0</v>
      </c>
      <c r="Q84" s="29">
        <f t="shared" si="26"/>
        <v>0</v>
      </c>
      <c r="R84" s="29">
        <f t="shared" si="26"/>
        <v>0</v>
      </c>
      <c r="S84" s="29">
        <f t="shared" si="26"/>
        <v>0</v>
      </c>
      <c r="T84" s="29">
        <f t="shared" si="26"/>
        <v>0</v>
      </c>
      <c r="U84" s="29">
        <f t="shared" si="26"/>
        <v>0</v>
      </c>
      <c r="V84" s="29">
        <f t="shared" si="26"/>
        <v>0</v>
      </c>
      <c r="W84" s="29">
        <f t="shared" si="26"/>
        <v>0</v>
      </c>
    </row>
    <row r="86" spans="2:23" x14ac:dyDescent="0.2">
      <c r="B86" s="51"/>
      <c r="C86" s="86">
        <v>2021</v>
      </c>
      <c r="D86" s="86">
        <v>2022</v>
      </c>
      <c r="E86" s="86">
        <v>2023</v>
      </c>
      <c r="F86" s="86">
        <v>2024</v>
      </c>
      <c r="G86" s="86">
        <v>2025</v>
      </c>
      <c r="H86" s="86">
        <v>2026</v>
      </c>
      <c r="I86" s="86">
        <v>2027</v>
      </c>
      <c r="J86" s="86">
        <v>2028</v>
      </c>
      <c r="K86" s="86">
        <v>2029</v>
      </c>
      <c r="L86" s="86">
        <v>2030</v>
      </c>
      <c r="M86" s="86">
        <v>2031</v>
      </c>
      <c r="N86" s="86">
        <v>2032</v>
      </c>
      <c r="O86" s="86">
        <v>2033</v>
      </c>
      <c r="P86" s="86">
        <v>2034</v>
      </c>
      <c r="Q86" s="86">
        <v>2035</v>
      </c>
      <c r="R86" s="86">
        <v>2036</v>
      </c>
      <c r="S86" s="86">
        <v>2037</v>
      </c>
      <c r="T86" s="86">
        <v>2038</v>
      </c>
      <c r="U86" s="86">
        <v>2039</v>
      </c>
      <c r="V86" s="86">
        <v>2040</v>
      </c>
      <c r="W86" s="86">
        <v>2041</v>
      </c>
    </row>
    <row r="87" spans="2:23" x14ac:dyDescent="0.2">
      <c r="B87" s="106" t="s">
        <v>104</v>
      </c>
      <c r="C87" s="110">
        <f>C56</f>
        <v>72.584819999999993</v>
      </c>
      <c r="D87" s="110">
        <f>D56</f>
        <v>73.511610584961744</v>
      </c>
      <c r="E87" s="110">
        <f>E56</f>
        <v>76.63</v>
      </c>
      <c r="F87" s="110">
        <f>F56</f>
        <v>81.66850402875248</v>
      </c>
      <c r="G87" s="110">
        <f>G56</f>
        <v>83.703874634914953</v>
      </c>
      <c r="H87" s="110">
        <f t="shared" ref="H87:W87" si="27">G87*(1+H101/100)*H42-H59-H60+H61+H62+H63+H64+H65+H71</f>
        <v>85.833782946456139</v>
      </c>
      <c r="I87" s="110">
        <f t="shared" si="27"/>
        <v>87.651529218535387</v>
      </c>
      <c r="J87" s="110">
        <f t="shared" si="27"/>
        <v>89.751915697117212</v>
      </c>
      <c r="K87" s="110">
        <f t="shared" si="27"/>
        <v>92.503659928560126</v>
      </c>
      <c r="L87" s="110">
        <f t="shared" si="27"/>
        <v>95.517579324702538</v>
      </c>
      <c r="M87" s="110">
        <f t="shared" si="27"/>
        <v>98.734628335522814</v>
      </c>
      <c r="N87" s="110">
        <f t="shared" si="27"/>
        <v>102.06371940363979</v>
      </c>
      <c r="O87" s="110">
        <f t="shared" si="27"/>
        <v>105.33563090814518</v>
      </c>
      <c r="P87" s="110">
        <f t="shared" si="27"/>
        <v>108.32537321129325</v>
      </c>
      <c r="Q87" s="110">
        <f t="shared" si="27"/>
        <v>110.90094794186085</v>
      </c>
      <c r="R87" s="110">
        <f t="shared" si="27"/>
        <v>112.92464733336396</v>
      </c>
      <c r="S87" s="110">
        <f t="shared" si="27"/>
        <v>114.47578330611351</v>
      </c>
      <c r="T87" s="110">
        <f t="shared" si="27"/>
        <v>115.53910397932059</v>
      </c>
      <c r="U87" s="110">
        <f t="shared" si="27"/>
        <v>116.05085041834717</v>
      </c>
      <c r="V87" s="110">
        <f t="shared" si="27"/>
        <v>116.0027535901004</v>
      </c>
      <c r="W87" s="110">
        <f t="shared" si="27"/>
        <v>115.54151292377394</v>
      </c>
    </row>
    <row r="88" spans="2:23" x14ac:dyDescent="0.2">
      <c r="B88" s="26" t="s">
        <v>127</v>
      </c>
      <c r="C88" s="34"/>
      <c r="D88" s="253">
        <f>'Input data'!C66*$D$87</f>
        <v>59.051128502792025</v>
      </c>
      <c r="E88" s="34">
        <f t="shared" ref="E88:W88" si="28">IF(E87=0,0,IF(E83=1,D87*E42/((1+E23/100)*(1+E41/100))-E89-E90,IF(AND(E83=0,E84=1),(1-D93-E38*D94)*D87*E42/((1+E23/100)*(1+E41/100)),E87)))</f>
        <v>61.391972720723572</v>
      </c>
      <c r="F88" s="411">
        <f>IF(F87=0,0,IF(F83=1,E87*F42/((1+F23/100)*(1+F41/100))-F89-F90,IF(AND(F83=0,F84=1),(1-E93-F38*E94)*E87*F42/((1+F23/100)*(1+F41/100)),F87)))</f>
        <v>65.684185584250898</v>
      </c>
      <c r="G88" s="34">
        <f t="shared" si="28"/>
        <v>68.557370715914715</v>
      </c>
      <c r="H88" s="34">
        <f t="shared" si="28"/>
        <v>70.372152403203572</v>
      </c>
      <c r="I88" s="34">
        <f t="shared" si="28"/>
        <v>71.961873971176317</v>
      </c>
      <c r="J88" s="34">
        <f t="shared" si="28"/>
        <v>73.626120534579826</v>
      </c>
      <c r="K88" s="34">
        <f t="shared" si="28"/>
        <v>75.613851036597211</v>
      </c>
      <c r="L88" s="34">
        <f t="shared" si="28"/>
        <v>77.819838487580256</v>
      </c>
      <c r="M88" s="34">
        <f t="shared" si="28"/>
        <v>80.200382145829195</v>
      </c>
      <c r="N88" s="34">
        <f t="shared" si="28"/>
        <v>82.705499815568558</v>
      </c>
      <c r="O88" s="34">
        <f t="shared" si="28"/>
        <v>85.332851933985552</v>
      </c>
      <c r="P88" s="34">
        <f t="shared" si="28"/>
        <v>87.879384776837298</v>
      </c>
      <c r="Q88" s="34">
        <f t="shared" si="28"/>
        <v>90.18304649778311</v>
      </c>
      <c r="R88" s="34">
        <f t="shared" si="28"/>
        <v>92.136084979775006</v>
      </c>
      <c r="S88" s="34">
        <f t="shared" si="28"/>
        <v>93.747952592906074</v>
      </c>
      <c r="T88" s="34">
        <f t="shared" si="28"/>
        <v>94.992260473049626</v>
      </c>
      <c r="U88" s="34">
        <f t="shared" si="28"/>
        <v>95.82134480785524</v>
      </c>
      <c r="V88" s="34">
        <f t="shared" si="28"/>
        <v>96.209337368891966</v>
      </c>
      <c r="W88" s="34">
        <f t="shared" si="28"/>
        <v>96.222614864016123</v>
      </c>
    </row>
    <row r="89" spans="2:23" x14ac:dyDescent="0.2">
      <c r="B89" s="105" t="s">
        <v>128</v>
      </c>
      <c r="C89" s="34"/>
      <c r="D89" s="253">
        <f>'Input data'!C67*$D$87</f>
        <v>2.5660693694891989</v>
      </c>
      <c r="E89" s="34">
        <f t="shared" ref="E89:W89" si="29">IF(E87=0,0,IF(E83=1,E38*D87*D94*E42/((1+E23/100)*(1+E41/100)),IF(AND(E83=0,E84=1),(E38*D87*D94*E42/((1+E23/100)*(1+E41/100)))*(1-ABS(E87-D87*E42/((1+E23/100)*(1+E41/100)))/((E38*D87*D94*E42/((1+E23/100)*(1+E41/100)))+(D93*D87*E42/((1+E23/100)*(1+E41/100))))),0)))</f>
        <v>2.5200411188940466</v>
      </c>
      <c r="F89" s="34">
        <f t="shared" si="29"/>
        <v>2.155650126824121</v>
      </c>
      <c r="G89" s="34">
        <f t="shared" si="29"/>
        <v>2.2993317221726941</v>
      </c>
      <c r="H89" s="34">
        <f t="shared" si="29"/>
        <v>2.4109636876253409</v>
      </c>
      <c r="I89" s="34">
        <f t="shared" si="29"/>
        <v>2.5174135735477225</v>
      </c>
      <c r="J89" s="34">
        <f t="shared" si="29"/>
        <v>2.6288955779583549</v>
      </c>
      <c r="K89" s="34">
        <f t="shared" si="29"/>
        <v>2.7546463257299014</v>
      </c>
      <c r="L89" s="34">
        <f t="shared" si="29"/>
        <v>2.8914652375410079</v>
      </c>
      <c r="M89" s="34">
        <f t="shared" si="29"/>
        <v>3.0381787076031403</v>
      </c>
      <c r="N89" s="34">
        <f t="shared" si="29"/>
        <v>3.1932447902084484</v>
      </c>
      <c r="O89" s="34">
        <f t="shared" si="29"/>
        <v>3.3568511614430849</v>
      </c>
      <c r="P89" s="34">
        <f t="shared" si="29"/>
        <v>3.4570274890524444</v>
      </c>
      <c r="Q89" s="34">
        <f t="shared" si="29"/>
        <v>3.5476496743921691</v>
      </c>
      <c r="R89" s="34">
        <f t="shared" si="29"/>
        <v>3.6244789300426112</v>
      </c>
      <c r="S89" s="34">
        <f t="shared" si="29"/>
        <v>3.6878870963771595</v>
      </c>
      <c r="T89" s="34">
        <f t="shared" si="29"/>
        <v>3.7368360797755349</v>
      </c>
      <c r="U89" s="34">
        <f t="shared" si="29"/>
        <v>3.7694508658649486</v>
      </c>
      <c r="V89" s="34">
        <f t="shared" si="29"/>
        <v>3.7847138419594888</v>
      </c>
      <c r="W89" s="34">
        <f t="shared" si="29"/>
        <v>3.7852361563310168</v>
      </c>
    </row>
    <row r="90" spans="2:23" x14ac:dyDescent="0.2">
      <c r="B90" s="105" t="s">
        <v>129</v>
      </c>
      <c r="C90" s="34"/>
      <c r="D90" s="253">
        <f>'Input data'!C68*$D$87</f>
        <v>6.679115961728173</v>
      </c>
      <c r="E90" s="34">
        <f t="shared" ref="E90:W90" si="30">IF(E87=0,0,IF(E83=1,(1-D94)*D87*E42/((1+E23/100)*(1+E41/100)),IF(AND(E83=0,E84=1),(D93*D87*E42/((1+E23/100)*(1+E41/100)))*(1-ABS(E87-D87*E42/((1+E23/100)*(1+E41/100)))/((E38*D87*D94*E42/((1+E23/100)*(1+E41/100)))+(D93*D87*E42/((1+E23/100)*(1+E41/100))))),0)))</f>
        <v>6.9278671872792303</v>
      </c>
      <c r="F90" s="34">
        <f t="shared" si="30"/>
        <v>7.4197944735045693</v>
      </c>
      <c r="G90" s="34">
        <f t="shared" si="30"/>
        <v>7.8162189939958813</v>
      </c>
      <c r="H90" s="34">
        <f t="shared" si="30"/>
        <v>8.0769770244588308</v>
      </c>
      <c r="I90" s="34">
        <f t="shared" si="30"/>
        <v>8.3100023099337506</v>
      </c>
      <c r="J90" s="34">
        <f t="shared" si="30"/>
        <v>8.5495332362399932</v>
      </c>
      <c r="K90" s="34">
        <f t="shared" si="30"/>
        <v>8.8264679398057346</v>
      </c>
      <c r="L90" s="34">
        <f t="shared" si="30"/>
        <v>9.1308710152874291</v>
      </c>
      <c r="M90" s="34">
        <f t="shared" si="30"/>
        <v>9.4576170122100347</v>
      </c>
      <c r="N90" s="34">
        <f t="shared" si="30"/>
        <v>9.8007040739345559</v>
      </c>
      <c r="O90" s="34">
        <f t="shared" si="30"/>
        <v>10.159533631740347</v>
      </c>
      <c r="P90" s="34">
        <f t="shared" si="30"/>
        <v>10.501265861194266</v>
      </c>
      <c r="Q90" s="34">
        <f t="shared" si="30"/>
        <v>10.812676286765997</v>
      </c>
      <c r="R90" s="34">
        <f t="shared" si="30"/>
        <v>11.080078695880573</v>
      </c>
      <c r="S90" s="34">
        <f t="shared" si="30"/>
        <v>11.30389886625227</v>
      </c>
      <c r="T90" s="34">
        <f t="shared" si="30"/>
        <v>11.480679161220039</v>
      </c>
      <c r="U90" s="34">
        <f t="shared" si="30"/>
        <v>11.604482444087164</v>
      </c>
      <c r="V90" s="34">
        <f t="shared" si="30"/>
        <v>11.671981832374527</v>
      </c>
      <c r="W90" s="34">
        <f t="shared" si="30"/>
        <v>11.691161445541296</v>
      </c>
    </row>
    <row r="91" spans="2:23" x14ac:dyDescent="0.2">
      <c r="B91" s="105" t="s">
        <v>130</v>
      </c>
      <c r="C91" s="34"/>
      <c r="D91" s="253">
        <f>'Input data'!C69*$D$87</f>
        <v>4.7052606775120811</v>
      </c>
      <c r="E91" s="34">
        <f>IF(E87=0,0,IF(E83=1,'Input data'!$C$58*(E87-D87*E42/((1+E23/100)*(1+E41/100))),0))</f>
        <v>5.1630878821131967</v>
      </c>
      <c r="F91" s="411">
        <f>IF(F87=0,0,IF(F83=1,'Input data'!$C$58*(F87-E87*F42/((1+F23/100)*(1+F41/100))),0))</f>
        <v>5.71483574630372</v>
      </c>
      <c r="G91" s="34">
        <f>IF(G87=0,0,IF(G83=1,'Input data'!$C$58*(G87-F87*G42/((1+G23/100)*(1+G41/100))),0))</f>
        <v>4.4861346783514575</v>
      </c>
      <c r="H91" s="34">
        <f>IF(H87=0,0,IF(H83=1,'Input data'!$C$58*(H87-G87*H42/((1+H23/100)*(1+H41/100))),0))</f>
        <v>4.4350725461747311</v>
      </c>
      <c r="I91" s="34">
        <f>IF(I87=0,0,IF(I83=1,'Input data'!$C$58*(I87-H87*I42/((1+I23/100)*(1+I41/100))),0))</f>
        <v>4.3356914177733863</v>
      </c>
      <c r="J91" s="34">
        <f>IF(J87=0,0,IF(J83=1,'Input data'!$C$58*(J87-I87*J42/((1+J23/100)*(1+J41/100))),0))</f>
        <v>4.4115997201684474</v>
      </c>
      <c r="K91" s="34">
        <f>IF(K87=0,0,IF(K83=1,'Input data'!$C$58*(K87-J87*K42/((1+K23/100)*(1+K41/100))),0))</f>
        <v>4.7337985666391917</v>
      </c>
      <c r="L91" s="34">
        <f>IF(L87=0,0,IF(L83=1,'Input data'!$C$58*(L87-K87*L42/((1+L23/100)*(1+L41/100))),0))</f>
        <v>5.0607962930255352</v>
      </c>
      <c r="M91" s="34">
        <f>IF(M87=0,0,IF(M83=1,'Input data'!$C$58*(M87-L87*M42/((1+M23/100)*(1+M41/100))),0))</f>
        <v>5.3845267416105402</v>
      </c>
      <c r="N91" s="34">
        <f>IF(N87=0,0,IF(N83=1,'Input data'!$C$58*(N87-M87*N42/((1+N23/100)*(1+N41/100))),0))</f>
        <v>5.6750628451406513</v>
      </c>
      <c r="O91" s="34">
        <f>IF(O87=0,0,IF(O83=1,'Input data'!$C$58*(O87-N87*O42/((1+O23/100)*(1+O41/100))),0))</f>
        <v>5.7839611500174817</v>
      </c>
      <c r="P91" s="34">
        <f>IF(P87=0,0,IF(P83=1,'Input data'!$C$58*(P87-O87*P42/((1+P23/100)*(1+P41/100))),0))</f>
        <v>5.7851211741464397</v>
      </c>
      <c r="Q91" s="34">
        <f>IF(Q87=0,0,IF(Q83=1,'Input data'!$C$58*(Q87-P87*Q42/((1+Q23/100)*(1+Q41/100))),0))</f>
        <v>5.6690926538751176</v>
      </c>
      <c r="R91" s="34">
        <f>IF(R87=0,0,IF(R83=1,'Input data'!$C$58*(R87-Q87*R42/((1+R23/100)*(1+R41/100))),0))</f>
        <v>5.4251477784912439</v>
      </c>
      <c r="S91" s="34">
        <f>IF(S87=0,0,IF(S83=1,'Input data'!$C$58*(S87-R87*S42/((1+S23/100)*(1+S41/100))),0))</f>
        <v>5.1148695355902465</v>
      </c>
      <c r="T91" s="34">
        <f>IF(T87=0,0,IF(T83=1,'Input data'!$C$58*(T87-S87*T42/((1+T23/100)*(1+T41/100))),0))</f>
        <v>4.7521977206454453</v>
      </c>
      <c r="U91" s="34">
        <f>IF(U87=0,0,IF(U83=1,'Input data'!$C$58*(U87-T87*U42/((1+U23/100)*(1+U41/100))),0))</f>
        <v>4.329746352725758</v>
      </c>
      <c r="V91" s="34">
        <f>IF(V87=0,0,IF(V83=1,'Input data'!$C$58*(V87-U87*V42/((1+V23/100)*(1+V41/100))),0))</f>
        <v>3.8670827676755821</v>
      </c>
      <c r="W91" s="34">
        <f>IF(W87=0,0,IF(W83=1,'Input data'!$C$58*(W87-V87*W42/((1+W23/100)*(1+W41/100))),0))</f>
        <v>3.4263834030495741</v>
      </c>
    </row>
    <row r="92" spans="2:23" x14ac:dyDescent="0.2">
      <c r="B92" s="107" t="s">
        <v>131</v>
      </c>
      <c r="C92" s="49"/>
      <c r="D92" s="254">
        <f>'Input data'!C70*$D$87</f>
        <v>0.51003587344023849</v>
      </c>
      <c r="E92" s="49">
        <f>IF(E87=0,0,IF(E83=1,'Input data'!$C$57*(E87-D87*E42/((1+E23/100)*(1+E41/100))),0))</f>
        <v>0.62703109098995113</v>
      </c>
      <c r="F92" s="49">
        <f>IF(F87=0,0,IF(F83=1,'Input data'!$C$57*(F87-E87*F42/((1+F23/100)*(1+F41/100))),0))</f>
        <v>0.69403809786916781</v>
      </c>
      <c r="G92" s="49">
        <f>IF(G87=0,0,IF(G83=1,'Input data'!$C$57*(G87-F87*G42/((1+G23/100)*(1+G41/100))),0))</f>
        <v>0.54481852448021062</v>
      </c>
      <c r="H92" s="49">
        <f>IF(H87=0,0,IF(H83=1,'Input data'!$C$57*(H87-G87*H42/((1+H23/100)*(1+H41/100))),0))</f>
        <v>0.5386172849936689</v>
      </c>
      <c r="I92" s="49">
        <f>IF(I87=0,0,IF(I83=1,'Input data'!$C$57*(I87-H87*I42/((1+I23/100)*(1+I41/100))),0))</f>
        <v>0.52654794610420519</v>
      </c>
      <c r="J92" s="49">
        <f>IF(J87=0,0,IF(J83=1,'Input data'!$C$57*(J87-I87*J42/((1+J23/100)*(1+J41/100))),0))</f>
        <v>0.53576662817058318</v>
      </c>
      <c r="K92" s="49">
        <f>IF(K87=0,0,IF(K83=1,'Input data'!$C$57*(K87-J87*K42/((1+K23/100)*(1+K41/100))),0))</f>
        <v>0.57489605978807612</v>
      </c>
      <c r="L92" s="49">
        <f>IF(L87=0,0,IF(L83=1,'Input data'!$C$57*(L87-K87*L42/((1+L23/100)*(1+L41/100))),0))</f>
        <v>0.61460829126830852</v>
      </c>
      <c r="M92" s="49">
        <f>IF(M87=0,0,IF(M83=1,'Input data'!$C$57*(M87-L87*M42/((1+M23/100)*(1+M41/100))),0))</f>
        <v>0.65392372826990397</v>
      </c>
      <c r="N92" s="49">
        <f>IF(N87=0,0,IF(N83=1,'Input data'!$C$57*(N87-M87*N42/((1+N23/100)*(1+N41/100))),0))</f>
        <v>0.68920787878757683</v>
      </c>
      <c r="O92" s="49">
        <f>IF(O87=0,0,IF(O83=1,'Input data'!$C$57*(O87-N87*O42/((1+O23/100)*(1+O41/100))),0))</f>
        <v>0.7024330309587089</v>
      </c>
      <c r="P92" s="49">
        <f>IF(P87=0,0,IF(P83=1,'Input data'!$C$57*(P87-O87*P42/((1+P23/100)*(1+P41/100))),0))</f>
        <v>0.70257391006279601</v>
      </c>
      <c r="Q92" s="49">
        <f>IF(Q87=0,0,IF(Q83=1,'Input data'!$C$57*(Q87-P87*Q42/((1+Q23/100)*(1+Q41/100))),0))</f>
        <v>0.68848282904445401</v>
      </c>
      <c r="R92" s="49">
        <f>IF(R87=0,0,IF(R83=1,'Input data'!$C$57*(R87-Q87*R42/((1+R23/100)*(1+R41/100))),0))</f>
        <v>0.65885694917452764</v>
      </c>
      <c r="S92" s="49">
        <f>IF(S87=0,0,IF(S83=1,'Input data'!$C$57*(S87-R87*S42/((1+S23/100)*(1+S41/100))),0))</f>
        <v>0.6211752149877704</v>
      </c>
      <c r="T92" s="49">
        <f>IF(T87=0,0,IF(T83=1,'Input data'!$C$57*(T87-S87*T42/((1+T23/100)*(1+T41/100))),0))</f>
        <v>0.57713054462994773</v>
      </c>
      <c r="U92" s="49">
        <f>IF(U87=0,0,IF(U83=1,'Input data'!$C$57*(U87-T87*U42/((1+U23/100)*(1+U41/100))),0))</f>
        <v>0.52582594781404723</v>
      </c>
      <c r="V92" s="49">
        <f>IF(V87=0,0,IF(V83=1,'Input data'!$C$57*(V87-U87*V42/((1+V23/100)*(1+V41/100))),0))</f>
        <v>0.46963777919883531</v>
      </c>
      <c r="W92" s="49">
        <f>IF(W87=0,0,IF(W83=1,'Input data'!$C$57*(W87-V87*W42/((1+W23/100)*(1+W41/100))),0))</f>
        <v>0.41611705483593253</v>
      </c>
    </row>
    <row r="93" spans="2:23" x14ac:dyDescent="0.2">
      <c r="B93" s="26" t="s">
        <v>73</v>
      </c>
      <c r="C93" s="36"/>
      <c r="D93" s="36">
        <f>1-D94</f>
        <v>9.7796143737858943E-2</v>
      </c>
      <c r="E93" s="36">
        <f>IF(E87&lt;&gt;0,(E90+E92)/(E88+E89+E90+E91+E92),0)</f>
        <v>9.8589302861401301E-2</v>
      </c>
      <c r="F93" s="36">
        <f>IF(F87&lt;&gt;0,(F90+F92)/(F88+F89+F90+F91+F92),0)</f>
        <v>9.935081666877546E-2</v>
      </c>
      <c r="G93" s="36">
        <f>IF(G87&lt;&gt;0,(G90+G92)/(G88+G89+G90+G91+G92),0)</f>
        <v>9.9888297345180441E-2</v>
      </c>
      <c r="H93" s="36">
        <f>IF(H87&lt;&gt;0,(H90+H92)/(H88+H89+H90+H91+H92),0)</f>
        <v>0.10037533024528328</v>
      </c>
      <c r="I93" s="36">
        <f t="shared" ref="I93:W93" si="31">IF(I87&lt;&gt;0,(I90+I92)/(I88+I89+I90+I91+I92),0)</f>
        <v>0.10081455891096215</v>
      </c>
      <c r="J93" s="36">
        <f t="shared" si="31"/>
        <v>0.10122680718114624</v>
      </c>
      <c r="K93" s="36">
        <f t="shared" si="31"/>
        <v>0.10163234629694017</v>
      </c>
      <c r="L93" s="36">
        <f t="shared" si="31"/>
        <v>0.10202812273358547</v>
      </c>
      <c r="M93" s="36">
        <f>IF(M87&lt;&gt;0,(M90+M92)/(M88+M89+M90+M91+M92),0)</f>
        <v>0.10241129086057441</v>
      </c>
      <c r="N93" s="36">
        <f t="shared" si="31"/>
        <v>0.10277806858318396</v>
      </c>
      <c r="O93" s="36">
        <f t="shared" si="31"/>
        <v>0.10311768742497884</v>
      </c>
      <c r="P93" s="36">
        <f t="shared" si="31"/>
        <v>0.10342765908965294</v>
      </c>
      <c r="Q93" s="36">
        <f t="shared" si="31"/>
        <v>0.10370658979254051</v>
      </c>
      <c r="R93" s="36">
        <f t="shared" si="31"/>
        <v>0.1039537064959847</v>
      </c>
      <c r="S93" s="36">
        <f t="shared" si="31"/>
        <v>0.10417115076078444</v>
      </c>
      <c r="T93" s="36">
        <f t="shared" si="31"/>
        <v>0.10436128800174976</v>
      </c>
      <c r="U93" s="36">
        <f t="shared" si="31"/>
        <v>0.10452580354364606</v>
      </c>
      <c r="V93" s="36">
        <f t="shared" si="31"/>
        <v>0.10466665002174157</v>
      </c>
      <c r="W93" s="36">
        <f t="shared" si="31"/>
        <v>0.10478725952259901</v>
      </c>
    </row>
    <row r="94" spans="2:23" x14ac:dyDescent="0.2">
      <c r="B94" s="35" t="s">
        <v>74</v>
      </c>
      <c r="C94" s="108"/>
      <c r="D94" s="108">
        <f>(D88+D89+D91)/D87</f>
        <v>0.90220385626214106</v>
      </c>
      <c r="E94" s="108">
        <f>IF(E87&lt;&gt;0,(E88+E89+E91)/(E88+E89+E90+E91+E92),1)</f>
        <v>0.90141069713859878</v>
      </c>
      <c r="F94" s="108">
        <f>IF(F87&lt;&gt;0,(F88+F89+F91)/(F88+F89+F90+F91+F92),1)</f>
        <v>0.90064918333122457</v>
      </c>
      <c r="G94" s="108">
        <f>IF(G87&lt;&gt;0,(G88+G89+G91)/(G88+G89+G90+G91+G92),1)</f>
        <v>0.90011170265481966</v>
      </c>
      <c r="H94" s="108">
        <f>IF(H87&lt;&gt;0,(H88+H89+H91)/(H88+H89+H90+H91+H92),1)</f>
        <v>0.89962466975471678</v>
      </c>
      <c r="I94" s="108">
        <f t="shared" ref="I94:W94" si="32">IF(I87&lt;&gt;0,(I88+I89+I91)/(I88+I89+I90+I91+I92),1)</f>
        <v>0.89918544108903786</v>
      </c>
      <c r="J94" s="108">
        <f t="shared" si="32"/>
        <v>0.89877319281885382</v>
      </c>
      <c r="K94" s="108">
        <f t="shared" si="32"/>
        <v>0.89836765370305982</v>
      </c>
      <c r="L94" s="108">
        <f t="shared" si="32"/>
        <v>0.89797187726641448</v>
      </c>
      <c r="M94" s="108">
        <f t="shared" si="32"/>
        <v>0.89758870913942557</v>
      </c>
      <c r="N94" s="108">
        <f t="shared" si="32"/>
        <v>0.89722193141681617</v>
      </c>
      <c r="O94" s="108">
        <f t="shared" si="32"/>
        <v>0.89688231257502105</v>
      </c>
      <c r="P94" s="108">
        <f t="shared" si="32"/>
        <v>0.89657234091034699</v>
      </c>
      <c r="Q94" s="108">
        <f t="shared" si="32"/>
        <v>0.89629341020745945</v>
      </c>
      <c r="R94" s="108">
        <f t="shared" si="32"/>
        <v>0.8960462935040151</v>
      </c>
      <c r="S94" s="108">
        <f t="shared" si="32"/>
        <v>0.89582884923921557</v>
      </c>
      <c r="T94" s="108">
        <f t="shared" si="32"/>
        <v>0.89563871199825018</v>
      </c>
      <c r="U94" s="108">
        <f t="shared" si="32"/>
        <v>0.89547419645635395</v>
      </c>
      <c r="V94" s="108">
        <f t="shared" si="32"/>
        <v>0.89533334997825842</v>
      </c>
      <c r="W94" s="108">
        <f t="shared" si="32"/>
        <v>0.89521274047740096</v>
      </c>
    </row>
    <row r="95" spans="2:23" x14ac:dyDescent="0.2">
      <c r="C95" s="36"/>
      <c r="D95" s="36"/>
      <c r="E95" s="252"/>
      <c r="F95" s="252"/>
      <c r="G95" s="252"/>
      <c r="H95" s="36"/>
      <c r="I95" s="36"/>
      <c r="J95" s="36"/>
      <c r="K95" s="36"/>
      <c r="L95" s="36"/>
      <c r="M95" s="36"/>
      <c r="N95" s="36"/>
      <c r="O95" s="36"/>
      <c r="P95" s="36"/>
      <c r="Q95" s="36"/>
      <c r="R95" s="36"/>
      <c r="S95" s="36"/>
      <c r="T95" s="36"/>
      <c r="U95" s="36"/>
      <c r="V95" s="36"/>
      <c r="W95" s="36"/>
    </row>
    <row r="96" spans="2:23" x14ac:dyDescent="0.2">
      <c r="B96" s="113" t="s">
        <v>132</v>
      </c>
      <c r="C96" s="115">
        <f>C35</f>
        <v>0.73297140000000005</v>
      </c>
      <c r="D96" s="115">
        <f>D35</f>
        <v>0.83926920000000005</v>
      </c>
      <c r="E96" s="115">
        <f>E98+E99</f>
        <v>1.5804370000000001</v>
      </c>
      <c r="F96" s="115">
        <f>F98+F99</f>
        <v>1.6625099999999999</v>
      </c>
      <c r="G96" s="115">
        <f>G98+G99</f>
        <v>1.8895660000000001</v>
      </c>
      <c r="H96" s="115">
        <f>H98+H99</f>
        <v>2.0046747199414239</v>
      </c>
      <c r="I96" s="115">
        <f t="shared" ref="I96:W96" si="33">I98+I99</f>
        <v>2.095899264942612</v>
      </c>
      <c r="J96" s="115">
        <f t="shared" si="33"/>
        <v>2.1793481709749853</v>
      </c>
      <c r="K96" s="115">
        <f t="shared" si="33"/>
        <v>2.2577880250814242</v>
      </c>
      <c r="L96" s="115">
        <f t="shared" si="33"/>
        <v>2.3337712298669606</v>
      </c>
      <c r="M96" s="115">
        <f t="shared" si="33"/>
        <v>2.4070276908922112</v>
      </c>
      <c r="N96" s="115">
        <f t="shared" si="33"/>
        <v>2.4773340038366616</v>
      </c>
      <c r="O96" s="115">
        <f t="shared" si="33"/>
        <v>2.5443773379280388</v>
      </c>
      <c r="P96" s="115">
        <f t="shared" si="33"/>
        <v>2.605460467748081</v>
      </c>
      <c r="Q96" s="115">
        <f t="shared" si="33"/>
        <v>2.662522099370102</v>
      </c>
      <c r="R96" s="115">
        <f t="shared" si="33"/>
        <v>2.7155259203670439</v>
      </c>
      <c r="S96" s="115">
        <f t="shared" si="33"/>
        <v>2.7644719406008993</v>
      </c>
      <c r="T96" s="115">
        <f t="shared" si="33"/>
        <v>2.8096870729383836</v>
      </c>
      <c r="U96" s="115">
        <f t="shared" si="33"/>
        <v>2.8515019403868074</v>
      </c>
      <c r="V96" s="115">
        <f t="shared" si="33"/>
        <v>2.8901393310658166</v>
      </c>
      <c r="W96" s="115">
        <f t="shared" si="33"/>
        <v>2.925842810908899</v>
      </c>
    </row>
    <row r="97" spans="2:25" x14ac:dyDescent="0.2">
      <c r="B97" s="33" t="s">
        <v>133</v>
      </c>
      <c r="C97" s="1"/>
      <c r="D97" s="34"/>
      <c r="E97" s="265">
        <f>((E35*D87)-(E37*D90+D92))/(D88+D89+D91)</f>
        <v>1.3986373199095827</v>
      </c>
      <c r="F97" s="265">
        <f>((F35*E87)-(F37*E90+E92))/(E88+E89+E91)</f>
        <v>1.4777937058767769</v>
      </c>
      <c r="G97" s="265">
        <f>((G35*F87)-(G37*F90+F92))/(F88+F89+F91)</f>
        <v>1.8044682152148124</v>
      </c>
      <c r="H97" s="34">
        <f t="shared" ref="H97:W97" si="34">IF(G87&gt;0,(G97*G88+H36*(G91+G89))/(G88+G89+G91),H36)</f>
        <v>1.9158501253626419</v>
      </c>
      <c r="I97" s="34">
        <f t="shared" si="34"/>
        <v>2.0180307987672688</v>
      </c>
      <c r="J97" s="34">
        <f t="shared" si="34"/>
        <v>2.1117221729497841</v>
      </c>
      <c r="K97" s="34">
        <f t="shared" si="34"/>
        <v>2.1999599264286389</v>
      </c>
      <c r="L97" s="34">
        <f t="shared" si="34"/>
        <v>2.2855579726654729</v>
      </c>
      <c r="M97" s="34">
        <f t="shared" si="34"/>
        <v>2.3682110736005098</v>
      </c>
      <c r="N97" s="34">
        <f t="shared" si="34"/>
        <v>2.4476642922753977</v>
      </c>
      <c r="O97" s="34">
        <f t="shared" si="34"/>
        <v>2.5235618899425294</v>
      </c>
      <c r="P97" s="34">
        <f t="shared" si="34"/>
        <v>2.5957653246998369</v>
      </c>
      <c r="Q97" s="34">
        <f t="shared" si="34"/>
        <v>2.6635650712539962</v>
      </c>
      <c r="R97" s="34">
        <f t="shared" si="34"/>
        <v>2.7269055454743825</v>
      </c>
      <c r="S97" s="34">
        <f t="shared" si="34"/>
        <v>2.7857720614498684</v>
      </c>
      <c r="T97" s="34">
        <f t="shared" si="34"/>
        <v>2.8405164116291988</v>
      </c>
      <c r="U97" s="34">
        <f t="shared" si="34"/>
        <v>2.8914967032652497</v>
      </c>
      <c r="V97" s="34">
        <f t="shared" si="34"/>
        <v>2.9389522254704565</v>
      </c>
      <c r="W97" s="34">
        <f t="shared" si="34"/>
        <v>2.9831470772106305</v>
      </c>
    </row>
    <row r="98" spans="2:25" x14ac:dyDescent="0.2">
      <c r="B98" s="26" t="s">
        <v>134</v>
      </c>
      <c r="C98" s="34"/>
      <c r="D98" s="34"/>
      <c r="E98" s="265">
        <f>E35</f>
        <v>1.5804370000000001</v>
      </c>
      <c r="F98" s="265">
        <f>F35</f>
        <v>1.6625099999999999</v>
      </c>
      <c r="G98" s="265">
        <f>G35</f>
        <v>1.8895660000000001</v>
      </c>
      <c r="H98" s="34">
        <f t="shared" ref="H98:W98" si="35">(H97*(G88+G89+G91)+H37*(G90+G92))/G87</f>
        <v>2.0046747199414239</v>
      </c>
      <c r="I98" s="34">
        <f t="shared" si="35"/>
        <v>2.095899264942612</v>
      </c>
      <c r="J98" s="34">
        <f t="shared" si="35"/>
        <v>2.1793481709749853</v>
      </c>
      <c r="K98" s="34">
        <f t="shared" si="35"/>
        <v>2.2577880250814242</v>
      </c>
      <c r="L98" s="34">
        <f t="shared" si="35"/>
        <v>2.3337712298669606</v>
      </c>
      <c r="M98" s="34">
        <f t="shared" si="35"/>
        <v>2.4070276908922112</v>
      </c>
      <c r="N98" s="34">
        <f t="shared" si="35"/>
        <v>2.4773340038366616</v>
      </c>
      <c r="O98" s="34">
        <f t="shared" si="35"/>
        <v>2.5443773379280388</v>
      </c>
      <c r="P98" s="34">
        <f t="shared" si="35"/>
        <v>2.605460467748081</v>
      </c>
      <c r="Q98" s="34">
        <f t="shared" si="35"/>
        <v>2.662522099370102</v>
      </c>
      <c r="R98" s="34">
        <f t="shared" si="35"/>
        <v>2.7155259203670439</v>
      </c>
      <c r="S98" s="34">
        <f t="shared" si="35"/>
        <v>2.7644719406008993</v>
      </c>
      <c r="T98" s="34">
        <f t="shared" si="35"/>
        <v>2.8096870729383836</v>
      </c>
      <c r="U98" s="34">
        <f t="shared" si="35"/>
        <v>2.8515019403868074</v>
      </c>
      <c r="V98" s="34">
        <f t="shared" si="35"/>
        <v>2.8901393310658166</v>
      </c>
      <c r="W98" s="34">
        <f t="shared" si="35"/>
        <v>2.925842810908899</v>
      </c>
    </row>
    <row r="99" spans="2:25" x14ac:dyDescent="0.2">
      <c r="B99" s="35" t="s">
        <v>135</v>
      </c>
      <c r="C99" s="114"/>
      <c r="D99" s="49"/>
      <c r="E99" s="49">
        <f>E108</f>
        <v>0</v>
      </c>
      <c r="F99" s="49">
        <f>F108</f>
        <v>0</v>
      </c>
      <c r="G99" s="49">
        <f>G108</f>
        <v>0</v>
      </c>
      <c r="H99" s="49">
        <f>H108</f>
        <v>0</v>
      </c>
      <c r="I99" s="49">
        <f t="shared" ref="I99:W99" si="36">I108</f>
        <v>0</v>
      </c>
      <c r="J99" s="49">
        <f t="shared" si="36"/>
        <v>0</v>
      </c>
      <c r="K99" s="49">
        <f t="shared" si="36"/>
        <v>0</v>
      </c>
      <c r="L99" s="49">
        <f t="shared" si="36"/>
        <v>0</v>
      </c>
      <c r="M99" s="49">
        <f t="shared" si="36"/>
        <v>0</v>
      </c>
      <c r="N99" s="49">
        <f t="shared" si="36"/>
        <v>0</v>
      </c>
      <c r="O99" s="49">
        <f t="shared" si="36"/>
        <v>0</v>
      </c>
      <c r="P99" s="49">
        <f t="shared" si="36"/>
        <v>0</v>
      </c>
      <c r="Q99" s="49">
        <f t="shared" si="36"/>
        <v>0</v>
      </c>
      <c r="R99" s="49">
        <f t="shared" si="36"/>
        <v>0</v>
      </c>
      <c r="S99" s="49">
        <f t="shared" si="36"/>
        <v>0</v>
      </c>
      <c r="T99" s="49">
        <f t="shared" si="36"/>
        <v>0</v>
      </c>
      <c r="U99" s="49">
        <f t="shared" si="36"/>
        <v>0</v>
      </c>
      <c r="V99" s="49">
        <f t="shared" si="36"/>
        <v>0</v>
      </c>
      <c r="W99" s="49">
        <f t="shared" si="36"/>
        <v>0</v>
      </c>
    </row>
    <row r="100" spans="2:25" x14ac:dyDescent="0.2">
      <c r="G100" s="98"/>
      <c r="H100" s="98"/>
      <c r="I100" s="98"/>
      <c r="J100" s="98"/>
      <c r="K100" s="98"/>
      <c r="L100" s="98"/>
      <c r="M100" s="98"/>
      <c r="N100" s="98"/>
      <c r="O100" s="98"/>
      <c r="P100" s="98"/>
      <c r="Q100" s="98"/>
      <c r="R100" s="98"/>
      <c r="S100" s="98"/>
      <c r="T100" s="98"/>
      <c r="U100" s="98"/>
      <c r="V100" s="98"/>
      <c r="W100" s="98"/>
    </row>
    <row r="101" spans="2:25" x14ac:dyDescent="0.2">
      <c r="B101" s="113" t="s">
        <v>186</v>
      </c>
      <c r="C101" s="115">
        <f t="shared" ref="C101:W101" si="37">((1+C96/100)/((1+C23/100)*(1+C41/100))-1)*100</f>
        <v>-4.3409713213587997</v>
      </c>
      <c r="D101" s="115">
        <f t="shared" si="37"/>
        <v>-5.5733961793317803</v>
      </c>
      <c r="E101" s="115">
        <f t="shared" si="37"/>
        <v>-2.0557830858901172</v>
      </c>
      <c r="F101" s="115">
        <f t="shared" si="37"/>
        <v>-0.1745813850073441</v>
      </c>
      <c r="G101" s="115">
        <f t="shared" si="37"/>
        <v>-1.8577311719465417</v>
      </c>
      <c r="H101" s="115">
        <f t="shared" si="37"/>
        <v>-1.4608638844466171</v>
      </c>
      <c r="I101" s="115">
        <f t="shared" si="37"/>
        <v>-1.5254051835279503</v>
      </c>
      <c r="J101" s="115">
        <f t="shared" si="37"/>
        <v>-1.139504904849753</v>
      </c>
      <c r="K101" s="115">
        <f t="shared" si="37"/>
        <v>-0.65544329093110143</v>
      </c>
      <c r="L101" s="115">
        <f t="shared" si="37"/>
        <v>-0.61054272037359691</v>
      </c>
      <c r="M101" s="115">
        <f t="shared" si="37"/>
        <v>-0.61787452488636374</v>
      </c>
      <c r="N101" s="115">
        <f t="shared" si="37"/>
        <v>-0.67289934988848943</v>
      </c>
      <c r="O101" s="115">
        <f t="shared" si="37"/>
        <v>-0.68524359346927577</v>
      </c>
      <c r="P101" s="115">
        <f t="shared" si="37"/>
        <v>-0.80182966476364248</v>
      </c>
      <c r="Q101" s="115">
        <f t="shared" si="37"/>
        <v>-0.92176959802228176</v>
      </c>
      <c r="R101" s="115">
        <f t="shared" si="37"/>
        <v>-1.0450947572836156</v>
      </c>
      <c r="S101" s="115">
        <f t="shared" si="37"/>
        <v>-1.0439078137635449</v>
      </c>
      <c r="T101" s="115">
        <f t="shared" si="37"/>
        <v>-1.021576561384363</v>
      </c>
      <c r="U101" s="115">
        <f t="shared" si="37"/>
        <v>-1.0153188902827126</v>
      </c>
      <c r="V101" s="115">
        <f t="shared" si="37"/>
        <v>-0.99741917489211129</v>
      </c>
      <c r="W101" s="115">
        <f t="shared" si="37"/>
        <v>-0.8927405307824543</v>
      </c>
    </row>
    <row r="102" spans="2:25" x14ac:dyDescent="0.2">
      <c r="F102" s="34"/>
      <c r="G102" s="34"/>
      <c r="H102" s="34"/>
      <c r="I102" s="34"/>
      <c r="J102" s="34"/>
      <c r="K102" s="34"/>
      <c r="L102" s="34"/>
      <c r="M102" s="34"/>
      <c r="N102" s="34"/>
      <c r="O102" s="34"/>
      <c r="P102" s="34"/>
      <c r="Q102" s="34"/>
      <c r="R102" s="34"/>
      <c r="S102" s="34"/>
      <c r="T102" s="34"/>
      <c r="U102" s="34"/>
      <c r="V102" s="34"/>
      <c r="W102" s="34"/>
    </row>
    <row r="104" spans="2:25" s="93" customFormat="1" ht="12.75" x14ac:dyDescent="0.2">
      <c r="B104" s="25" t="s">
        <v>136</v>
      </c>
    </row>
    <row r="105" spans="2:25" s="109" customFormat="1" ht="12.75" x14ac:dyDescent="0.2">
      <c r="C105" s="103"/>
      <c r="D105" s="103"/>
      <c r="E105" s="103"/>
      <c r="F105" s="103"/>
      <c r="G105" s="103"/>
      <c r="H105" s="103"/>
      <c r="I105" s="103"/>
      <c r="J105" s="103"/>
      <c r="K105" s="103"/>
      <c r="L105" s="103"/>
      <c r="M105" s="103"/>
      <c r="N105" s="103"/>
      <c r="O105" s="103"/>
      <c r="P105" s="103"/>
      <c r="Q105" s="103"/>
      <c r="R105" s="103"/>
      <c r="S105" s="103"/>
      <c r="T105" s="103"/>
      <c r="U105" s="103"/>
      <c r="V105" s="103"/>
      <c r="W105" s="103"/>
    </row>
    <row r="106" spans="2:25" x14ac:dyDescent="0.2">
      <c r="B106" s="120" t="s">
        <v>43</v>
      </c>
      <c r="C106" s="34">
        <v>72.584819999999993</v>
      </c>
      <c r="D106" s="34">
        <v>73.511600000000001</v>
      </c>
      <c r="E106" s="34">
        <v>75.830699999999993</v>
      </c>
      <c r="F106" s="34">
        <v>80.487430000000003</v>
      </c>
      <c r="G106" s="34">
        <v>82.200940000000003</v>
      </c>
      <c r="H106" s="34">
        <v>83.851100000000002</v>
      </c>
      <c r="I106" s="34">
        <v>84.991829999999993</v>
      </c>
      <c r="J106" s="34">
        <v>86.238829999999993</v>
      </c>
      <c r="K106" s="34">
        <v>87.923959999999994</v>
      </c>
      <c r="L106" s="34">
        <v>89.657449999999997</v>
      </c>
      <c r="M106" s="34">
        <v>91.399360000000001</v>
      </c>
      <c r="N106" s="34">
        <v>93.105029999999999</v>
      </c>
      <c r="O106" s="34">
        <v>94.619609999999994</v>
      </c>
      <c r="P106" s="34">
        <v>95.846199999999996</v>
      </c>
      <c r="Q106" s="34">
        <v>96.773070000000004</v>
      </c>
      <c r="R106" s="34">
        <v>97.382469999999998</v>
      </c>
      <c r="S106" s="34">
        <v>97.779640000000001</v>
      </c>
      <c r="T106" s="34">
        <v>97.973089999999999</v>
      </c>
      <c r="U106" s="34">
        <v>97.936279999999996</v>
      </c>
      <c r="V106" s="34">
        <v>97.685180000000003</v>
      </c>
      <c r="W106" s="34">
        <v>97.32441</v>
      </c>
    </row>
    <row r="107" spans="2:25" x14ac:dyDescent="0.2">
      <c r="B107" s="26" t="s">
        <v>132</v>
      </c>
      <c r="C107" s="34">
        <v>0.73297140000000005</v>
      </c>
      <c r="D107" s="34">
        <v>0.83926920000000005</v>
      </c>
      <c r="E107" s="34">
        <v>1.5804370000000001</v>
      </c>
      <c r="F107" s="34">
        <v>1.6625099999999999</v>
      </c>
      <c r="G107" s="34">
        <v>1.8895660000000001</v>
      </c>
      <c r="H107" s="34">
        <v>1.986993</v>
      </c>
      <c r="I107" s="34">
        <v>2.0747490000000002</v>
      </c>
      <c r="J107" s="34">
        <v>2.153314</v>
      </c>
      <c r="K107" s="34">
        <v>2.2262529999999998</v>
      </c>
      <c r="L107" s="34">
        <v>2.2963450000000001</v>
      </c>
      <c r="M107" s="34">
        <v>2.363537</v>
      </c>
      <c r="N107" s="34">
        <v>2.4279989999999998</v>
      </c>
      <c r="O107" s="34">
        <v>2.4898479999999998</v>
      </c>
      <c r="P107" s="34">
        <v>2.546144</v>
      </c>
      <c r="Q107" s="34">
        <v>2.599335</v>
      </c>
      <c r="R107" s="34">
        <v>2.6497389999999998</v>
      </c>
      <c r="S107" s="34">
        <v>2.6975799999999999</v>
      </c>
      <c r="T107" s="34">
        <v>2.74302</v>
      </c>
      <c r="U107" s="34">
        <v>2.7862179999999999</v>
      </c>
      <c r="V107" s="34">
        <v>2.8273169999999999</v>
      </c>
      <c r="W107" s="34">
        <v>2.8665210000000001</v>
      </c>
    </row>
    <row r="108" spans="2:25" x14ac:dyDescent="0.2">
      <c r="B108" s="26" t="s">
        <v>185</v>
      </c>
      <c r="C108" s="34"/>
      <c r="D108" s="34">
        <v>0</v>
      </c>
      <c r="E108" s="34">
        <v>0</v>
      </c>
      <c r="F108" s="34">
        <v>0</v>
      </c>
      <c r="G108" s="34">
        <v>0</v>
      </c>
      <c r="H108" s="34">
        <v>0</v>
      </c>
      <c r="I108" s="34">
        <v>0</v>
      </c>
      <c r="J108" s="34">
        <v>0</v>
      </c>
      <c r="K108" s="34">
        <v>0</v>
      </c>
      <c r="L108" s="34">
        <v>0</v>
      </c>
      <c r="M108" s="34">
        <v>0</v>
      </c>
      <c r="N108" s="34">
        <v>0</v>
      </c>
      <c r="O108" s="34">
        <v>0</v>
      </c>
      <c r="P108" s="34">
        <v>0</v>
      </c>
      <c r="Q108" s="34">
        <v>0</v>
      </c>
      <c r="R108" s="34">
        <v>0</v>
      </c>
      <c r="S108" s="34">
        <v>0</v>
      </c>
      <c r="T108" s="34">
        <v>0</v>
      </c>
      <c r="U108" s="34">
        <v>0</v>
      </c>
      <c r="V108" s="34">
        <v>0</v>
      </c>
      <c r="W108" s="34">
        <v>0</v>
      </c>
    </row>
    <row r="109" spans="2:25" x14ac:dyDescent="0.2">
      <c r="C109" s="118"/>
      <c r="D109" s="118"/>
      <c r="E109" s="118"/>
      <c r="F109" s="118"/>
      <c r="G109" s="118"/>
      <c r="H109" s="118"/>
      <c r="I109" s="118"/>
      <c r="J109" s="118"/>
      <c r="K109" s="118"/>
      <c r="L109" s="118"/>
      <c r="M109" s="118"/>
      <c r="N109" s="118"/>
      <c r="O109" s="118"/>
      <c r="P109" s="118"/>
      <c r="Q109" s="118"/>
      <c r="R109" s="118"/>
      <c r="S109" s="118"/>
      <c r="T109" s="118"/>
      <c r="U109" s="118"/>
      <c r="V109" s="118"/>
      <c r="W109" s="118"/>
    </row>
    <row r="110" spans="2:25" x14ac:dyDescent="0.2">
      <c r="B110" s="26" t="s">
        <v>96</v>
      </c>
      <c r="C110" s="31">
        <v>2021</v>
      </c>
      <c r="D110" s="31">
        <v>2022</v>
      </c>
      <c r="E110" s="31">
        <v>2023</v>
      </c>
      <c r="F110" s="31">
        <v>2024</v>
      </c>
      <c r="G110" s="31">
        <v>2025</v>
      </c>
      <c r="H110" s="31">
        <v>2026</v>
      </c>
      <c r="I110" s="31">
        <v>2027</v>
      </c>
      <c r="J110" s="31">
        <v>2028</v>
      </c>
      <c r="K110" s="31">
        <v>2029</v>
      </c>
      <c r="L110" s="31">
        <v>2030</v>
      </c>
      <c r="M110" s="31">
        <v>2031</v>
      </c>
      <c r="N110" s="31">
        <v>2032</v>
      </c>
      <c r="O110" s="31">
        <v>2033</v>
      </c>
      <c r="P110" s="31">
        <v>2034</v>
      </c>
      <c r="Q110" s="31">
        <v>2035</v>
      </c>
      <c r="R110" s="31">
        <v>2036</v>
      </c>
      <c r="S110" s="31">
        <v>2037</v>
      </c>
      <c r="T110" s="31">
        <v>2038</v>
      </c>
      <c r="U110" s="31">
        <v>2039</v>
      </c>
      <c r="V110" s="31">
        <v>2040</v>
      </c>
      <c r="W110" s="31">
        <v>2041</v>
      </c>
    </row>
    <row r="111" spans="2:25" x14ac:dyDescent="0.2">
      <c r="B111" s="26" t="s">
        <v>137</v>
      </c>
      <c r="C111" s="34">
        <v>3.8019160000000003E-2</v>
      </c>
      <c r="D111" s="34">
        <v>7.8597440000000005E-2</v>
      </c>
      <c r="E111" s="34">
        <v>5.9475470000000003E-2</v>
      </c>
      <c r="F111" s="34">
        <v>9.6876959999999998E-2</v>
      </c>
      <c r="G111" s="34">
        <v>0.11684023</v>
      </c>
      <c r="H111" s="34">
        <v>0.13811532000000001</v>
      </c>
      <c r="I111" s="34">
        <v>0.13659083</v>
      </c>
      <c r="J111" s="34">
        <v>0.14219135999999999</v>
      </c>
      <c r="K111" s="34">
        <v>0.1389396</v>
      </c>
      <c r="L111" s="34">
        <v>0.12512538000000001</v>
      </c>
      <c r="M111" s="34">
        <v>0.12849179999999999</v>
      </c>
      <c r="N111" s="34">
        <v>7.2085140000000006E-2</v>
      </c>
      <c r="O111" s="34">
        <v>6.8681389999999995E-2</v>
      </c>
      <c r="P111" s="34">
        <v>6.8049499999999999E-2</v>
      </c>
      <c r="Q111" s="34">
        <v>6.8080779999999994E-2</v>
      </c>
      <c r="R111" s="34">
        <v>6.7666320000000002E-2</v>
      </c>
      <c r="S111" s="34">
        <v>6.9220519999999994E-2</v>
      </c>
      <c r="T111" s="34">
        <v>6.6629789999999994E-2</v>
      </c>
      <c r="U111" s="34">
        <v>6.6434309999999996E-2</v>
      </c>
      <c r="V111" s="34">
        <v>6.6393380000000002E-2</v>
      </c>
      <c r="W111" s="34">
        <v>6.621254E-2</v>
      </c>
      <c r="X111" s="38"/>
    </row>
    <row r="112" spans="2:25" x14ac:dyDescent="0.2">
      <c r="B112" s="26" t="s">
        <v>138</v>
      </c>
      <c r="C112" s="34">
        <v>3.0337050000000001E-2</v>
      </c>
      <c r="D112" s="34">
        <v>3.594311E-2</v>
      </c>
      <c r="E112" s="34">
        <v>4.1166179999999997E-2</v>
      </c>
      <c r="F112" s="34">
        <v>1.594102E-2</v>
      </c>
      <c r="G112" s="34">
        <v>1.5850139999999999E-2</v>
      </c>
      <c r="H112" s="34">
        <v>3.7528779999999998E-2</v>
      </c>
      <c r="I112" s="34">
        <v>3.4050280000000002E-2</v>
      </c>
      <c r="J112" s="34">
        <v>4.734439E-2</v>
      </c>
      <c r="K112" s="34">
        <v>4.4075929999999999E-2</v>
      </c>
      <c r="L112" s="34">
        <v>5.08599E-2</v>
      </c>
      <c r="M112" s="34">
        <v>6.6237939999999995E-2</v>
      </c>
      <c r="N112" s="34">
        <v>6.0253769999999998E-2</v>
      </c>
      <c r="O112" s="34">
        <v>9.0030589999999994E-2</v>
      </c>
      <c r="P112" s="34">
        <v>7.2952390000000006E-2</v>
      </c>
      <c r="Q112" s="34">
        <v>7.7366660000000004E-2</v>
      </c>
      <c r="R112" s="34">
        <v>9.0839359999999994E-2</v>
      </c>
      <c r="S112" s="34">
        <v>9.9621100000000004E-2</v>
      </c>
      <c r="T112" s="34">
        <v>0.10965455</v>
      </c>
      <c r="U112" s="34">
        <v>9.8654409999999998E-2</v>
      </c>
      <c r="V112" s="34">
        <v>0.10313576000000001</v>
      </c>
      <c r="W112" s="34">
        <v>0.11073872999999999</v>
      </c>
      <c r="X112" s="34"/>
      <c r="Y112" s="98"/>
    </row>
    <row r="113" spans="2:24" x14ac:dyDescent="0.2">
      <c r="B113" s="26" t="s">
        <v>139</v>
      </c>
      <c r="C113" s="34">
        <v>1E-3</v>
      </c>
      <c r="D113" s="34">
        <v>7.5373060000000006E-2</v>
      </c>
      <c r="E113" s="34">
        <v>4.6882050000000001E-2</v>
      </c>
      <c r="F113" s="34">
        <v>5.4216720000000003E-2</v>
      </c>
      <c r="G113" s="34">
        <v>6.7343109999999998E-2</v>
      </c>
      <c r="H113" s="34">
        <v>7.3281109999999997E-2</v>
      </c>
      <c r="I113" s="34">
        <v>6.3735609999999998E-2</v>
      </c>
      <c r="J113" s="34">
        <v>7.1999019999999997E-2</v>
      </c>
      <c r="K113" s="34">
        <v>7.7920139999999999E-2</v>
      </c>
      <c r="L113" s="34">
        <v>7.3665930000000004E-2</v>
      </c>
      <c r="M113" s="34">
        <v>9.2833230000000003E-2</v>
      </c>
      <c r="N113" s="34">
        <v>9.7499160000000001E-2</v>
      </c>
      <c r="O113" s="34">
        <v>0.10431984</v>
      </c>
      <c r="P113" s="34">
        <v>7.7692949999999997E-2</v>
      </c>
      <c r="Q113" s="34">
        <v>8.1896739999999996E-2</v>
      </c>
      <c r="R113" s="34">
        <v>7.226059E-2</v>
      </c>
      <c r="S113" s="34">
        <v>7.2475159999999997E-2</v>
      </c>
      <c r="T113" s="34">
        <v>7.2704249999999998E-2</v>
      </c>
      <c r="U113" s="34">
        <v>7.292216E-2</v>
      </c>
      <c r="V113" s="34">
        <v>7.3112590000000005E-2</v>
      </c>
      <c r="W113" s="34">
        <v>7.3435849999999997E-2</v>
      </c>
      <c r="X113" s="38"/>
    </row>
    <row r="114" spans="2:24" x14ac:dyDescent="0.2">
      <c r="B114" s="26" t="s">
        <v>140</v>
      </c>
      <c r="C114" s="34">
        <v>8.3818409999999996E-2</v>
      </c>
      <c r="D114" s="34">
        <v>6.9391629999999996E-2</v>
      </c>
      <c r="E114" s="34">
        <v>4.6492409999999998E-2</v>
      </c>
      <c r="F114" s="34">
        <v>4.9193250000000001E-2</v>
      </c>
      <c r="G114" s="34">
        <v>5.6712739999999998E-2</v>
      </c>
      <c r="H114" s="34">
        <v>6.4011879999999993E-2</v>
      </c>
      <c r="I114" s="34">
        <v>6.4931299999999997E-2</v>
      </c>
      <c r="J114" s="34">
        <v>6.3912460000000004E-2</v>
      </c>
      <c r="K114" s="34">
        <v>6.1693610000000003E-2</v>
      </c>
      <c r="L114" s="34">
        <v>5.4426040000000002E-2</v>
      </c>
      <c r="M114" s="34">
        <v>8.556656E-2</v>
      </c>
      <c r="N114" s="34">
        <v>8.1653809999999993E-2</v>
      </c>
      <c r="O114" s="34">
        <v>7.5878589999999996E-2</v>
      </c>
      <c r="P114" s="34">
        <v>6.1356269999999997E-2</v>
      </c>
      <c r="Q114" s="34">
        <v>8.1797350000000005E-2</v>
      </c>
      <c r="R114" s="34">
        <v>8.4442320000000001E-2</v>
      </c>
      <c r="S114" s="34">
        <v>6.0270190000000001E-2</v>
      </c>
      <c r="T114" s="34">
        <v>7.2970759999999996E-2</v>
      </c>
      <c r="U114" s="34">
        <v>5.7315959999999999E-2</v>
      </c>
      <c r="V114" s="34">
        <v>6.0796679999999999E-2</v>
      </c>
      <c r="W114" s="34">
        <v>5.7293660000000003E-2</v>
      </c>
      <c r="X114" s="38"/>
    </row>
    <row r="115" spans="2:24" x14ac:dyDescent="0.2">
      <c r="C115" s="38"/>
      <c r="D115" s="38"/>
      <c r="E115" s="34"/>
      <c r="F115" s="34"/>
      <c r="G115" s="38"/>
      <c r="H115" s="118"/>
      <c r="I115" s="118"/>
      <c r="J115" s="118"/>
      <c r="K115" s="118"/>
      <c r="L115" s="118"/>
      <c r="M115" s="118"/>
      <c r="N115" s="118"/>
      <c r="O115" s="118"/>
      <c r="P115" s="118"/>
      <c r="Q115" s="118"/>
      <c r="R115" s="118"/>
      <c r="S115" s="118"/>
      <c r="T115" s="118"/>
      <c r="U115" s="118"/>
      <c r="V115" s="118"/>
      <c r="W115" s="118"/>
      <c r="X115" s="38"/>
    </row>
    <row r="116" spans="2:24" x14ac:dyDescent="0.2">
      <c r="E116" s="34"/>
      <c r="F116" s="34"/>
      <c r="G116" s="121"/>
      <c r="H116" s="121"/>
      <c r="I116" s="121"/>
      <c r="J116" s="121"/>
      <c r="K116" s="121"/>
      <c r="L116" s="121"/>
      <c r="M116" s="121"/>
      <c r="N116" s="121"/>
      <c r="O116" s="121"/>
      <c r="P116" s="121"/>
      <c r="Q116" s="121"/>
      <c r="R116" s="121"/>
      <c r="S116" s="121"/>
      <c r="T116" s="121"/>
      <c r="U116" s="121"/>
      <c r="V116" s="121"/>
      <c r="W116" s="121"/>
    </row>
    <row r="117" spans="2:24" x14ac:dyDescent="0.2">
      <c r="D117" s="258"/>
      <c r="E117" s="258"/>
      <c r="F117" s="258"/>
      <c r="G117" s="258"/>
    </row>
    <row r="118" spans="2:24" x14ac:dyDescent="0.2">
      <c r="D118" s="258"/>
      <c r="E118" s="258"/>
      <c r="F118" s="258"/>
      <c r="G118" s="258"/>
      <c r="H118" s="258"/>
      <c r="I118" s="258"/>
      <c r="J118" s="258"/>
      <c r="K118" s="258"/>
      <c r="L118" s="258"/>
      <c r="M118" s="258"/>
      <c r="N118" s="258"/>
      <c r="O118" s="258"/>
      <c r="P118" s="258"/>
      <c r="Q118" s="258"/>
      <c r="R118" s="258"/>
      <c r="S118" s="258"/>
      <c r="T118" s="258"/>
      <c r="U118" s="121"/>
      <c r="V118" s="121"/>
      <c r="W118" s="121"/>
    </row>
    <row r="119" spans="2:24" x14ac:dyDescent="0.2">
      <c r="E119" s="34"/>
      <c r="F119" s="34"/>
      <c r="G119" s="121"/>
      <c r="H119" s="121"/>
      <c r="I119" s="121"/>
      <c r="J119" s="121"/>
      <c r="K119" s="121"/>
      <c r="L119" s="121"/>
      <c r="M119" s="121"/>
      <c r="N119" s="121"/>
      <c r="O119" s="121"/>
      <c r="P119" s="121"/>
      <c r="Q119" s="121"/>
      <c r="R119" s="121"/>
      <c r="S119" s="121"/>
      <c r="T119" s="121"/>
      <c r="U119" s="121"/>
      <c r="V119" s="121"/>
      <c r="W119" s="121"/>
      <c r="X119" s="121"/>
    </row>
    <row r="120" spans="2:24" x14ac:dyDescent="0.2">
      <c r="G120" s="121"/>
      <c r="H120" s="121"/>
      <c r="I120" s="121"/>
      <c r="J120" s="121"/>
      <c r="K120" s="121"/>
      <c r="L120" s="121"/>
      <c r="M120" s="121"/>
      <c r="N120" s="121"/>
      <c r="O120" s="121"/>
      <c r="P120" s="121"/>
      <c r="Q120" s="121"/>
      <c r="R120" s="121"/>
      <c r="S120" s="121"/>
      <c r="T120" s="121"/>
      <c r="U120" s="121"/>
      <c r="V120" s="121"/>
      <c r="W120" s="121"/>
      <c r="X120" s="121"/>
    </row>
    <row r="121" spans="2:24" x14ac:dyDescent="0.2">
      <c r="E121" s="34"/>
      <c r="F121" s="98"/>
      <c r="G121" s="98"/>
      <c r="H121" s="98"/>
      <c r="I121" s="98"/>
      <c r="J121" s="98"/>
      <c r="K121" s="98"/>
      <c r="L121" s="98"/>
      <c r="M121" s="98"/>
      <c r="N121" s="98"/>
      <c r="O121" s="98"/>
      <c r="P121" s="98"/>
      <c r="Q121" s="98"/>
      <c r="R121" s="98"/>
      <c r="S121" s="98"/>
      <c r="T121" s="98"/>
      <c r="U121" s="98"/>
      <c r="V121" s="98"/>
      <c r="W121" s="98"/>
      <c r="X121" s="121"/>
    </row>
    <row r="122" spans="2:24" x14ac:dyDescent="0.2">
      <c r="E122" s="34"/>
      <c r="F122" s="34"/>
      <c r="G122" s="121"/>
      <c r="H122" s="121"/>
      <c r="I122" s="121"/>
      <c r="J122" s="121"/>
      <c r="K122" s="121"/>
      <c r="L122" s="121"/>
      <c r="M122" s="121"/>
      <c r="N122" s="121"/>
      <c r="O122" s="121"/>
      <c r="P122" s="121"/>
      <c r="Q122" s="121"/>
      <c r="R122" s="121"/>
      <c r="S122" s="121"/>
      <c r="T122" s="121"/>
      <c r="U122" s="121"/>
      <c r="V122" s="121"/>
      <c r="W122" s="121"/>
      <c r="X122" s="121"/>
    </row>
    <row r="123" spans="2:24" x14ac:dyDescent="0.2">
      <c r="G123" s="121"/>
      <c r="H123" s="121"/>
      <c r="I123" s="121"/>
      <c r="J123" s="121"/>
      <c r="K123" s="121"/>
      <c r="L123" s="121"/>
      <c r="M123" s="121"/>
      <c r="N123" s="121"/>
      <c r="O123" s="121"/>
      <c r="P123" s="121"/>
      <c r="Q123" s="121"/>
      <c r="R123" s="121"/>
      <c r="S123" s="121"/>
      <c r="T123" s="121"/>
      <c r="U123" s="121"/>
      <c r="V123" s="121"/>
      <c r="W123" s="121"/>
      <c r="X123" s="121"/>
    </row>
  </sheetData>
  <conditionalFormatting sqref="U10:W24 U26:W32 U34:W43 U45:W52 U54:W80 U82:W103 U105:W129">
    <cfRule type="expression" dxfId="36" priority="1">
      <formula>U$10&gt;($C$6+10)</formula>
    </cfRule>
  </conditionalFormatting>
  <pageMargins left="0.7" right="0.7" top="0.75" bottom="0.75" header="0.3" footer="0.3"/>
  <pageSetup paperSize="9" orientation="portrait" r:id="rId1"/>
  <ignoredErrors>
    <ignoredError sqref="C5:C6 C46:C47" unlockedFormula="1"/>
    <ignoredError sqref="V35:W35 V56:W57 V66:W69 V76:W77 V97:W98 U84:U86 V83:W86 V100:W100 U88:U94 V88:W96" evalError="1"/>
  </ignoredErrors>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400-000000000000}">
  <sheetPr codeName="Sheet4">
    <tabColor rgb="FFFFC000"/>
  </sheetPr>
  <dimension ref="A1:AY135"/>
  <sheetViews>
    <sheetView zoomScale="121" zoomScaleNormal="100" workbookViewId="0">
      <selection activeCell="J12" sqref="J12"/>
    </sheetView>
  </sheetViews>
  <sheetFormatPr defaultColWidth="9.28515625" defaultRowHeight="11.25" outlineLevelRow="1" x14ac:dyDescent="0.2"/>
  <cols>
    <col min="1" max="1" width="9.28515625" style="26" customWidth="1"/>
    <col min="2" max="2" width="57.42578125" style="26" customWidth="1"/>
    <col min="3" max="38" width="9.28515625" style="26" customWidth="1"/>
    <col min="39" max="48" width="11.42578125" style="26" bestFit="1" customWidth="1"/>
    <col min="49" max="16384" width="9.28515625" style="26"/>
  </cols>
  <sheetData>
    <row r="1" spans="1:51" ht="24.75" customHeight="1" x14ac:dyDescent="0.2">
      <c r="B1" s="39"/>
    </row>
    <row r="2" spans="1:51" ht="11.25" customHeight="1" x14ac:dyDescent="0.2">
      <c r="B2" s="27"/>
    </row>
    <row r="3" spans="1:51" ht="11.25" customHeight="1" x14ac:dyDescent="0.2">
      <c r="B3" s="19" t="s">
        <v>15</v>
      </c>
      <c r="C3" s="20" t="str">
        <f>'Input data'!C3</f>
        <v>FI</v>
      </c>
    </row>
    <row r="4" spans="1:51" x14ac:dyDescent="0.2">
      <c r="B4" s="64" t="s">
        <v>38</v>
      </c>
      <c r="C4" s="21"/>
    </row>
    <row r="5" spans="1:51" x14ac:dyDescent="0.2">
      <c r="A5" s="29"/>
      <c r="B5" s="22" t="str">
        <f>'Input data'!B5</f>
        <v>Last year before the adjustment</v>
      </c>
      <c r="C5" s="23">
        <f>+'Input data'!C5</f>
        <v>2024</v>
      </c>
      <c r="J5" s="53"/>
      <c r="M5" s="38"/>
    </row>
    <row r="6" spans="1:51" x14ac:dyDescent="0.2">
      <c r="A6" s="29"/>
      <c r="B6" s="65" t="s">
        <v>44</v>
      </c>
      <c r="C6" s="23">
        <f>+C5+'Criteria results'!$F$5</f>
        <v>2031</v>
      </c>
      <c r="E6" s="43"/>
      <c r="F6" s="29"/>
    </row>
    <row r="7" spans="1:51" x14ac:dyDescent="0.2">
      <c r="A7" s="29"/>
      <c r="B7" s="24" t="s">
        <v>39</v>
      </c>
      <c r="C7" s="66">
        <f>C5+'Criteria results'!$F$5+10</f>
        <v>2041</v>
      </c>
      <c r="E7" s="43"/>
      <c r="F7" s="29"/>
      <c r="G7" s="53"/>
      <c r="H7" s="53"/>
      <c r="I7" s="53"/>
      <c r="J7" s="53"/>
      <c r="K7" s="53"/>
      <c r="L7" s="53"/>
      <c r="M7" s="53"/>
    </row>
    <row r="8" spans="1:51" x14ac:dyDescent="0.2">
      <c r="A8" s="29"/>
      <c r="C8" s="29"/>
      <c r="E8" s="43"/>
      <c r="F8" s="29"/>
      <c r="G8" s="29"/>
      <c r="H8" s="29"/>
      <c r="I8" s="29"/>
      <c r="J8" s="29"/>
      <c r="K8" s="29"/>
      <c r="L8" s="29"/>
      <c r="M8" s="29"/>
      <c r="N8" s="29"/>
      <c r="O8" s="29"/>
      <c r="P8" s="29"/>
      <c r="Q8" s="29"/>
      <c r="R8" s="29"/>
      <c r="S8" s="29"/>
      <c r="T8" s="29"/>
      <c r="U8" s="29"/>
      <c r="V8" s="29"/>
      <c r="W8" s="29"/>
    </row>
    <row r="9" spans="1:51" s="67" customFormat="1" ht="12.75" x14ac:dyDescent="0.2">
      <c r="B9" s="25" t="s">
        <v>45</v>
      </c>
    </row>
    <row r="10" spans="1:51" x14ac:dyDescent="0.2">
      <c r="C10" s="31">
        <v>2021</v>
      </c>
      <c r="D10" s="31">
        <v>2022</v>
      </c>
      <c r="E10" s="31">
        <v>2023</v>
      </c>
      <c r="F10" s="31">
        <v>2024</v>
      </c>
      <c r="G10" s="31">
        <v>2025</v>
      </c>
      <c r="H10" s="31">
        <v>2026</v>
      </c>
      <c r="I10" s="31">
        <v>2027</v>
      </c>
      <c r="J10" s="31">
        <v>2028</v>
      </c>
      <c r="K10" s="31">
        <v>2029</v>
      </c>
      <c r="L10" s="31">
        <v>2030</v>
      </c>
      <c r="M10" s="31">
        <v>2031</v>
      </c>
      <c r="N10" s="31">
        <v>2032</v>
      </c>
      <c r="O10" s="31">
        <v>2033</v>
      </c>
      <c r="P10" s="31">
        <v>2034</v>
      </c>
      <c r="Q10" s="31">
        <v>2035</v>
      </c>
      <c r="R10" s="31">
        <v>2036</v>
      </c>
      <c r="S10" s="31">
        <v>2037</v>
      </c>
      <c r="T10" s="31">
        <v>2038</v>
      </c>
      <c r="U10" s="31">
        <v>2039</v>
      </c>
      <c r="V10" s="31">
        <v>2040</v>
      </c>
      <c r="W10" s="31">
        <v>2041</v>
      </c>
      <c r="X10" s="29"/>
      <c r="Y10" s="29"/>
      <c r="Z10" s="29"/>
      <c r="AA10" s="29"/>
      <c r="AB10" s="29"/>
      <c r="AC10" s="29"/>
      <c r="AD10" s="29"/>
      <c r="AE10" s="29"/>
      <c r="AF10" s="29"/>
      <c r="AG10" s="29"/>
      <c r="AH10" s="29"/>
      <c r="AI10" s="29"/>
      <c r="AJ10" s="29"/>
      <c r="AK10" s="29"/>
      <c r="AL10" s="29"/>
      <c r="AM10" s="29"/>
      <c r="AN10" s="29"/>
      <c r="AO10" s="29"/>
      <c r="AP10" s="29"/>
      <c r="AQ10" s="29"/>
      <c r="AR10" s="29"/>
      <c r="AS10" s="29"/>
      <c r="AT10" s="29"/>
      <c r="AU10" s="29"/>
      <c r="AV10" s="29"/>
      <c r="AW10" s="29"/>
      <c r="AX10" s="29"/>
    </row>
    <row r="11" spans="1:51" x14ac:dyDescent="0.2">
      <c r="B11" s="28" t="s">
        <v>46</v>
      </c>
      <c r="C11" s="29"/>
      <c r="D11" s="29"/>
      <c r="E11" s="29"/>
      <c r="F11" s="262"/>
      <c r="G11" s="262"/>
      <c r="H11" s="262"/>
      <c r="I11" s="262"/>
      <c r="J11" s="262"/>
      <c r="K11" s="262"/>
      <c r="L11" s="262"/>
      <c r="M11" s="262"/>
      <c r="N11" s="262"/>
      <c r="O11" s="262"/>
      <c r="P11" s="262"/>
      <c r="Q11" s="262"/>
      <c r="R11" s="262"/>
      <c r="S11" s="262"/>
      <c r="T11" s="262"/>
      <c r="U11" s="262"/>
      <c r="V11" s="262"/>
      <c r="W11" s="262"/>
      <c r="X11" s="29"/>
      <c r="Y11" s="29"/>
      <c r="Z11" s="29"/>
      <c r="AA11" s="29"/>
      <c r="AB11" s="29"/>
      <c r="AC11" s="29"/>
      <c r="AD11" s="29"/>
      <c r="AE11" s="29"/>
      <c r="AF11" s="29"/>
      <c r="AG11" s="29"/>
      <c r="AH11" s="29"/>
      <c r="AI11" s="29"/>
      <c r="AJ11" s="29"/>
      <c r="AK11" s="29"/>
      <c r="AL11" s="29"/>
      <c r="AM11" s="29"/>
      <c r="AN11" s="29"/>
      <c r="AO11" s="29"/>
      <c r="AP11" s="29"/>
      <c r="AQ11" s="29"/>
      <c r="AR11" s="29"/>
      <c r="AS11" s="29"/>
      <c r="AT11" s="29"/>
      <c r="AU11" s="29"/>
      <c r="AV11" s="29"/>
      <c r="AW11" s="29"/>
      <c r="AX11" s="29"/>
    </row>
    <row r="12" spans="1:51" x14ac:dyDescent="0.2">
      <c r="B12" s="26" t="s">
        <v>48</v>
      </c>
      <c r="C12" s="1">
        <f>'Input data'!C13</f>
        <v>-2.1345519999999998</v>
      </c>
      <c r="D12" s="2">
        <f>'Input data'!D13</f>
        <v>0.29205680000000001</v>
      </c>
      <c r="E12" s="2">
        <f>'Input data'!E13</f>
        <v>-0.2445959</v>
      </c>
      <c r="F12" s="2">
        <f>'Input data'!F13</f>
        <v>-0.53010330000000006</v>
      </c>
      <c r="G12" s="3">
        <v>0.8</v>
      </c>
      <c r="H12" s="3">
        <v>1.1000000000000001</v>
      </c>
      <c r="I12" s="3">
        <v>1.4</v>
      </c>
      <c r="J12" s="3">
        <v>1.8</v>
      </c>
      <c r="K12" s="119">
        <v>2.1</v>
      </c>
      <c r="L12" s="119">
        <v>2.2999999999999998</v>
      </c>
      <c r="M12" s="119">
        <v>2.6</v>
      </c>
      <c r="N12" s="119">
        <f>M12</f>
        <v>2.6</v>
      </c>
      <c r="O12" s="119">
        <f t="shared" ref="O12:W12" si="0">N12</f>
        <v>2.6</v>
      </c>
      <c r="P12" s="119">
        <f t="shared" si="0"/>
        <v>2.6</v>
      </c>
      <c r="Q12" s="119">
        <f t="shared" si="0"/>
        <v>2.6</v>
      </c>
      <c r="R12" s="119">
        <f t="shared" si="0"/>
        <v>2.6</v>
      </c>
      <c r="S12" s="119">
        <f t="shared" si="0"/>
        <v>2.6</v>
      </c>
      <c r="T12" s="119">
        <f t="shared" si="0"/>
        <v>2.6</v>
      </c>
      <c r="U12" s="119">
        <f t="shared" si="0"/>
        <v>2.6</v>
      </c>
      <c r="V12" s="119">
        <f t="shared" si="0"/>
        <v>2.6</v>
      </c>
      <c r="W12" s="119">
        <f t="shared" si="0"/>
        <v>2.6</v>
      </c>
      <c r="X12" s="59"/>
      <c r="Y12" s="59"/>
      <c r="Z12" s="59"/>
      <c r="AA12" s="59"/>
      <c r="AB12" s="59"/>
      <c r="AC12" s="59"/>
      <c r="AD12" s="59"/>
      <c r="AE12" s="59"/>
      <c r="AF12" s="59"/>
      <c r="AG12" s="59"/>
      <c r="AH12" s="59"/>
      <c r="AI12" s="59"/>
      <c r="AJ12" s="59"/>
      <c r="AK12" s="59"/>
      <c r="AL12" s="59"/>
      <c r="AM12" s="59"/>
      <c r="AN12" s="59"/>
      <c r="AO12" s="59"/>
      <c r="AP12" s="59"/>
      <c r="AQ12" s="59"/>
      <c r="AR12" s="59"/>
      <c r="AS12" s="59"/>
      <c r="AT12" s="59"/>
      <c r="AU12" s="59"/>
      <c r="AV12" s="59"/>
      <c r="AW12" s="59"/>
      <c r="AX12" s="59"/>
      <c r="AY12" s="60"/>
    </row>
    <row r="13" spans="1:51" x14ac:dyDescent="0.2">
      <c r="B13" s="300" t="s">
        <v>192</v>
      </c>
      <c r="C13" s="29"/>
      <c r="D13" s="29"/>
      <c r="E13" s="29"/>
      <c r="F13" s="262"/>
      <c r="G13" s="262">
        <f>G12-F12</f>
        <v>1.3301033000000002</v>
      </c>
      <c r="H13" s="262">
        <f>H12-G12</f>
        <v>0.30000000000000004</v>
      </c>
      <c r="I13" s="262">
        <f t="shared" ref="I13:W13" si="1">I12-H12</f>
        <v>0.29999999999999982</v>
      </c>
      <c r="J13" s="262">
        <f t="shared" si="1"/>
        <v>0.40000000000000013</v>
      </c>
      <c r="K13" s="262">
        <f t="shared" si="1"/>
        <v>0.30000000000000004</v>
      </c>
      <c r="L13" s="262">
        <f t="shared" si="1"/>
        <v>0.19999999999999973</v>
      </c>
      <c r="M13" s="262">
        <f t="shared" si="1"/>
        <v>0.30000000000000027</v>
      </c>
      <c r="N13" s="262">
        <f t="shared" si="1"/>
        <v>0</v>
      </c>
      <c r="O13" s="262">
        <f t="shared" si="1"/>
        <v>0</v>
      </c>
      <c r="P13" s="262">
        <f t="shared" si="1"/>
        <v>0</v>
      </c>
      <c r="Q13" s="262">
        <f t="shared" si="1"/>
        <v>0</v>
      </c>
      <c r="R13" s="262">
        <f t="shared" si="1"/>
        <v>0</v>
      </c>
      <c r="S13" s="262">
        <f t="shared" si="1"/>
        <v>0</v>
      </c>
      <c r="T13" s="262">
        <f t="shared" si="1"/>
        <v>0</v>
      </c>
      <c r="U13" s="262">
        <f t="shared" si="1"/>
        <v>0</v>
      </c>
      <c r="V13" s="262">
        <f t="shared" si="1"/>
        <v>0</v>
      </c>
      <c r="W13" s="262">
        <f t="shared" si="1"/>
        <v>0</v>
      </c>
      <c r="X13" s="29"/>
      <c r="Y13" s="29"/>
      <c r="Z13" s="29"/>
      <c r="AA13" s="29"/>
      <c r="AB13" s="29"/>
      <c r="AC13" s="29"/>
      <c r="AD13" s="29"/>
      <c r="AE13" s="29"/>
      <c r="AF13" s="29"/>
      <c r="AG13" s="29"/>
      <c r="AH13" s="29"/>
      <c r="AI13" s="29"/>
      <c r="AJ13" s="29"/>
      <c r="AK13" s="29"/>
      <c r="AL13" s="29"/>
      <c r="AM13" s="29"/>
      <c r="AN13" s="29"/>
      <c r="AO13" s="29"/>
      <c r="AP13" s="29"/>
      <c r="AQ13" s="29"/>
      <c r="AR13" s="29"/>
      <c r="AS13" s="29"/>
      <c r="AT13" s="29"/>
      <c r="AU13" s="29"/>
      <c r="AV13" s="29"/>
      <c r="AW13" s="29"/>
      <c r="AX13" s="29"/>
    </row>
    <row r="14" spans="1:51" x14ac:dyDescent="0.2">
      <c r="B14" s="26" t="s">
        <v>49</v>
      </c>
      <c r="C14" s="1">
        <f>'Input data'!C14</f>
        <v>0</v>
      </c>
      <c r="D14" s="2">
        <f>'Input data'!D14</f>
        <v>0</v>
      </c>
      <c r="E14" s="2">
        <f>'Input data'!E14</f>
        <v>0</v>
      </c>
      <c r="F14" s="2">
        <f>'Input data'!F14</f>
        <v>0</v>
      </c>
      <c r="G14" s="2">
        <f>'Input data'!G14</f>
        <v>0</v>
      </c>
      <c r="H14" s="2">
        <f>0</f>
        <v>0</v>
      </c>
      <c r="I14" s="2">
        <f>0</f>
        <v>0</v>
      </c>
      <c r="J14" s="2">
        <f>0</f>
        <v>0</v>
      </c>
      <c r="K14" s="2">
        <f>0</f>
        <v>0</v>
      </c>
      <c r="L14" s="2">
        <f>0</f>
        <v>0</v>
      </c>
      <c r="M14" s="2">
        <f>0</f>
        <v>0</v>
      </c>
      <c r="N14" s="2">
        <f>0</f>
        <v>0</v>
      </c>
      <c r="O14" s="2">
        <f>0</f>
        <v>0</v>
      </c>
      <c r="P14" s="2">
        <f>0</f>
        <v>0</v>
      </c>
      <c r="Q14" s="2">
        <f>0</f>
        <v>0</v>
      </c>
      <c r="R14" s="2">
        <f>0</f>
        <v>0</v>
      </c>
      <c r="S14" s="2">
        <f>0</f>
        <v>0</v>
      </c>
      <c r="T14" s="2">
        <f>0</f>
        <v>0</v>
      </c>
      <c r="U14" s="2">
        <f>0</f>
        <v>0</v>
      </c>
      <c r="V14" s="2">
        <f>0</f>
        <v>0</v>
      </c>
      <c r="W14" s="2">
        <f>0</f>
        <v>0</v>
      </c>
      <c r="X14" s="59"/>
      <c r="Y14" s="59"/>
      <c r="Z14" s="59"/>
      <c r="AA14" s="59"/>
      <c r="AB14" s="59"/>
      <c r="AC14" s="59"/>
      <c r="AD14" s="59"/>
      <c r="AE14" s="59"/>
      <c r="AF14" s="59"/>
      <c r="AG14" s="59"/>
      <c r="AH14" s="59"/>
      <c r="AI14" s="59"/>
      <c r="AJ14" s="59"/>
      <c r="AK14" s="59"/>
      <c r="AL14" s="59"/>
      <c r="AM14" s="59"/>
      <c r="AN14" s="59"/>
      <c r="AO14" s="59"/>
      <c r="AP14" s="59"/>
      <c r="AQ14" s="59"/>
      <c r="AR14" s="59"/>
      <c r="AS14" s="59"/>
      <c r="AT14" s="59"/>
      <c r="AU14" s="59"/>
      <c r="AV14" s="59"/>
      <c r="AW14" s="59"/>
      <c r="AX14" s="59"/>
      <c r="AY14" s="60"/>
    </row>
    <row r="15" spans="1:51" x14ac:dyDescent="0.2">
      <c r="B15" s="26" t="s">
        <v>87</v>
      </c>
      <c r="C15" s="1">
        <f>'Input data'!C15</f>
        <v>-1.1351690000000001</v>
      </c>
      <c r="D15" s="2">
        <f>'Input data'!D15</f>
        <v>4.8490650000000004</v>
      </c>
      <c r="E15" s="2">
        <f>'Input data'!E15</f>
        <v>2.318794</v>
      </c>
      <c r="F15" s="2">
        <f>'Input data'!F15</f>
        <v>2.6028570000000002</v>
      </c>
      <c r="G15" s="2">
        <f>'Input data'!G15</f>
        <v>1.6620999999999999</v>
      </c>
      <c r="H15" s="2">
        <f>'Input data'!H15</f>
        <v>1.6902729999999999</v>
      </c>
      <c r="I15" s="2">
        <f>'Input data'!I15</f>
        <v>1.702215</v>
      </c>
      <c r="J15" s="2">
        <f>'Input data'!J15</f>
        <v>1.648048</v>
      </c>
      <c r="K15" s="2">
        <f>'Input data'!K15</f>
        <v>1.5813470000000001</v>
      </c>
      <c r="L15" s="2">
        <f>'Input data'!L15</f>
        <v>1.5408029999999999</v>
      </c>
      <c r="M15" s="2">
        <f>'Input data'!M15</f>
        <v>1.5229809999999999</v>
      </c>
      <c r="N15" s="2">
        <f>'Input data'!N15</f>
        <v>1.526135</v>
      </c>
      <c r="O15" s="2">
        <f>'Input data'!O15</f>
        <v>1.3735219999999999</v>
      </c>
      <c r="P15" s="2">
        <f>'Input data'!P15</f>
        <v>1.2209080000000001</v>
      </c>
      <c r="Q15" s="2">
        <f>'Input data'!Q15</f>
        <v>1.068295</v>
      </c>
      <c r="R15" s="2">
        <f>'Input data'!R15</f>
        <v>0.91568099999999997</v>
      </c>
      <c r="S15" s="2">
        <f>'Input data'!S15</f>
        <v>0.76306750000000001</v>
      </c>
      <c r="T15" s="2">
        <f>'Input data'!T15</f>
        <v>0.61045400000000005</v>
      </c>
      <c r="U15" s="2">
        <f>'Input data'!U15</f>
        <v>0.45784049999999998</v>
      </c>
      <c r="V15" s="2">
        <f>'Input data'!V15</f>
        <v>0.30522700000000003</v>
      </c>
      <c r="W15" s="2">
        <f>'Input data'!W15</f>
        <v>0.15261350000000001</v>
      </c>
      <c r="X15" s="59"/>
      <c r="Y15" s="59"/>
      <c r="Z15" s="59"/>
      <c r="AA15" s="59"/>
      <c r="AB15" s="59"/>
      <c r="AC15" s="59"/>
      <c r="AD15" s="59"/>
      <c r="AE15" s="59"/>
      <c r="AF15" s="59"/>
      <c r="AG15" s="59"/>
      <c r="AH15" s="59"/>
      <c r="AI15" s="59"/>
      <c r="AJ15" s="59"/>
      <c r="AK15" s="59"/>
      <c r="AL15" s="59"/>
      <c r="AM15" s="59"/>
      <c r="AN15" s="59"/>
      <c r="AO15" s="59"/>
      <c r="AP15" s="59"/>
      <c r="AQ15" s="59"/>
      <c r="AR15" s="59"/>
      <c r="AS15" s="59"/>
      <c r="AT15" s="59"/>
      <c r="AU15" s="59"/>
      <c r="AV15" s="59"/>
      <c r="AW15" s="59"/>
      <c r="AX15" s="59"/>
      <c r="AY15" s="60"/>
    </row>
    <row r="16" spans="1:51" ht="5.65" customHeight="1" x14ac:dyDescent="0.2">
      <c r="C16" s="1"/>
      <c r="D16" s="1"/>
      <c r="E16" s="1"/>
      <c r="F16" s="1"/>
      <c r="G16" s="1"/>
      <c r="H16" s="1"/>
      <c r="I16" s="1"/>
      <c r="J16" s="1"/>
      <c r="K16" s="1"/>
      <c r="L16" s="1"/>
      <c r="M16" s="1"/>
      <c r="N16" s="1"/>
      <c r="O16" s="1"/>
      <c r="P16" s="1"/>
      <c r="Q16" s="1"/>
      <c r="R16" s="1"/>
      <c r="S16" s="1"/>
      <c r="T16" s="1"/>
      <c r="U16" s="1"/>
      <c r="V16" s="1"/>
      <c r="W16" s="1"/>
      <c r="X16" s="1"/>
      <c r="Y16" s="1"/>
      <c r="Z16" s="1"/>
      <c r="AA16" s="1"/>
      <c r="AB16" s="1"/>
      <c r="AC16" s="1"/>
      <c r="AD16" s="1"/>
      <c r="AE16" s="1"/>
      <c r="AF16" s="1"/>
      <c r="AG16" s="1"/>
      <c r="AH16" s="1"/>
      <c r="AI16" s="1"/>
      <c r="AJ16" s="1"/>
      <c r="AK16" s="1"/>
      <c r="AL16" s="1"/>
      <c r="AM16" s="1"/>
      <c r="AN16" s="1"/>
      <c r="AO16" s="1"/>
      <c r="AP16" s="1"/>
      <c r="AQ16" s="1"/>
      <c r="AR16" s="1"/>
      <c r="AS16" s="1"/>
      <c r="AT16" s="1"/>
      <c r="AU16" s="1"/>
      <c r="AV16" s="1"/>
      <c r="AW16" s="1"/>
      <c r="AX16" s="1"/>
    </row>
    <row r="17" spans="1:50" ht="11.25" customHeight="1" x14ac:dyDescent="0.2">
      <c r="B17" s="30" t="str">
        <f>'Input data'!B19</f>
        <v>Cost of ageing and selected public revenue (based on the Commission-Council 2024 Ageing Report ("AR 2024"))</v>
      </c>
      <c r="C17" s="1"/>
      <c r="D17" s="1"/>
      <c r="E17" s="1"/>
      <c r="F17" s="1"/>
      <c r="G17" s="1"/>
      <c r="H17" s="1"/>
      <c r="I17" s="1"/>
      <c r="J17" s="1"/>
      <c r="K17" s="1"/>
      <c r="L17" s="1"/>
      <c r="M17" s="1"/>
      <c r="N17" s="1"/>
      <c r="O17" s="1"/>
      <c r="P17" s="1"/>
      <c r="Q17" s="1"/>
      <c r="R17" s="1"/>
      <c r="S17" s="1"/>
      <c r="T17" s="1"/>
      <c r="U17" s="1"/>
      <c r="V17" s="1"/>
      <c r="W17" s="1"/>
      <c r="X17" s="1"/>
      <c r="Y17" s="1"/>
      <c r="Z17" s="1"/>
      <c r="AA17" s="1"/>
      <c r="AB17" s="1"/>
      <c r="AC17" s="1"/>
      <c r="AD17" s="1"/>
      <c r="AE17" s="1"/>
      <c r="AF17" s="1"/>
      <c r="AG17" s="1"/>
      <c r="AH17" s="1"/>
      <c r="AI17" s="1"/>
      <c r="AJ17" s="1"/>
      <c r="AK17" s="1"/>
      <c r="AL17" s="1"/>
      <c r="AM17" s="1"/>
      <c r="AN17" s="1"/>
      <c r="AO17" s="1"/>
      <c r="AP17" s="1"/>
      <c r="AQ17" s="1"/>
      <c r="AR17" s="1"/>
      <c r="AS17" s="1"/>
      <c r="AT17" s="1"/>
      <c r="AU17" s="1"/>
      <c r="AV17" s="1"/>
      <c r="AW17" s="1"/>
      <c r="AX17" s="1"/>
    </row>
    <row r="18" spans="1:50" x14ac:dyDescent="0.2">
      <c r="A18" s="61"/>
      <c r="B18" s="26" t="s">
        <v>52</v>
      </c>
      <c r="C18" s="1">
        <f>'Input data'!C20</f>
        <v>0</v>
      </c>
      <c r="D18" s="101">
        <f>'Input data'!D20</f>
        <v>23.655849999999997</v>
      </c>
      <c r="E18" s="101">
        <f>'Input data'!E20</f>
        <v>23.83699</v>
      </c>
      <c r="F18" s="101">
        <f>'Input data'!F20</f>
        <v>23.96105</v>
      </c>
      <c r="G18" s="101">
        <f>'Input data'!G20</f>
        <v>23.911249999999999</v>
      </c>
      <c r="H18" s="101">
        <f>'Input data'!H20</f>
        <v>23.909049999999997</v>
      </c>
      <c r="I18" s="101">
        <f>'Input data'!I20</f>
        <v>23.948919999999998</v>
      </c>
      <c r="J18" s="101">
        <f>'Input data'!J20</f>
        <v>24.046380000000003</v>
      </c>
      <c r="K18" s="101">
        <f>'Input data'!K20</f>
        <v>24.15964</v>
      </c>
      <c r="L18" s="101">
        <f>'Input data'!L20</f>
        <v>24.232299999999999</v>
      </c>
      <c r="M18" s="101">
        <f>'Input data'!M20</f>
        <v>24.288240000000002</v>
      </c>
      <c r="N18" s="101">
        <f>'Input data'!N20</f>
        <v>24.322410000000001</v>
      </c>
      <c r="O18" s="101">
        <f>'Input data'!O20</f>
        <v>24.319019999999998</v>
      </c>
      <c r="P18" s="101">
        <f>'Input data'!P20</f>
        <v>24.31607</v>
      </c>
      <c r="Q18" s="101">
        <f>'Input data'!Q20</f>
        <v>24.304599999999997</v>
      </c>
      <c r="R18" s="101">
        <f>'Input data'!R20</f>
        <v>24.277160000000002</v>
      </c>
      <c r="S18" s="101">
        <f>'Input data'!S20</f>
        <v>24.230790000000002</v>
      </c>
      <c r="T18" s="101">
        <f>'Input data'!T20</f>
        <v>24.168680000000002</v>
      </c>
      <c r="U18" s="101">
        <f>'Input data'!U20</f>
        <v>24.092350000000003</v>
      </c>
      <c r="V18" s="101">
        <f>'Input data'!V20</f>
        <v>24.017060000000001</v>
      </c>
      <c r="W18" s="101">
        <f>'Input data'!W20</f>
        <v>23.958480000000002</v>
      </c>
      <c r="X18" s="1"/>
      <c r="Y18" s="1"/>
      <c r="Z18" s="1"/>
      <c r="AA18" s="1"/>
      <c r="AB18" s="1"/>
      <c r="AC18" s="1"/>
      <c r="AD18" s="1"/>
      <c r="AE18" s="1"/>
      <c r="AF18" s="1"/>
      <c r="AG18" s="1"/>
      <c r="AH18" s="1"/>
      <c r="AI18" s="1"/>
      <c r="AJ18" s="1"/>
      <c r="AK18" s="1"/>
      <c r="AL18" s="1"/>
      <c r="AM18" s="1"/>
      <c r="AN18" s="1"/>
      <c r="AO18" s="1"/>
      <c r="AP18" s="1"/>
      <c r="AQ18" s="1"/>
      <c r="AR18" s="1"/>
      <c r="AS18" s="1"/>
      <c r="AT18" s="1"/>
      <c r="AU18" s="1"/>
      <c r="AV18" s="1"/>
      <c r="AW18" s="1"/>
      <c r="AX18" s="1"/>
    </row>
    <row r="19" spans="1:50" x14ac:dyDescent="0.2">
      <c r="A19" s="61"/>
      <c r="B19" s="26" t="s">
        <v>58</v>
      </c>
      <c r="C19" s="1">
        <f>'Input data'!C26</f>
        <v>2.0641180000000001</v>
      </c>
      <c r="D19" s="101">
        <f>'Input data'!D26</f>
        <v>2.1110479999999998</v>
      </c>
      <c r="E19" s="101">
        <f>'Input data'!E26</f>
        <v>2.1176979999999999</v>
      </c>
      <c r="F19" s="101">
        <f>'Input data'!F26</f>
        <v>2.1243479999999999</v>
      </c>
      <c r="G19" s="101">
        <f>'Input data'!G26</f>
        <v>2.1309979999999999</v>
      </c>
      <c r="H19" s="101">
        <f>'Input data'!H26</f>
        <v>2.137648</v>
      </c>
      <c r="I19" s="101">
        <f>'Input data'!I26</f>
        <v>2.1442990000000002</v>
      </c>
      <c r="J19" s="101">
        <f>'Input data'!J26</f>
        <v>2.1509490000000002</v>
      </c>
      <c r="K19" s="101">
        <f>'Input data'!K26</f>
        <v>2.1575989999999998</v>
      </c>
      <c r="L19" s="101">
        <f>'Input data'!L26</f>
        <v>2.1642489999999999</v>
      </c>
      <c r="M19" s="101">
        <f>'Input data'!M26</f>
        <v>2.1708989999999999</v>
      </c>
      <c r="N19" s="101">
        <f>'Input data'!N26</f>
        <v>2.1775500000000001</v>
      </c>
      <c r="O19" s="101">
        <f>'Input data'!O26</f>
        <v>2.1842000000000001</v>
      </c>
      <c r="P19" s="101">
        <f>'Input data'!P26</f>
        <v>2.1908500000000002</v>
      </c>
      <c r="Q19" s="101">
        <f>'Input data'!Q26</f>
        <v>2.1974999999999998</v>
      </c>
      <c r="R19" s="101">
        <f>'Input data'!R26</f>
        <v>2.2041499999999998</v>
      </c>
      <c r="S19" s="101">
        <f>'Input data'!S26</f>
        <v>2.210801</v>
      </c>
      <c r="T19" s="101">
        <f>'Input data'!T26</f>
        <v>2.2174510000000001</v>
      </c>
      <c r="U19" s="101">
        <f>'Input data'!U26</f>
        <v>2.2241010000000001</v>
      </c>
      <c r="V19" s="101">
        <f>'Input data'!V26</f>
        <v>2.2307510000000002</v>
      </c>
      <c r="W19" s="101">
        <f>'Input data'!W26</f>
        <v>2.2374010000000002</v>
      </c>
      <c r="X19" s="1"/>
      <c r="Y19" s="1"/>
      <c r="Z19" s="1"/>
      <c r="AA19" s="1"/>
      <c r="AB19" s="1"/>
      <c r="AC19" s="1"/>
      <c r="AD19" s="1"/>
      <c r="AE19" s="1"/>
      <c r="AF19" s="1"/>
      <c r="AG19" s="1"/>
      <c r="AH19" s="1"/>
      <c r="AI19" s="1"/>
      <c r="AJ19" s="1"/>
      <c r="AK19" s="1"/>
      <c r="AL19" s="1"/>
      <c r="AM19" s="1"/>
      <c r="AN19" s="1"/>
      <c r="AO19" s="1"/>
      <c r="AP19" s="1"/>
      <c r="AQ19" s="1"/>
      <c r="AR19" s="1"/>
      <c r="AS19" s="1"/>
      <c r="AT19" s="1"/>
      <c r="AU19" s="1"/>
      <c r="AV19" s="1"/>
      <c r="AW19" s="1"/>
      <c r="AX19" s="1"/>
    </row>
    <row r="21" spans="1:50" x14ac:dyDescent="0.2">
      <c r="B21" s="28" t="s">
        <v>88</v>
      </c>
    </row>
    <row r="22" spans="1:50" ht="10.5" customHeight="1" x14ac:dyDescent="0.2">
      <c r="B22" s="30" t="s">
        <v>89</v>
      </c>
    </row>
    <row r="23" spans="1:50" x14ac:dyDescent="0.2">
      <c r="B23" s="26" t="s">
        <v>61</v>
      </c>
      <c r="C23" s="34">
        <f>'Input data'!C31</f>
        <v>230.55600000000001</v>
      </c>
      <c r="D23" s="100">
        <f>'Baseline NFPC'!D22</f>
        <v>233.63499929652002</v>
      </c>
      <c r="E23" s="100">
        <f>'Baseline NFPC'!E22</f>
        <v>231.21599858620368</v>
      </c>
      <c r="F23" s="100">
        <f>'Baseline NFPC'!F22</f>
        <v>231.30753607517994</v>
      </c>
      <c r="G23" s="34">
        <f>IF(AND(G50&gt;1,F50&gt;1),IF(AND(G50&gt;0,F50&gt;0),G27*(G51/100+1),0)+IF(G50&gt;0,F23*(1+G52/100),0)-F23*(1+'Input data'!G30/100),IF(G50=1,G27,F23*(1+G52/100)))</f>
        <v>232.83522410308052</v>
      </c>
      <c r="H23" s="34">
        <f>IF(AND(H50&gt;1,G50&gt;1),IF(AND(H50&gt;0,G50&gt;0),H27*(H51/100+1),0)+IF(H50&gt;0,G23*(1+H52/100),0)-G23*(1+'Input data'!H30/100),IF(H50=1,H27,G23*(1+H52/100)))</f>
        <v>236.15101106824415</v>
      </c>
      <c r="I23" s="34">
        <f>IF(AND(I50&gt;1,H50&gt;1),IF(AND(I50&gt;0,H50&gt;0),I27*(I51/100+1),0)+IF(I50&gt;0,H23*(1+I52/100),0)-H23*(1+'Input data'!I30/100),IF(I50=1,I27,H23*(1+I52/100)))</f>
        <v>238.68605406779704</v>
      </c>
      <c r="J23" s="34">
        <f>IF(AND(J50&gt;1,I50&gt;1),IF(AND(J50&gt;0,I50&gt;0),J27*(J51/100+1),0)+IF(J50&gt;0,I23*(1+J52/100),0)-I23*(1+'Input data'!J30/100),IF(J50=1,J27,I23*(1+J52/100)))</f>
        <v>240.79889101020328</v>
      </c>
      <c r="K23" s="34">
        <f>IF(AND(K50&gt;1,J50&gt;1),IF(AND(K50&gt;0,J50&gt;0),K27*(K51/100+1),0)+IF(K50&gt;0,J23*(1+K52/100),0)-J23*(1+'Input data'!K30/100),IF(K50=1,K27,J23*(1+K52/100)))</f>
        <v>242.77304766052984</v>
      </c>
      <c r="L23" s="34">
        <f>IF(AND(L50&gt;1,K50&gt;1),IF(AND(L50&gt;0,K50&gt;0),L27*(L51/100+1),0)+IF(L50&gt;0,K23*(1+L52/100),0)-K23*(1+'Input data'!L30/100),IF(L50=1,L27,K23*(1+L52/100)))</f>
        <v>244.6943835366497</v>
      </c>
      <c r="M23" s="34">
        <f>IF(AND(M50&gt;1,L50&gt;1),IF(AND(M50&gt;0,L50&gt;0),M27*(M51/100+1),0)+IF(M50&gt;0,L23*(1+M52/100),0)-L23*(1+'Input data'!M30/100),IF(M50=1,M27,L23*(1+M52/100)))</f>
        <v>246.32245767743882</v>
      </c>
      <c r="N23" s="34">
        <f>IF(AND(N50&gt;1,M50&gt;1),IF(AND(N50&gt;0,M50&gt;0),N27*(N51/100+1),0)+IF(N50&gt;0,M23*(1+N52/100),0)-M23*(1+'Input data'!N30/100),IF(N50=1,N27,M23*(1+N52/100)))</f>
        <v>248.6289681766477</v>
      </c>
      <c r="O23" s="34">
        <f>IF(AND(O50&gt;1,N50&gt;1),IF(AND(O50&gt;0,N50&gt;0),O27*(O51/100+1),0)+IF(O50&gt;0,N23*(1+O52/100),0)-N23*(1+'Input data'!O30/100),IF(O50=1,O27,N23*(1+O52/100)))</f>
        <v>251.02044980331118</v>
      </c>
      <c r="P23" s="34">
        <f>IF(AND(P50&gt;1,O50&gt;1),IF(AND(P50&gt;0,O50&gt;0),P27*(P51/100+1),0)+IF(P50&gt;0,O23*(1+P52/100),0)-O23*(1+'Input data'!P30/100),IF(P50=1,P27,O23*(1+P52/100)))</f>
        <v>253.9501091209801</v>
      </c>
      <c r="Q23" s="34">
        <f>IF(AND(Q50&gt;1,P50&gt;1),IF(AND(Q50&gt;0,P50&gt;0),Q27*(Q51/100+1),0)+IF(Q50&gt;0,P23*(1+Q52/100),0)-P23*(1+'Input data'!Q30/100),IF(Q50=1,Q27,P23*(1+Q52/100)))</f>
        <v>256.73165006119314</v>
      </c>
      <c r="R23" s="34">
        <f>IF(AND(R50&gt;1,Q50&gt;1),IF(AND(R50&gt;0,Q50&gt;0),R27*(R51/100+1),0)+IF(R50&gt;0,Q23*(1+R52/100),0)-Q23*(1+'Input data'!R30/100),IF(R50=1,R27,Q23*(1+R52/100)))</f>
        <v>260.07106646083213</v>
      </c>
      <c r="S23" s="34">
        <f>IF(AND(S50&gt;1,R50&gt;1),IF(AND(S50&gt;0,R50&gt;0),S27*(S51/100+1),0)+IF(S50&gt;0,R23*(1+S52/100),0)-R23*(1+'Input data'!S30/100),IF(S50=1,S27,R23*(1+S52/100)))</f>
        <v>263.64705662822189</v>
      </c>
      <c r="T23" s="34">
        <f>IF(AND(T50&gt;1,S50&gt;1),IF(AND(T50&gt;0,S50&gt;0),T27*(T51/100+1),0)+IF(T50&gt;0,S23*(1+T52/100),0)-S23*(1+'Input data'!T30/100),IF(T50=1,T27,S23*(1+T52/100)))</f>
        <v>267.40126943696168</v>
      </c>
      <c r="U23" s="34">
        <f>IF(AND(U50&gt;1,T50&gt;1),IF(AND(U50&gt;0,T50&gt;0),U27*(U51/100+1),0)+IF(U50&gt;0,T23*(1+U52/100),0)-T23*(1+'Input data'!U30/100),IF(U50=1,U27,T23*(1+U52/100)))</f>
        <v>271.37496460932812</v>
      </c>
      <c r="V23" s="34">
        <f>IF(AND(V50&gt;1,U50&gt;1),IF(AND(V50&gt;0,U50&gt;0),V27*(V51/100+1),0)+IF(V50&gt;0,U23*(1+V52/100),0)-U23*(1+'Input data'!V30/100),IF(V50=1,V27,U23*(1+V52/100)))</f>
        <v>275.53536534426007</v>
      </c>
      <c r="W23" s="34">
        <f>IF(AND(W50&gt;1,V50&gt;1),IF(AND(W50&gt;0,V50&gt;0),W27*(W51/100+1),0)+IF(W50&gt;0,V23*(1+W52/100),0)-V23*(1+'Input data'!W30/100),IF(W50=1,W27,V23*(1+W52/100)))</f>
        <v>279.63616645273964</v>
      </c>
      <c r="X23" s="34"/>
      <c r="Y23" s="34"/>
      <c r="Z23" s="34"/>
      <c r="AA23" s="34"/>
      <c r="AB23" s="34"/>
      <c r="AC23" s="34"/>
      <c r="AD23" s="34"/>
      <c r="AE23" s="34"/>
      <c r="AF23" s="34"/>
      <c r="AG23" s="34"/>
      <c r="AH23" s="34"/>
      <c r="AI23" s="34"/>
      <c r="AJ23" s="34"/>
      <c r="AK23" s="34"/>
      <c r="AL23" s="34"/>
      <c r="AM23" s="34"/>
      <c r="AN23" s="34"/>
      <c r="AO23" s="34"/>
      <c r="AP23" s="34"/>
      <c r="AQ23" s="34"/>
      <c r="AR23" s="34"/>
      <c r="AS23" s="34"/>
      <c r="AT23" s="34"/>
      <c r="AU23" s="34"/>
      <c r="AV23" s="34"/>
    </row>
    <row r="24" spans="1:50" x14ac:dyDescent="0.2">
      <c r="A24" s="61"/>
      <c r="B24" s="62" t="s">
        <v>60</v>
      </c>
      <c r="C24" s="34">
        <f>+'Input data'!C30</f>
        <v>2.8381799999999999</v>
      </c>
      <c r="D24" s="100">
        <f>'Baseline NFPC'!D23</f>
        <v>1.335467</v>
      </c>
      <c r="E24" s="100">
        <f>'Baseline NFPC'!E23</f>
        <v>-1.0353760000000001</v>
      </c>
      <c r="F24" s="100">
        <f>'Baseline NFPC'!F23</f>
        <v>3.9589600000000003E-2</v>
      </c>
      <c r="G24" s="34">
        <f>100*(G23/F23-1)</f>
        <v>0.66045752499999111</v>
      </c>
      <c r="H24" s="34">
        <f t="shared" ref="H24:S24" si="2">100*(H23/G23-1)</f>
        <v>1.42409164160473</v>
      </c>
      <c r="I24" s="34">
        <f t="shared" si="2"/>
        <v>1.0734838644498979</v>
      </c>
      <c r="J24" s="34">
        <f t="shared" si="2"/>
        <v>0.88519496903916028</v>
      </c>
      <c r="K24" s="34">
        <f t="shared" si="2"/>
        <v>0.81983627168902284</v>
      </c>
      <c r="L24" s="34">
        <f t="shared" si="2"/>
        <v>0.79141234771928914</v>
      </c>
      <c r="M24" s="34">
        <f t="shared" si="2"/>
        <v>0.6653500244909738</v>
      </c>
      <c r="N24" s="34">
        <f t="shared" si="2"/>
        <v>0.93637848572836191</v>
      </c>
      <c r="O24" s="34">
        <f t="shared" si="2"/>
        <v>0.96186765532662033</v>
      </c>
      <c r="P24" s="34">
        <f t="shared" si="2"/>
        <v>1.1670998597781423</v>
      </c>
      <c r="Q24" s="34">
        <f t="shared" si="2"/>
        <v>1.0953100000000049</v>
      </c>
      <c r="R24" s="34">
        <f t="shared" si="2"/>
        <v>1.3007420000000103</v>
      </c>
      <c r="S24" s="34">
        <f t="shared" si="2"/>
        <v>1.3750050000000069</v>
      </c>
      <c r="T24" s="34">
        <f>100*(T23/S23-1)</f>
        <v>1.4239539999999939</v>
      </c>
      <c r="U24" s="34">
        <f>100*(U23/T23-1)</f>
        <v>1.4860419999999985</v>
      </c>
      <c r="V24" s="34">
        <f>100*(V23/U23-1)</f>
        <v>1.5330819999999967</v>
      </c>
      <c r="W24" s="34">
        <f>100*(W23/V23-1)</f>
        <v>1.4883030000000019</v>
      </c>
      <c r="X24" s="1"/>
      <c r="Y24" s="1"/>
      <c r="Z24" s="1"/>
      <c r="AA24" s="1"/>
      <c r="AB24" s="1"/>
      <c r="AC24" s="1"/>
      <c r="AD24" s="1"/>
      <c r="AE24" s="1"/>
      <c r="AF24" s="1"/>
      <c r="AG24" s="1"/>
      <c r="AH24" s="1"/>
      <c r="AI24" s="1"/>
      <c r="AJ24" s="1"/>
      <c r="AK24" s="1"/>
      <c r="AL24" s="1"/>
      <c r="AM24" s="1"/>
      <c r="AN24" s="1"/>
      <c r="AO24" s="1"/>
      <c r="AP24" s="1"/>
      <c r="AQ24" s="1"/>
      <c r="AR24" s="1"/>
      <c r="AS24" s="1"/>
      <c r="AT24" s="1"/>
      <c r="AU24" s="1"/>
      <c r="AV24" s="1"/>
      <c r="AW24" s="1"/>
      <c r="AX24" s="1"/>
    </row>
    <row r="25" spans="1:50" ht="5.25" customHeight="1" x14ac:dyDescent="0.2">
      <c r="C25" s="34"/>
      <c r="D25" s="34"/>
      <c r="E25" s="34"/>
      <c r="F25" s="34"/>
      <c r="G25" s="34"/>
      <c r="H25" s="34"/>
      <c r="I25" s="34"/>
      <c r="J25" s="34"/>
      <c r="K25" s="34"/>
      <c r="L25" s="34"/>
      <c r="M25" s="34"/>
      <c r="N25" s="34"/>
      <c r="O25" s="34"/>
      <c r="P25" s="34"/>
      <c r="Q25" s="34"/>
      <c r="R25" s="34"/>
      <c r="S25" s="34"/>
      <c r="T25" s="34"/>
      <c r="U25" s="34"/>
      <c r="V25" s="34"/>
      <c r="W25" s="34"/>
      <c r="X25" s="34"/>
      <c r="Y25" s="34"/>
      <c r="Z25" s="34"/>
      <c r="AA25" s="34"/>
      <c r="AB25" s="34"/>
      <c r="AC25" s="34"/>
      <c r="AD25" s="34"/>
      <c r="AE25" s="34"/>
      <c r="AF25" s="34"/>
      <c r="AG25" s="34"/>
      <c r="AH25" s="34"/>
      <c r="AI25" s="34"/>
      <c r="AJ25" s="34"/>
      <c r="AK25" s="34"/>
      <c r="AL25" s="34"/>
      <c r="AM25" s="34"/>
      <c r="AN25" s="34"/>
      <c r="AO25" s="34"/>
      <c r="AP25" s="34"/>
      <c r="AQ25" s="34"/>
      <c r="AR25" s="34"/>
      <c r="AS25" s="34"/>
      <c r="AT25" s="34"/>
      <c r="AU25" s="34"/>
      <c r="AV25" s="34"/>
    </row>
    <row r="26" spans="1:50" ht="15" x14ac:dyDescent="0.2">
      <c r="A26" s="223"/>
      <c r="B26" s="30" t="s">
        <v>90</v>
      </c>
      <c r="C26" s="222"/>
      <c r="D26" s="222"/>
      <c r="E26" s="222"/>
      <c r="F26" s="222"/>
    </row>
    <row r="27" spans="1:50" x14ac:dyDescent="0.2">
      <c r="B27" s="26" t="s">
        <v>61</v>
      </c>
      <c r="C27" s="34">
        <f>'Input data'!C34</f>
        <v>231.15090000000001</v>
      </c>
      <c r="D27" s="100">
        <f>+C27*(1+'Input data'!D33/100)</f>
        <v>233.97713813562902</v>
      </c>
      <c r="E27" s="100">
        <f>+D27*(1+'Input data'!E33/100)</f>
        <v>236.531302768659</v>
      </c>
      <c r="F27" s="100">
        <f>+E27*(1+'Input data'!F33/100)</f>
        <v>238.0217037741894</v>
      </c>
      <c r="G27" s="34">
        <f>+F27*(1+'Input data'!G33/100)</f>
        <v>239.52552870698202</v>
      </c>
      <c r="H27" s="34">
        <f>+G27*(1+'Input data'!H33/100)</f>
        <v>241.16563377590157</v>
      </c>
      <c r="I27" s="34">
        <f>+H27*(1+'Input data'!I33/100)</f>
        <v>242.58008299977581</v>
      </c>
      <c r="J27" s="34">
        <f>+I27*(1+'Input data'!J33/100)</f>
        <v>244.12752876078073</v>
      </c>
      <c r="K27" s="34">
        <f>+J27*(1+'Input data'!K33/100)</f>
        <v>245.54683836400028</v>
      </c>
      <c r="L27" s="34">
        <f>+K27*(1+'Input data'!L33/100)</f>
        <v>246.91806349839558</v>
      </c>
      <c r="M27" s="34">
        <f>+L27*(1+'Input data'!M33/100)</f>
        <v>248.36415543386613</v>
      </c>
      <c r="N27" s="34">
        <f>+M27*(1+'Input data'!N33/100)</f>
        <v>249.99905992456323</v>
      </c>
      <c r="O27" s="34">
        <f>+N27*(1+'Input data'!O33/100)</f>
        <v>251.71018449019431</v>
      </c>
      <c r="P27" s="34">
        <f>+O27*(1+'Input data'!P33/100)</f>
        <v>253.9501091209801</v>
      </c>
      <c r="Q27" s="34">
        <f>+P27*(1+'Input data'!Q33/100)</f>
        <v>256.73165767969641</v>
      </c>
      <c r="R27" s="34">
        <f>+Q27*(1+'Input data'!R33/100)</f>
        <v>260.07107674574905</v>
      </c>
      <c r="S27" s="34">
        <f>+R27*(1+'Input data'!S33/100)</f>
        <v>263.64707745740003</v>
      </c>
      <c r="T27" s="34">
        <f>+S27*(1+'Input data'!T33/100)</f>
        <v>267.40128528979625</v>
      </c>
      <c r="U27" s="34">
        <f>+T27*(1+'Input data'!U33/100)</f>
        <v>271.37498337175526</v>
      </c>
      <c r="V27" s="34">
        <f>+U27*(1+'Input data'!V33/100)</f>
        <v>275.53537353933132</v>
      </c>
      <c r="W27" s="34">
        <f>+V27*(1+'Input data'!W33/100)</f>
        <v>279.63617201442469</v>
      </c>
      <c r="X27" s="34"/>
      <c r="Y27" s="34"/>
      <c r="Z27" s="34"/>
      <c r="AA27" s="34"/>
      <c r="AB27" s="34"/>
      <c r="AC27" s="34"/>
      <c r="AD27" s="34"/>
      <c r="AE27" s="34"/>
      <c r="AF27" s="34"/>
      <c r="AG27" s="34"/>
      <c r="AH27" s="34"/>
      <c r="AI27" s="34"/>
      <c r="AJ27" s="34"/>
      <c r="AK27" s="34"/>
      <c r="AL27" s="34"/>
      <c r="AM27" s="34"/>
      <c r="AN27" s="34"/>
      <c r="AO27" s="34"/>
      <c r="AP27" s="34"/>
      <c r="AQ27" s="34"/>
      <c r="AR27" s="34"/>
      <c r="AS27" s="34"/>
      <c r="AT27" s="34"/>
      <c r="AU27" s="34"/>
      <c r="AV27" s="34"/>
    </row>
    <row r="28" spans="1:50" ht="5.25" customHeight="1" x14ac:dyDescent="0.2">
      <c r="C28" s="34"/>
      <c r="D28" s="34"/>
      <c r="E28" s="34"/>
      <c r="F28" s="34"/>
      <c r="G28" s="34"/>
      <c r="H28" s="34"/>
      <c r="I28" s="34"/>
      <c r="J28" s="34"/>
      <c r="K28" s="34"/>
      <c r="L28" s="34"/>
      <c r="M28" s="34"/>
      <c r="N28" s="34"/>
      <c r="O28" s="34"/>
      <c r="P28" s="34"/>
      <c r="Q28" s="34"/>
      <c r="R28" s="34"/>
      <c r="S28" s="34"/>
      <c r="T28" s="34"/>
      <c r="U28" s="34"/>
      <c r="V28" s="34"/>
      <c r="W28" s="34"/>
      <c r="X28" s="34"/>
      <c r="Y28" s="34"/>
      <c r="Z28" s="34"/>
      <c r="AA28" s="34"/>
      <c r="AB28" s="34"/>
      <c r="AC28" s="34"/>
      <c r="AD28" s="34"/>
      <c r="AE28" s="34"/>
      <c r="AF28" s="34"/>
      <c r="AG28" s="34"/>
      <c r="AH28" s="34"/>
      <c r="AI28" s="34"/>
      <c r="AJ28" s="34"/>
      <c r="AK28" s="34"/>
      <c r="AL28" s="34"/>
      <c r="AM28" s="34"/>
      <c r="AN28" s="34"/>
      <c r="AO28" s="34"/>
      <c r="AP28" s="34"/>
      <c r="AQ28" s="34"/>
      <c r="AR28" s="34"/>
      <c r="AS28" s="34"/>
      <c r="AT28" s="34"/>
      <c r="AU28" s="34"/>
      <c r="AV28" s="34"/>
    </row>
    <row r="29" spans="1:50" x14ac:dyDescent="0.2">
      <c r="B29" s="30" t="s">
        <v>91</v>
      </c>
      <c r="C29" s="34"/>
      <c r="D29" s="34"/>
      <c r="E29" s="34"/>
      <c r="F29" s="34"/>
      <c r="G29" s="34"/>
      <c r="H29" s="34"/>
      <c r="I29" s="34"/>
      <c r="J29" s="34"/>
      <c r="K29" s="34"/>
      <c r="L29" s="34"/>
      <c r="M29" s="34"/>
      <c r="N29" s="34"/>
      <c r="O29" s="34"/>
      <c r="P29" s="34"/>
      <c r="Q29" s="34"/>
      <c r="R29" s="34"/>
      <c r="S29" s="34"/>
      <c r="T29" s="34"/>
      <c r="U29" s="34"/>
      <c r="V29" s="34"/>
      <c r="W29" s="34"/>
      <c r="X29" s="34"/>
      <c r="Y29" s="34"/>
      <c r="Z29" s="34"/>
      <c r="AA29" s="34"/>
      <c r="AB29" s="34"/>
      <c r="AC29" s="34"/>
      <c r="AD29" s="34"/>
      <c r="AE29" s="34"/>
      <c r="AF29" s="34"/>
      <c r="AG29" s="34"/>
      <c r="AH29" s="34"/>
      <c r="AI29" s="34"/>
      <c r="AJ29" s="34"/>
      <c r="AK29" s="34"/>
      <c r="AL29" s="34"/>
      <c r="AM29" s="34"/>
      <c r="AN29" s="34"/>
      <c r="AO29" s="34"/>
      <c r="AP29" s="34"/>
      <c r="AQ29" s="34"/>
      <c r="AR29" s="34"/>
      <c r="AS29" s="34"/>
      <c r="AT29" s="34"/>
      <c r="AU29" s="34"/>
      <c r="AV29" s="34"/>
    </row>
    <row r="30" spans="1:50" x14ac:dyDescent="0.2">
      <c r="B30" s="26" t="s">
        <v>91</v>
      </c>
      <c r="C30" s="34">
        <f>100*(C23/C27-1)</f>
        <v>-0.25736434510962303</v>
      </c>
      <c r="D30" s="100">
        <f t="shared" ref="D30:T30" si="3">100*(D23/D27-1)</f>
        <v>-0.14622746557002575</v>
      </c>
      <c r="E30" s="100">
        <f t="shared" si="3"/>
        <v>-2.2471884779047602</v>
      </c>
      <c r="F30" s="100">
        <f t="shared" si="3"/>
        <v>-2.8208216278374221</v>
      </c>
      <c r="G30" s="34">
        <f t="shared" si="3"/>
        <v>-2.7931488722798825</v>
      </c>
      <c r="H30" s="34">
        <f t="shared" si="3"/>
        <v>-2.079327236283246</v>
      </c>
      <c r="I30" s="34">
        <f t="shared" si="3"/>
        <v>-1.6052550085005834</v>
      </c>
      <c r="J30" s="34">
        <f t="shared" si="3"/>
        <v>-1.3634831628673738</v>
      </c>
      <c r="K30" s="34">
        <f t="shared" si="3"/>
        <v>-1.1296381260501365</v>
      </c>
      <c r="L30" s="34">
        <f t="shared" si="3"/>
        <v>-0.90057403263262836</v>
      </c>
      <c r="M30" s="34">
        <f>100*(M23/M27-1)</f>
        <v>-0.8220581399359661</v>
      </c>
      <c r="N30" s="34">
        <f t="shared" si="3"/>
        <v>-0.54803875995731444</v>
      </c>
      <c r="O30" s="34">
        <f t="shared" si="3"/>
        <v>-0.27401937997864056</v>
      </c>
      <c r="P30" s="34">
        <f t="shared" si="3"/>
        <v>0</v>
      </c>
      <c r="Q30" s="34">
        <f t="shared" si="3"/>
        <v>-2.9674966262049907E-6</v>
      </c>
      <c r="R30" s="34">
        <f t="shared" si="3"/>
        <v>-3.9546561914072242E-6</v>
      </c>
      <c r="S30" s="34">
        <f t="shared" si="3"/>
        <v>-7.9004016773076557E-6</v>
      </c>
      <c r="T30" s="34">
        <f t="shared" si="3"/>
        <v>-5.9284810616233585E-6</v>
      </c>
      <c r="U30" s="34">
        <f>100*(U23/U27-1)</f>
        <v>-6.9138381575406527E-6</v>
      </c>
      <c r="V30" s="34">
        <f>100*(V23/V27-1)</f>
        <v>-2.9742356244533141E-6</v>
      </c>
      <c r="W30" s="34">
        <f>100*(W23/W27-1)</f>
        <v>-1.9889004332362958E-6</v>
      </c>
      <c r="X30" s="34"/>
      <c r="Y30" s="34"/>
      <c r="Z30" s="34"/>
      <c r="AA30" s="34"/>
      <c r="AB30" s="34"/>
      <c r="AC30" s="34"/>
      <c r="AD30" s="34"/>
      <c r="AE30" s="34"/>
      <c r="AF30" s="34"/>
      <c r="AG30" s="34"/>
      <c r="AH30" s="34"/>
      <c r="AI30" s="34"/>
      <c r="AJ30" s="34"/>
      <c r="AK30" s="34"/>
      <c r="AL30" s="34"/>
      <c r="AM30" s="34"/>
      <c r="AN30" s="34"/>
      <c r="AO30" s="34"/>
      <c r="AP30" s="34"/>
      <c r="AQ30" s="34"/>
      <c r="AR30" s="34"/>
      <c r="AS30" s="34"/>
      <c r="AT30" s="34"/>
      <c r="AU30" s="34"/>
      <c r="AV30" s="34"/>
    </row>
    <row r="31" spans="1:50" ht="4.9000000000000004" customHeight="1" x14ac:dyDescent="0.2">
      <c r="C31" s="34"/>
      <c r="D31" s="34"/>
      <c r="E31" s="34"/>
      <c r="F31" s="34"/>
      <c r="G31" s="34"/>
      <c r="H31" s="34"/>
      <c r="I31" s="34"/>
      <c r="J31" s="34"/>
      <c r="K31" s="34"/>
      <c r="L31" s="34"/>
      <c r="M31" s="34"/>
      <c r="N31" s="34"/>
      <c r="O31" s="34"/>
      <c r="P31" s="34"/>
      <c r="Q31" s="34"/>
      <c r="R31" s="34"/>
      <c r="S31" s="34"/>
      <c r="T31" s="34"/>
      <c r="U31" s="34"/>
      <c r="V31" s="34"/>
      <c r="W31" s="34"/>
      <c r="X31" s="34"/>
      <c r="Y31" s="34"/>
      <c r="Z31" s="34"/>
      <c r="AA31" s="34"/>
      <c r="AB31" s="34"/>
      <c r="AC31" s="34"/>
      <c r="AD31" s="34"/>
      <c r="AE31" s="34"/>
      <c r="AF31" s="34"/>
      <c r="AG31" s="34"/>
      <c r="AH31" s="34"/>
      <c r="AI31" s="34"/>
      <c r="AJ31" s="34"/>
      <c r="AK31" s="34"/>
      <c r="AL31" s="34"/>
      <c r="AM31" s="34"/>
      <c r="AN31" s="34"/>
      <c r="AO31" s="34"/>
      <c r="AP31" s="34"/>
      <c r="AQ31" s="34"/>
      <c r="AR31" s="34"/>
      <c r="AS31" s="34"/>
      <c r="AT31" s="34"/>
      <c r="AU31" s="34"/>
      <c r="AV31" s="34"/>
    </row>
    <row r="32" spans="1:50" x14ac:dyDescent="0.2">
      <c r="B32" s="30" t="s">
        <v>92</v>
      </c>
      <c r="C32" s="34"/>
      <c r="D32" s="34"/>
      <c r="E32" s="34"/>
      <c r="F32" s="34"/>
      <c r="G32" s="34"/>
      <c r="H32" s="34"/>
      <c r="I32" s="34"/>
      <c r="J32" s="34"/>
      <c r="K32" s="34"/>
      <c r="L32" s="34"/>
      <c r="M32" s="34"/>
      <c r="N32" s="34"/>
      <c r="O32" s="34"/>
      <c r="P32" s="34"/>
      <c r="Q32" s="34"/>
      <c r="R32" s="34"/>
      <c r="S32" s="34"/>
      <c r="T32" s="34"/>
      <c r="U32" s="34"/>
      <c r="V32" s="34"/>
      <c r="W32" s="34"/>
      <c r="X32" s="34"/>
      <c r="Y32" s="34"/>
      <c r="Z32" s="34"/>
      <c r="AA32" s="34"/>
      <c r="AB32" s="34"/>
      <c r="AC32" s="34"/>
      <c r="AD32" s="34"/>
      <c r="AE32" s="34"/>
      <c r="AF32" s="34"/>
      <c r="AG32" s="34"/>
      <c r="AH32" s="34"/>
      <c r="AI32" s="34"/>
      <c r="AJ32" s="34"/>
      <c r="AK32" s="34"/>
      <c r="AL32" s="34"/>
      <c r="AM32" s="34"/>
      <c r="AN32" s="34"/>
      <c r="AO32" s="34"/>
      <c r="AP32" s="34"/>
      <c r="AQ32" s="34"/>
      <c r="AR32" s="34"/>
      <c r="AS32" s="34"/>
      <c r="AT32" s="34"/>
      <c r="AU32" s="34"/>
      <c r="AV32" s="34"/>
    </row>
    <row r="33" spans="2:51" x14ac:dyDescent="0.2">
      <c r="B33" s="26" t="s">
        <v>60</v>
      </c>
      <c r="C33" s="1">
        <f t="shared" ref="C33:W33" si="4">100*((1+C24/100)*(1+C42/100)-1)</f>
        <v>5.3041963643644108</v>
      </c>
      <c r="D33" s="2">
        <f t="shared" si="4"/>
        <v>6.7911638456366497</v>
      </c>
      <c r="E33" s="2">
        <f t="shared" si="4"/>
        <v>3.7125418942078214</v>
      </c>
      <c r="F33" s="2">
        <f>100*((1+F24/100)*(1+F42/100)-1)</f>
        <v>1.8403042135917813</v>
      </c>
      <c r="G33" s="1">
        <f>100*((1+G24/100)*(1+G42/100)-1)</f>
        <v>2.7994539964323994</v>
      </c>
      <c r="H33" s="1">
        <f t="shared" si="4"/>
        <v>3.6332014141629676</v>
      </c>
      <c r="I33" s="1">
        <f t="shared" si="4"/>
        <v>3.3286571672325183</v>
      </c>
      <c r="J33" s="1">
        <f t="shared" si="4"/>
        <v>3.1897671813793327</v>
      </c>
      <c r="K33" s="1">
        <f t="shared" si="4"/>
        <v>3.1764807887708635</v>
      </c>
      <c r="L33" s="1">
        <f t="shared" si="4"/>
        <v>3.2009426863806922</v>
      </c>
      <c r="M33" s="1">
        <f t="shared" si="4"/>
        <v>3.1253499525062178</v>
      </c>
      <c r="N33" s="1">
        <f t="shared" si="4"/>
        <v>3.4566288915659271</v>
      </c>
      <c r="O33" s="1">
        <f t="shared" si="4"/>
        <v>3.5363952805374632</v>
      </c>
      <c r="P33" s="1">
        <f t="shared" si="4"/>
        <v>3.7190399537410546</v>
      </c>
      <c r="Q33" s="1">
        <f t="shared" si="4"/>
        <v>3.6176379845000106</v>
      </c>
      <c r="R33" s="1">
        <f t="shared" si="4"/>
        <v>3.8003378088500073</v>
      </c>
      <c r="S33" s="1">
        <f t="shared" si="4"/>
        <v>3.8485551219999969</v>
      </c>
      <c r="T33" s="1">
        <f t="shared" si="4"/>
        <v>3.8708068902499893</v>
      </c>
      <c r="U33" s="1">
        <f>100*((1+U24/100)*(1+U42/100)-1)</f>
        <v>3.9064841016999807</v>
      </c>
      <c r="V33" s="1">
        <f t="shared" si="4"/>
        <v>3.9267244081499841</v>
      </c>
      <c r="W33" s="1">
        <f t="shared" si="4"/>
        <v>3.8529804599000128</v>
      </c>
      <c r="X33" s="1"/>
      <c r="Y33" s="1"/>
      <c r="Z33" s="1"/>
      <c r="AA33" s="1"/>
      <c r="AB33" s="1"/>
      <c r="AC33" s="1"/>
      <c r="AD33" s="1"/>
      <c r="AE33" s="1"/>
      <c r="AF33" s="1"/>
      <c r="AG33" s="1"/>
      <c r="AH33" s="1"/>
      <c r="AI33" s="1"/>
      <c r="AJ33" s="1"/>
      <c r="AK33" s="1"/>
      <c r="AL33" s="1"/>
      <c r="AM33" s="1"/>
      <c r="AN33" s="1"/>
      <c r="AO33" s="1"/>
      <c r="AP33" s="1"/>
      <c r="AQ33" s="1"/>
      <c r="AR33" s="1"/>
      <c r="AS33" s="1"/>
      <c r="AT33" s="1"/>
      <c r="AU33" s="1"/>
      <c r="AV33" s="1"/>
      <c r="AW33" s="1"/>
      <c r="AX33" s="1"/>
    </row>
    <row r="35" spans="2:51" x14ac:dyDescent="0.2">
      <c r="B35" s="28" t="s">
        <v>141</v>
      </c>
    </row>
    <row r="36" spans="2:51" x14ac:dyDescent="0.2">
      <c r="B36" s="26" t="s">
        <v>63</v>
      </c>
      <c r="C36" s="34">
        <f>'Input data'!C37</f>
        <v>0.73297140000000005</v>
      </c>
      <c r="D36" s="100">
        <f>'Input data'!D37</f>
        <v>0.83926920000000005</v>
      </c>
      <c r="E36" s="100">
        <f>'Input data'!E37</f>
        <v>1.5804370000000001</v>
      </c>
      <c r="F36" s="100">
        <f>'Input data'!F37</f>
        <v>1.6625099999999999</v>
      </c>
      <c r="G36" s="100">
        <f>'Input data'!G37</f>
        <v>1.8895660000000001</v>
      </c>
      <c r="H36" s="34">
        <f t="shared" ref="H36:W36" si="5">H109</f>
        <v>1.9772233302355637</v>
      </c>
      <c r="I36" s="34">
        <f t="shared" si="5"/>
        <v>2.0529041282230609</v>
      </c>
      <c r="J36" s="34">
        <f t="shared" si="5"/>
        <v>2.1196748592944994</v>
      </c>
      <c r="K36" s="34">
        <f t="shared" si="5"/>
        <v>2.1782899291321702</v>
      </c>
      <c r="L36" s="34">
        <f t="shared" si="5"/>
        <v>2.2305689648788061</v>
      </c>
      <c r="M36" s="34">
        <f t="shared" si="5"/>
        <v>2.2783584985568885</v>
      </c>
      <c r="N36" s="34">
        <f t="shared" si="5"/>
        <v>2.3220354057513282</v>
      </c>
      <c r="O36" s="34">
        <f t="shared" si="5"/>
        <v>2.3641536745340601</v>
      </c>
      <c r="P36" s="34">
        <f t="shared" si="5"/>
        <v>2.4006917316001308</v>
      </c>
      <c r="Q36" s="34">
        <f t="shared" si="5"/>
        <v>2.4335156324534415</v>
      </c>
      <c r="R36" s="34">
        <f t="shared" si="5"/>
        <v>2.464180670753175</v>
      </c>
      <c r="S36" s="34">
        <f t="shared" si="5"/>
        <v>2.4923944392750315</v>
      </c>
      <c r="T36" s="34">
        <f t="shared" si="5"/>
        <v>2.5197994148360721</v>
      </c>
      <c r="U36" s="34">
        <f t="shared" si="5"/>
        <v>2.5467572258622106</v>
      </c>
      <c r="V36" s="34">
        <f t="shared" si="5"/>
        <v>2.5736251574331761</v>
      </c>
      <c r="W36" s="34">
        <f t="shared" si="5"/>
        <v>2.6006912147962633</v>
      </c>
    </row>
    <row r="37" spans="2:51" x14ac:dyDescent="0.2">
      <c r="B37" s="32" t="s">
        <v>94</v>
      </c>
      <c r="C37" s="1"/>
      <c r="D37" s="2">
        <f>'Input data'!D$39</f>
        <v>1.69</v>
      </c>
      <c r="E37" s="2">
        <f>'Input data'!E$39</f>
        <v>3.04</v>
      </c>
      <c r="F37" s="165">
        <f>'Input data'!F$39</f>
        <v>2.9418000000000002</v>
      </c>
      <c r="G37" s="165">
        <f>'Input data'!G$39</f>
        <v>3.0140359999999999</v>
      </c>
      <c r="H37" s="1">
        <f>G37+($O$37-$G$37)/($O$10-$G$10)</f>
        <v>3.041204</v>
      </c>
      <c r="I37" s="1">
        <f t="shared" ref="I37:N37" si="6">H37+($O$37-$G$37)/($O$10-$G$10)</f>
        <v>3.0683720000000001</v>
      </c>
      <c r="J37" s="1">
        <f t="shared" si="6"/>
        <v>3.0955400000000002</v>
      </c>
      <c r="K37" s="1">
        <f t="shared" si="6"/>
        <v>3.1227080000000003</v>
      </c>
      <c r="L37" s="1">
        <f t="shared" si="6"/>
        <v>3.1498760000000003</v>
      </c>
      <c r="M37" s="1">
        <f t="shared" si="6"/>
        <v>3.1770440000000004</v>
      </c>
      <c r="N37" s="1">
        <f t="shared" si="6"/>
        <v>3.2042120000000005</v>
      </c>
      <c r="O37" s="251">
        <f>'Input data'!$C$52</f>
        <v>3.2313800000000001</v>
      </c>
      <c r="P37" s="1">
        <f>'Baseline NFPC'!P36</f>
        <v>3.2698110000000002</v>
      </c>
      <c r="Q37" s="1">
        <f>'Baseline NFPC'!Q36</f>
        <v>3.3082419999999999</v>
      </c>
      <c r="R37" s="1">
        <f>'Baseline NFPC'!R36</f>
        <v>3.346673</v>
      </c>
      <c r="S37" s="1">
        <f>'Baseline NFPC'!S36</f>
        <v>3.3851040000000001</v>
      </c>
      <c r="T37" s="1">
        <f>'Baseline NFPC'!T36</f>
        <v>3.4235350000000002</v>
      </c>
      <c r="U37" s="1">
        <f>'Baseline NFPC'!U36</f>
        <v>3.4619660000000003</v>
      </c>
      <c r="V37" s="1">
        <f>'Baseline NFPC'!V36</f>
        <v>3.500397</v>
      </c>
      <c r="W37" s="1">
        <f>'Baseline NFPC'!W36</f>
        <v>3.5388280000000001</v>
      </c>
      <c r="X37" s="59"/>
      <c r="Y37" s="59"/>
      <c r="Z37" s="59"/>
      <c r="AA37" s="59"/>
      <c r="AB37" s="59"/>
      <c r="AC37" s="59"/>
      <c r="AD37" s="59"/>
      <c r="AE37" s="59"/>
      <c r="AF37" s="59"/>
      <c r="AG37" s="59"/>
      <c r="AH37" s="59"/>
      <c r="AI37" s="59"/>
      <c r="AJ37" s="59"/>
      <c r="AK37" s="59"/>
      <c r="AL37" s="59"/>
      <c r="AM37" s="59"/>
      <c r="AN37" s="59"/>
      <c r="AO37" s="59"/>
      <c r="AP37" s="59"/>
      <c r="AQ37" s="59"/>
      <c r="AR37" s="59"/>
      <c r="AS37" s="59"/>
      <c r="AT37" s="59"/>
      <c r="AU37" s="59"/>
      <c r="AV37" s="59"/>
      <c r="AW37" s="59"/>
      <c r="AX37" s="59"/>
      <c r="AY37" s="60"/>
    </row>
    <row r="38" spans="2:51" x14ac:dyDescent="0.2">
      <c r="B38" s="32" t="s">
        <v>95</v>
      </c>
      <c r="C38" s="1"/>
      <c r="D38" s="2">
        <f>'Input data'!D$38</f>
        <v>0.35</v>
      </c>
      <c r="E38" s="2">
        <f>'Input data'!E$38</f>
        <v>3.43</v>
      </c>
      <c r="F38" s="165">
        <f>'Input data'!F$38</f>
        <v>3.5642079999999998</v>
      </c>
      <c r="G38" s="165">
        <f>'Input data'!G$38</f>
        <v>2.8163749999999999</v>
      </c>
      <c r="H38" s="1">
        <f>G38+($O$38-$G$38)/($O$10-$G$10)</f>
        <v>2.8050893749999997</v>
      </c>
      <c r="I38" s="1">
        <f t="shared" ref="I38:N38" si="7">H38+($O$38-$G$38)/($O$10-$G$10)</f>
        <v>2.7938037499999995</v>
      </c>
      <c r="J38" s="1">
        <f t="shared" si="7"/>
        <v>2.7825181249999993</v>
      </c>
      <c r="K38" s="1">
        <f t="shared" si="7"/>
        <v>2.7712324999999991</v>
      </c>
      <c r="L38" s="1">
        <f t="shared" si="7"/>
        <v>2.7599468749999989</v>
      </c>
      <c r="M38" s="1">
        <f t="shared" si="7"/>
        <v>2.7486612499999987</v>
      </c>
      <c r="N38" s="1">
        <f t="shared" si="7"/>
        <v>2.7373756249999985</v>
      </c>
      <c r="O38" s="251">
        <f>'Input data'!$C$53</f>
        <v>2.7260900000000001</v>
      </c>
      <c r="P38" s="1">
        <f>'Baseline NFPC'!P37</f>
        <v>2.6897855000000002</v>
      </c>
      <c r="Q38" s="1">
        <f>'Baseline NFPC'!Q37</f>
        <v>2.6534810000000002</v>
      </c>
      <c r="R38" s="1">
        <f>'Baseline NFPC'!R37</f>
        <v>2.6171765000000002</v>
      </c>
      <c r="S38" s="1">
        <f>'Baseline NFPC'!S37</f>
        <v>2.5808720000000003</v>
      </c>
      <c r="T38" s="1">
        <f>'Baseline NFPC'!T37</f>
        <v>2.5445675000000003</v>
      </c>
      <c r="U38" s="1">
        <f>'Baseline NFPC'!U37</f>
        <v>2.5082629999999999</v>
      </c>
      <c r="V38" s="1">
        <f>'Baseline NFPC'!V37</f>
        <v>2.4719584999999999</v>
      </c>
      <c r="W38" s="1">
        <f>'Baseline NFPC'!W37</f>
        <v>2.435654</v>
      </c>
      <c r="X38" s="59"/>
      <c r="Y38" s="59"/>
      <c r="Z38" s="59"/>
      <c r="AA38" s="59"/>
      <c r="AB38" s="59"/>
      <c r="AC38" s="59"/>
      <c r="AD38" s="59"/>
      <c r="AE38" s="59"/>
      <c r="AF38" s="59"/>
      <c r="AG38" s="59"/>
      <c r="AH38" s="59"/>
      <c r="AI38" s="59"/>
      <c r="AJ38" s="59"/>
      <c r="AK38" s="59"/>
      <c r="AL38" s="59"/>
      <c r="AM38" s="59"/>
      <c r="AN38" s="59"/>
      <c r="AO38" s="59"/>
      <c r="AP38" s="59"/>
      <c r="AQ38" s="59"/>
      <c r="AR38" s="59"/>
      <c r="AS38" s="59"/>
      <c r="AT38" s="59"/>
      <c r="AU38" s="59"/>
      <c r="AV38" s="59"/>
      <c r="AW38" s="59"/>
      <c r="AX38" s="59"/>
      <c r="AY38" s="60"/>
    </row>
    <row r="39" spans="2:51" s="5" customFormat="1" ht="12.75" x14ac:dyDescent="0.2">
      <c r="B39" s="26" t="s">
        <v>96</v>
      </c>
      <c r="C39" s="34">
        <f>'Baseline NFPC'!C38</f>
        <v>6.1590999999999998E-3</v>
      </c>
      <c r="D39" s="34">
        <f>'Baseline NFPC'!D38</f>
        <v>4.1645340000000003E-2</v>
      </c>
      <c r="E39" s="34">
        <f>'Baseline NFPC'!E38</f>
        <v>3.9429850000000002E-2</v>
      </c>
      <c r="F39" s="34">
        <f>'Baseline NFPC'!F38</f>
        <v>3.1775579999999998E-2</v>
      </c>
      <c r="G39" s="34">
        <f>'Baseline NFPC'!G38</f>
        <v>3.2450447777777773E-2</v>
      </c>
      <c r="H39" s="34">
        <f>'Baseline NFPC'!H38</f>
        <v>3.3125315555555555E-2</v>
      </c>
      <c r="I39" s="34">
        <f>'Baseline NFPC'!I38</f>
        <v>3.3800183333333331E-2</v>
      </c>
      <c r="J39" s="34">
        <f>'Baseline NFPC'!J38</f>
        <v>3.4475051111111106E-2</v>
      </c>
      <c r="K39" s="34">
        <f>'Baseline NFPC'!K38</f>
        <v>3.5149918888888888E-2</v>
      </c>
      <c r="L39" s="34">
        <f>'Baseline NFPC'!L38</f>
        <v>3.5824786666666664E-2</v>
      </c>
      <c r="M39" s="34">
        <f>'Baseline NFPC'!M38</f>
        <v>3.6499654444444439E-2</v>
      </c>
      <c r="N39" s="34">
        <f>'Baseline NFPC'!N38</f>
        <v>3.7174522222222221E-2</v>
      </c>
      <c r="O39" s="34">
        <f>'Baseline NFPC'!O38</f>
        <v>3.7849389999999997E-2</v>
      </c>
      <c r="P39" s="34">
        <f>'Baseline NFPC'!P38</f>
        <v>3.7849389999999997E-2</v>
      </c>
      <c r="Q39" s="34">
        <f>'Baseline NFPC'!Q38</f>
        <v>3.7849389999999997E-2</v>
      </c>
      <c r="R39" s="34">
        <f>'Baseline NFPC'!R38</f>
        <v>3.7849389999999997E-2</v>
      </c>
      <c r="S39" s="34">
        <f>'Baseline NFPC'!S38</f>
        <v>3.7849389999999997E-2</v>
      </c>
      <c r="T39" s="34">
        <f>'Baseline NFPC'!T38</f>
        <v>3.7849389999999997E-2</v>
      </c>
      <c r="U39" s="34">
        <f>'Baseline NFPC'!U38</f>
        <v>3.7849389999999997E-2</v>
      </c>
      <c r="V39" s="34">
        <f>'Baseline NFPC'!V38</f>
        <v>3.7849389999999997E-2</v>
      </c>
      <c r="W39" s="34">
        <f>'Baseline NFPC'!W38</f>
        <v>3.7849389999999997E-2</v>
      </c>
    </row>
    <row r="40" spans="2:51" x14ac:dyDescent="0.2">
      <c r="C40" s="1"/>
      <c r="D40" s="1"/>
      <c r="E40" s="104"/>
      <c r="F40" s="104"/>
      <c r="G40" s="104"/>
      <c r="H40" s="104"/>
      <c r="I40" s="104"/>
      <c r="J40" s="104"/>
      <c r="K40" s="104"/>
      <c r="L40" s="104"/>
      <c r="M40" s="104"/>
      <c r="N40" s="104"/>
      <c r="O40" s="1"/>
      <c r="P40" s="1"/>
      <c r="Q40" s="1"/>
      <c r="R40" s="1"/>
      <c r="S40" s="1"/>
      <c r="T40" s="1"/>
      <c r="U40" s="1"/>
      <c r="V40" s="1"/>
      <c r="W40" s="1"/>
      <c r="X40" s="59"/>
      <c r="Y40" s="59"/>
      <c r="Z40" s="59"/>
      <c r="AA40" s="59"/>
      <c r="AB40" s="59"/>
      <c r="AC40" s="59"/>
      <c r="AD40" s="59"/>
      <c r="AE40" s="59"/>
      <c r="AF40" s="59"/>
      <c r="AG40" s="59"/>
      <c r="AH40" s="59"/>
      <c r="AI40" s="59"/>
      <c r="AJ40" s="59"/>
      <c r="AK40" s="59"/>
      <c r="AL40" s="59"/>
      <c r="AM40" s="59"/>
      <c r="AN40" s="59"/>
      <c r="AO40" s="59"/>
      <c r="AP40" s="59"/>
      <c r="AQ40" s="59"/>
      <c r="AR40" s="59"/>
      <c r="AS40" s="59"/>
      <c r="AT40" s="59"/>
      <c r="AU40" s="59"/>
      <c r="AV40" s="59"/>
      <c r="AW40" s="59"/>
      <c r="AX40" s="59"/>
      <c r="AY40" s="60"/>
    </row>
    <row r="41" spans="2:51" x14ac:dyDescent="0.2">
      <c r="B41" s="28" t="s">
        <v>97</v>
      </c>
      <c r="C41" s="1"/>
      <c r="D41" s="1"/>
      <c r="E41" s="1"/>
      <c r="F41" s="1"/>
      <c r="G41" s="1"/>
      <c r="H41" s="1"/>
      <c r="I41" s="1"/>
      <c r="J41" s="1"/>
      <c r="K41" s="1"/>
      <c r="L41" s="1"/>
      <c r="M41" s="1"/>
      <c r="N41" s="1"/>
      <c r="O41" s="1"/>
      <c r="P41" s="1"/>
      <c r="Q41" s="1"/>
      <c r="R41" s="1"/>
      <c r="S41" s="1"/>
      <c r="T41" s="1"/>
      <c r="U41" s="1"/>
      <c r="V41" s="1"/>
      <c r="W41" s="1"/>
      <c r="X41" s="59"/>
      <c r="Y41" s="59"/>
      <c r="Z41" s="59"/>
      <c r="AA41" s="59"/>
      <c r="AB41" s="59"/>
      <c r="AC41" s="59"/>
      <c r="AD41" s="59"/>
      <c r="AE41" s="59"/>
      <c r="AF41" s="59"/>
      <c r="AG41" s="59"/>
      <c r="AH41" s="59"/>
      <c r="AI41" s="59"/>
      <c r="AJ41" s="59"/>
      <c r="AK41" s="59"/>
      <c r="AL41" s="59"/>
      <c r="AM41" s="59"/>
      <c r="AN41" s="59"/>
      <c r="AO41" s="59"/>
      <c r="AP41" s="59"/>
      <c r="AQ41" s="59"/>
      <c r="AR41" s="59"/>
      <c r="AS41" s="59"/>
      <c r="AT41" s="59"/>
      <c r="AU41" s="59"/>
      <c r="AV41" s="59"/>
      <c r="AW41" s="59"/>
      <c r="AX41" s="59"/>
      <c r="AY41" s="60"/>
    </row>
    <row r="42" spans="2:51" x14ac:dyDescent="0.2">
      <c r="B42" s="26" t="s">
        <v>142</v>
      </c>
      <c r="C42" s="1">
        <f>'Input data'!C42</f>
        <v>2.397958</v>
      </c>
      <c r="D42" s="2">
        <f>'Input data'!D42</f>
        <v>5.3837979999999996</v>
      </c>
      <c r="E42" s="2">
        <f>'Input data'!E42</f>
        <v>4.7975909999999997</v>
      </c>
      <c r="F42" s="2">
        <f>'Input data'!F42</f>
        <v>1.8000020000000001</v>
      </c>
      <c r="G42" s="2">
        <f>'Input data'!G42</f>
        <v>2.124962</v>
      </c>
      <c r="H42" s="1">
        <f>'Baseline NFPC'!H41</f>
        <v>2.1780917500000001</v>
      </c>
      <c r="I42" s="1">
        <f>'Baseline NFPC'!I41</f>
        <v>2.2312215000000002</v>
      </c>
      <c r="J42" s="1">
        <f>'Baseline NFPC'!J41</f>
        <v>2.2843512499999998</v>
      </c>
      <c r="K42" s="1">
        <f>'Baseline NFPC'!K41</f>
        <v>2.3374809999999999</v>
      </c>
      <c r="L42" s="1">
        <f>'Baseline NFPC'!L41</f>
        <v>2.39061075</v>
      </c>
      <c r="M42" s="1">
        <f>'Baseline NFPC'!M41</f>
        <v>2.4437404999999996</v>
      </c>
      <c r="N42" s="1">
        <f>'Baseline NFPC'!N41</f>
        <v>2.4968702499999997</v>
      </c>
      <c r="O42" s="251">
        <f>'Baseline NFPC'!O41</f>
        <v>2.5499999999999998</v>
      </c>
      <c r="P42" s="1">
        <f>'Baseline NFPC'!P41</f>
        <v>2.5225</v>
      </c>
      <c r="Q42" s="1">
        <f>'Baseline NFPC'!Q41</f>
        <v>2.4949999999999997</v>
      </c>
      <c r="R42" s="1">
        <f>'Baseline NFPC'!R41</f>
        <v>2.4674999999999998</v>
      </c>
      <c r="S42" s="1">
        <f>'Baseline NFPC'!S41</f>
        <v>2.44</v>
      </c>
      <c r="T42" s="1">
        <f>'Baseline NFPC'!T41</f>
        <v>2.4124999999999996</v>
      </c>
      <c r="U42" s="1">
        <f>'Baseline NFPC'!U41</f>
        <v>2.3849999999999998</v>
      </c>
      <c r="V42" s="1">
        <f>'Baseline NFPC'!V41</f>
        <v>2.3574999999999999</v>
      </c>
      <c r="W42" s="1">
        <f>'Baseline NFPC'!W41</f>
        <v>2.33</v>
      </c>
      <c r="X42" s="59"/>
      <c r="Y42" s="59"/>
      <c r="Z42" s="59"/>
      <c r="AA42" s="59"/>
      <c r="AB42" s="59"/>
      <c r="AC42" s="59"/>
      <c r="AD42" s="59"/>
      <c r="AE42" s="59"/>
      <c r="AF42" s="59"/>
      <c r="AG42" s="59"/>
      <c r="AH42" s="59"/>
      <c r="AI42" s="59"/>
      <c r="AJ42" s="59"/>
      <c r="AK42" s="59"/>
      <c r="AL42" s="59"/>
      <c r="AM42" s="59"/>
      <c r="AN42" s="59"/>
      <c r="AO42" s="59"/>
      <c r="AP42" s="59"/>
      <c r="AQ42" s="59"/>
      <c r="AR42" s="59"/>
      <c r="AS42" s="59"/>
      <c r="AT42" s="59"/>
      <c r="AU42" s="59"/>
      <c r="AV42" s="59"/>
      <c r="AW42" s="59"/>
      <c r="AX42" s="59"/>
      <c r="AY42" s="60"/>
    </row>
    <row r="43" spans="2:51" x14ac:dyDescent="0.2">
      <c r="B43" s="26" t="s">
        <v>98</v>
      </c>
      <c r="C43" s="1">
        <f>'Baseline NFPC'!C42</f>
        <v>0.99918229999999997</v>
      </c>
      <c r="D43" s="1">
        <f>'Baseline NFPC'!D42</f>
        <v>1.0048170000000001</v>
      </c>
      <c r="E43" s="1">
        <f>'Baseline NFPC'!E42</f>
        <v>0.99943179999999998</v>
      </c>
      <c r="F43" s="1">
        <f>'Baseline NFPC'!F42</f>
        <v>1.0001910000000001</v>
      </c>
      <c r="G43" s="1">
        <f>'Baseline NFPC'!G42</f>
        <v>1.000102</v>
      </c>
      <c r="H43" s="1">
        <f>'Baseline NFPC'!H42</f>
        <v>1</v>
      </c>
      <c r="I43" s="1">
        <f>'Baseline NFPC'!I42</f>
        <v>1</v>
      </c>
      <c r="J43" s="1">
        <f>'Baseline NFPC'!J42</f>
        <v>1</v>
      </c>
      <c r="K43" s="1">
        <f>'Baseline NFPC'!K42</f>
        <v>1</v>
      </c>
      <c r="L43" s="1">
        <f>'Baseline NFPC'!L42</f>
        <v>1</v>
      </c>
      <c r="M43" s="1">
        <f>'Baseline NFPC'!M42</f>
        <v>1</v>
      </c>
      <c r="N43" s="1">
        <f>'Baseline NFPC'!N42</f>
        <v>1</v>
      </c>
      <c r="O43" s="1">
        <f>'Baseline NFPC'!O42</f>
        <v>1</v>
      </c>
      <c r="P43" s="1">
        <f>'Baseline NFPC'!P42</f>
        <v>1</v>
      </c>
      <c r="Q43" s="1">
        <f>'Baseline NFPC'!Q42</f>
        <v>1</v>
      </c>
      <c r="R43" s="1">
        <f>'Baseline NFPC'!R42</f>
        <v>1</v>
      </c>
      <c r="S43" s="1">
        <f>'Baseline NFPC'!S42</f>
        <v>1</v>
      </c>
      <c r="T43" s="1">
        <f>'Baseline NFPC'!T42</f>
        <v>1</v>
      </c>
      <c r="U43" s="1">
        <f>'Baseline NFPC'!U42</f>
        <v>1</v>
      </c>
      <c r="V43" s="1">
        <f>'Baseline NFPC'!V42</f>
        <v>1</v>
      </c>
      <c r="W43" s="1">
        <f>'Baseline NFPC'!W42</f>
        <v>1</v>
      </c>
      <c r="X43" s="63"/>
      <c r="Y43" s="63"/>
      <c r="Z43" s="63"/>
      <c r="AA43" s="63"/>
      <c r="AB43" s="63"/>
      <c r="AC43" s="63"/>
      <c r="AD43" s="63"/>
      <c r="AE43" s="63"/>
      <c r="AF43" s="63"/>
      <c r="AG43" s="63"/>
      <c r="AH43" s="63"/>
      <c r="AI43" s="63"/>
      <c r="AJ43" s="63"/>
      <c r="AK43" s="63"/>
      <c r="AL43" s="63"/>
      <c r="AM43" s="63"/>
      <c r="AN43" s="63"/>
      <c r="AO43" s="63"/>
      <c r="AP43" s="63"/>
      <c r="AQ43" s="63"/>
      <c r="AR43" s="63"/>
      <c r="AS43" s="63"/>
      <c r="AT43" s="63"/>
      <c r="AU43" s="63"/>
      <c r="AV43" s="63"/>
      <c r="AW43" s="63"/>
      <c r="AX43" s="63"/>
      <c r="AY43" s="60"/>
    </row>
    <row r="44" spans="2:51" x14ac:dyDescent="0.2">
      <c r="C44" s="1"/>
      <c r="D44" s="1"/>
      <c r="E44" s="1"/>
      <c r="F44" s="1"/>
      <c r="G44" s="1"/>
      <c r="H44" s="1"/>
      <c r="I44" s="1"/>
      <c r="J44" s="1"/>
      <c r="K44" s="1"/>
      <c r="L44" s="1"/>
      <c r="M44" s="1"/>
      <c r="N44" s="1"/>
      <c r="O44" s="1"/>
      <c r="P44" s="1"/>
      <c r="Q44" s="1"/>
      <c r="R44" s="1"/>
      <c r="S44" s="1"/>
      <c r="T44" s="1"/>
      <c r="U44" s="1"/>
      <c r="V44" s="1"/>
      <c r="W44" s="1"/>
    </row>
    <row r="45" spans="2:51" s="67" customFormat="1" ht="12.75" x14ac:dyDescent="0.2">
      <c r="B45" s="75" t="s">
        <v>99</v>
      </c>
      <c r="C45" s="68"/>
    </row>
    <row r="46" spans="2:51" x14ac:dyDescent="0.2">
      <c r="C46" s="36"/>
    </row>
    <row r="47" spans="2:51" x14ac:dyDescent="0.2">
      <c r="B47" s="54" t="s">
        <v>68</v>
      </c>
      <c r="C47" s="55">
        <f>'Input data'!C49</f>
        <v>0.75</v>
      </c>
    </row>
    <row r="48" spans="2:51" x14ac:dyDescent="0.2">
      <c r="B48" s="56" t="s">
        <v>258</v>
      </c>
      <c r="C48" s="57">
        <f>'Input data'!C50</f>
        <v>0.58199999999999996</v>
      </c>
    </row>
    <row r="49" spans="2:48" x14ac:dyDescent="0.2">
      <c r="C49" s="58"/>
    </row>
    <row r="50" spans="2:48" outlineLevel="1" x14ac:dyDescent="0.2">
      <c r="B50" s="26" t="s">
        <v>100</v>
      </c>
      <c r="C50" s="34">
        <v>0</v>
      </c>
      <c r="D50" s="34">
        <f>IF(AND(ABS((D12-C12)-('Input data'!D13-'Input data'!C13))&gt;0.0001,ABS(D12-C12)&gt;0.0001,D$10&gt;$C$5),4,IF(C50=4,3,IF(C50=3,2,IF(C50=2,1,0))))</f>
        <v>0</v>
      </c>
      <c r="E50" s="34">
        <f>IF(AND(ABS((E12-D12)-('Input data'!E13-'Input data'!D13))&gt;0.0001,ABS(E12-D12)&gt;0.0001,E$10&gt;$C$5),4,IF(D50=4,3,IF(D50=3,2,IF(D50=2,1,0))))</f>
        <v>0</v>
      </c>
      <c r="F50" s="34">
        <f>IF(AND(ABS((F12-E12)-('Input data'!F13-'Input data'!E13))&gt;0.0001,ABS(F12-E12)&gt;0.0001,F$10&gt;$C$5),4,IF(E50=4,3,IF(E50=3,2,IF(E50=2,1,0))))</f>
        <v>0</v>
      </c>
      <c r="G50" s="34">
        <f>IF(AND(ABS((G12-F12)-('Input data'!G13-'Input data'!F13))&gt;0.0001,ABS(G12-F12)&gt;0.0001,G$10&gt;$C$5),4,IF(F50=4,3,IF(F50=3,2,IF(F50=2,1,0))))</f>
        <v>4</v>
      </c>
      <c r="H50" s="34">
        <f>IF(AND(ABS((H12-G12)-('Input data'!H13-'Input data'!G13))&gt;0.0001,ABS(H12-G12)&gt;0.0001,H$10&gt;$C$5),4,IF(G50=4,3,IF(G50=3,2,IF(G50=2,1,0))))</f>
        <v>4</v>
      </c>
      <c r="I50" s="34">
        <f>IF(AND(ABS((I12-H12)-('Input data'!I13-'Input data'!H13))&gt;0.0001,ABS(I12-H12)&gt;0.0001,I$10&gt;$C$5),4,IF(H50=4,3,IF(H50=3,2,IF(H50=2,1,0))))</f>
        <v>4</v>
      </c>
      <c r="J50" s="34">
        <f>IF(AND(ABS((J12-I12)-('Input data'!J13-'Input data'!I13))&gt;0.0001,ABS(J12-I12)&gt;0.0001,J$10&gt;$C$5),4,IF(I50=4,3,IF(I50=3,2,IF(I50=2,1,0))))</f>
        <v>4</v>
      </c>
      <c r="K50" s="34">
        <f>IF(AND(ABS((K12-J12)-('Input data'!K13-'Input data'!J13))&gt;0.0001,ABS(K12-J12)&gt;0.0001,K$10&gt;$C$5),4,IF(J50=4,3,IF(J50=3,2,IF(J50=2,1,0))))</f>
        <v>4</v>
      </c>
      <c r="L50" s="34">
        <f>IF(AND(ABS((L12-K12)-('Input data'!L13-'Input data'!K13))&gt;0.0001,ABS(L12-K12)&gt;0.0001,L$10&gt;$C$5),4,IF(K50=4,3,IF(K50=3,2,IF(K50=2,1,0))))</f>
        <v>4</v>
      </c>
      <c r="M50" s="34">
        <f>IF(AND(ABS((M12-L12)-('Input data'!M13-'Input data'!L13))&gt;0.0001,ABS(M12-L12)&gt;0.0001,M$10&gt;$C$5),4,IF(L50=4,3,IF(L50=3,2,IF(L50=2,1,0))))</f>
        <v>4</v>
      </c>
      <c r="N50" s="34">
        <f>IF(AND(ABS((N12-M12)-('Input data'!N13-'Input data'!M13))&gt;0.0001,ABS(N12-M12)&gt;0.0001,N$10&gt;$C$5),4,IF(M50=4,3,IF(M50=3,2,IF(M50=2,1,0))))</f>
        <v>3</v>
      </c>
      <c r="O50" s="34">
        <f>IF(AND(ABS((O12-N12)-('Input data'!O13-'Input data'!N13))&gt;0.0001,ABS(O12-N12)&gt;0.0001,O$10&gt;$C$5),4,IF(N50=4,3,IF(N50=3,2,IF(N50=2,1,0))))</f>
        <v>2</v>
      </c>
      <c r="P50" s="34">
        <f>IF(AND(ABS((P12-O12)-('Input data'!P13-'Input data'!O13))&gt;0.0001,ABS(P12-O12)&gt;0.0001,P$10&gt;$C$5),4,IF(O50=4,3,IF(O50=3,2,IF(O50=2,1,0))))</f>
        <v>1</v>
      </c>
      <c r="Q50" s="34">
        <f>IF(AND(ABS((Q12-P12)-('Input data'!Q13-'Input data'!P13))&gt;0.0001,ABS(Q12-P12)&gt;0.0001,Q$10&gt;$C$5),4,IF(P50=4,3,IF(P50=3,2,IF(P50=2,1,0))))</f>
        <v>0</v>
      </c>
      <c r="R50" s="34">
        <f>IF(AND(ABS((R12-Q12)-('Input data'!R13-'Input data'!Q13))&gt;0.0001,ABS(R12-Q12)&gt;0.0001,R$10&gt;$C$5),4,IF(Q50=4,3,IF(Q50=3,2,IF(Q50=2,1,0))))</f>
        <v>0</v>
      </c>
      <c r="S50" s="34">
        <f>IF(AND(ABS((S12-R12)-('Input data'!S13-'Input data'!R13))&gt;0.0001,ABS(S12-R12)&gt;0.0001,S$10&gt;$C$5),4,IF(R50=4,3,IF(R50=3,2,IF(R50=2,1,0))))</f>
        <v>0</v>
      </c>
      <c r="T50" s="34">
        <f>IF(AND(ABS((T12-S12)-('Input data'!T13-'Input data'!S13))&gt;0.0001,ABS(T12-S12)&gt;0.0001,T$10&gt;$C$5),4,IF(S50=4,3,IF(S50=3,2,IF(S50=2,1,0))))</f>
        <v>0</v>
      </c>
      <c r="U50" s="34">
        <f>IF(AND(ABS((U12-T12)-('Input data'!U13-'Input data'!T13))&gt;0.0001,ABS(U12-T12)&gt;0.0001,U$10&gt;$C$5),4,IF(T50=4,3,IF(T50=3,2,IF(T50=2,1,0))))</f>
        <v>0</v>
      </c>
      <c r="V50" s="34">
        <f>IF(AND(ABS((V12-U12)-('Input data'!V13-'Input data'!U13))&gt;0.0001,ABS(V12-U12)&gt;0.0001,V$10&gt;$C$5),4,IF(U50=4,3,IF(U50=3,2,IF(U50=2,1,0))))</f>
        <v>0</v>
      </c>
      <c r="W50" s="34">
        <f>IF(AND(ABS((W12-V12)-('Input data'!W13-'Input data'!V13))&gt;0.0001,ABS(W12-V12)&gt;0.0001,W$10&gt;$C$5),4,IF(V50=4,3,IF(V50=3,2,IF(V50=2,1,0))))</f>
        <v>0</v>
      </c>
      <c r="X50" s="34"/>
      <c r="Y50" s="34"/>
      <c r="Z50" s="34"/>
      <c r="AA50" s="34"/>
      <c r="AB50" s="34"/>
      <c r="AC50" s="34"/>
      <c r="AD50" s="34"/>
      <c r="AE50" s="34"/>
      <c r="AF50" s="34"/>
      <c r="AG50" s="34"/>
      <c r="AH50" s="34"/>
      <c r="AI50" s="34"/>
      <c r="AJ50" s="34"/>
      <c r="AK50" s="34"/>
      <c r="AL50" s="34"/>
      <c r="AM50" s="34"/>
      <c r="AN50" s="34"/>
      <c r="AO50" s="34"/>
      <c r="AP50" s="34"/>
      <c r="AQ50" s="34"/>
      <c r="AR50" s="34"/>
      <c r="AS50" s="34"/>
      <c r="AT50" s="34"/>
      <c r="AU50" s="34"/>
      <c r="AV50" s="34"/>
    </row>
    <row r="51" spans="2:48" outlineLevel="1" x14ac:dyDescent="0.2">
      <c r="B51" s="26" t="s">
        <v>101</v>
      </c>
      <c r="C51" s="34">
        <v>0</v>
      </c>
      <c r="D51" s="34">
        <f t="shared" ref="D51:W51" si="8">IF(C50=4,2/3*C30,IF(C50=3,1/3*B30,0))</f>
        <v>0</v>
      </c>
      <c r="E51" s="34">
        <f t="shared" si="8"/>
        <v>0</v>
      </c>
      <c r="F51" s="34">
        <f t="shared" si="8"/>
        <v>0</v>
      </c>
      <c r="G51" s="34">
        <f t="shared" si="8"/>
        <v>0</v>
      </c>
      <c r="H51" s="34">
        <f t="shared" si="8"/>
        <v>-1.8620992481865883</v>
      </c>
      <c r="I51" s="34">
        <f t="shared" si="8"/>
        <v>-1.3862181575221639</v>
      </c>
      <c r="J51" s="34">
        <f t="shared" si="8"/>
        <v>-1.0701700056670556</v>
      </c>
      <c r="K51" s="34">
        <f t="shared" si="8"/>
        <v>-0.90898877524491584</v>
      </c>
      <c r="L51" s="34">
        <f t="shared" si="8"/>
        <v>-0.75309208403342431</v>
      </c>
      <c r="M51" s="34">
        <f t="shared" si="8"/>
        <v>-0.60038268842175224</v>
      </c>
      <c r="N51" s="34">
        <f t="shared" si="8"/>
        <v>-0.54803875995731066</v>
      </c>
      <c r="O51" s="34">
        <f t="shared" si="8"/>
        <v>-0.27401937997865533</v>
      </c>
      <c r="P51" s="34">
        <f t="shared" si="8"/>
        <v>0</v>
      </c>
      <c r="Q51" s="34">
        <f t="shared" si="8"/>
        <v>0</v>
      </c>
      <c r="R51" s="34">
        <f t="shared" si="8"/>
        <v>0</v>
      </c>
      <c r="S51" s="34">
        <f t="shared" si="8"/>
        <v>0</v>
      </c>
      <c r="T51" s="34">
        <f t="shared" si="8"/>
        <v>0</v>
      </c>
      <c r="U51" s="34">
        <f t="shared" si="8"/>
        <v>0</v>
      </c>
      <c r="V51" s="34">
        <f t="shared" si="8"/>
        <v>0</v>
      </c>
      <c r="W51" s="34">
        <f t="shared" si="8"/>
        <v>0</v>
      </c>
      <c r="X51" s="34"/>
      <c r="Y51" s="34"/>
      <c r="Z51" s="34"/>
      <c r="AA51" s="34"/>
      <c r="AB51" s="34"/>
      <c r="AC51" s="34"/>
      <c r="AD51" s="34"/>
      <c r="AE51" s="34"/>
      <c r="AF51" s="34"/>
      <c r="AG51" s="34"/>
      <c r="AH51" s="34"/>
      <c r="AI51" s="34"/>
      <c r="AJ51" s="34"/>
      <c r="AK51" s="34"/>
      <c r="AL51" s="34"/>
      <c r="AM51" s="34"/>
      <c r="AN51" s="34"/>
      <c r="AO51" s="34"/>
      <c r="AP51" s="34"/>
      <c r="AQ51" s="34"/>
      <c r="AR51" s="34"/>
      <c r="AS51" s="34"/>
      <c r="AT51" s="34"/>
      <c r="AU51" s="34"/>
      <c r="AV51" s="34"/>
    </row>
    <row r="52" spans="2:48" outlineLevel="1" x14ac:dyDescent="0.2">
      <c r="B52" s="26" t="s">
        <v>102</v>
      </c>
      <c r="C52" s="34"/>
      <c r="D52" s="34">
        <f>'Input data'!D30-$C$47*((D12-C12)-('Input data'!D13-'Input data'!C13))</f>
        <v>1.335467</v>
      </c>
      <c r="E52" s="34">
        <f>'Input data'!E30-$C$47*((E12-D12)-('Input data'!E13-'Input data'!D13))</f>
        <v>-1.0353760000000001</v>
      </c>
      <c r="F52" s="34">
        <f>'Input data'!F30-$C$47*((F12-E12)-('Input data'!F13-'Input data'!E13))</f>
        <v>3.9589600000000003E-2</v>
      </c>
      <c r="G52" s="34">
        <f>'Input data'!G30-$C$47*((G12-F12))</f>
        <v>0.66045752499999977</v>
      </c>
      <c r="H52" s="34">
        <f>'Input data'!H30-$C$47*((H12-G12))</f>
        <v>1.0852849999999998</v>
      </c>
      <c r="I52" s="34">
        <f>'Input data'!I30-$C$47*((I12-H12))</f>
        <v>1.1896150000000001</v>
      </c>
      <c r="J52" s="34">
        <f>'Input data'!J30-$C$47*((J12-I12))</f>
        <v>0.74879799999999985</v>
      </c>
      <c r="K52" s="34">
        <f>'Input data'!K30-$C$47*((K12-J12))</f>
        <v>0.35638120000000001</v>
      </c>
      <c r="L52" s="34">
        <f>'Input data'!L30-$C$47*((L12-K12))</f>
        <v>0.40843980000000024</v>
      </c>
      <c r="M52" s="34">
        <f>'Input data'!M30-$C$47*((M12-L12))</f>
        <v>0.36065609999999981</v>
      </c>
      <c r="N52" s="34">
        <f>'Input data'!N30-$C$47*((N12-M12))</f>
        <v>0.65826850000000003</v>
      </c>
      <c r="O52" s="34">
        <f>'Input data'!O30-$C$47*((O12-N12))</f>
        <v>0.68445089999999997</v>
      </c>
      <c r="P52" s="34">
        <f>'Input data'!P30-$C$47*((P12-O12))</f>
        <v>0.88988429999999996</v>
      </c>
      <c r="Q52" s="34">
        <f>'Input data'!Q30-$C$47*((Q12-P12))</f>
        <v>1.09531</v>
      </c>
      <c r="R52" s="34">
        <f>'Input data'!R30-$C$47*((R12-Q12))</f>
        <v>1.3007420000000001</v>
      </c>
      <c r="S52" s="34">
        <f>'Input data'!S30-$C$47*((S12-R12))</f>
        <v>1.375005</v>
      </c>
      <c r="T52" s="34">
        <f>'Input data'!T30-$C$47*((T12-S12))</f>
        <v>1.4239539999999999</v>
      </c>
      <c r="U52" s="34">
        <f>'Input data'!U30-$C$47*((U12-T12))</f>
        <v>1.4860420000000001</v>
      </c>
      <c r="V52" s="34">
        <f>'Input data'!V30-$C$47*((V12-U12))</f>
        <v>1.5330820000000001</v>
      </c>
      <c r="W52" s="34">
        <f>'Input data'!W30-$C$47*((W12-V12))</f>
        <v>1.4883029999999999</v>
      </c>
      <c r="X52" s="34"/>
      <c r="Y52" s="34"/>
      <c r="Z52" s="34"/>
      <c r="AA52" s="34"/>
      <c r="AB52" s="34"/>
      <c r="AC52" s="34"/>
      <c r="AD52" s="34"/>
      <c r="AE52" s="34"/>
      <c r="AF52" s="34"/>
      <c r="AG52" s="34"/>
      <c r="AH52" s="34"/>
      <c r="AI52" s="34"/>
      <c r="AJ52" s="34"/>
      <c r="AK52" s="34"/>
      <c r="AL52" s="34"/>
      <c r="AM52" s="34"/>
      <c r="AN52" s="34"/>
      <c r="AO52" s="34"/>
      <c r="AP52" s="34"/>
      <c r="AQ52" s="34"/>
      <c r="AR52" s="34"/>
      <c r="AS52" s="34"/>
      <c r="AT52" s="34"/>
      <c r="AU52" s="34"/>
      <c r="AV52" s="34"/>
    </row>
    <row r="53" spans="2:48" x14ac:dyDescent="0.2">
      <c r="C53" s="36"/>
    </row>
    <row r="54" spans="2:48" s="67" customFormat="1" ht="12.75" outlineLevel="1" x14ac:dyDescent="0.2">
      <c r="B54" s="72" t="s">
        <v>103</v>
      </c>
      <c r="C54" s="69"/>
      <c r="E54" s="70"/>
      <c r="F54" s="69"/>
    </row>
    <row r="55" spans="2:48" outlineLevel="1" x14ac:dyDescent="0.2">
      <c r="B55" s="43"/>
      <c r="C55" s="29"/>
      <c r="E55" s="44"/>
      <c r="F55" s="29"/>
    </row>
    <row r="56" spans="2:48" outlineLevel="1" x14ac:dyDescent="0.2">
      <c r="B56" s="85"/>
      <c r="C56" s="86">
        <v>2021</v>
      </c>
      <c r="D56" s="86">
        <v>2022</v>
      </c>
      <c r="E56" s="86">
        <v>2023</v>
      </c>
      <c r="F56" s="86">
        <v>2024</v>
      </c>
      <c r="G56" s="86">
        <v>2025</v>
      </c>
      <c r="H56" s="86">
        <v>2026</v>
      </c>
      <c r="I56" s="86">
        <v>2027</v>
      </c>
      <c r="J56" s="86">
        <v>2028</v>
      </c>
      <c r="K56" s="86">
        <v>2029</v>
      </c>
      <c r="L56" s="86">
        <v>2030</v>
      </c>
      <c r="M56" s="86">
        <v>2031</v>
      </c>
      <c r="N56" s="86">
        <v>2032</v>
      </c>
      <c r="O56" s="86">
        <v>2033</v>
      </c>
      <c r="P56" s="86">
        <v>2034</v>
      </c>
      <c r="Q56" s="86">
        <v>2035</v>
      </c>
      <c r="R56" s="86">
        <v>2036</v>
      </c>
      <c r="S56" s="86">
        <v>2037</v>
      </c>
      <c r="T56" s="86">
        <v>2038</v>
      </c>
      <c r="U56" s="86">
        <v>2039</v>
      </c>
      <c r="V56" s="86">
        <v>2040</v>
      </c>
      <c r="W56" s="86">
        <v>2041</v>
      </c>
    </row>
    <row r="57" spans="2:48" ht="10.5" customHeight="1" outlineLevel="1" x14ac:dyDescent="0.2">
      <c r="B57" s="87" t="s">
        <v>104</v>
      </c>
      <c r="C57" s="45">
        <f>+'Input data'!C12</f>
        <v>72.584819999999993</v>
      </c>
      <c r="D57" s="45">
        <f>+C57+D58</f>
        <v>73.511610584961744</v>
      </c>
      <c r="E57" s="45">
        <v>76.578870779976697</v>
      </c>
      <c r="F57" s="45">
        <v>81.66850402875248</v>
      </c>
      <c r="G57" s="45">
        <f>+F57+G58</f>
        <v>83.441422258514947</v>
      </c>
      <c r="H57" s="45">
        <f t="shared" ref="H57:S57" si="9">+G57+H58</f>
        <v>83.908534577415139</v>
      </c>
      <c r="I57" s="45">
        <f t="shared" si="9"/>
        <v>84.10902658197098</v>
      </c>
      <c r="J57" s="45">
        <f t="shared" si="9"/>
        <v>83.878399410117026</v>
      </c>
      <c r="K57" s="45">
        <f t="shared" si="9"/>
        <v>83.20570609783087</v>
      </c>
      <c r="L57" s="45">
        <f t="shared" si="9"/>
        <v>82.18827987907585</v>
      </c>
      <c r="M57" s="45">
        <f t="shared" si="9"/>
        <v>80.914668079488663</v>
      </c>
      <c r="N57" s="45">
        <f t="shared" si="9"/>
        <v>79.29990148872939</v>
      </c>
      <c r="O57" s="45">
        <f t="shared" si="9"/>
        <v>77.352546338845627</v>
      </c>
      <c r="P57" s="45">
        <f t="shared" si="9"/>
        <v>74.998123390225075</v>
      </c>
      <c r="Q57" s="45">
        <f t="shared" si="9"/>
        <v>72.599115049883636</v>
      </c>
      <c r="R57" s="45">
        <f t="shared" si="9"/>
        <v>69.935944132772903</v>
      </c>
      <c r="S57" s="45">
        <f t="shared" si="9"/>
        <v>67.088369119182886</v>
      </c>
      <c r="T57" s="45">
        <f>+S57+T58</f>
        <v>64.060122058661051</v>
      </c>
      <c r="U57" s="45">
        <f>+T57+U58</f>
        <v>60.83057974090174</v>
      </c>
      <c r="V57" s="45">
        <f>+U57+V58</f>
        <v>57.412777952403559</v>
      </c>
      <c r="W57" s="45">
        <f>+V57+W58</f>
        <v>53.876830744856107</v>
      </c>
      <c r="X57" s="38"/>
      <c r="Y57" s="38"/>
      <c r="Z57" s="38"/>
      <c r="AA57" s="38"/>
      <c r="AB57" s="38"/>
      <c r="AC57" s="38"/>
      <c r="AD57" s="38"/>
      <c r="AE57" s="38"/>
      <c r="AF57" s="38"/>
      <c r="AG57" s="38"/>
      <c r="AH57" s="38"/>
      <c r="AI57" s="38"/>
      <c r="AJ57" s="38"/>
      <c r="AK57" s="38"/>
      <c r="AL57" s="38"/>
      <c r="AM57" s="38"/>
      <c r="AN57" s="38"/>
      <c r="AO57" s="38"/>
      <c r="AP57" s="38"/>
      <c r="AQ57" s="38"/>
      <c r="AR57" s="38"/>
      <c r="AS57" s="38"/>
      <c r="AT57" s="38"/>
      <c r="AU57" s="38"/>
      <c r="AV57" s="38"/>
    </row>
    <row r="58" spans="2:48" outlineLevel="1" x14ac:dyDescent="0.2">
      <c r="B58" s="88" t="s">
        <v>105</v>
      </c>
      <c r="C58" s="47"/>
      <c r="D58" s="47">
        <f>-D59+D67+D72</f>
        <v>0.92679058496175504</v>
      </c>
      <c r="E58" s="47">
        <f>-E59+E67+E72</f>
        <v>2.3191055941405705</v>
      </c>
      <c r="F58" s="47">
        <f>-F59+F67+F72</f>
        <v>4.6554295487371764</v>
      </c>
      <c r="G58" s="415">
        <f>-G59+G67+G72</f>
        <v>1.7729182297624657</v>
      </c>
      <c r="H58" s="415">
        <f t="shared" ref="H58:S58" si="10">-H59+H67+H72</f>
        <v>0.46711231890019822</v>
      </c>
      <c r="I58" s="415">
        <f t="shared" si="10"/>
        <v>0.20049200455584359</v>
      </c>
      <c r="J58" s="415">
        <f t="shared" si="10"/>
        <v>-0.23062717185395321</v>
      </c>
      <c r="K58" s="415">
        <f t="shared" si="10"/>
        <v>-0.67269331228616114</v>
      </c>
      <c r="L58" s="415">
        <f t="shared" si="10"/>
        <v>-1.0174262187550136</v>
      </c>
      <c r="M58" s="415">
        <f t="shared" si="10"/>
        <v>-1.2736117995871814</v>
      </c>
      <c r="N58" s="47">
        <f t="shared" si="10"/>
        <v>-1.6147665907592685</v>
      </c>
      <c r="O58" s="47">
        <f t="shared" si="10"/>
        <v>-1.9473551498837645</v>
      </c>
      <c r="P58" s="47">
        <f t="shared" si="10"/>
        <v>-2.3544229486205466</v>
      </c>
      <c r="Q58" s="47">
        <f t="shared" si="10"/>
        <v>-2.3990083403414366</v>
      </c>
      <c r="R58" s="47">
        <f t="shared" si="10"/>
        <v>-2.6631709171107287</v>
      </c>
      <c r="S58" s="47">
        <f t="shared" si="10"/>
        <v>-2.8475750135900202</v>
      </c>
      <c r="T58" s="47">
        <f>-T59+T67+T72</f>
        <v>-3.0282470605218297</v>
      </c>
      <c r="U58" s="47">
        <f>-U59+U67+U72</f>
        <v>-3.2295423177593094</v>
      </c>
      <c r="V58" s="47">
        <f>-V59+V67+V72</f>
        <v>-3.4178017884981844</v>
      </c>
      <c r="W58" s="47">
        <f>-W59+W67+W72</f>
        <v>-3.5359472075474532</v>
      </c>
    </row>
    <row r="59" spans="2:48" outlineLevel="1" x14ac:dyDescent="0.2">
      <c r="B59" s="84" t="s">
        <v>106</v>
      </c>
      <c r="C59" s="48"/>
      <c r="D59" s="48">
        <f>D60+D61-D62-D63-D64-D65-D66</f>
        <v>0.20695241503824502</v>
      </c>
      <c r="E59" s="48">
        <f t="shared" ref="E59:R59" si="11">E60+E61-E62-E63-E64-E65-E66</f>
        <v>-1.5524595941405703</v>
      </c>
      <c r="F59" s="48">
        <f t="shared" si="11"/>
        <v>-2.1718214874013797</v>
      </c>
      <c r="G59" s="48">
        <f t="shared" si="11"/>
        <v>-0.82561264366689158</v>
      </c>
      <c r="H59" s="48">
        <f t="shared" si="11"/>
        <v>-0.11016845151684906</v>
      </c>
      <c r="I59" s="48">
        <f t="shared" si="11"/>
        <v>0.46574158505266039</v>
      </c>
      <c r="J59" s="48">
        <f t="shared" si="11"/>
        <v>1.0064527992111887</v>
      </c>
      <c r="K59" s="48">
        <f t="shared" si="11"/>
        <v>1.4425506106388206</v>
      </c>
      <c r="L59" s="48">
        <f t="shared" si="11"/>
        <v>1.7758659130078103</v>
      </c>
      <c r="M59" s="48">
        <f t="shared" si="11"/>
        <v>2.121562162557268</v>
      </c>
      <c r="N59" s="48">
        <f t="shared" si="11"/>
        <v>2.2535224417048436</v>
      </c>
      <c r="O59" s="48">
        <f t="shared" si="11"/>
        <v>2.4230417208524351</v>
      </c>
      <c r="P59" s="48">
        <f t="shared" si="11"/>
        <v>2.5921210000000023</v>
      </c>
      <c r="Q59" s="48">
        <f t="shared" si="11"/>
        <v>2.6102392729169681</v>
      </c>
      <c r="R59" s="48">
        <f t="shared" si="11"/>
        <v>2.6443286983900962</v>
      </c>
      <c r="S59" s="48">
        <f>S60+S61-S62-S63-S64-S65-S66</f>
        <v>2.6973474019662231</v>
      </c>
      <c r="T59" s="48">
        <f>T60+T61-T62-T63-T64-T65-T66</f>
        <v>2.7661085496240223</v>
      </c>
      <c r="U59" s="48">
        <f>U60+U61-U62-U63-U64-U65-U66</f>
        <v>2.8490879761461914</v>
      </c>
      <c r="V59" s="48">
        <f>V60+V61-V62-V63-V64-V65-V66</f>
        <v>2.931030268994868</v>
      </c>
      <c r="W59" s="48">
        <f>W60+W61-W62-W63-W64-W65-W66</f>
        <v>2.9962608424599484</v>
      </c>
    </row>
    <row r="60" spans="2:48" outlineLevel="1" x14ac:dyDescent="0.2">
      <c r="B60" s="79" t="s">
        <v>107</v>
      </c>
      <c r="C60" s="1"/>
      <c r="D60" s="1">
        <f>D12</f>
        <v>0.29205680000000001</v>
      </c>
      <c r="E60" s="1">
        <f>E12</f>
        <v>-0.2445959</v>
      </c>
      <c r="F60" s="1">
        <f>F12</f>
        <v>-0.53010330000000006</v>
      </c>
      <c r="G60" s="1">
        <f t="shared" ref="G60:W60" si="12">IF(G12="",F60,G12)</f>
        <v>0.8</v>
      </c>
      <c r="H60" s="1">
        <f t="shared" si="12"/>
        <v>1.1000000000000001</v>
      </c>
      <c r="I60" s="1">
        <f t="shared" si="12"/>
        <v>1.4</v>
      </c>
      <c r="J60" s="1">
        <f t="shared" si="12"/>
        <v>1.8</v>
      </c>
      <c r="K60" s="1">
        <f t="shared" si="12"/>
        <v>2.1</v>
      </c>
      <c r="L60" s="1">
        <f t="shared" si="12"/>
        <v>2.2999999999999998</v>
      </c>
      <c r="M60" s="1">
        <f t="shared" si="12"/>
        <v>2.6</v>
      </c>
      <c r="N60" s="1">
        <f t="shared" si="12"/>
        <v>2.6</v>
      </c>
      <c r="O60" s="1">
        <f t="shared" si="12"/>
        <v>2.6</v>
      </c>
      <c r="P60" s="1">
        <f t="shared" si="12"/>
        <v>2.6</v>
      </c>
      <c r="Q60" s="1">
        <f t="shared" si="12"/>
        <v>2.6</v>
      </c>
      <c r="R60" s="1">
        <f t="shared" si="12"/>
        <v>2.6</v>
      </c>
      <c r="S60" s="1">
        <f t="shared" si="12"/>
        <v>2.6</v>
      </c>
      <c r="T60" s="1">
        <f t="shared" si="12"/>
        <v>2.6</v>
      </c>
      <c r="U60" s="1">
        <f t="shared" si="12"/>
        <v>2.6</v>
      </c>
      <c r="V60" s="1">
        <f t="shared" si="12"/>
        <v>2.6</v>
      </c>
      <c r="W60" s="1">
        <f t="shared" si="12"/>
        <v>2.6</v>
      </c>
    </row>
    <row r="61" spans="2:48" outlineLevel="1" x14ac:dyDescent="0.2">
      <c r="B61" s="79" t="s">
        <v>108</v>
      </c>
      <c r="C61" s="1"/>
      <c r="D61" s="1">
        <v>0</v>
      </c>
      <c r="E61" s="1">
        <v>0</v>
      </c>
      <c r="F61" s="1">
        <v>0</v>
      </c>
      <c r="G61" s="1">
        <v>0</v>
      </c>
      <c r="H61" s="1">
        <v>0</v>
      </c>
      <c r="I61" s="1">
        <v>0</v>
      </c>
      <c r="J61" s="1">
        <v>0</v>
      </c>
      <c r="K61" s="1">
        <v>0</v>
      </c>
      <c r="L61" s="1">
        <v>0</v>
      </c>
      <c r="M61" s="1">
        <v>0</v>
      </c>
      <c r="N61" s="1">
        <v>0</v>
      </c>
      <c r="O61" s="1">
        <v>0</v>
      </c>
      <c r="P61" s="1">
        <v>0</v>
      </c>
      <c r="Q61" s="1">
        <v>0</v>
      </c>
      <c r="R61" s="1">
        <v>0</v>
      </c>
      <c r="S61" s="1">
        <v>0</v>
      </c>
      <c r="T61" s="1">
        <v>0</v>
      </c>
      <c r="U61" s="1">
        <v>0</v>
      </c>
      <c r="V61" s="1">
        <v>0</v>
      </c>
      <c r="W61" s="1">
        <v>0</v>
      </c>
    </row>
    <row r="62" spans="2:48" outlineLevel="1" x14ac:dyDescent="0.2">
      <c r="B62" s="79" t="s">
        <v>109</v>
      </c>
      <c r="C62" s="1"/>
      <c r="D62" s="1">
        <f t="shared" ref="D62:W62" si="13">-$C$48*D30</f>
        <v>8.5104384961754986E-2</v>
      </c>
      <c r="E62" s="1">
        <f t="shared" si="13"/>
        <v>1.3078636941405704</v>
      </c>
      <c r="F62" s="1">
        <f t="shared" si="13"/>
        <v>1.6417181874013795</v>
      </c>
      <c r="G62" s="1">
        <f t="shared" si="13"/>
        <v>1.6256126436668916</v>
      </c>
      <c r="H62" s="1">
        <f t="shared" si="13"/>
        <v>1.2101684515168492</v>
      </c>
      <c r="I62" s="1">
        <f t="shared" si="13"/>
        <v>0.93425841494733952</v>
      </c>
      <c r="J62" s="1">
        <f t="shared" si="13"/>
        <v>0.79354720078881147</v>
      </c>
      <c r="K62" s="1">
        <f t="shared" si="13"/>
        <v>0.65744938936117936</v>
      </c>
      <c r="L62" s="1">
        <f t="shared" si="13"/>
        <v>0.52413408699218966</v>
      </c>
      <c r="M62" s="1">
        <f>-$C$48*M30</f>
        <v>0.47843783744273222</v>
      </c>
      <c r="N62" s="1">
        <f t="shared" si="13"/>
        <v>0.31895855829515696</v>
      </c>
      <c r="O62" s="1">
        <f t="shared" si="13"/>
        <v>0.15947927914756879</v>
      </c>
      <c r="P62" s="1">
        <f t="shared" si="13"/>
        <v>0</v>
      </c>
      <c r="Q62" s="1">
        <f t="shared" si="13"/>
        <v>1.7270830364513045E-6</v>
      </c>
      <c r="R62" s="1">
        <f t="shared" si="13"/>
        <v>2.3016099033990043E-6</v>
      </c>
      <c r="S62" s="1">
        <f t="shared" si="13"/>
        <v>4.5980337761930553E-6</v>
      </c>
      <c r="T62" s="1">
        <f t="shared" si="13"/>
        <v>3.4503759778647944E-6</v>
      </c>
      <c r="U62" s="1">
        <f>-$C$48*U30</f>
        <v>4.0238538076886593E-6</v>
      </c>
      <c r="V62" s="1">
        <f t="shared" si="13"/>
        <v>1.7310051334318287E-6</v>
      </c>
      <c r="W62" s="1">
        <f t="shared" si="13"/>
        <v>1.1575400521435242E-6</v>
      </c>
    </row>
    <row r="63" spans="2:48" outlineLevel="1" x14ac:dyDescent="0.2">
      <c r="B63" s="79" t="s">
        <v>110</v>
      </c>
      <c r="C63" s="1"/>
      <c r="D63" s="1">
        <f t="shared" ref="D63:W63" si="14">-D14</f>
        <v>0</v>
      </c>
      <c r="E63" s="1">
        <f t="shared" si="14"/>
        <v>0</v>
      </c>
      <c r="F63" s="1">
        <f t="shared" si="14"/>
        <v>0</v>
      </c>
      <c r="G63" s="1">
        <f t="shared" si="14"/>
        <v>0</v>
      </c>
      <c r="H63" s="1">
        <f t="shared" si="14"/>
        <v>0</v>
      </c>
      <c r="I63" s="1">
        <f t="shared" si="14"/>
        <v>0</v>
      </c>
      <c r="J63" s="1">
        <f t="shared" si="14"/>
        <v>0</v>
      </c>
      <c r="K63" s="1">
        <f t="shared" si="14"/>
        <v>0</v>
      </c>
      <c r="L63" s="1">
        <f t="shared" si="14"/>
        <v>0</v>
      </c>
      <c r="M63" s="1">
        <f t="shared" si="14"/>
        <v>0</v>
      </c>
      <c r="N63" s="1">
        <f t="shared" si="14"/>
        <v>0</v>
      </c>
      <c r="O63" s="1">
        <f t="shared" si="14"/>
        <v>0</v>
      </c>
      <c r="P63" s="1">
        <f t="shared" si="14"/>
        <v>0</v>
      </c>
      <c r="Q63" s="1">
        <f t="shared" si="14"/>
        <v>0</v>
      </c>
      <c r="R63" s="1">
        <f t="shared" si="14"/>
        <v>0</v>
      </c>
      <c r="S63" s="1">
        <f t="shared" si="14"/>
        <v>0</v>
      </c>
      <c r="T63" s="1">
        <f t="shared" si="14"/>
        <v>0</v>
      </c>
      <c r="U63" s="1">
        <f t="shared" si="14"/>
        <v>0</v>
      </c>
      <c r="V63" s="1">
        <f t="shared" si="14"/>
        <v>0</v>
      </c>
      <c r="W63" s="1">
        <f t="shared" si="14"/>
        <v>0</v>
      </c>
    </row>
    <row r="64" spans="2:48" outlineLevel="1" x14ac:dyDescent="0.2">
      <c r="B64" s="79" t="s">
        <v>111</v>
      </c>
      <c r="C64" s="1"/>
      <c r="D64" s="1">
        <f>IF(D$56&lt;=$C$6,0,HLOOKUP(D$56,'Input data'!$C$9:$BB$26,12,FALSE)-HLOOKUP($C$6,'Input data'!$C$9:$BB$26,12,FALSE))</f>
        <v>0</v>
      </c>
      <c r="E64" s="1">
        <f>IF(E$56&lt;=$C$6,0,HLOOKUP(E$56,'Input data'!$C$9:$BB$26,12,FALSE)-HLOOKUP($C$6,'Input data'!$C$9:$BB$26,12,FALSE))</f>
        <v>0</v>
      </c>
      <c r="F64" s="1">
        <f>IF(F$56&lt;=$C$6,0,HLOOKUP(F$56,'Input data'!$C$9:$BB$26,12,FALSE)-HLOOKUP($C$6,'Input data'!$C$9:$BB$26,12,FALSE))</f>
        <v>0</v>
      </c>
      <c r="G64" s="1">
        <f>IF(G$56&lt;=$C$6,0,HLOOKUP(G$56,'Input data'!$C$9:$BB$26,12,FALSE)-HLOOKUP($C$6,'Input data'!$C$9:$BB$26,12,FALSE))</f>
        <v>0</v>
      </c>
      <c r="H64" s="1">
        <f>IF(H$56&lt;=$C$6,0,HLOOKUP(H$56,'Input data'!$C$9:$BB$26,12,FALSE)-HLOOKUP($C$6,'Input data'!$C$9:$BB$26,12,FALSE))</f>
        <v>0</v>
      </c>
      <c r="I64" s="1">
        <f>IF(I$56&lt;=$C$6,0,HLOOKUP(I$56,'Input data'!$C$9:$BB$26,12,FALSE)-HLOOKUP($C$6,'Input data'!$C$9:$BB$26,12,FALSE))</f>
        <v>0</v>
      </c>
      <c r="J64" s="1">
        <f>IF(J$56&lt;=$C$6,0,HLOOKUP(J$56,'Input data'!$C$9:$BB$26,12,FALSE)-HLOOKUP($C$6,'Input data'!$C$9:$BB$26,12,FALSE))</f>
        <v>0</v>
      </c>
      <c r="K64" s="1">
        <f>IF(K$56&lt;=$C$6,0,HLOOKUP(K$56,'Input data'!$C$9:$BB$26,12,FALSE)-HLOOKUP($C$6,'Input data'!$C$9:$BB$26,12,FALSE))</f>
        <v>0</v>
      </c>
      <c r="L64" s="1">
        <f>IF(L$56&lt;=$C$6,0,HLOOKUP(L$56,'Input data'!$C$9:$BB$26,12,FALSE)-HLOOKUP($C$6,'Input data'!$C$9:$BB$26,12,FALSE))</f>
        <v>0</v>
      </c>
      <c r="M64" s="1">
        <f>IF(M$56&lt;=$C$6,0,HLOOKUP(M$56,'Input data'!$C$9:$BB$26,12,FALSE)-HLOOKUP($C$6,'Input data'!$C$9:$BB$26,12,FALSE))</f>
        <v>0</v>
      </c>
      <c r="N64" s="1">
        <f>IF(N$56&lt;=$C$6,0,HLOOKUP(N$56,'Input data'!$C$9:$BB$26,12,FALSE)-HLOOKUP($C$6,'Input data'!$C$9:$BB$26,12,FALSE))</f>
        <v>3.416999999999959E-2</v>
      </c>
      <c r="O64" s="1">
        <f>IF(O$56&lt;=$C$6,0,HLOOKUP(O$56,'Input data'!$C$9:$BB$26,12,FALSE)-HLOOKUP($C$6,'Input data'!$C$9:$BB$26,12,FALSE))</f>
        <v>3.0779999999996477E-2</v>
      </c>
      <c r="P64" s="1">
        <f>IF(P$56&lt;=$C$6,0,HLOOKUP(P$56,'Input data'!$C$9:$BB$26,12,FALSE)-HLOOKUP($C$6,'Input data'!$C$9:$BB$26,12,FALSE))</f>
        <v>2.7829999999998023E-2</v>
      </c>
      <c r="Q64" s="1">
        <f>IF(Q$56&lt;=$C$6,0,HLOOKUP(Q$56,'Input data'!$C$9:$BB$26,12,FALSE)-HLOOKUP($C$6,'Input data'!$C$9:$BB$26,12,FALSE))</f>
        <v>1.6359999999995267E-2</v>
      </c>
      <c r="R64" s="1">
        <f>IF(R$56&lt;=$C$6,0,HLOOKUP(R$56,'Input data'!$C$9:$BB$26,12,FALSE)-HLOOKUP($C$6,'Input data'!$C$9:$BB$26,12,FALSE))</f>
        <v>-1.1079999999999757E-2</v>
      </c>
      <c r="S64" s="1">
        <f>IF(S$56&lt;=$C$6,0,HLOOKUP(S$56,'Input data'!$C$9:$BB$26,12,FALSE)-HLOOKUP($C$6,'Input data'!$C$9:$BB$26,12,FALSE))</f>
        <v>-5.7449999999999335E-2</v>
      </c>
      <c r="T64" s="1">
        <f>IF(T$56&lt;=$C$6,0,HLOOKUP(T$56,'Input data'!$C$9:$BB$26,12,FALSE)-HLOOKUP($C$6,'Input data'!$C$9:$BB$26,12,FALSE))</f>
        <v>-0.11955999999999989</v>
      </c>
      <c r="U64" s="1">
        <f>IF(U$56&lt;=$C$6,0,HLOOKUP(U$56,'Input data'!$C$9:$BB$26,12,FALSE)-HLOOKUP($C$6,'Input data'!$C$9:$BB$26,12,FALSE))</f>
        <v>-0.19588999999999857</v>
      </c>
      <c r="V64" s="1">
        <f>IF(V$56&lt;=$C$6,0,HLOOKUP(V$56,'Input data'!$C$9:$BB$26,12,FALSE)-HLOOKUP($C$6,'Input data'!$C$9:$BB$26,12,FALSE))</f>
        <v>-0.27118000000000109</v>
      </c>
      <c r="W64" s="1">
        <f>IF(W$56&lt;=$C$6,0,HLOOKUP(W$56,'Input data'!$C$9:$BB$26,12,FALSE)-HLOOKUP($C$6,'Input data'!$C$9:$BB$26,12,FALSE))</f>
        <v>-0.32976000000000028</v>
      </c>
    </row>
    <row r="65" spans="2:23" outlineLevel="1" x14ac:dyDescent="0.2">
      <c r="B65" s="79" t="s">
        <v>112</v>
      </c>
      <c r="C65" s="1"/>
      <c r="D65" s="1">
        <f>IF(D$56&lt;=$C$5,0,-HLOOKUP(D$56,'Input data'!$C$9:$BB$26,18,FALSE)+HLOOKUP($C$6,'Input data'!$C$9:$BB$26,18,FALSE))</f>
        <v>0</v>
      </c>
      <c r="E65" s="1">
        <f>IF(E$56&lt;=$C$5,0,-HLOOKUP(E$56,'Input data'!$C$9:$BB$26,18,FALSE)+HLOOKUP($C$6,'Input data'!$C$9:$BB$26,18,FALSE))</f>
        <v>0</v>
      </c>
      <c r="F65" s="1">
        <f>IF(F$56&lt;=$C$5,0,-HLOOKUP(F$56,'Input data'!$C$9:$BB$26,18,FALSE)+HLOOKUP($C$6,'Input data'!$C$9:$BB$26,18,FALSE))</f>
        <v>0</v>
      </c>
      <c r="G65" s="1">
        <f>IF(G$56&lt;=$C$6,0,-HLOOKUP(G$56,'Input data'!$C$9:$BB$26,18,FALSE)+HLOOKUP($C$6,'Input data'!$C$9:$BB$26,18,FALSE))</f>
        <v>0</v>
      </c>
      <c r="H65" s="1">
        <f>IF(H$56&lt;=$C$6,0,-HLOOKUP(H$56,'Input data'!$C$9:$BB$26,18,FALSE)+HLOOKUP($C$6,'Input data'!$C$9:$BB$26,18,FALSE))</f>
        <v>0</v>
      </c>
      <c r="I65" s="1">
        <f>IF(I$56&lt;=$C$6,0,-HLOOKUP(I$56,'Input data'!$C$9:$BB$26,18,FALSE)+HLOOKUP($C$6,'Input data'!$C$9:$BB$26,18,FALSE))</f>
        <v>0</v>
      </c>
      <c r="J65" s="1">
        <f>IF(J$56&lt;=$C$6,0,-HLOOKUP(J$56,'Input data'!$C$9:$BB$26,18,FALSE)+HLOOKUP($C$6,'Input data'!$C$9:$BB$26,18,FALSE))</f>
        <v>0</v>
      </c>
      <c r="K65" s="1">
        <f>IF(K$56&lt;=$C$6,0,-HLOOKUP(K$56,'Input data'!$C$9:$BB$26,18,FALSE)+HLOOKUP($C$6,'Input data'!$C$9:$BB$26,18,FALSE))</f>
        <v>0</v>
      </c>
      <c r="L65" s="1">
        <f>IF(L$56&lt;=$C$6,0,-HLOOKUP(L$56,'Input data'!$C$9:$BB$26,18,FALSE)+HLOOKUP($C$6,'Input data'!$C$9:$BB$26,18,FALSE))</f>
        <v>0</v>
      </c>
      <c r="M65" s="1">
        <f>IF(M$56&lt;=$C$6,0,-HLOOKUP(M$56,'Input data'!$C$9:$BB$26,18,FALSE)+HLOOKUP($C$6,'Input data'!$C$9:$BB$26,18,FALSE))</f>
        <v>0</v>
      </c>
      <c r="N65" s="1">
        <f>IF(N$56&lt;=$C$6,0,-HLOOKUP(N$56,'Input data'!$C$9:$BB$26,18,FALSE)+HLOOKUP($C$6,'Input data'!$C$9:$BB$26,18,FALSE))</f>
        <v>-6.6510000000001845E-3</v>
      </c>
      <c r="O65" s="1">
        <f>IF(O$56&lt;=$C$6,0,-HLOOKUP(O$56,'Input data'!$C$9:$BB$26,18,FALSE)+HLOOKUP($C$6,'Input data'!$C$9:$BB$26,18,FALSE))</f>
        <v>-1.3301000000000229E-2</v>
      </c>
      <c r="P65" s="1">
        <f>IF(P$56&lt;=$C$6,0,-HLOOKUP(P$56,'Input data'!$C$9:$BB$26,18,FALSE)+HLOOKUP($C$6,'Input data'!$C$9:$BB$26,18,FALSE))</f>
        <v>-1.9951000000000274E-2</v>
      </c>
      <c r="Q65" s="1">
        <f>IF(Q$56&lt;=$C$6,0,-HLOOKUP(Q$56,'Input data'!$C$9:$BB$26,18,FALSE)+HLOOKUP($C$6,'Input data'!$C$9:$BB$26,18,FALSE))</f>
        <v>-2.6600999999999875E-2</v>
      </c>
      <c r="R65" s="1">
        <f>IF(R$56&lt;=$C$6,0,-HLOOKUP(R$56,'Input data'!$C$9:$BB$26,18,FALSE)+HLOOKUP($C$6,'Input data'!$C$9:$BB$26,18,FALSE))</f>
        <v>-3.325099999999992E-2</v>
      </c>
      <c r="S65" s="1">
        <f>IF(S$56&lt;=$C$6,0,-HLOOKUP(S$56,'Input data'!$C$9:$BB$26,18,FALSE)+HLOOKUP($C$6,'Input data'!$C$9:$BB$26,18,FALSE))</f>
        <v>-3.9902000000000104E-2</v>
      </c>
      <c r="T65" s="1">
        <f>IF(T$56&lt;=$C$6,0,-HLOOKUP(T$56,'Input data'!$C$9:$BB$26,18,FALSE)+HLOOKUP($C$6,'Input data'!$C$9:$BB$26,18,FALSE))</f>
        <v>-4.6552000000000149E-2</v>
      </c>
      <c r="U65" s="263">
        <f>IF(U$56&lt;=$C$6,0,-HLOOKUP(U$56,'Input data'!$C$9:$BB$26,18,FALSE)+HLOOKUP($C$6,'Input data'!$C$9:$BB$26,18,FALSE))</f>
        <v>-5.3202000000000194E-2</v>
      </c>
      <c r="V65" s="263">
        <f>IF(V$56&lt;=$C$6,0,-HLOOKUP(V$56,'Input data'!$C$9:$BB$26,18,FALSE)+HLOOKUP($C$6,'Input data'!$C$9:$BB$26,18,FALSE))</f>
        <v>-5.9852000000000238E-2</v>
      </c>
      <c r="W65" s="263">
        <f>IF(W$56&lt;=$C$6,0,-HLOOKUP(W$56,'Input data'!$C$9:$BB$26,18,FALSE)+HLOOKUP($C$6,'Input data'!$C$9:$BB$26,18,FALSE))</f>
        <v>-6.6502000000000283E-2</v>
      </c>
    </row>
    <row r="66" spans="2:23" outlineLevel="1" x14ac:dyDescent="0.2">
      <c r="B66" s="79" t="s">
        <v>113</v>
      </c>
      <c r="C66" s="37"/>
      <c r="D66" s="37">
        <v>0</v>
      </c>
      <c r="E66" s="37">
        <v>0</v>
      </c>
      <c r="F66" s="37">
        <v>0</v>
      </c>
      <c r="G66" s="37">
        <v>0</v>
      </c>
      <c r="H66" s="37">
        <v>0</v>
      </c>
      <c r="I66" s="37">
        <v>0</v>
      </c>
      <c r="J66" s="37">
        <v>0</v>
      </c>
      <c r="K66" s="37">
        <v>0</v>
      </c>
      <c r="L66" s="37">
        <v>0</v>
      </c>
      <c r="M66" s="37">
        <v>0</v>
      </c>
      <c r="N66" s="37">
        <v>0</v>
      </c>
      <c r="O66" s="37">
        <v>0</v>
      </c>
      <c r="P66" s="37">
        <v>0</v>
      </c>
      <c r="Q66" s="37">
        <v>0</v>
      </c>
      <c r="R66" s="37">
        <v>0</v>
      </c>
      <c r="S66" s="37">
        <v>0</v>
      </c>
      <c r="T66" s="37">
        <v>0</v>
      </c>
      <c r="U66" s="264">
        <v>0</v>
      </c>
      <c r="V66" s="264">
        <v>0</v>
      </c>
      <c r="W66" s="264">
        <v>0</v>
      </c>
    </row>
    <row r="67" spans="2:23" outlineLevel="1" x14ac:dyDescent="0.2">
      <c r="B67" s="84" t="s">
        <v>114</v>
      </c>
      <c r="C67" s="48"/>
      <c r="D67" s="48">
        <f t="shared" ref="D67:O67" si="15">SUM(D68:D71)</f>
        <v>-4.0426919999999997</v>
      </c>
      <c r="E67" s="48">
        <f t="shared" si="15"/>
        <v>-1.511876</v>
      </c>
      <c r="F67" s="48">
        <f t="shared" si="15"/>
        <v>-0.13345593866420305</v>
      </c>
      <c r="G67" s="48">
        <f t="shared" si="15"/>
        <v>-0.72270541390442566</v>
      </c>
      <c r="H67" s="48">
        <f t="shared" si="15"/>
        <v>-1.3333291326166508</v>
      </c>
      <c r="I67" s="48">
        <f t="shared" si="15"/>
        <v>-1.0359814103914959</v>
      </c>
      <c r="J67" s="48">
        <f t="shared" si="15"/>
        <v>-0.87222237264276448</v>
      </c>
      <c r="K67" s="48">
        <f t="shared" si="15"/>
        <v>-0.8114897016473408</v>
      </c>
      <c r="L67" s="48">
        <f t="shared" si="15"/>
        <v>-0.78236330574720325</v>
      </c>
      <c r="M67" s="48">
        <f t="shared" si="15"/>
        <v>-0.67503063702991328</v>
      </c>
      <c r="N67" s="48">
        <f t="shared" si="15"/>
        <v>-0.88737914905442516</v>
      </c>
      <c r="O67" s="48">
        <f t="shared" si="15"/>
        <v>-0.89783542903132951</v>
      </c>
      <c r="P67" s="48">
        <f t="shared" ref="P67:W67" si="16">SUM(P68:P71)</f>
        <v>-0.98320994862054445</v>
      </c>
      <c r="Q67" s="48">
        <f t="shared" si="16"/>
        <v>-0.8570640674244685</v>
      </c>
      <c r="R67" s="48">
        <f t="shared" si="16"/>
        <v>-0.93452321872063226</v>
      </c>
      <c r="S67" s="48">
        <f t="shared" si="16"/>
        <v>-0.91329511162379706</v>
      </c>
      <c r="T67" s="48">
        <f t="shared" si="16"/>
        <v>-0.87259251089780776</v>
      </c>
      <c r="U67" s="48">
        <f t="shared" si="16"/>
        <v>-0.83829484161311796</v>
      </c>
      <c r="V67" s="48">
        <f t="shared" si="16"/>
        <v>-0.79199851950331634</v>
      </c>
      <c r="W67" s="48">
        <f t="shared" si="16"/>
        <v>-0.69229986508750474</v>
      </c>
    </row>
    <row r="68" spans="2:23" outlineLevel="1" x14ac:dyDescent="0.2">
      <c r="B68" s="79" t="s">
        <v>115</v>
      </c>
      <c r="C68" s="34"/>
      <c r="D68" s="34">
        <f>C57*D36/100*(1/(1+D33/100))</f>
        <v>0.57044236264340553</v>
      </c>
      <c r="E68" s="34">
        <f>D57*E36/100*(1/(1+E33/100))</f>
        <v>1.1202161973483911</v>
      </c>
      <c r="F68" s="34">
        <f>E57*F36/100*(1/(1+F33/100))</f>
        <v>1.250125276466207</v>
      </c>
      <c r="G68" s="34">
        <f>F57*G36/100*(1/(1+G33/100))</f>
        <v>1.5011561101185344</v>
      </c>
      <c r="H68" s="34">
        <f t="shared" ref="H68:W68" si="17">G57*H36/100*(1/(1+H33/100))</f>
        <v>1.5919833079191705</v>
      </c>
      <c r="I68" s="34">
        <f t="shared" si="17"/>
        <v>1.6670707018705813</v>
      </c>
      <c r="J68" s="34">
        <f>I57*J36/100*(1/(1+J33/100))</f>
        <v>1.7277274089800263</v>
      </c>
      <c r="K68" s="34">
        <f t="shared" si="17"/>
        <v>1.7708635854797343</v>
      </c>
      <c r="L68" s="34">
        <f>K57*L36/100*(1/(1+L33/100))</f>
        <v>1.7983950620166349</v>
      </c>
      <c r="M68" s="34">
        <f t="shared" si="17"/>
        <v>1.8157937503291235</v>
      </c>
      <c r="N68" s="34">
        <f t="shared" si="17"/>
        <v>1.8160916911579994</v>
      </c>
      <c r="O68" s="34">
        <f t="shared" si="17"/>
        <v>1.8107367267982344</v>
      </c>
      <c r="P68" s="34">
        <f t="shared" si="17"/>
        <v>1.7904101165678465</v>
      </c>
      <c r="Q68" s="34">
        <f t="shared" si="17"/>
        <v>1.7613710293423794</v>
      </c>
      <c r="R68" s="34">
        <f t="shared" si="17"/>
        <v>1.7234754702740129</v>
      </c>
      <c r="S68" s="34">
        <f t="shared" si="17"/>
        <v>1.6784822673478472</v>
      </c>
      <c r="T68" s="34">
        <f t="shared" si="17"/>
        <v>1.6274951385276235</v>
      </c>
      <c r="U68" s="34">
        <f t="shared" si="17"/>
        <v>1.5701193255930892</v>
      </c>
      <c r="V68" s="34">
        <f t="shared" si="17"/>
        <v>1.5063989676764264</v>
      </c>
      <c r="W68" s="34">
        <f t="shared" si="17"/>
        <v>1.4377334822424053</v>
      </c>
    </row>
    <row r="69" spans="2:23" outlineLevel="1" x14ac:dyDescent="0.2">
      <c r="B69" s="79" t="s">
        <v>116</v>
      </c>
      <c r="C69" s="34"/>
      <c r="D69" s="34">
        <f t="shared" ref="D69:W69" si="18">-C57*(D24/100)*(1/(1+D33/100))</f>
        <v>-0.90770273794427436</v>
      </c>
      <c r="E69" s="34">
        <f t="shared" si="18"/>
        <v>0.7338761149895805</v>
      </c>
      <c r="F69" s="34">
        <f t="shared" si="18"/>
        <v>-2.976942072239358E-2</v>
      </c>
      <c r="G69" s="34">
        <f t="shared" si="18"/>
        <v>-0.52469712575665606</v>
      </c>
      <c r="H69" s="34">
        <f t="shared" si="18"/>
        <v>-1.1466231900631261</v>
      </c>
      <c r="I69" s="34">
        <f t="shared" si="18"/>
        <v>-0.87172775131210944</v>
      </c>
      <c r="J69" s="34">
        <f t="shared" si="18"/>
        <v>-0.72151424714694767</v>
      </c>
      <c r="K69" s="34">
        <f t="shared" si="18"/>
        <v>-0.66649447356530922</v>
      </c>
      <c r="L69" s="34">
        <f t="shared" si="18"/>
        <v>-0.63807579167797324</v>
      </c>
      <c r="M69" s="34">
        <f t="shared" si="18"/>
        <v>-0.53026703963282074</v>
      </c>
      <c r="N69" s="34">
        <f t="shared" si="18"/>
        <v>-0.73235282437915705</v>
      </c>
      <c r="O69" s="34">
        <f t="shared" si="18"/>
        <v>-0.73670722363785346</v>
      </c>
      <c r="P69" s="34">
        <f t="shared" si="18"/>
        <v>-0.87041054396389772</v>
      </c>
      <c r="Q69" s="34">
        <f t="shared" si="18"/>
        <v>-0.79278196384708077</v>
      </c>
      <c r="R69" s="34">
        <f t="shared" si="18"/>
        <v>-0.90975347577496191</v>
      </c>
      <c r="S69" s="34">
        <f t="shared" si="18"/>
        <v>-0.92598566007310978</v>
      </c>
      <c r="T69" s="34">
        <f t="shared" si="18"/>
        <v>-0.91970741751986618</v>
      </c>
      <c r="U69" s="34">
        <f t="shared" si="18"/>
        <v>-0.91617027298433262</v>
      </c>
      <c r="V69" s="34">
        <f t="shared" si="18"/>
        <v>-0.89734635033900445</v>
      </c>
      <c r="W69" s="34">
        <f t="shared" si="18"/>
        <v>-0.82277474643965021</v>
      </c>
    </row>
    <row r="70" spans="2:23" outlineLevel="1" x14ac:dyDescent="0.2">
      <c r="B70" s="79" t="s">
        <v>117</v>
      </c>
      <c r="C70" s="34"/>
      <c r="D70" s="34">
        <f t="shared" ref="D70:W70" si="19">-C57*D42/100*(1/(1+D42/100))</f>
        <v>-3.7081792093539843</v>
      </c>
      <c r="E70" s="34">
        <f t="shared" si="19"/>
        <v>-3.3653315689090335</v>
      </c>
      <c r="F70" s="34">
        <f t="shared" si="19"/>
        <v>-1.3540483089744895</v>
      </c>
      <c r="G70" s="34">
        <f t="shared" si="19"/>
        <v>-1.6993148810958276</v>
      </c>
      <c r="H70" s="34">
        <f t="shared" si="19"/>
        <v>-1.7786892504726952</v>
      </c>
      <c r="I70" s="34">
        <f t="shared" si="19"/>
        <v>-1.8313243609499676</v>
      </c>
      <c r="J70" s="34">
        <f t="shared" si="19"/>
        <v>-1.8784355344758432</v>
      </c>
      <c r="K70" s="34">
        <f t="shared" si="19"/>
        <v>-1.9158588135617658</v>
      </c>
      <c r="L70" s="34">
        <f t="shared" si="19"/>
        <v>-1.9426825760858648</v>
      </c>
      <c r="M70" s="34">
        <f t="shared" si="19"/>
        <v>-1.9605573477262159</v>
      </c>
      <c r="N70" s="34">
        <f t="shared" si="19"/>
        <v>-1.9711180158332675</v>
      </c>
      <c r="O70" s="34">
        <f t="shared" si="19"/>
        <v>-1.9718649321917103</v>
      </c>
      <c r="P70" s="34">
        <f t="shared" si="19"/>
        <v>-1.9032095212244933</v>
      </c>
      <c r="Q70" s="34">
        <f t="shared" si="19"/>
        <v>-1.8256531329197672</v>
      </c>
      <c r="R70" s="34">
        <f t="shared" si="19"/>
        <v>-1.7482452132196833</v>
      </c>
      <c r="S70" s="34">
        <f t="shared" si="19"/>
        <v>-1.6657917188985345</v>
      </c>
      <c r="T70" s="34">
        <f t="shared" si="19"/>
        <v>-1.5803802319055651</v>
      </c>
      <c r="U70" s="34">
        <f t="shared" si="19"/>
        <v>-1.4922438942218745</v>
      </c>
      <c r="V70" s="34">
        <f t="shared" si="19"/>
        <v>-1.4010511368407383</v>
      </c>
      <c r="W70" s="34">
        <f t="shared" si="19"/>
        <v>-1.3072586008902598</v>
      </c>
    </row>
    <row r="71" spans="2:23" outlineLevel="1" x14ac:dyDescent="0.2">
      <c r="B71" s="79" t="s">
        <v>118</v>
      </c>
      <c r="C71" s="49"/>
      <c r="D71" s="49">
        <f>'Baseline NFPC'!D70</f>
        <v>2.7475846548536964E-3</v>
      </c>
      <c r="E71" s="49">
        <f>'Baseline NFPC'!E70</f>
        <v>-6.3674342893804692E-4</v>
      </c>
      <c r="F71" s="49">
        <f>'Baseline NFPC'!F70</f>
        <v>2.3651456647297286E-4</v>
      </c>
      <c r="G71" s="49">
        <f>'Baseline NFPC'!G70</f>
        <v>1.5048282952356828E-4</v>
      </c>
      <c r="H71" s="49">
        <v>0</v>
      </c>
      <c r="I71" s="49">
        <v>0</v>
      </c>
      <c r="J71" s="49">
        <v>0</v>
      </c>
      <c r="K71" s="49">
        <v>0</v>
      </c>
      <c r="L71" s="49">
        <v>0</v>
      </c>
      <c r="M71" s="49">
        <v>0</v>
      </c>
      <c r="N71" s="49">
        <v>0</v>
      </c>
      <c r="O71" s="49">
        <v>0</v>
      </c>
      <c r="P71" s="49">
        <v>0</v>
      </c>
      <c r="Q71" s="49">
        <v>0</v>
      </c>
      <c r="R71" s="49">
        <v>0</v>
      </c>
      <c r="S71" s="49">
        <v>0</v>
      </c>
      <c r="T71" s="49">
        <v>0</v>
      </c>
      <c r="U71" s="49">
        <v>0</v>
      </c>
      <c r="V71" s="49">
        <v>0</v>
      </c>
      <c r="W71" s="49">
        <v>0</v>
      </c>
    </row>
    <row r="72" spans="2:23" outlineLevel="1" x14ac:dyDescent="0.2">
      <c r="B72" s="84" t="s">
        <v>119</v>
      </c>
      <c r="C72" s="50"/>
      <c r="D72" s="50">
        <f>'Input data'!D16</f>
        <v>5.1764349999999997</v>
      </c>
      <c r="E72" s="50">
        <f>'Input data'!E16</f>
        <v>2.2785220000000002</v>
      </c>
      <c r="F72" s="50">
        <f>'Input data'!F16</f>
        <v>2.6170640000000001</v>
      </c>
      <c r="G72" s="50">
        <f>'Input data'!G16</f>
        <v>1.6700109999999999</v>
      </c>
      <c r="H72" s="50">
        <f>'Input data'!H16</f>
        <v>1.6902729999999999</v>
      </c>
      <c r="I72" s="50">
        <f>'Input data'!I16</f>
        <v>1.702215</v>
      </c>
      <c r="J72" s="50">
        <f>'Input data'!J16</f>
        <v>1.648048</v>
      </c>
      <c r="K72" s="50">
        <f>'Input data'!K16</f>
        <v>1.5813470000000001</v>
      </c>
      <c r="L72" s="50">
        <f>'Input data'!L16</f>
        <v>1.5408029999999999</v>
      </c>
      <c r="M72" s="50">
        <f>'Input data'!M16</f>
        <v>1.5229809999999999</v>
      </c>
      <c r="N72" s="50">
        <f>'Input data'!N16</f>
        <v>1.526135</v>
      </c>
      <c r="O72" s="50">
        <f>'Input data'!O16</f>
        <v>1.3735219999999999</v>
      </c>
      <c r="P72" s="50">
        <f>'Input data'!P16</f>
        <v>1.2209080000000001</v>
      </c>
      <c r="Q72" s="50">
        <f>'Input data'!Q16</f>
        <v>1.068295</v>
      </c>
      <c r="R72" s="50">
        <f>'Input data'!R16</f>
        <v>0.91568099999999997</v>
      </c>
      <c r="S72" s="50">
        <f>'Input data'!S16</f>
        <v>0.76306750000000001</v>
      </c>
      <c r="T72" s="50">
        <f>'Input data'!T16</f>
        <v>0.61045400000000005</v>
      </c>
      <c r="U72" s="50">
        <f>'Input data'!U16</f>
        <v>0.45784049999999998</v>
      </c>
      <c r="V72" s="50">
        <f>'Input data'!V16</f>
        <v>0.30522700000000003</v>
      </c>
      <c r="W72" s="50">
        <f>'Input data'!W16</f>
        <v>0.15261350000000001</v>
      </c>
    </row>
    <row r="73" spans="2:23" outlineLevel="1" x14ac:dyDescent="0.2">
      <c r="B73" s="79" t="s">
        <v>120</v>
      </c>
      <c r="C73" s="34"/>
      <c r="D73" s="34">
        <f t="shared" ref="D73:W73" si="20">D15</f>
        <v>4.8490650000000004</v>
      </c>
      <c r="E73" s="34">
        <f t="shared" si="20"/>
        <v>2.318794</v>
      </c>
      <c r="F73" s="34">
        <f t="shared" si="20"/>
        <v>2.6028570000000002</v>
      </c>
      <c r="G73" s="34">
        <f t="shared" si="20"/>
        <v>1.6620999999999999</v>
      </c>
      <c r="H73" s="34">
        <f t="shared" si="20"/>
        <v>1.6902729999999999</v>
      </c>
      <c r="I73" s="34">
        <f t="shared" si="20"/>
        <v>1.702215</v>
      </c>
      <c r="J73" s="34">
        <f t="shared" si="20"/>
        <v>1.648048</v>
      </c>
      <c r="K73" s="34">
        <f t="shared" si="20"/>
        <v>1.5813470000000001</v>
      </c>
      <c r="L73" s="34">
        <f t="shared" si="20"/>
        <v>1.5408029999999999</v>
      </c>
      <c r="M73" s="34">
        <f t="shared" si="20"/>
        <v>1.5229809999999999</v>
      </c>
      <c r="N73" s="34">
        <f t="shared" si="20"/>
        <v>1.526135</v>
      </c>
      <c r="O73" s="34">
        <f t="shared" si="20"/>
        <v>1.3735219999999999</v>
      </c>
      <c r="P73" s="34">
        <f t="shared" si="20"/>
        <v>1.2209080000000001</v>
      </c>
      <c r="Q73" s="34">
        <f t="shared" si="20"/>
        <v>1.068295</v>
      </c>
      <c r="R73" s="34">
        <f t="shared" si="20"/>
        <v>0.91568099999999997</v>
      </c>
      <c r="S73" s="34">
        <f t="shared" si="20"/>
        <v>0.76306750000000001</v>
      </c>
      <c r="T73" s="34">
        <f t="shared" si="20"/>
        <v>0.61045400000000005</v>
      </c>
      <c r="U73" s="34">
        <f t="shared" si="20"/>
        <v>0.45784049999999998</v>
      </c>
      <c r="V73" s="34">
        <f t="shared" si="20"/>
        <v>0.30522700000000003</v>
      </c>
      <c r="W73" s="34">
        <f t="shared" si="20"/>
        <v>0.15261350000000001</v>
      </c>
    </row>
    <row r="74" spans="2:23" outlineLevel="1" x14ac:dyDescent="0.2">
      <c r="B74" s="89" t="s">
        <v>121</v>
      </c>
      <c r="C74" s="49"/>
      <c r="D74" s="49">
        <f>+D72-D73</f>
        <v>0.32736999999999927</v>
      </c>
      <c r="E74" s="49">
        <f t="shared" ref="E74:T74" si="21">+E72-E73</f>
        <v>-4.0271999999999863E-2</v>
      </c>
      <c r="F74" s="49">
        <f t="shared" si="21"/>
        <v>1.4206999999999859E-2</v>
      </c>
      <c r="G74" s="49">
        <f t="shared" si="21"/>
        <v>7.9110000000000014E-3</v>
      </c>
      <c r="H74" s="49">
        <f t="shared" si="21"/>
        <v>0</v>
      </c>
      <c r="I74" s="49">
        <f t="shared" si="21"/>
        <v>0</v>
      </c>
      <c r="J74" s="49">
        <f t="shared" si="21"/>
        <v>0</v>
      </c>
      <c r="K74" s="49">
        <f t="shared" si="21"/>
        <v>0</v>
      </c>
      <c r="L74" s="49">
        <f t="shared" si="21"/>
        <v>0</v>
      </c>
      <c r="M74" s="49">
        <f t="shared" si="21"/>
        <v>0</v>
      </c>
      <c r="N74" s="49">
        <f t="shared" si="21"/>
        <v>0</v>
      </c>
      <c r="O74" s="49">
        <f t="shared" si="21"/>
        <v>0</v>
      </c>
      <c r="P74" s="49">
        <f t="shared" si="21"/>
        <v>0</v>
      </c>
      <c r="Q74" s="49">
        <f t="shared" si="21"/>
        <v>0</v>
      </c>
      <c r="R74" s="49">
        <f t="shared" si="21"/>
        <v>0</v>
      </c>
      <c r="S74" s="49">
        <f t="shared" si="21"/>
        <v>0</v>
      </c>
      <c r="T74" s="49">
        <f t="shared" si="21"/>
        <v>0</v>
      </c>
      <c r="U74" s="49">
        <f>+U72-U73</f>
        <v>0</v>
      </c>
      <c r="V74" s="49">
        <f>+V72-V73</f>
        <v>0</v>
      </c>
      <c r="W74" s="49">
        <f>+W72-W73</f>
        <v>0</v>
      </c>
    </row>
    <row r="75" spans="2:23" ht="10.5" customHeight="1" outlineLevel="1" x14ac:dyDescent="0.2"/>
    <row r="76" spans="2:23" ht="10.5" customHeight="1" outlineLevel="1" x14ac:dyDescent="0.2">
      <c r="B76" s="91" t="s">
        <v>122</v>
      </c>
    </row>
    <row r="77" spans="2:23" x14ac:dyDescent="0.2">
      <c r="B77" s="77" t="s">
        <v>41</v>
      </c>
      <c r="C77" s="77"/>
      <c r="D77" s="78">
        <f>D59-D68</f>
        <v>-0.36348994760516051</v>
      </c>
      <c r="E77" s="78">
        <f t="shared" ref="E77:T77" si="22">E59-E68</f>
        <v>-2.6726757914889614</v>
      </c>
      <c r="F77" s="78">
        <f t="shared" si="22"/>
        <v>-3.4219467638675867</v>
      </c>
      <c r="G77" s="78">
        <f>G59-G68</f>
        <v>-2.326768753785426</v>
      </c>
      <c r="H77" s="78">
        <f t="shared" si="22"/>
        <v>-1.7021517594360196</v>
      </c>
      <c r="I77" s="78">
        <f t="shared" si="22"/>
        <v>-1.201329116817921</v>
      </c>
      <c r="J77" s="78">
        <f t="shared" si="22"/>
        <v>-0.72127460976883762</v>
      </c>
      <c r="K77" s="78">
        <f t="shared" si="22"/>
        <v>-0.32831297484091371</v>
      </c>
      <c r="L77" s="78">
        <f t="shared" si="22"/>
        <v>-2.2529149008824634E-2</v>
      </c>
      <c r="M77" s="78">
        <f t="shared" si="22"/>
        <v>0.30576841222814455</v>
      </c>
      <c r="N77" s="78">
        <f t="shared" si="22"/>
        <v>0.43743075054684422</v>
      </c>
      <c r="O77" s="78">
        <f t="shared" si="22"/>
        <v>0.61230499405420069</v>
      </c>
      <c r="P77" s="78">
        <f t="shared" si="22"/>
        <v>0.8017108834321558</v>
      </c>
      <c r="Q77" s="78">
        <f t="shared" si="22"/>
        <v>0.84886824357458868</v>
      </c>
      <c r="R77" s="78">
        <f t="shared" si="22"/>
        <v>0.92085322811608328</v>
      </c>
      <c r="S77" s="78">
        <f t="shared" si="22"/>
        <v>1.0188651346183759</v>
      </c>
      <c r="T77" s="78">
        <f t="shared" si="22"/>
        <v>1.1386134110963988</v>
      </c>
      <c r="U77" s="78">
        <f>U59-U68</f>
        <v>1.2789686505531022</v>
      </c>
      <c r="V77" s="78">
        <f>V59-V68</f>
        <v>1.4246313013184415</v>
      </c>
      <c r="W77" s="78">
        <f>W59-W68</f>
        <v>1.5585273602175431</v>
      </c>
    </row>
    <row r="78" spans="2:23" ht="12" thickBot="1" x14ac:dyDescent="0.25">
      <c r="B78" s="26" t="s">
        <v>42</v>
      </c>
      <c r="D78" s="34">
        <f>D60-D68-D64-D65-D66</f>
        <v>-0.27838556264340553</v>
      </c>
      <c r="E78" s="34">
        <f t="shared" ref="E78:W78" si="23">E60-E68-E64-E65-E66</f>
        <v>-1.364812097348391</v>
      </c>
      <c r="F78" s="34">
        <f t="shared" si="23"/>
        <v>-1.7802285764662069</v>
      </c>
      <c r="G78" s="34">
        <f t="shared" si="23"/>
        <v>-0.7011561101185344</v>
      </c>
      <c r="H78" s="34">
        <f t="shared" si="23"/>
        <v>-0.49198330791917044</v>
      </c>
      <c r="I78" s="34">
        <f t="shared" si="23"/>
        <v>-0.26707070187058135</v>
      </c>
      <c r="J78" s="34">
        <f t="shared" si="23"/>
        <v>7.2272591019973742E-2</v>
      </c>
      <c r="K78" s="34">
        <f t="shared" si="23"/>
        <v>0.32913641452026576</v>
      </c>
      <c r="L78" s="34">
        <f t="shared" si="23"/>
        <v>0.50160493798336492</v>
      </c>
      <c r="M78" s="34">
        <f t="shared" si="23"/>
        <v>0.7842062496708766</v>
      </c>
      <c r="N78" s="34">
        <f t="shared" si="23"/>
        <v>0.75638930884200128</v>
      </c>
      <c r="O78" s="34">
        <f t="shared" si="23"/>
        <v>0.77178427320176946</v>
      </c>
      <c r="P78" s="34">
        <f t="shared" si="23"/>
        <v>0.8017108834321558</v>
      </c>
      <c r="Q78" s="34">
        <f t="shared" si="23"/>
        <v>0.84886997065762526</v>
      </c>
      <c r="R78" s="34">
        <f t="shared" si="23"/>
        <v>0.92085552972598683</v>
      </c>
      <c r="S78" s="34">
        <f t="shared" si="23"/>
        <v>1.0188697326521523</v>
      </c>
      <c r="T78" s="34">
        <f t="shared" si="23"/>
        <v>1.1386168614723766</v>
      </c>
      <c r="U78" s="34">
        <f t="shared" si="23"/>
        <v>1.2789726744069096</v>
      </c>
      <c r="V78" s="34">
        <f t="shared" si="23"/>
        <v>1.424633032323575</v>
      </c>
      <c r="W78" s="34">
        <f t="shared" si="23"/>
        <v>1.5585285177575954</v>
      </c>
    </row>
    <row r="79" spans="2:23" ht="12" thickBot="1" x14ac:dyDescent="0.25">
      <c r="B79" s="35" t="s">
        <v>123</v>
      </c>
      <c r="C79" s="35"/>
      <c r="D79" s="281">
        <f>'Input data'!D45</f>
        <v>5.7681103325160432</v>
      </c>
      <c r="E79" s="281">
        <f>'Input data'!E45</f>
        <v>7.4830230810080138</v>
      </c>
      <c r="F79" s="281">
        <f>'Input data'!F45</f>
        <v>3.9912900392291735</v>
      </c>
      <c r="G79" s="407">
        <f>'Input data'!G33+G42-(G$12-F$12)/'Input data'!$C$64*100</f>
        <v>0.34574850140659708</v>
      </c>
      <c r="H79" s="408">
        <f>'Input data'!H33+H42-(H$12-G$12)/'Input data'!$C$64*100</f>
        <v>2.3190267940026872</v>
      </c>
      <c r="I79" s="408">
        <f>'Input data'!I33+I42-(I$12-H$12)/'Input data'!$C$64*100</f>
        <v>2.2739310440026874</v>
      </c>
      <c r="J79" s="409">
        <f>'Input data'!J33+J42-(J$12-I$12)/'Input data'!$C$64*100</f>
        <v>2.1972015420035822</v>
      </c>
      <c r="K79" s="49">
        <f>'Input data'!K33+K42-(K$12-J$12)/'Input data'!$C$64*100</f>
        <v>2.3750656440026869</v>
      </c>
      <c r="L79" s="49">
        <f>'Input data'!L33+L42-(L$12-K$12)/'Input data'!$C$64*100</f>
        <v>2.586517546001792</v>
      </c>
      <c r="M79" s="49">
        <f>'Input data'!M33+M42-(M$12-L$12)/'Input data'!$C$64*100</f>
        <v>2.4856013440026863</v>
      </c>
      <c r="N79" s="49">
        <f>'Input data'!N33+N42-(N$12-M$12)/'Input data'!$C$64*100</f>
        <v>3.1551393499999998</v>
      </c>
      <c r="O79" s="49">
        <f>'Input data'!O33+O42-(O$12-N$12)/'Input data'!$C$64*100</f>
        <v>3.2344523999999999</v>
      </c>
      <c r="P79" s="49">
        <f>'Input data'!P33+P42-(P$12-O$12)/'Input data'!$C$64*100</f>
        <v>3.4123823999999998</v>
      </c>
      <c r="Q79" s="49">
        <f>'Input data'!Q33+Q42-(Q$12-P$12)/'Input data'!$C$64*100</f>
        <v>3.5903129999999996</v>
      </c>
      <c r="R79" s="49">
        <f>'Input data'!R33+R42-(R$12-Q$12)/'Input data'!$C$64*100</f>
        <v>3.768243</v>
      </c>
      <c r="S79" s="49">
        <f>'Input data'!S33+S42-(S$12-R$12)/'Input data'!$C$64*100</f>
        <v>3.8150089999999999</v>
      </c>
      <c r="T79" s="49">
        <f>'Input data'!T33+T42-(T$12-S$12)/'Input data'!$C$64*100</f>
        <v>3.8364519999999995</v>
      </c>
      <c r="U79" s="49">
        <f>'Input data'!U33+U42-(U$12-T$12)/'Input data'!$C$64*100</f>
        <v>3.8710429999999998</v>
      </c>
      <c r="V79" s="49">
        <f>'Input data'!V33+V42-(V$12-U$12)/'Input data'!$C$64*100</f>
        <v>3.8905779999999996</v>
      </c>
      <c r="W79" s="49">
        <f>'Input data'!W33+W42-(W$12-V$12)/'Input data'!$C$64*100</f>
        <v>3.8183020000000001</v>
      </c>
    </row>
    <row r="80" spans="2:23" x14ac:dyDescent="0.2">
      <c r="D80" s="34"/>
      <c r="E80" s="34"/>
      <c r="F80" s="34"/>
      <c r="K80" s="34"/>
      <c r="L80" s="34"/>
      <c r="M80" s="34"/>
      <c r="N80" s="34"/>
      <c r="O80" s="34"/>
      <c r="P80" s="34"/>
      <c r="Q80" s="34"/>
      <c r="R80" s="34"/>
      <c r="S80" s="34"/>
      <c r="T80" s="34"/>
      <c r="U80" s="34"/>
      <c r="V80" s="34"/>
      <c r="W80" s="34"/>
    </row>
    <row r="81" spans="2:23" x14ac:dyDescent="0.2">
      <c r="B81" s="113" t="s">
        <v>143</v>
      </c>
      <c r="C81" s="51"/>
      <c r="D81" s="214">
        <f ca="1">AVERAGE(OFFSET($G$79,0,0,1,'Criteria results'!F5))</f>
        <v>2.0832989164889599</v>
      </c>
      <c r="E81" s="34"/>
      <c r="F81" s="34"/>
      <c r="G81" s="34"/>
      <c r="H81" s="34"/>
      <c r="I81" s="34"/>
      <c r="J81" s="34"/>
      <c r="K81" s="352"/>
      <c r="L81" s="352"/>
      <c r="M81" s="352"/>
      <c r="N81" s="352"/>
      <c r="O81" s="352"/>
      <c r="P81" s="352"/>
      <c r="Q81" s="352"/>
      <c r="R81" s="352"/>
      <c r="S81" s="352"/>
      <c r="T81" s="352"/>
      <c r="U81" s="34"/>
      <c r="V81" s="34"/>
      <c r="W81" s="34"/>
    </row>
    <row r="82" spans="2:23" x14ac:dyDescent="0.2">
      <c r="B82" s="77"/>
      <c r="C82" s="77"/>
      <c r="D82" s="78"/>
      <c r="E82" s="34"/>
      <c r="F82" s="34"/>
      <c r="G82" s="34"/>
      <c r="H82" s="34"/>
      <c r="I82" s="34"/>
      <c r="J82" s="34"/>
      <c r="K82" s="34"/>
      <c r="L82" s="34"/>
      <c r="M82" s="34"/>
      <c r="N82" s="34"/>
      <c r="O82" s="34"/>
      <c r="P82" s="34"/>
      <c r="Q82" s="34"/>
      <c r="R82" s="34"/>
      <c r="S82" s="34"/>
      <c r="T82" s="34"/>
      <c r="U82" s="34"/>
      <c r="V82" s="34"/>
      <c r="W82" s="34"/>
    </row>
    <row r="83" spans="2:23" x14ac:dyDescent="0.2">
      <c r="B83" s="51" t="s">
        <v>187</v>
      </c>
      <c r="C83" s="51"/>
      <c r="D83" s="51"/>
      <c r="E83" s="51"/>
      <c r="F83" s="51"/>
      <c r="G83" s="257"/>
      <c r="H83" s="257"/>
      <c r="I83" s="257"/>
      <c r="J83" s="257"/>
      <c r="K83" s="257">
        <f t="shared" ref="K83:W83" si="24">IF(K57&lt;J57,0,1)</f>
        <v>0</v>
      </c>
      <c r="L83" s="257">
        <f t="shared" si="24"/>
        <v>0</v>
      </c>
      <c r="M83" s="257">
        <f t="shared" si="24"/>
        <v>0</v>
      </c>
      <c r="N83" s="257">
        <f t="shared" si="24"/>
        <v>0</v>
      </c>
      <c r="O83" s="257">
        <f t="shared" si="24"/>
        <v>0</v>
      </c>
      <c r="P83" s="257">
        <f t="shared" si="24"/>
        <v>0</v>
      </c>
      <c r="Q83" s="257">
        <f t="shared" si="24"/>
        <v>0</v>
      </c>
      <c r="R83" s="257">
        <f t="shared" si="24"/>
        <v>0</v>
      </c>
      <c r="S83" s="257">
        <f t="shared" si="24"/>
        <v>0</v>
      </c>
      <c r="T83" s="257">
        <f t="shared" si="24"/>
        <v>0</v>
      </c>
      <c r="U83" s="257">
        <f t="shared" si="24"/>
        <v>0</v>
      </c>
      <c r="V83" s="257">
        <f t="shared" si="24"/>
        <v>0</v>
      </c>
      <c r="W83" s="257">
        <f t="shared" si="24"/>
        <v>0</v>
      </c>
    </row>
    <row r="84" spans="2:23" x14ac:dyDescent="0.2">
      <c r="B84" s="26" t="s">
        <v>261</v>
      </c>
      <c r="F84" s="29">
        <f t="shared" ref="F84:W84" si="25">IF(F57&gt;90,1,0)</f>
        <v>0</v>
      </c>
      <c r="G84" s="29">
        <f t="shared" si="25"/>
        <v>0</v>
      </c>
      <c r="H84" s="29">
        <f t="shared" si="25"/>
        <v>0</v>
      </c>
      <c r="I84" s="29">
        <f t="shared" si="25"/>
        <v>0</v>
      </c>
      <c r="J84" s="29">
        <f t="shared" si="25"/>
        <v>0</v>
      </c>
      <c r="K84" s="29">
        <f t="shared" si="25"/>
        <v>0</v>
      </c>
      <c r="L84" s="29">
        <f t="shared" si="25"/>
        <v>0</v>
      </c>
      <c r="M84" s="29">
        <f t="shared" si="25"/>
        <v>0</v>
      </c>
      <c r="N84" s="29">
        <f t="shared" si="25"/>
        <v>0</v>
      </c>
      <c r="O84" s="29">
        <f t="shared" si="25"/>
        <v>0</v>
      </c>
      <c r="P84" s="29">
        <f t="shared" si="25"/>
        <v>0</v>
      </c>
      <c r="Q84" s="29">
        <f t="shared" si="25"/>
        <v>0</v>
      </c>
      <c r="R84" s="29">
        <f t="shared" si="25"/>
        <v>0</v>
      </c>
      <c r="S84" s="29">
        <f t="shared" si="25"/>
        <v>0</v>
      </c>
      <c r="T84" s="29">
        <f t="shared" si="25"/>
        <v>0</v>
      </c>
      <c r="U84" s="29">
        <f t="shared" si="25"/>
        <v>0</v>
      </c>
      <c r="V84" s="29">
        <f t="shared" si="25"/>
        <v>0</v>
      </c>
      <c r="W84" s="29">
        <f t="shared" si="25"/>
        <v>0</v>
      </c>
    </row>
    <row r="85" spans="2:23" x14ac:dyDescent="0.2">
      <c r="B85" s="26" t="s">
        <v>262</v>
      </c>
      <c r="F85" s="29">
        <f t="shared" ref="F85:W85" si="26">IF(AND(F57&gt;60,F57&lt;=90),1,0)</f>
        <v>1</v>
      </c>
      <c r="G85" s="29">
        <f t="shared" si="26"/>
        <v>1</v>
      </c>
      <c r="H85" s="29">
        <f t="shared" si="26"/>
        <v>1</v>
      </c>
      <c r="I85" s="29">
        <f t="shared" si="26"/>
        <v>1</v>
      </c>
      <c r="J85" s="29">
        <f t="shared" si="26"/>
        <v>1</v>
      </c>
      <c r="K85" s="29">
        <f t="shared" si="26"/>
        <v>1</v>
      </c>
      <c r="L85" s="29">
        <f t="shared" si="26"/>
        <v>1</v>
      </c>
      <c r="M85" s="29">
        <f t="shared" si="26"/>
        <v>1</v>
      </c>
      <c r="N85" s="29">
        <f t="shared" si="26"/>
        <v>1</v>
      </c>
      <c r="O85" s="29">
        <f t="shared" si="26"/>
        <v>1</v>
      </c>
      <c r="P85" s="29">
        <f t="shared" si="26"/>
        <v>1</v>
      </c>
      <c r="Q85" s="29">
        <f t="shared" si="26"/>
        <v>1</v>
      </c>
      <c r="R85" s="29">
        <f t="shared" si="26"/>
        <v>1</v>
      </c>
      <c r="S85" s="29">
        <f t="shared" si="26"/>
        <v>1</v>
      </c>
      <c r="T85" s="29">
        <f t="shared" si="26"/>
        <v>1</v>
      </c>
      <c r="U85" s="29">
        <f t="shared" si="26"/>
        <v>1</v>
      </c>
      <c r="V85" s="29">
        <f t="shared" si="26"/>
        <v>0</v>
      </c>
      <c r="W85" s="29">
        <f t="shared" si="26"/>
        <v>0</v>
      </c>
    </row>
    <row r="86" spans="2:23" x14ac:dyDescent="0.2">
      <c r="B86" s="26" t="s">
        <v>263</v>
      </c>
      <c r="F86" s="29">
        <f t="shared" ref="F86:W86" si="27">IF(F57&gt;60,1,0)</f>
        <v>1</v>
      </c>
      <c r="G86" s="29">
        <f t="shared" si="27"/>
        <v>1</v>
      </c>
      <c r="H86" s="29">
        <f t="shared" si="27"/>
        <v>1</v>
      </c>
      <c r="I86" s="29">
        <f t="shared" si="27"/>
        <v>1</v>
      </c>
      <c r="J86" s="29">
        <f t="shared" si="27"/>
        <v>1</v>
      </c>
      <c r="K86" s="29">
        <f t="shared" si="27"/>
        <v>1</v>
      </c>
      <c r="L86" s="29">
        <f t="shared" si="27"/>
        <v>1</v>
      </c>
      <c r="M86" s="29">
        <f t="shared" si="27"/>
        <v>1</v>
      </c>
      <c r="N86" s="29">
        <f t="shared" si="27"/>
        <v>1</v>
      </c>
      <c r="O86" s="29">
        <f t="shared" si="27"/>
        <v>1</v>
      </c>
      <c r="P86" s="29">
        <f t="shared" si="27"/>
        <v>1</v>
      </c>
      <c r="Q86" s="29">
        <f t="shared" si="27"/>
        <v>1</v>
      </c>
      <c r="R86" s="29">
        <f t="shared" si="27"/>
        <v>1</v>
      </c>
      <c r="S86" s="29">
        <f t="shared" si="27"/>
        <v>1</v>
      </c>
      <c r="T86" s="29">
        <f t="shared" si="27"/>
        <v>1</v>
      </c>
      <c r="U86" s="29">
        <f t="shared" si="27"/>
        <v>1</v>
      </c>
      <c r="V86" s="29">
        <f t="shared" si="27"/>
        <v>0</v>
      </c>
      <c r="W86" s="29">
        <f t="shared" si="27"/>
        <v>0</v>
      </c>
    </row>
    <row r="87" spans="2:23" x14ac:dyDescent="0.2">
      <c r="B87" s="26" t="s">
        <v>264</v>
      </c>
      <c r="F87" s="359">
        <f>'Input data'!F17</f>
        <v>0</v>
      </c>
      <c r="G87" s="29">
        <f>IF(F87=0,0,IF(AND(E77&gt;-3.05,F77&gt;-3.05),0,1))</f>
        <v>0</v>
      </c>
      <c r="H87" s="29">
        <f t="shared" ref="H87:W87" si="28">IF(G87=0,0,IF(AND(F77&gt;-3.05,G77&gt;-3.05),0,1))</f>
        <v>0</v>
      </c>
      <c r="I87" s="29">
        <f t="shared" si="28"/>
        <v>0</v>
      </c>
      <c r="J87" s="29">
        <f t="shared" si="28"/>
        <v>0</v>
      </c>
      <c r="K87" s="29">
        <f t="shared" si="28"/>
        <v>0</v>
      </c>
      <c r="L87" s="29">
        <f t="shared" si="28"/>
        <v>0</v>
      </c>
      <c r="M87" s="29">
        <f t="shared" si="28"/>
        <v>0</v>
      </c>
      <c r="N87" s="29">
        <f t="shared" si="28"/>
        <v>0</v>
      </c>
      <c r="O87" s="29">
        <f t="shared" si="28"/>
        <v>0</v>
      </c>
      <c r="P87" s="29">
        <f t="shared" si="28"/>
        <v>0</v>
      </c>
      <c r="Q87" s="29">
        <f t="shared" si="28"/>
        <v>0</v>
      </c>
      <c r="R87" s="29">
        <f t="shared" si="28"/>
        <v>0</v>
      </c>
      <c r="S87" s="29">
        <f t="shared" si="28"/>
        <v>0</v>
      </c>
      <c r="T87" s="29">
        <f t="shared" si="28"/>
        <v>0</v>
      </c>
      <c r="U87" s="29">
        <f t="shared" si="28"/>
        <v>0</v>
      </c>
      <c r="V87" s="29">
        <f t="shared" si="28"/>
        <v>0</v>
      </c>
      <c r="W87" s="29">
        <f t="shared" si="28"/>
        <v>0</v>
      </c>
    </row>
    <row r="88" spans="2:23" x14ac:dyDescent="0.2">
      <c r="B88" s="26" t="s">
        <v>259</v>
      </c>
      <c r="F88" s="29">
        <f t="shared" ref="F88:W88" si="29">IF(F78&gt;=-1.55,1,0)</f>
        <v>0</v>
      </c>
      <c r="G88" s="29">
        <f t="shared" si="29"/>
        <v>1</v>
      </c>
      <c r="H88" s="29">
        <f t="shared" si="29"/>
        <v>1</v>
      </c>
      <c r="I88" s="29">
        <f t="shared" si="29"/>
        <v>1</v>
      </c>
      <c r="J88" s="29">
        <f t="shared" si="29"/>
        <v>1</v>
      </c>
      <c r="K88" s="29">
        <f t="shared" si="29"/>
        <v>1</v>
      </c>
      <c r="L88" s="29">
        <f t="shared" si="29"/>
        <v>1</v>
      </c>
      <c r="M88" s="29">
        <f t="shared" si="29"/>
        <v>1</v>
      </c>
      <c r="N88" s="29">
        <f t="shared" si="29"/>
        <v>1</v>
      </c>
      <c r="O88" s="29">
        <f t="shared" si="29"/>
        <v>1</v>
      </c>
      <c r="P88" s="29">
        <f t="shared" si="29"/>
        <v>1</v>
      </c>
      <c r="Q88" s="29">
        <f t="shared" si="29"/>
        <v>1</v>
      </c>
      <c r="R88" s="29">
        <f t="shared" si="29"/>
        <v>1</v>
      </c>
      <c r="S88" s="29">
        <f t="shared" si="29"/>
        <v>1</v>
      </c>
      <c r="T88" s="29">
        <f t="shared" si="29"/>
        <v>1</v>
      </c>
      <c r="U88" s="29">
        <f t="shared" si="29"/>
        <v>1</v>
      </c>
      <c r="V88" s="29">
        <f t="shared" si="29"/>
        <v>1</v>
      </c>
      <c r="W88" s="29">
        <f t="shared" si="29"/>
        <v>1</v>
      </c>
    </row>
    <row r="89" spans="2:23" x14ac:dyDescent="0.2">
      <c r="F89" s="29"/>
      <c r="G89" s="29"/>
      <c r="H89" s="29"/>
      <c r="I89" s="29"/>
      <c r="J89" s="29"/>
      <c r="K89" s="29"/>
      <c r="L89" s="29"/>
      <c r="M89" s="29"/>
      <c r="N89" s="29"/>
      <c r="O89" s="29"/>
      <c r="P89" s="29"/>
      <c r="Q89" s="29"/>
      <c r="R89" s="29"/>
      <c r="S89" s="29"/>
      <c r="T89" s="29"/>
      <c r="U89" s="29"/>
      <c r="V89" s="29"/>
      <c r="W89" s="29"/>
    </row>
    <row r="90" spans="2:23" x14ac:dyDescent="0.2">
      <c r="B90" s="26" t="s">
        <v>144</v>
      </c>
      <c r="F90" s="34">
        <f>E57*F36/100*(1/((1+'Input data'!F30/100)*(1+F42/100)))</f>
        <v>1.250125276466207</v>
      </c>
      <c r="G90" s="34">
        <f>F57*G36/100*(1/((1+'Input data'!G30/100)*(1+G42/100)))</f>
        <v>1.4864251592211182</v>
      </c>
      <c r="H90" s="34">
        <f>G57*H36/100*(1/((1+'Input data'!H30/100)*(1+H42/100)))</f>
        <v>1.5937716581717145</v>
      </c>
      <c r="I90" s="34">
        <f>H57*I36/100*(1/((1+'Input data'!I30/100)*(1+I42/100)))</f>
        <v>1.6614631302047873</v>
      </c>
      <c r="J90" s="34">
        <f>I57*J36/100*(1/((1+'Input data'!J30/100)*(1+J42/100)))</f>
        <v>1.7249301323535073</v>
      </c>
      <c r="K90" s="34">
        <f>J57*K36/100*(1/((1+'Input data'!K30/100)*(1+K42/100)))</f>
        <v>1.775061891350951</v>
      </c>
      <c r="L90" s="34">
        <f>K57*L36/100*(1/((1+'Input data'!L30/100)*(1+L42/100)))</f>
        <v>1.802561561419739</v>
      </c>
      <c r="M90" s="34">
        <f>L57*M36/100*(1/((1+'Input data'!M30/100)*(1+M42/100)))</f>
        <v>1.8172324020776989</v>
      </c>
      <c r="N90" s="34">
        <f>M57*N36/100*(1/((1+'Input data'!N30/100)*(1+N42/100)))</f>
        <v>1.8211093935468439</v>
      </c>
      <c r="O90" s="34">
        <f>N57*O36/100*(1/((1+'Input data'!O30/100)*(1+O42/100)))</f>
        <v>1.8157258656673338</v>
      </c>
      <c r="P90" s="34">
        <f>O57*P36/100*(1/((1+'Input data'!P30/100)*(1+P42/100)))</f>
        <v>1.7953296339817126</v>
      </c>
      <c r="Q90" s="34">
        <f>P57*Q36/100*(1/((1+'Input data'!Q30/100)*(1+Q42/100)))</f>
        <v>1.7613710293423794</v>
      </c>
      <c r="R90" s="34">
        <f>Q57*R36/100*(1/((1+'Input data'!R30/100)*(1+R42/100)))</f>
        <v>1.7234754702740129</v>
      </c>
      <c r="S90" s="34">
        <f>R57*S36/100*(1/((1+'Input data'!S30/100)*(1+S42/100)))</f>
        <v>1.6784822673478472</v>
      </c>
      <c r="T90" s="34">
        <f>S57*T36/100*(1/((1+'Input data'!T30/100)*(1+T42/100)))</f>
        <v>1.6274951385276235</v>
      </c>
      <c r="U90" s="34">
        <f>T57*U36/100*(1/((1+'Input data'!U30/100)*(1+U42/100)))</f>
        <v>1.5701193255930892</v>
      </c>
      <c r="V90" s="34">
        <f>U57*V36/100*(1/((1+'Input data'!V30/100)*(1+V42/100)))</f>
        <v>1.5063989676764264</v>
      </c>
      <c r="W90" s="34">
        <f>V57*W36/100*(1/((1+'Input data'!W30/100)*(1+W42/100)))</f>
        <v>1.4377334822424053</v>
      </c>
    </row>
    <row r="91" spans="2:23" x14ac:dyDescent="0.2">
      <c r="B91" s="32" t="s">
        <v>260</v>
      </c>
      <c r="F91" s="34"/>
      <c r="G91" s="34">
        <f>G90-F90</f>
        <v>0.23629988275491121</v>
      </c>
      <c r="H91" s="34">
        <f t="shared" ref="H91:W91" si="30">H90-G90</f>
        <v>0.10734649895059634</v>
      </c>
      <c r="I91" s="34">
        <f t="shared" si="30"/>
        <v>6.7691472033072797E-2</v>
      </c>
      <c r="J91" s="34">
        <f t="shared" si="30"/>
        <v>6.3467002148720031E-2</v>
      </c>
      <c r="K91" s="34">
        <f t="shared" si="30"/>
        <v>5.0131758997443709E-2</v>
      </c>
      <c r="L91" s="34">
        <f t="shared" si="30"/>
        <v>2.7499670068787951E-2</v>
      </c>
      <c r="M91" s="34">
        <f t="shared" si="30"/>
        <v>1.4670840657959872E-2</v>
      </c>
      <c r="N91" s="34">
        <f t="shared" si="30"/>
        <v>3.8769914691449969E-3</v>
      </c>
      <c r="O91" s="34">
        <f t="shared" si="30"/>
        <v>-5.3835278795100194E-3</v>
      </c>
      <c r="P91" s="34">
        <f t="shared" si="30"/>
        <v>-2.0396231685621213E-2</v>
      </c>
      <c r="Q91" s="34">
        <f t="shared" si="30"/>
        <v>-3.3958604639333201E-2</v>
      </c>
      <c r="R91" s="34">
        <f t="shared" si="30"/>
        <v>-3.7895559068366502E-2</v>
      </c>
      <c r="S91" s="34">
        <f t="shared" si="30"/>
        <v>-4.499320292616571E-2</v>
      </c>
      <c r="T91" s="34">
        <f t="shared" si="30"/>
        <v>-5.0987128820223715E-2</v>
      </c>
      <c r="U91" s="34">
        <f t="shared" si="30"/>
        <v>-5.7375812934534309E-2</v>
      </c>
      <c r="V91" s="34">
        <f t="shared" si="30"/>
        <v>-6.3720357916662751E-2</v>
      </c>
      <c r="W91" s="34">
        <f t="shared" si="30"/>
        <v>-6.8665485434021178E-2</v>
      </c>
    </row>
    <row r="92" spans="2:23" x14ac:dyDescent="0.2">
      <c r="D92" s="53"/>
    </row>
    <row r="93" spans="2:23" s="93" customFormat="1" ht="12.75" outlineLevel="1" x14ac:dyDescent="0.2">
      <c r="B93" s="94" t="s">
        <v>124</v>
      </c>
      <c r="C93" s="95"/>
      <c r="E93" s="96"/>
      <c r="F93" s="95"/>
    </row>
    <row r="94" spans="2:23" x14ac:dyDescent="0.2">
      <c r="C94" s="34"/>
      <c r="D94" s="34"/>
      <c r="E94" s="34"/>
      <c r="F94" s="34"/>
      <c r="G94" s="34"/>
      <c r="H94" s="34"/>
      <c r="I94" s="34"/>
      <c r="J94" s="34"/>
      <c r="K94" s="34"/>
      <c r="L94" s="34"/>
      <c r="M94" s="34"/>
      <c r="N94" s="34"/>
      <c r="O94" s="34"/>
      <c r="P94" s="34"/>
      <c r="Q94" s="34"/>
      <c r="R94" s="34"/>
      <c r="S94" s="34"/>
      <c r="T94" s="34"/>
      <c r="U94" s="34"/>
      <c r="V94" s="34"/>
      <c r="W94" s="34"/>
    </row>
    <row r="95" spans="2:23" x14ac:dyDescent="0.2">
      <c r="B95" s="26" t="s">
        <v>125</v>
      </c>
      <c r="D95" s="29">
        <f t="shared" ref="D95:W95" si="31">IF((D100-C100*D43/((1+D24/100)*(1+D42/100)))&gt;0,1,0)</f>
        <v>1</v>
      </c>
      <c r="E95" s="29">
        <f t="shared" si="31"/>
        <v>1</v>
      </c>
      <c r="F95" s="29">
        <f t="shared" si="31"/>
        <v>1</v>
      </c>
      <c r="G95" s="29">
        <f t="shared" si="31"/>
        <v>1</v>
      </c>
      <c r="H95" s="29">
        <f t="shared" si="31"/>
        <v>1</v>
      </c>
      <c r="I95" s="29">
        <f t="shared" si="31"/>
        <v>1</v>
      </c>
      <c r="J95" s="29">
        <f t="shared" si="31"/>
        <v>1</v>
      </c>
      <c r="K95" s="29">
        <f t="shared" si="31"/>
        <v>1</v>
      </c>
      <c r="L95" s="29">
        <f t="shared" si="31"/>
        <v>1</v>
      </c>
      <c r="M95" s="29">
        <f t="shared" si="31"/>
        <v>1</v>
      </c>
      <c r="N95" s="29">
        <f t="shared" si="31"/>
        <v>1</v>
      </c>
      <c r="O95" s="29">
        <f t="shared" si="31"/>
        <v>1</v>
      </c>
      <c r="P95" s="29">
        <f t="shared" si="31"/>
        <v>1</v>
      </c>
      <c r="Q95" s="29">
        <f t="shared" si="31"/>
        <v>1</v>
      </c>
      <c r="R95" s="29">
        <f t="shared" si="31"/>
        <v>0</v>
      </c>
      <c r="S95" s="29">
        <f t="shared" si="31"/>
        <v>0</v>
      </c>
      <c r="T95" s="29">
        <f t="shared" si="31"/>
        <v>0</v>
      </c>
      <c r="U95" s="29">
        <f t="shared" si="31"/>
        <v>0</v>
      </c>
      <c r="V95" s="29">
        <f t="shared" si="31"/>
        <v>0</v>
      </c>
      <c r="W95" s="29">
        <f t="shared" si="31"/>
        <v>0</v>
      </c>
    </row>
    <row r="96" spans="2:23" x14ac:dyDescent="0.2">
      <c r="B96" s="26" t="s">
        <v>126</v>
      </c>
      <c r="D96" s="29">
        <f t="shared" ref="D96:W96" si="32">IF(AND(D95=0,ABS(D100-C100*D43/((1+D24/100)*(1+D42/100)))&lt;((C106*C100*D43/((1+D24/100)*(1+D42/100))+(D39*C100*C107*D43/((1+D24/100)*(1+D42/100)))))),1,0)</f>
        <v>0</v>
      </c>
      <c r="E96" s="29">
        <f t="shared" si="32"/>
        <v>0</v>
      </c>
      <c r="F96" s="29">
        <f t="shared" si="32"/>
        <v>0</v>
      </c>
      <c r="G96" s="29">
        <f t="shared" si="32"/>
        <v>0</v>
      </c>
      <c r="H96" s="29">
        <f t="shared" si="32"/>
        <v>0</v>
      </c>
      <c r="I96" s="29">
        <f t="shared" si="32"/>
        <v>0</v>
      </c>
      <c r="J96" s="29">
        <f t="shared" si="32"/>
        <v>0</v>
      </c>
      <c r="K96" s="29">
        <f t="shared" si="32"/>
        <v>0</v>
      </c>
      <c r="L96" s="29">
        <f t="shared" si="32"/>
        <v>0</v>
      </c>
      <c r="M96" s="29">
        <f t="shared" si="32"/>
        <v>0</v>
      </c>
      <c r="N96" s="29">
        <f t="shared" si="32"/>
        <v>0</v>
      </c>
      <c r="O96" s="29">
        <f t="shared" si="32"/>
        <v>0</v>
      </c>
      <c r="P96" s="29">
        <f t="shared" si="32"/>
        <v>0</v>
      </c>
      <c r="Q96" s="29">
        <f t="shared" si="32"/>
        <v>0</v>
      </c>
      <c r="R96" s="29">
        <f t="shared" si="32"/>
        <v>1</v>
      </c>
      <c r="S96" s="29">
        <f t="shared" si="32"/>
        <v>1</v>
      </c>
      <c r="T96" s="29">
        <f t="shared" si="32"/>
        <v>1</v>
      </c>
      <c r="U96" s="29">
        <f t="shared" si="32"/>
        <v>1</v>
      </c>
      <c r="V96" s="29">
        <f t="shared" si="32"/>
        <v>1</v>
      </c>
      <c r="W96" s="29">
        <f t="shared" si="32"/>
        <v>1</v>
      </c>
    </row>
    <row r="98" spans="2:23" x14ac:dyDescent="0.2">
      <c r="H98" s="38"/>
      <c r="I98" s="38"/>
      <c r="J98" s="38"/>
      <c r="K98" s="38"/>
      <c r="L98" s="38"/>
      <c r="M98" s="38"/>
      <c r="N98" s="38"/>
      <c r="O98" s="38"/>
      <c r="P98" s="38"/>
      <c r="Q98" s="38"/>
      <c r="R98" s="38"/>
      <c r="S98" s="38"/>
      <c r="T98" s="38"/>
    </row>
    <row r="99" spans="2:23" x14ac:dyDescent="0.2">
      <c r="B99" s="51"/>
      <c r="C99" s="86">
        <v>2021</v>
      </c>
      <c r="D99" s="86">
        <v>2022</v>
      </c>
      <c r="E99" s="86">
        <v>2023</v>
      </c>
      <c r="F99" s="86">
        <v>2024</v>
      </c>
      <c r="G99" s="86">
        <v>2025</v>
      </c>
      <c r="H99" s="86">
        <v>2026</v>
      </c>
      <c r="I99" s="86">
        <v>2027</v>
      </c>
      <c r="J99" s="86">
        <v>2028</v>
      </c>
      <c r="K99" s="86">
        <v>2029</v>
      </c>
      <c r="L99" s="86">
        <v>2030</v>
      </c>
      <c r="M99" s="86">
        <v>2031</v>
      </c>
      <c r="N99" s="86">
        <v>2032</v>
      </c>
      <c r="O99" s="86">
        <v>2033</v>
      </c>
      <c r="P99" s="86">
        <v>2034</v>
      </c>
      <c r="Q99" s="86">
        <v>2035</v>
      </c>
      <c r="R99" s="86">
        <v>2036</v>
      </c>
      <c r="S99" s="86">
        <v>2037</v>
      </c>
      <c r="T99" s="86">
        <v>2038</v>
      </c>
      <c r="U99" s="86">
        <v>2039</v>
      </c>
      <c r="V99" s="86">
        <v>2040</v>
      </c>
      <c r="W99" s="86">
        <v>2041</v>
      </c>
    </row>
    <row r="100" spans="2:23" x14ac:dyDescent="0.2">
      <c r="B100" s="106" t="s">
        <v>104</v>
      </c>
      <c r="C100" s="110">
        <f>C57</f>
        <v>72.584819999999993</v>
      </c>
      <c r="D100" s="110">
        <f>D57</f>
        <v>73.511610584961744</v>
      </c>
      <c r="E100" s="110">
        <f>E57</f>
        <v>76.578870779976697</v>
      </c>
      <c r="F100" s="110">
        <f>F57</f>
        <v>81.66850402875248</v>
      </c>
      <c r="G100" s="110">
        <f>G57</f>
        <v>83.441422258514947</v>
      </c>
      <c r="H100" s="110">
        <f t="shared" ref="H100:W100" si="33">G100*(1+H113/100)*H43-H60-H61+H62+H63+H64+H65+H66+H72</f>
        <v>83.908534577415139</v>
      </c>
      <c r="I100" s="110">
        <f t="shared" si="33"/>
        <v>84.10902658197098</v>
      </c>
      <c r="J100" s="110">
        <f t="shared" si="33"/>
        <v>83.878399410117041</v>
      </c>
      <c r="K100" s="110">
        <f t="shared" si="33"/>
        <v>83.205706097830856</v>
      </c>
      <c r="L100" s="110">
        <f t="shared" si="33"/>
        <v>82.18827987907585</v>
      </c>
      <c r="M100" s="110">
        <f t="shared" si="33"/>
        <v>80.914668079488663</v>
      </c>
      <c r="N100" s="110">
        <f t="shared" si="33"/>
        <v>79.29990148872939</v>
      </c>
      <c r="O100" s="110">
        <f t="shared" si="33"/>
        <v>77.352546338845627</v>
      </c>
      <c r="P100" s="110">
        <f t="shared" si="33"/>
        <v>74.998123390225061</v>
      </c>
      <c r="Q100" s="110">
        <f t="shared" si="33"/>
        <v>72.599115049883622</v>
      </c>
      <c r="R100" s="110">
        <f t="shared" si="33"/>
        <v>69.935944132772903</v>
      </c>
      <c r="S100" s="110">
        <f t="shared" si="33"/>
        <v>67.0883691191829</v>
      </c>
      <c r="T100" s="110">
        <f t="shared" si="33"/>
        <v>64.060122058661079</v>
      </c>
      <c r="U100" s="110">
        <f t="shared" si="33"/>
        <v>60.830579740901783</v>
      </c>
      <c r="V100" s="110">
        <f t="shared" si="33"/>
        <v>57.412777952403616</v>
      </c>
      <c r="W100" s="110">
        <f t="shared" si="33"/>
        <v>53.876830744856164</v>
      </c>
    </row>
    <row r="101" spans="2:23" x14ac:dyDescent="0.2">
      <c r="B101" s="26" t="s">
        <v>127</v>
      </c>
      <c r="C101" s="403">
        <f>E101/E100</f>
        <v>0.8016829197849169</v>
      </c>
      <c r="D101" s="253">
        <f>'Input data'!C66*$D$100</f>
        <v>59.051128502792025</v>
      </c>
      <c r="E101" s="34">
        <f t="shared" ref="E101:W101" si="34">IF(E100=0,0,IF(E95=1,D100*E43/((1+E24/100)*(1+E42/100))-E102-E103,IF(AND(E95=0,E96=1),(1-D106-E39*D107)*D100*E43/((1+E24/100)*(1+E42/100)),E100)))</f>
        <v>61.391972720723572</v>
      </c>
      <c r="F101" s="34">
        <f t="shared" si="34"/>
        <v>65.640831453430209</v>
      </c>
      <c r="G101" s="34">
        <f t="shared" si="34"/>
        <v>69.236796286322374</v>
      </c>
      <c r="H101" s="34">
        <f t="shared" si="34"/>
        <v>70.081348378921334</v>
      </c>
      <c r="I101" s="34">
        <f t="shared" si="34"/>
        <v>70.605033580432803</v>
      </c>
      <c r="J101" s="34">
        <f t="shared" si="34"/>
        <v>70.797298683451956</v>
      </c>
      <c r="K101" s="34">
        <f t="shared" si="34"/>
        <v>70.54543002083912</v>
      </c>
      <c r="L101" s="34">
        <f t="shared" si="34"/>
        <v>69.900465067795622</v>
      </c>
      <c r="M101" s="34">
        <f t="shared" si="34"/>
        <v>69.037041575593463</v>
      </c>
      <c r="N101" s="34">
        <f t="shared" si="34"/>
        <v>67.693809472133566</v>
      </c>
      <c r="O101" s="34">
        <f t="shared" si="34"/>
        <v>66.237984769811732</v>
      </c>
      <c r="P101" s="34">
        <f t="shared" si="34"/>
        <v>64.492571091902192</v>
      </c>
      <c r="Q101" s="34">
        <f t="shared" si="34"/>
        <v>62.588015993835022</v>
      </c>
      <c r="R101" s="34">
        <f t="shared" si="34"/>
        <v>60.477909661110232</v>
      </c>
      <c r="S101" s="34">
        <f t="shared" si="34"/>
        <v>58.23543570874638</v>
      </c>
      <c r="T101" s="34">
        <f t="shared" si="34"/>
        <v>56.005665379530051</v>
      </c>
      <c r="U101" s="34">
        <f t="shared" si="34"/>
        <v>53.774524502399807</v>
      </c>
      <c r="V101" s="34">
        <f t="shared" si="34"/>
        <v>51.538580642976655</v>
      </c>
      <c r="W101" s="34">
        <f t="shared" si="34"/>
        <v>49.325833894252234</v>
      </c>
    </row>
    <row r="102" spans="2:23" x14ac:dyDescent="0.2">
      <c r="B102" s="105" t="s">
        <v>128</v>
      </c>
      <c r="C102" s="34"/>
      <c r="D102" s="253">
        <f>'Input data'!C67*$D$100</f>
        <v>2.5660693694891989</v>
      </c>
      <c r="E102" s="34">
        <f t="shared" ref="E102:W102" si="35">IF(E100=0,0,IF(E95=1,E39*D100*D107*E43/((1+E24/100)*(1+E42/100)),IF(AND(E95=0,E96=1),(E39*D100*D107*E43/((1+E24/100)*(1+E42/100)))*(1-ABS(E100-D100*E43/((1+E24/100)*(1+E42/100)))/((E39*D100*D107*E43/((1+E24/100)*(1+E42/100)))+(D106*D100*E43/((1+E24/100)*(1+E42/100))))),0)))</f>
        <v>2.5200411188940466</v>
      </c>
      <c r="F102" s="34">
        <f t="shared" si="35"/>
        <v>2.1542273134517593</v>
      </c>
      <c r="G102" s="34">
        <f t="shared" si="35"/>
        <v>2.3221188382855202</v>
      </c>
      <c r="H102" s="34">
        <f t="shared" si="35"/>
        <v>2.4010006849486185</v>
      </c>
      <c r="I102" s="34">
        <f t="shared" si="35"/>
        <v>2.4699477666099585</v>
      </c>
      <c r="J102" s="34">
        <f t="shared" si="35"/>
        <v>2.5278896142967313</v>
      </c>
      <c r="K102" s="34">
        <f t="shared" si="35"/>
        <v>2.5700014870276271</v>
      </c>
      <c r="L102" s="34">
        <f t="shared" si="35"/>
        <v>2.5972138822125328</v>
      </c>
      <c r="M102" s="34">
        <f t="shared" si="35"/>
        <v>2.6152851662164891</v>
      </c>
      <c r="N102" s="34">
        <f t="shared" si="35"/>
        <v>2.6136460683786726</v>
      </c>
      <c r="O102" s="34">
        <f t="shared" si="35"/>
        <v>2.6056911384867947</v>
      </c>
      <c r="P102" s="34">
        <f t="shared" si="35"/>
        <v>2.5370294941247629</v>
      </c>
      <c r="Q102" s="34">
        <f t="shared" si="35"/>
        <v>2.4621074934171676</v>
      </c>
      <c r="R102" s="34">
        <f t="shared" si="35"/>
        <v>2.3777991270745504</v>
      </c>
      <c r="S102" s="34">
        <f t="shared" si="35"/>
        <v>2.2265501065214131</v>
      </c>
      <c r="T102" s="34">
        <f t="shared" si="35"/>
        <v>2.0675896515620202</v>
      </c>
      <c r="U102" s="34">
        <f t="shared" si="35"/>
        <v>1.8948874503697146</v>
      </c>
      <c r="V102" s="34">
        <f t="shared" si="35"/>
        <v>1.7029265633436836</v>
      </c>
      <c r="W102" s="34">
        <f t="shared" si="35"/>
        <v>1.48243515577633</v>
      </c>
    </row>
    <row r="103" spans="2:23" x14ac:dyDescent="0.2">
      <c r="B103" s="105" t="s">
        <v>129</v>
      </c>
      <c r="C103" s="34"/>
      <c r="D103" s="253">
        <f>'Input data'!C68*$D$100</f>
        <v>6.679115961728173</v>
      </c>
      <c r="E103" s="34">
        <f t="shared" ref="E103:W103" si="36">IF(E100=0,0,IF(E95=1,(1-D107)*D100*E43/((1+E24/100)*(1+E42/100)),IF(AND(E95=0,E96=1),(D106*D100*E43/((1+E24/100)*(1+E42/100)))*(1-ABS(E100-D100*E43/((1+E24/100)*(1+E42/100)))/((E39*D100*D107*E43/((1+E24/100)*(1+E42/100)))+(D106*D100*E43/((1+E24/100)*(1+E42/100))))),0)))</f>
        <v>6.9278671872792303</v>
      </c>
      <c r="F103" s="34">
        <f t="shared" si="36"/>
        <v>7.4143565385304591</v>
      </c>
      <c r="G103" s="34">
        <f t="shared" si="36"/>
        <v>7.8936802354783246</v>
      </c>
      <c r="H103" s="34">
        <f t="shared" si="36"/>
        <v>8.0337607541091813</v>
      </c>
      <c r="I103" s="34">
        <f t="shared" si="36"/>
        <v>8.1305011181103204</v>
      </c>
      <c r="J103" s="34">
        <f t="shared" si="36"/>
        <v>8.1838885025995189</v>
      </c>
      <c r="K103" s="34">
        <f t="shared" si="36"/>
        <v>8.1806146151232202</v>
      </c>
      <c r="L103" s="34">
        <f t="shared" si="36"/>
        <v>8.1272687800588646</v>
      </c>
      <c r="M103" s="34">
        <f t="shared" si="36"/>
        <v>8.0451287499068531</v>
      </c>
      <c r="N103" s="34">
        <f t="shared" si="36"/>
        <v>7.9037416987639943</v>
      </c>
      <c r="O103" s="34">
        <f t="shared" si="36"/>
        <v>7.7476534246013005</v>
      </c>
      <c r="P103" s="34">
        <f t="shared" si="36"/>
        <v>7.549325687630275</v>
      </c>
      <c r="Q103" s="34">
        <f t="shared" si="36"/>
        <v>7.3295648062060312</v>
      </c>
      <c r="R103" s="34">
        <f t="shared" si="36"/>
        <v>7.0802353445881181</v>
      </c>
      <c r="S103" s="34">
        <f t="shared" si="36"/>
        <v>6.6263833039151141</v>
      </c>
      <c r="T103" s="34">
        <f t="shared" si="36"/>
        <v>5.9868670275690068</v>
      </c>
      <c r="U103" s="34">
        <f t="shared" si="36"/>
        <v>5.1611677881322695</v>
      </c>
      <c r="V103" s="34">
        <f t="shared" si="36"/>
        <v>4.1712707460832785</v>
      </c>
      <c r="W103" s="34">
        <f t="shared" si="36"/>
        <v>3.0685616948276047</v>
      </c>
    </row>
    <row r="104" spans="2:23" x14ac:dyDescent="0.2">
      <c r="B104" s="105" t="s">
        <v>130</v>
      </c>
      <c r="C104" s="34"/>
      <c r="D104" s="253">
        <f>'Input data'!C69*$D$100</f>
        <v>4.7052606775120811</v>
      </c>
      <c r="E104" s="34">
        <f>IF(E100=0,0,IF(E95=1,'Input data'!$C$58*(E100-D100*E43/((1+E24/100)*(1+E42/100))),0))</f>
        <v>5.1174956140526469</v>
      </c>
      <c r="F104" s="34">
        <f>IF(F100=0,0,IF(F95=1,'Input data'!$C$58*(F100-E100*F43/((1+F24/100)*(1+F42/100))),0))</f>
        <v>5.7596126904967768</v>
      </c>
      <c r="G104" s="34">
        <f>IF(G100=0,0,IF(G95=1,'Input data'!$C$58*(G100-F100*G43/((1+G24/100)*(1+G42/100))),0))</f>
        <v>3.5568636704691148</v>
      </c>
      <c r="H104" s="34">
        <f>IF(H100=0,0,IF(H95=1,'Input data'!$C$58*(H100-G100*H43/((1+H24/100)*(1+H42/100))),0))</f>
        <v>3.0250478872349791</v>
      </c>
      <c r="I104" s="34">
        <f>IF(I100=0,0,IF(I95=1,'Input data'!$C$58*(I100-H100*I43/((1+I24/100)*(1+I42/100))),0))</f>
        <v>2.5891097427121021</v>
      </c>
      <c r="J104" s="34">
        <f>IF(J100=0,0,IF(J95=1,'Input data'!$C$58*(J100-I100*J43/((1+J24/100)*(1+J42/100))),0))</f>
        <v>2.1127408455923633</v>
      </c>
      <c r="K104" s="34">
        <f>IF(K100=0,0,IF(K95=1,'Input data'!$C$58*(K100-J100*K43/((1+K24/100)*(1+K42/100))),0))</f>
        <v>1.7028565942874547</v>
      </c>
      <c r="L104" s="34">
        <f>IF(L100=0,0,IF(L95=1,'Input data'!$C$58*(L100-K100*L43/((1+L24/100)*(1+L42/100))),0))</f>
        <v>1.3940337515965713</v>
      </c>
      <c r="M104" s="34">
        <f>IF(M100=0,0,IF(M95=1,'Input data'!$C$58*(M100-L100*M43/((1+M24/100)*(1+M42/100))),0))</f>
        <v>1.0853966198405005</v>
      </c>
      <c r="N104" s="34">
        <f>IF(N100=0,0,IF(N95=1,'Input data'!$C$58*(N100-M100*N43/((1+N24/100)*(1+N42/100))),0))</f>
        <v>0.97080487355585265</v>
      </c>
      <c r="O104" s="34">
        <f>IF(O100=0,0,IF(O95=1,'Input data'!$C$58*(O100-N100*O43/((1+O24/100)*(1+O42/100))),0))</f>
        <v>0.6787823043558181</v>
      </c>
      <c r="P104" s="34">
        <f>IF(P100=0,0,IF(P95=1,'Input data'!$C$58*(P100-O100*P43/((1+P24/100)*(1+P42/100))),0))</f>
        <v>0.3738008774642147</v>
      </c>
      <c r="Q104" s="34">
        <f>IF(Q100=0,0,IF(Q95=1,'Input data'!$C$58*(Q100-P100*Q43/((1+Q24/100)*(1+Q42/100))),0))</f>
        <v>0.19566430886380276</v>
      </c>
      <c r="R104" s="34">
        <f>IF(R100=0,0,IF(R95=1,'Input data'!$C$58*(R100-Q100*R43/((1+R24/100)*(1+R42/100))),0))</f>
        <v>0</v>
      </c>
      <c r="S104" s="34">
        <f>IF(S100=0,0,IF(S95=1,'Input data'!$C$58*(S100-R100*S43/((1+S24/100)*(1+S42/100))),0))</f>
        <v>0</v>
      </c>
      <c r="T104" s="34">
        <f>IF(T100=0,0,IF(T95=1,'Input data'!$C$58*(T100-S100*T43/((1+T24/100)*(1+T42/100))),0))</f>
        <v>0</v>
      </c>
      <c r="U104" s="34">
        <f>IF(U100=0,0,IF(U95=1,'Input data'!$C$58*(U100-T100*U43/((1+U24/100)*(1+U42/100))),0))</f>
        <v>0</v>
      </c>
      <c r="V104" s="34">
        <f>IF(V100=0,0,IF(V95=1,'Input data'!$C$58*(V100-U100*V43/((1+V24/100)*(1+V42/100))),0))</f>
        <v>0</v>
      </c>
      <c r="W104" s="34">
        <f>IF(W100=0,0,IF(W95=1,'Input data'!$C$58*(W100-V100*W43/((1+W24/100)*(1+W42/100))),0))</f>
        <v>0</v>
      </c>
    </row>
    <row r="105" spans="2:23" x14ac:dyDescent="0.2">
      <c r="B105" s="107" t="s">
        <v>131</v>
      </c>
      <c r="C105" s="49"/>
      <c r="D105" s="254">
        <f>'Input data'!C70*$D$100</f>
        <v>0.51003587344023849</v>
      </c>
      <c r="E105" s="49">
        <f>IF(E100=0,0,IF(E95=1,'Input data'!$C$57*(E100-D100*E43/((1+E24/100)*(1+E42/100))),0))</f>
        <v>0.62149413902720196</v>
      </c>
      <c r="F105" s="49">
        <f>IF(F100=0,0,IF(F95=1,'Input data'!$C$57*(F100-E100*F43/((1+F24/100)*(1+F42/100))),0))</f>
        <v>0.69947603284328197</v>
      </c>
      <c r="G105" s="49">
        <f>IF(G100=0,0,IF(G95=1,'Input data'!$C$57*(G100-F100*G43/((1+G24/100)*(1+G42/100))),0))</f>
        <v>0.43196322795961156</v>
      </c>
      <c r="H105" s="49">
        <f>IF(H100=0,0,IF(H95=1,'Input data'!$C$57*(H100-G100*H43/((1+H24/100)*(1+H42/100))),0))</f>
        <v>0.36737687220103177</v>
      </c>
      <c r="I105" s="49">
        <f>IF(I100=0,0,IF(I95=1,'Input data'!$C$57*(I100-H100*I43/((1+I24/100)*(1+I42/100))),0))</f>
        <v>0.31443437410579561</v>
      </c>
      <c r="J105" s="49">
        <f>IF(J100=0,0,IF(J95=1,'Input data'!$C$57*(J100-I100*J43/((1+J24/100)*(1+J42/100))),0))</f>
        <v>0.25658176417648032</v>
      </c>
      <c r="K105" s="49">
        <f>IF(K100=0,0,IF(K95=1,'Input data'!$C$57*(K100-J100*K43/((1+K24/100)*(1+K42/100))),0))</f>
        <v>0.20680338055343717</v>
      </c>
      <c r="L105" s="49">
        <f>IF(L100=0,0,IF(L95=1,'Input data'!$C$57*(L100-K100*L43/((1+L24/100)*(1+L42/100))),0))</f>
        <v>0.16929839741225783</v>
      </c>
      <c r="M105" s="49">
        <f>IF(M100=0,0,IF(M95=1,'Input data'!$C$57*(M100-L100*M43/((1+M24/100)*(1+M42/100))),0))</f>
        <v>0.13181596793135375</v>
      </c>
      <c r="N105" s="49">
        <f>IF(N100=0,0,IF(N95=1,'Input data'!$C$57*(N100-M100*N43/((1+N24/100)*(1+N42/100))),0))</f>
        <v>0.11789937589730572</v>
      </c>
      <c r="O105" s="49">
        <f>IF(O100=0,0,IF(O95=1,'Input data'!$C$57*(O100-N100*O43/((1+O24/100)*(1+O42/100))),0))</f>
        <v>8.2434701589991319E-2</v>
      </c>
      <c r="P105" s="49">
        <f>IF(P100=0,0,IF(P95=1,'Input data'!$C$57*(P100-O100*P43/((1+P24/100)*(1+P42/100))),0))</f>
        <v>4.5396239103614948E-2</v>
      </c>
      <c r="Q105" s="49">
        <f>IF(Q100=0,0,IF(Q95=1,'Input data'!$C$57*(Q100-P100*Q43/((1+Q24/100)*(1+Q42/100))),0))</f>
        <v>2.376244756160344E-2</v>
      </c>
      <c r="R105" s="49">
        <f>IF(R100=0,0,IF(R95=1,'Input data'!$C$57*(R100-Q100*R43/((1+R24/100)*(1+R42/100))),0))</f>
        <v>0</v>
      </c>
      <c r="S105" s="49">
        <f>IF(S100=0,0,IF(S95=1,'Input data'!$C$57*(S100-R100*S43/((1+S24/100)*(1+S42/100))),0))</f>
        <v>0</v>
      </c>
      <c r="T105" s="49">
        <f>IF(T100=0,0,IF(T95=1,'Input data'!$C$57*(T100-S100*T43/((1+T24/100)*(1+T42/100))),0))</f>
        <v>0</v>
      </c>
      <c r="U105" s="49">
        <f>IF(U100=0,0,IF(U95=1,'Input data'!$C$57*(U100-T100*U43/((1+U24/100)*(1+U42/100))),0))</f>
        <v>0</v>
      </c>
      <c r="V105" s="49">
        <f>IF(V100=0,0,IF(V95=1,'Input data'!$C$57*(V100-U100*V43/((1+V24/100)*(1+V42/100))),0))</f>
        <v>0</v>
      </c>
      <c r="W105" s="49">
        <f>IF(W100=0,0,IF(W95=1,'Input data'!$C$57*(W100-V100*W43/((1+W24/100)*(1+W42/100))),0))</f>
        <v>0</v>
      </c>
    </row>
    <row r="106" spans="2:23" x14ac:dyDescent="0.2">
      <c r="B106" s="26" t="s">
        <v>73</v>
      </c>
      <c r="C106" s="36"/>
      <c r="D106" s="259">
        <f>'Baseline NFPC'!$D$93</f>
        <v>9.7796143737858943E-2</v>
      </c>
      <c r="E106" s="36">
        <f>IF(E100&lt;&gt;0,(E103+E105)/(E101+E102+E103+E104+E105),0)</f>
        <v>9.8582823818295126E-2</v>
      </c>
      <c r="F106" s="36">
        <f>IF(F100&lt;&gt;0,(F103+F105)/(F101+F102+F103+F104+F105),0)</f>
        <v>9.9350816668775502E-2</v>
      </c>
      <c r="G106" s="36">
        <f>IF(G100&lt;&gt;0,(G103+G105)/(G101+G102+G103+G104+G105),0)</f>
        <v>9.9778302407690922E-2</v>
      </c>
      <c r="H106" s="36">
        <f t="shared" ref="H106:W106" si="37">IF(H100&lt;&gt;0,(H103+H105)/(H101+H102+H103+H104+H105),0)</f>
        <v>0.10012256403499945</v>
      </c>
      <c r="I106" s="36">
        <f t="shared" si="37"/>
        <v>0.1004046276054075</v>
      </c>
      <c r="J106" s="36">
        <f t="shared" si="37"/>
        <v>0.10062745982439369</v>
      </c>
      <c r="K106" s="36">
        <f t="shared" si="37"/>
        <v>0.10080339905793209</v>
      </c>
      <c r="L106" s="36">
        <f t="shared" si="37"/>
        <v>0.10094586709538045</v>
      </c>
      <c r="M106" s="36">
        <f t="shared" si="37"/>
        <v>0.10105639573044246</v>
      </c>
      <c r="N106" s="36">
        <f t="shared" si="37"/>
        <v>0.10115575081516825</v>
      </c>
      <c r="O106" s="36">
        <f t="shared" si="37"/>
        <v>0.10122599056909268</v>
      </c>
      <c r="P106" s="36">
        <f t="shared" si="37"/>
        <v>0.10126549283396809</v>
      </c>
      <c r="Q106" s="36">
        <f t="shared" si="37"/>
        <v>0.10128673398725431</v>
      </c>
      <c r="R106" s="36">
        <f t="shared" si="37"/>
        <v>0.10123886125203858</v>
      </c>
      <c r="S106" s="36">
        <f t="shared" si="37"/>
        <v>9.8770970153459869E-2</v>
      </c>
      <c r="T106" s="36">
        <f t="shared" si="37"/>
        <v>9.3457003127260949E-2</v>
      </c>
      <c r="U106" s="36">
        <f>IF(U100&lt;&gt;0,(U103+U105)/(U101+U102+U103+U104+U105),0)</f>
        <v>8.4844954792728355E-2</v>
      </c>
      <c r="V106" s="36">
        <f t="shared" si="37"/>
        <v>7.2654048364309221E-2</v>
      </c>
      <c r="W106" s="34">
        <f t="shared" si="37"/>
        <v>5.695512620924853E-2</v>
      </c>
    </row>
    <row r="107" spans="2:23" x14ac:dyDescent="0.2">
      <c r="B107" s="35" t="s">
        <v>74</v>
      </c>
      <c r="C107" s="108"/>
      <c r="D107" s="260">
        <f>'Baseline NFPC'!$D$94</f>
        <v>0.90220385626214106</v>
      </c>
      <c r="E107" s="108">
        <f>IF(E100&lt;&gt;0,(E101+E102+E104)/(E101+E102+E103+E104+E105),1)</f>
        <v>0.90141717618170492</v>
      </c>
      <c r="F107" s="108">
        <f>IF(F100&lt;&gt;0,(F101+F102+F104)/(F101+F102+F103+F104+F105),1)</f>
        <v>0.90064918333122457</v>
      </c>
      <c r="G107" s="108">
        <f>IF(G100&lt;&gt;0,(G101+G102+G104)/(G101+G102+G103+G104+G105),1)</f>
        <v>0.90022169759230897</v>
      </c>
      <c r="H107" s="108">
        <f t="shared" ref="H107:W107" si="38">IF(H100&lt;&gt;0,(H101+H102+H104)/(H101+H102+H103+H104+H105),1)</f>
        <v>0.89987743596500047</v>
      </c>
      <c r="I107" s="108">
        <f t="shared" si="38"/>
        <v>0.89959537239459253</v>
      </c>
      <c r="J107" s="108">
        <f t="shared" si="38"/>
        <v>0.89937254017560642</v>
      </c>
      <c r="K107" s="108">
        <f t="shared" si="38"/>
        <v>0.89919660094206788</v>
      </c>
      <c r="L107" s="108">
        <f t="shared" si="38"/>
        <v>0.89905413290461944</v>
      </c>
      <c r="M107" s="108">
        <f t="shared" si="38"/>
        <v>0.89894360426955744</v>
      </c>
      <c r="N107" s="108">
        <f t="shared" si="38"/>
        <v>0.89884424918483175</v>
      </c>
      <c r="O107" s="108">
        <f t="shared" si="38"/>
        <v>0.89877400943090746</v>
      </c>
      <c r="P107" s="108">
        <f t="shared" si="38"/>
        <v>0.89873450716603198</v>
      </c>
      <c r="Q107" s="108">
        <f t="shared" si="38"/>
        <v>0.89871326601274559</v>
      </c>
      <c r="R107" s="108">
        <f t="shared" si="38"/>
        <v>0.89876113874796137</v>
      </c>
      <c r="S107" s="108">
        <f t="shared" si="38"/>
        <v>0.90122902984654008</v>
      </c>
      <c r="T107" s="108">
        <f t="shared" si="38"/>
        <v>0.90654299687273909</v>
      </c>
      <c r="U107" s="108">
        <f t="shared" si="38"/>
        <v>0.91515504520727164</v>
      </c>
      <c r="V107" s="108">
        <f t="shared" si="38"/>
        <v>0.92734595163569078</v>
      </c>
      <c r="W107" s="49">
        <f t="shared" si="38"/>
        <v>0.94304487379075141</v>
      </c>
    </row>
    <row r="108" spans="2:23" x14ac:dyDescent="0.2">
      <c r="C108" s="38"/>
      <c r="D108" s="38"/>
      <c r="E108" s="38"/>
      <c r="F108" s="38"/>
      <c r="G108" s="38"/>
      <c r="H108" s="38"/>
      <c r="I108" s="38"/>
      <c r="J108" s="38"/>
      <c r="K108" s="38"/>
      <c r="L108" s="38"/>
      <c r="M108" s="38"/>
      <c r="N108" s="38"/>
      <c r="O108" s="38"/>
      <c r="P108" s="38"/>
      <c r="Q108" s="38"/>
      <c r="R108" s="38"/>
      <c r="S108" s="38"/>
      <c r="T108" s="38"/>
      <c r="U108" s="38"/>
      <c r="V108" s="38"/>
      <c r="W108" s="38"/>
    </row>
    <row r="109" spans="2:23" x14ac:dyDescent="0.2">
      <c r="B109" s="113" t="s">
        <v>132</v>
      </c>
      <c r="C109" s="115">
        <f>'Baseline NFPC'!C96</f>
        <v>0.73297140000000005</v>
      </c>
      <c r="D109" s="115">
        <f>'Baseline NFPC'!D96</f>
        <v>0.83926920000000005</v>
      </c>
      <c r="E109" s="115">
        <f>'Baseline NFPC'!E96</f>
        <v>1.5804370000000001</v>
      </c>
      <c r="F109" s="115">
        <f>'Baseline NFPC'!F96</f>
        <v>1.6625099999999999</v>
      </c>
      <c r="G109" s="115">
        <f>'Baseline NFPC'!G96</f>
        <v>1.8895660000000001</v>
      </c>
      <c r="H109" s="115">
        <f>H111</f>
        <v>1.9772233302355637</v>
      </c>
      <c r="I109" s="115">
        <f t="shared" ref="I109:V109" si="39">I111</f>
        <v>2.0529041282230609</v>
      </c>
      <c r="J109" s="115">
        <f t="shared" si="39"/>
        <v>2.1196748592944994</v>
      </c>
      <c r="K109" s="115">
        <f t="shared" si="39"/>
        <v>2.1782899291321702</v>
      </c>
      <c r="L109" s="115">
        <f t="shared" si="39"/>
        <v>2.2305689648788061</v>
      </c>
      <c r="M109" s="115">
        <f t="shared" si="39"/>
        <v>2.2783584985568885</v>
      </c>
      <c r="N109" s="115">
        <f t="shared" si="39"/>
        <v>2.3220354057513282</v>
      </c>
      <c r="O109" s="115">
        <f t="shared" si="39"/>
        <v>2.3641536745340601</v>
      </c>
      <c r="P109" s="115">
        <f t="shared" si="39"/>
        <v>2.4006917316001308</v>
      </c>
      <c r="Q109" s="115">
        <f t="shared" si="39"/>
        <v>2.4335156324534415</v>
      </c>
      <c r="R109" s="115">
        <f t="shared" si="39"/>
        <v>2.464180670753175</v>
      </c>
      <c r="S109" s="115">
        <f t="shared" si="39"/>
        <v>2.4923944392750315</v>
      </c>
      <c r="T109" s="115">
        <f t="shared" si="39"/>
        <v>2.5197994148360721</v>
      </c>
      <c r="U109" s="115">
        <f t="shared" si="39"/>
        <v>2.5467572258622106</v>
      </c>
      <c r="V109" s="115">
        <f t="shared" si="39"/>
        <v>2.5736251574331761</v>
      </c>
      <c r="W109" s="115">
        <f>W111</f>
        <v>2.6006912147962633</v>
      </c>
    </row>
    <row r="110" spans="2:23" x14ac:dyDescent="0.2">
      <c r="B110" s="33" t="s">
        <v>133</v>
      </c>
      <c r="C110" s="34"/>
      <c r="D110" s="34"/>
      <c r="E110" s="265">
        <f>((E36*D100)-(E38*(D103+D105)))/(D101+D102+D104)</f>
        <v>1.3799500275570342</v>
      </c>
      <c r="F110" s="265">
        <f>((F36*E100)-(F38*(E103+E105)))/(E101+E102+E104)</f>
        <v>1.4545322025458567</v>
      </c>
      <c r="G110" s="265">
        <f>((G36*F100)-(G38*(F103+F105)))/(F101+F102+F104)</f>
        <v>1.7873294879927404</v>
      </c>
      <c r="H110" s="34">
        <f t="shared" ref="H110:W110" si="40">IF(G100&gt;0,(G110*G101+H37*(G104+G102))/(G101+G102+G104),H37)</f>
        <v>1.8854647458907394</v>
      </c>
      <c r="I110" s="34">
        <f t="shared" si="40"/>
        <v>1.9704698245500063</v>
      </c>
      <c r="J110" s="34">
        <f t="shared" si="40"/>
        <v>2.0456943417238502</v>
      </c>
      <c r="K110" s="34">
        <f t="shared" si="40"/>
        <v>2.1119477827324977</v>
      </c>
      <c r="L110" s="34">
        <f t="shared" si="40"/>
        <v>2.171223664117556</v>
      </c>
      <c r="M110" s="34">
        <f t="shared" si="40"/>
        <v>2.225552869502732</v>
      </c>
      <c r="N110" s="34">
        <f t="shared" si="40"/>
        <v>2.2753441724416841</v>
      </c>
      <c r="O110" s="34">
        <f t="shared" si="40"/>
        <v>2.3234214333443393</v>
      </c>
      <c r="P110" s="34">
        <f t="shared" si="40"/>
        <v>2.3681320416596545</v>
      </c>
      <c r="Q110" s="34">
        <f t="shared" si="40"/>
        <v>2.4087308921620658</v>
      </c>
      <c r="R110" s="34">
        <f t="shared" si="40"/>
        <v>2.4469377430651988</v>
      </c>
      <c r="S110" s="34">
        <f t="shared" si="40"/>
        <v>2.4824280899214846</v>
      </c>
      <c r="T110" s="34">
        <f t="shared" si="40"/>
        <v>2.5170849352537825</v>
      </c>
      <c r="U110" s="34">
        <f t="shared" si="40"/>
        <v>2.5507256586880076</v>
      </c>
      <c r="V110" s="34">
        <f t="shared" si="40"/>
        <v>2.583050776620897</v>
      </c>
      <c r="W110" s="34">
        <f t="shared" si="40"/>
        <v>2.6136212564539312</v>
      </c>
    </row>
    <row r="111" spans="2:23" x14ac:dyDescent="0.2">
      <c r="B111" s="35" t="s">
        <v>63</v>
      </c>
      <c r="C111" s="49"/>
      <c r="D111" s="49"/>
      <c r="E111" s="49">
        <f t="shared" ref="E111:W111" si="41">(E110*(D101+D102+D104)+E38*(D103+D105))/D100</f>
        <v>1.5804370000000001</v>
      </c>
      <c r="F111" s="49">
        <f t="shared" si="41"/>
        <v>1.6625099999999999</v>
      </c>
      <c r="G111" s="49">
        <f t="shared" si="41"/>
        <v>1.8895660000000001</v>
      </c>
      <c r="H111" s="49">
        <f t="shared" si="41"/>
        <v>1.9772233302355637</v>
      </c>
      <c r="I111" s="49">
        <f t="shared" si="41"/>
        <v>2.0529041282230609</v>
      </c>
      <c r="J111" s="49">
        <f t="shared" si="41"/>
        <v>2.1196748592944994</v>
      </c>
      <c r="K111" s="49">
        <f t="shared" si="41"/>
        <v>2.1782899291321702</v>
      </c>
      <c r="L111" s="49">
        <f t="shared" si="41"/>
        <v>2.2305689648788061</v>
      </c>
      <c r="M111" s="49">
        <f t="shared" si="41"/>
        <v>2.2783584985568885</v>
      </c>
      <c r="N111" s="49">
        <f t="shared" si="41"/>
        <v>2.3220354057513282</v>
      </c>
      <c r="O111" s="49">
        <f t="shared" si="41"/>
        <v>2.3641536745340601</v>
      </c>
      <c r="P111" s="49">
        <f t="shared" si="41"/>
        <v>2.4006917316001308</v>
      </c>
      <c r="Q111" s="49">
        <f t="shared" si="41"/>
        <v>2.4335156324534415</v>
      </c>
      <c r="R111" s="49">
        <f t="shared" si="41"/>
        <v>2.464180670753175</v>
      </c>
      <c r="S111" s="49">
        <f t="shared" si="41"/>
        <v>2.4923944392750315</v>
      </c>
      <c r="T111" s="49">
        <f t="shared" si="41"/>
        <v>2.5197994148360721</v>
      </c>
      <c r="U111" s="49">
        <f t="shared" si="41"/>
        <v>2.5467572258622106</v>
      </c>
      <c r="V111" s="49">
        <f t="shared" si="41"/>
        <v>2.5736251574331761</v>
      </c>
      <c r="W111" s="49">
        <f t="shared" si="41"/>
        <v>2.6006912147962633</v>
      </c>
    </row>
    <row r="112" spans="2:23" x14ac:dyDescent="0.2">
      <c r="C112" s="38"/>
      <c r="D112" s="38"/>
      <c r="E112" s="38"/>
      <c r="F112" s="38"/>
      <c r="G112" s="34"/>
      <c r="H112" s="34"/>
      <c r="I112" s="34"/>
      <c r="J112" s="34"/>
      <c r="K112" s="34"/>
      <c r="L112" s="34"/>
      <c r="M112" s="34"/>
      <c r="N112" s="34"/>
      <c r="O112" s="34"/>
      <c r="P112" s="34"/>
      <c r="Q112" s="34"/>
      <c r="R112" s="34"/>
      <c r="S112" s="34"/>
      <c r="T112" s="34"/>
      <c r="U112" s="34"/>
      <c r="V112" s="34"/>
      <c r="W112" s="34"/>
    </row>
    <row r="113" spans="2:25" x14ac:dyDescent="0.2">
      <c r="B113" s="113" t="s">
        <v>186</v>
      </c>
      <c r="C113" s="115">
        <f t="shared" ref="C113:W113" si="42">((1+C109/100)/((1+C24/100)*(1+C42/100))-1)*100</f>
        <v>-4.3409713213587997</v>
      </c>
      <c r="D113" s="115">
        <f t="shared" si="42"/>
        <v>-5.5733961793317803</v>
      </c>
      <c r="E113" s="115">
        <f t="shared" si="42"/>
        <v>-2.0557830858901172</v>
      </c>
      <c r="F113" s="115">
        <f t="shared" si="42"/>
        <v>-0.1745813850073441</v>
      </c>
      <c r="G113" s="115">
        <f t="shared" si="42"/>
        <v>-0.88510975599536135</v>
      </c>
      <c r="H113" s="115">
        <f t="shared" si="42"/>
        <v>-1.5979223466323411</v>
      </c>
      <c r="I113" s="115">
        <f t="shared" si="42"/>
        <v>-1.2346555873117726</v>
      </c>
      <c r="J113" s="115">
        <f t="shared" si="42"/>
        <v>-1.0370139901603848</v>
      </c>
      <c r="K113" s="115">
        <f t="shared" si="42"/>
        <v>-0.96745968849457631</v>
      </c>
      <c r="L113" s="115">
        <f t="shared" si="42"/>
        <v>-0.940276024852571</v>
      </c>
      <c r="M113" s="115">
        <f t="shared" si="42"/>
        <v>-0.82132225911418777</v>
      </c>
      <c r="N113" s="115">
        <f t="shared" si="42"/>
        <v>-1.0966851500678332</v>
      </c>
      <c r="O113" s="115">
        <f t="shared" si="42"/>
        <v>-1.1322024519273111</v>
      </c>
      <c r="P113" s="115">
        <f t="shared" si="42"/>
        <v>-1.2710763835925509</v>
      </c>
      <c r="Q113" s="115">
        <f t="shared" si="42"/>
        <v>-1.1427806839446553</v>
      </c>
      <c r="R113" s="115">
        <f t="shared" si="42"/>
        <v>-1.287237755003634</v>
      </c>
      <c r="S113" s="115">
        <f t="shared" si="42"/>
        <v>-1.305902312393048</v>
      </c>
      <c r="T113" s="115">
        <f t="shared" si="42"/>
        <v>-1.300661384908075</v>
      </c>
      <c r="U113" s="115">
        <f t="shared" si="42"/>
        <v>-1.3086063758128041</v>
      </c>
      <c r="V113" s="115">
        <f t="shared" si="42"/>
        <v>-1.3019743077851587</v>
      </c>
      <c r="W113" s="115">
        <f t="shared" si="42"/>
        <v>-1.2058288934589378</v>
      </c>
    </row>
    <row r="114" spans="2:25" x14ac:dyDescent="0.2">
      <c r="F114" s="34"/>
      <c r="G114" s="34"/>
      <c r="H114" s="34"/>
      <c r="I114" s="34"/>
      <c r="J114" s="34"/>
      <c r="K114" s="34"/>
      <c r="L114" s="34"/>
      <c r="M114" s="34"/>
      <c r="N114" s="34"/>
      <c r="O114" s="34"/>
      <c r="P114" s="34"/>
      <c r="Q114" s="34"/>
      <c r="R114" s="34"/>
      <c r="S114" s="34"/>
      <c r="T114" s="34"/>
      <c r="U114" s="34"/>
      <c r="V114" s="34"/>
      <c r="W114" s="34"/>
    </row>
    <row r="115" spans="2:25" x14ac:dyDescent="0.2">
      <c r="F115" s="34"/>
      <c r="G115" s="34"/>
      <c r="H115" s="252"/>
      <c r="I115" s="252"/>
      <c r="J115" s="252"/>
      <c r="K115" s="252"/>
      <c r="L115" s="252"/>
      <c r="M115" s="252"/>
      <c r="N115" s="252"/>
      <c r="O115" s="252"/>
      <c r="P115" s="252"/>
      <c r="Q115" s="252"/>
      <c r="R115" s="252"/>
      <c r="S115" s="252"/>
      <c r="T115" s="252"/>
      <c r="U115" s="34"/>
      <c r="V115" s="34"/>
      <c r="W115" s="34"/>
    </row>
    <row r="116" spans="2:25" x14ac:dyDescent="0.2">
      <c r="T116" s="62"/>
      <c r="U116" s="62"/>
      <c r="V116" s="62"/>
      <c r="W116" s="62"/>
      <c r="X116" s="62"/>
      <c r="Y116" s="62"/>
    </row>
    <row r="117" spans="2:25" x14ac:dyDescent="0.2">
      <c r="T117" s="62"/>
      <c r="U117" s="116"/>
      <c r="V117" s="116"/>
      <c r="W117" s="116"/>
      <c r="X117" s="116"/>
      <c r="Y117" s="62"/>
    </row>
    <row r="118" spans="2:25" x14ac:dyDescent="0.2">
      <c r="H118" s="121"/>
      <c r="I118" s="121"/>
      <c r="J118" s="121"/>
      <c r="K118" s="121"/>
      <c r="L118" s="121"/>
      <c r="M118" s="121"/>
      <c r="N118" s="121"/>
      <c r="O118" s="121"/>
      <c r="P118" s="121"/>
      <c r="Q118" s="121"/>
      <c r="R118" s="121"/>
      <c r="S118" s="121"/>
      <c r="T118" s="121"/>
      <c r="U118" s="121"/>
      <c r="V118" s="121"/>
      <c r="W118" s="121"/>
    </row>
    <row r="119" spans="2:25" x14ac:dyDescent="0.2">
      <c r="E119" s="34"/>
      <c r="F119" s="34"/>
      <c r="G119" s="121"/>
      <c r="H119" s="121"/>
      <c r="I119" s="121"/>
      <c r="J119" s="121"/>
      <c r="K119" s="121"/>
      <c r="L119" s="121"/>
      <c r="M119" s="121"/>
      <c r="N119" s="121"/>
      <c r="O119" s="121"/>
      <c r="P119" s="121"/>
      <c r="Q119" s="121"/>
      <c r="R119" s="121"/>
      <c r="S119" s="121"/>
      <c r="T119" s="121"/>
      <c r="U119" s="121"/>
      <c r="V119" s="121"/>
      <c r="W119" s="121"/>
    </row>
    <row r="120" spans="2:25" x14ac:dyDescent="0.2">
      <c r="E120" s="34"/>
      <c r="F120" s="34"/>
      <c r="G120" s="121"/>
      <c r="H120" s="121"/>
      <c r="I120" s="121"/>
      <c r="J120" s="121"/>
      <c r="K120" s="121"/>
      <c r="L120" s="121"/>
      <c r="M120" s="121"/>
      <c r="N120" s="121"/>
      <c r="O120" s="121"/>
      <c r="P120" s="121"/>
      <c r="Q120" s="121"/>
      <c r="R120" s="121"/>
      <c r="S120" s="121"/>
      <c r="T120" s="121"/>
      <c r="U120" s="121"/>
      <c r="V120" s="121"/>
      <c r="W120" s="121"/>
    </row>
    <row r="123" spans="2:25" x14ac:dyDescent="0.2">
      <c r="E123" s="34"/>
      <c r="F123" s="34"/>
      <c r="G123" s="121"/>
      <c r="H123" s="121"/>
      <c r="I123" s="121"/>
      <c r="J123" s="121"/>
      <c r="K123" s="121"/>
      <c r="L123" s="121"/>
      <c r="M123" s="121"/>
      <c r="N123" s="121"/>
      <c r="O123" s="121"/>
      <c r="P123" s="121"/>
      <c r="Q123" s="121"/>
      <c r="R123" s="121"/>
      <c r="S123" s="121"/>
      <c r="T123" s="121"/>
      <c r="U123" s="121"/>
      <c r="V123" s="121"/>
      <c r="W123" s="121"/>
    </row>
    <row r="124" spans="2:25" x14ac:dyDescent="0.2">
      <c r="E124" s="34"/>
      <c r="F124" s="34"/>
      <c r="G124" s="121"/>
      <c r="H124" s="121"/>
      <c r="I124" s="121"/>
      <c r="J124" s="121"/>
      <c r="K124" s="121"/>
      <c r="L124" s="121"/>
      <c r="M124" s="121"/>
      <c r="N124" s="121"/>
      <c r="O124" s="121"/>
      <c r="P124" s="121"/>
      <c r="Q124" s="121"/>
      <c r="R124" s="121"/>
      <c r="S124" s="121"/>
      <c r="T124" s="121"/>
      <c r="U124" s="121"/>
      <c r="V124" s="121"/>
      <c r="W124" s="121"/>
      <c r="X124" s="53"/>
    </row>
    <row r="125" spans="2:25" x14ac:dyDescent="0.2">
      <c r="G125" s="53"/>
      <c r="H125" s="53"/>
      <c r="I125" s="53"/>
      <c r="J125" s="53"/>
      <c r="K125" s="53"/>
      <c r="L125" s="53"/>
      <c r="M125" s="53"/>
      <c r="N125" s="53"/>
      <c r="O125" s="53"/>
      <c r="P125" s="53"/>
      <c r="Q125" s="53"/>
      <c r="R125" s="53"/>
      <c r="S125" s="53"/>
      <c r="T125" s="53"/>
      <c r="U125" s="53"/>
      <c r="V125" s="53"/>
      <c r="W125" s="53"/>
      <c r="X125" s="53"/>
    </row>
    <row r="126" spans="2:25" x14ac:dyDescent="0.2">
      <c r="E126" s="34"/>
      <c r="F126" s="34"/>
      <c r="G126" s="121"/>
      <c r="H126" s="121"/>
      <c r="I126" s="121"/>
      <c r="J126" s="121"/>
      <c r="K126" s="121"/>
      <c r="L126" s="121"/>
      <c r="M126" s="121"/>
      <c r="N126" s="121"/>
      <c r="O126" s="121"/>
      <c r="P126" s="121"/>
      <c r="Q126" s="121"/>
      <c r="R126" s="121"/>
      <c r="S126" s="121"/>
      <c r="T126" s="121"/>
      <c r="U126" s="121"/>
      <c r="V126" s="121"/>
      <c r="W126" s="121"/>
      <c r="X126" s="53"/>
    </row>
    <row r="127" spans="2:25" x14ac:dyDescent="0.2">
      <c r="E127" s="34"/>
      <c r="F127" s="34"/>
      <c r="G127" s="121"/>
      <c r="H127" s="121"/>
      <c r="I127" s="121"/>
      <c r="J127" s="121"/>
      <c r="K127" s="121"/>
      <c r="L127" s="121"/>
      <c r="M127" s="121"/>
      <c r="N127" s="121"/>
      <c r="O127" s="121"/>
      <c r="P127" s="121"/>
      <c r="Q127" s="121"/>
      <c r="R127" s="121"/>
      <c r="S127" s="121"/>
      <c r="T127" s="121"/>
      <c r="U127" s="121"/>
      <c r="V127" s="121"/>
      <c r="W127" s="121"/>
      <c r="X127" s="53"/>
    </row>
    <row r="128" spans="2:25" x14ac:dyDescent="0.2">
      <c r="G128" s="53"/>
      <c r="H128" s="53"/>
      <c r="I128" s="53"/>
      <c r="J128" s="53"/>
      <c r="K128" s="53"/>
      <c r="L128" s="53"/>
      <c r="M128" s="53"/>
      <c r="N128" s="53"/>
      <c r="O128" s="53"/>
      <c r="P128" s="53"/>
      <c r="Q128" s="53"/>
      <c r="R128" s="53"/>
      <c r="S128" s="53"/>
      <c r="T128" s="53"/>
      <c r="U128" s="53"/>
      <c r="V128" s="53"/>
      <c r="W128" s="53"/>
      <c r="X128" s="53"/>
    </row>
    <row r="129" spans="5:24" x14ac:dyDescent="0.2">
      <c r="E129" s="34"/>
      <c r="F129" s="34"/>
      <c r="G129" s="121"/>
      <c r="H129" s="121"/>
      <c r="I129" s="121"/>
      <c r="J129" s="121"/>
      <c r="K129" s="121"/>
      <c r="L129" s="121"/>
      <c r="M129" s="121"/>
      <c r="N129" s="121"/>
      <c r="O129" s="121"/>
      <c r="P129" s="121"/>
      <c r="Q129" s="121"/>
      <c r="R129" s="121"/>
      <c r="S129" s="121"/>
      <c r="T129" s="121"/>
      <c r="U129" s="121"/>
      <c r="V129" s="121"/>
      <c r="W129" s="121"/>
      <c r="X129" s="121"/>
    </row>
    <row r="130" spans="5:24" x14ac:dyDescent="0.2">
      <c r="E130" s="34"/>
      <c r="F130" s="34"/>
      <c r="G130" s="121"/>
      <c r="H130" s="121"/>
      <c r="I130" s="121"/>
      <c r="J130" s="121"/>
      <c r="K130" s="121"/>
      <c r="L130" s="121"/>
      <c r="M130" s="121"/>
      <c r="N130" s="121"/>
      <c r="O130" s="121"/>
      <c r="P130" s="121"/>
      <c r="Q130" s="121"/>
      <c r="R130" s="121"/>
      <c r="S130" s="121"/>
      <c r="T130" s="121"/>
      <c r="U130" s="121"/>
      <c r="V130" s="121"/>
      <c r="W130" s="121"/>
      <c r="X130" s="121"/>
    </row>
    <row r="131" spans="5:24" x14ac:dyDescent="0.2">
      <c r="G131" s="121"/>
      <c r="H131" s="121"/>
      <c r="I131" s="121"/>
      <c r="J131" s="121"/>
      <c r="K131" s="121"/>
      <c r="L131" s="121"/>
      <c r="M131" s="121"/>
      <c r="N131" s="121"/>
      <c r="O131" s="121"/>
      <c r="P131" s="121"/>
      <c r="Q131" s="121"/>
      <c r="R131" s="121"/>
      <c r="S131" s="121"/>
      <c r="T131" s="121"/>
      <c r="U131" s="121"/>
      <c r="V131" s="121"/>
      <c r="W131" s="121"/>
      <c r="X131" s="121"/>
    </row>
    <row r="132" spans="5:24" x14ac:dyDescent="0.2">
      <c r="E132" s="34"/>
      <c r="F132" s="34"/>
      <c r="G132" s="121"/>
      <c r="H132" s="121"/>
      <c r="I132" s="121"/>
      <c r="J132" s="121"/>
      <c r="K132" s="121"/>
      <c r="L132" s="121"/>
      <c r="M132" s="121"/>
      <c r="N132" s="121"/>
      <c r="O132" s="121"/>
      <c r="P132" s="121"/>
      <c r="Q132" s="121"/>
      <c r="R132" s="121"/>
      <c r="S132" s="121"/>
      <c r="T132" s="121"/>
      <c r="U132" s="121"/>
      <c r="V132" s="121"/>
      <c r="W132" s="121"/>
      <c r="X132" s="121"/>
    </row>
    <row r="133" spans="5:24" x14ac:dyDescent="0.2">
      <c r="E133" s="34"/>
      <c r="F133" s="34"/>
      <c r="G133" s="121"/>
      <c r="H133" s="121"/>
      <c r="I133" s="121"/>
      <c r="J133" s="121"/>
      <c r="K133" s="121"/>
      <c r="L133" s="121"/>
      <c r="M133" s="121"/>
      <c r="N133" s="121"/>
      <c r="O133" s="121"/>
      <c r="P133" s="121"/>
      <c r="Q133" s="121"/>
      <c r="R133" s="121"/>
      <c r="S133" s="121"/>
      <c r="T133" s="121"/>
      <c r="U133" s="121"/>
      <c r="V133" s="121"/>
      <c r="W133" s="121"/>
      <c r="X133" s="121"/>
    </row>
    <row r="134" spans="5:24" x14ac:dyDescent="0.2">
      <c r="G134" s="121"/>
      <c r="H134" s="121"/>
      <c r="I134" s="121"/>
      <c r="J134" s="121"/>
      <c r="K134" s="121"/>
      <c r="L134" s="121"/>
      <c r="M134" s="121"/>
      <c r="N134" s="121"/>
      <c r="O134" s="121"/>
      <c r="P134" s="121"/>
      <c r="Q134" s="121"/>
      <c r="R134" s="121"/>
      <c r="S134" s="121"/>
      <c r="T134" s="121"/>
      <c r="U134" s="121"/>
      <c r="V134" s="121"/>
      <c r="W134" s="121"/>
      <c r="X134" s="121"/>
    </row>
    <row r="135" spans="5:24" x14ac:dyDescent="0.2">
      <c r="G135" s="121"/>
      <c r="H135" s="121"/>
      <c r="I135" s="121"/>
      <c r="J135" s="121"/>
      <c r="K135" s="121"/>
      <c r="L135" s="121"/>
      <c r="M135" s="121"/>
      <c r="N135" s="121"/>
      <c r="O135" s="121"/>
      <c r="P135" s="121"/>
      <c r="Q135" s="121"/>
      <c r="R135" s="121"/>
      <c r="S135" s="121"/>
      <c r="T135" s="121"/>
      <c r="U135" s="121"/>
      <c r="V135" s="121"/>
      <c r="W135" s="121"/>
      <c r="X135" s="121"/>
    </row>
  </sheetData>
  <conditionalFormatting sqref="G12:M12">
    <cfRule type="expression" dxfId="35" priority="4">
      <formula>AND(G10&gt;$C$5,G10&lt;=$C$6)</formula>
    </cfRule>
  </conditionalFormatting>
  <conditionalFormatting sqref="U10:W44 U46:W53 U55:W92 U94:W150">
    <cfRule type="expression" dxfId="32" priority="1">
      <formula>U$10&gt;$C$7</formula>
    </cfRule>
  </conditionalFormatting>
  <pageMargins left="0.7" right="0.7" top="0.75" bottom="0.75" header="0.3" footer="0.3"/>
  <pageSetup paperSize="9" orientation="portrait" r:id="rId1"/>
  <ignoredErrors>
    <ignoredError sqref="C5:C6 C47:C48" unlockedFormula="1"/>
  </ignoredErrors>
  <extLst>
    <ext xmlns:x14="http://schemas.microsoft.com/office/spreadsheetml/2009/9/main" uri="{78C0D931-6437-407d-A8EE-F0AAD7539E65}">
      <x14:conditionalFormattings>
        <x14:conditionalFormatting xmlns:xm="http://schemas.microsoft.com/office/excel/2006/main">
          <x14:cfRule type="expression" priority="48" id="{3F484ED4-3931-4998-AB2F-E78A0CF23E03}">
            <xm:f>OR('Criteria results'!#REF!=7,'Criteria results'!#REF!=10)</xm:f>
            <x14:dxf>
              <font>
                <color theme="0"/>
              </font>
            </x14:dxf>
          </x14:cfRule>
          <xm:sqref>K83:M83</xm:sqref>
        </x14:conditionalFormatting>
        <x14:conditionalFormatting xmlns:xm="http://schemas.microsoft.com/office/excel/2006/main">
          <x14:cfRule type="expression" priority="49" id="{2AB03453-3383-4490-89FD-BF0D6B58ED6B}">
            <xm:f>'Criteria results'!#REF!=10</xm:f>
            <x14:dxf>
              <font>
                <color theme="0"/>
              </font>
            </x14:dxf>
          </x14:cfRule>
          <xm:sqref>N83:P83</xm:sqref>
        </x14:conditionalFormatting>
      </x14:conditionalFormattings>
    </ext>
  </extLst>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C326BD62-F475-4E99-9E07-BEAA4AE832C8}">
  <sheetPr codeName="Sheet18">
    <tabColor rgb="FF92D050"/>
  </sheetPr>
  <dimension ref="A1:AY139"/>
  <sheetViews>
    <sheetView zoomScaleNormal="100" workbookViewId="0">
      <selection activeCell="G13" sqref="G13"/>
    </sheetView>
  </sheetViews>
  <sheetFormatPr defaultColWidth="9.28515625" defaultRowHeight="11.25" outlineLevelRow="1" x14ac:dyDescent="0.2"/>
  <cols>
    <col min="1" max="1" width="9.28515625" style="26" customWidth="1"/>
    <col min="2" max="2" width="57.42578125" style="26" customWidth="1"/>
    <col min="3" max="38" width="9.28515625" style="26" customWidth="1"/>
    <col min="39" max="48" width="11.42578125" style="26" bestFit="1" customWidth="1"/>
    <col min="49" max="16384" width="9.28515625" style="26"/>
  </cols>
  <sheetData>
    <row r="1" spans="1:51" ht="24.75" customHeight="1" x14ac:dyDescent="0.2">
      <c r="B1" s="39"/>
    </row>
    <row r="2" spans="1:51" ht="11.25" customHeight="1" x14ac:dyDescent="0.2">
      <c r="B2" s="27"/>
    </row>
    <row r="3" spans="1:51" ht="11.25" customHeight="1" x14ac:dyDescent="0.2">
      <c r="B3" s="19" t="s">
        <v>15</v>
      </c>
      <c r="C3" s="20" t="str">
        <f>'Input data'!C3</f>
        <v>FI</v>
      </c>
    </row>
    <row r="4" spans="1:51" x14ac:dyDescent="0.2">
      <c r="B4" s="64" t="s">
        <v>38</v>
      </c>
      <c r="C4" s="21"/>
    </row>
    <row r="5" spans="1:51" x14ac:dyDescent="0.2">
      <c r="A5" s="29"/>
      <c r="B5" s="22" t="str">
        <f>'Input data'!B5</f>
        <v>Last year before the adjustment</v>
      </c>
      <c r="C5" s="23">
        <f>+'Input data'!C5</f>
        <v>2024</v>
      </c>
      <c r="J5" s="53"/>
      <c r="M5" s="38"/>
    </row>
    <row r="6" spans="1:51" x14ac:dyDescent="0.2">
      <c r="A6" s="29"/>
      <c r="B6" s="65" t="s">
        <v>44</v>
      </c>
      <c r="C6" s="23">
        <f>+C5+'Criteria results'!$F$5</f>
        <v>2031</v>
      </c>
      <c r="E6" s="43"/>
      <c r="F6" s="29"/>
    </row>
    <row r="7" spans="1:51" x14ac:dyDescent="0.2">
      <c r="A7" s="29"/>
      <c r="B7" s="24" t="s">
        <v>39</v>
      </c>
      <c r="C7" s="66">
        <f>C5+'Criteria results'!$F$5+10</f>
        <v>2041</v>
      </c>
      <c r="E7" s="43"/>
      <c r="F7" s="29"/>
      <c r="G7" s="53"/>
      <c r="H7" s="53"/>
      <c r="I7" s="53"/>
      <c r="J7" s="53"/>
      <c r="K7" s="53"/>
      <c r="L7" s="53"/>
      <c r="M7" s="53"/>
    </row>
    <row r="8" spans="1:51" x14ac:dyDescent="0.2">
      <c r="A8" s="29"/>
      <c r="C8" s="29"/>
      <c r="E8" s="43"/>
      <c r="F8" s="29"/>
      <c r="G8" s="29"/>
      <c r="H8" s="29"/>
      <c r="I8" s="29"/>
      <c r="J8" s="29"/>
      <c r="K8" s="29"/>
      <c r="L8" s="29"/>
      <c r="M8" s="29"/>
      <c r="N8" s="29"/>
      <c r="O8" s="29"/>
      <c r="P8" s="29"/>
      <c r="Q8" s="29"/>
      <c r="R8" s="29"/>
      <c r="S8" s="29"/>
      <c r="T8" s="29"/>
      <c r="U8" s="29"/>
      <c r="V8" s="29"/>
      <c r="W8" s="29"/>
    </row>
    <row r="9" spans="1:51" s="67" customFormat="1" ht="12.75" x14ac:dyDescent="0.2">
      <c r="B9" s="25" t="s">
        <v>45</v>
      </c>
    </row>
    <row r="10" spans="1:51" x14ac:dyDescent="0.2">
      <c r="C10" s="31">
        <v>2021</v>
      </c>
      <c r="D10" s="31">
        <v>2022</v>
      </c>
      <c r="E10" s="31">
        <v>2023</v>
      </c>
      <c r="F10" s="31">
        <v>2024</v>
      </c>
      <c r="G10" s="31">
        <v>2025</v>
      </c>
      <c r="H10" s="31">
        <v>2026</v>
      </c>
      <c r="I10" s="31">
        <v>2027</v>
      </c>
      <c r="J10" s="31">
        <v>2028</v>
      </c>
      <c r="K10" s="31">
        <v>2029</v>
      </c>
      <c r="L10" s="31">
        <v>2030</v>
      </c>
      <c r="M10" s="31">
        <v>2031</v>
      </c>
      <c r="N10" s="31">
        <v>2032</v>
      </c>
      <c r="O10" s="31">
        <v>2033</v>
      </c>
      <c r="P10" s="31">
        <v>2034</v>
      </c>
      <c r="Q10" s="31">
        <v>2035</v>
      </c>
      <c r="R10" s="31">
        <v>2036</v>
      </c>
      <c r="S10" s="31">
        <v>2037</v>
      </c>
      <c r="T10" s="31">
        <v>2038</v>
      </c>
      <c r="U10" s="31">
        <v>2039</v>
      </c>
      <c r="V10" s="31">
        <v>2040</v>
      </c>
      <c r="W10" s="31">
        <v>2041</v>
      </c>
      <c r="X10" s="29"/>
      <c r="Y10" s="29"/>
      <c r="Z10" s="29"/>
      <c r="AA10" s="29"/>
      <c r="AB10" s="29"/>
      <c r="AC10" s="29"/>
      <c r="AD10" s="29"/>
      <c r="AE10" s="29"/>
      <c r="AF10" s="29"/>
      <c r="AG10" s="29"/>
      <c r="AH10" s="29"/>
      <c r="AI10" s="29"/>
      <c r="AJ10" s="29"/>
      <c r="AK10" s="29"/>
      <c r="AL10" s="29"/>
      <c r="AM10" s="29"/>
      <c r="AN10" s="29"/>
      <c r="AO10" s="29"/>
      <c r="AP10" s="29"/>
      <c r="AQ10" s="29"/>
      <c r="AR10" s="29"/>
      <c r="AS10" s="29"/>
      <c r="AT10" s="29"/>
      <c r="AU10" s="29"/>
      <c r="AV10" s="29"/>
      <c r="AW10" s="29"/>
      <c r="AX10" s="29"/>
    </row>
    <row r="11" spans="1:51" x14ac:dyDescent="0.2">
      <c r="B11" s="28" t="s">
        <v>46</v>
      </c>
      <c r="C11" s="29"/>
      <c r="D11" s="29"/>
      <c r="E11" s="29"/>
      <c r="F11" s="262"/>
      <c r="G11" s="262"/>
      <c r="H11" s="262"/>
      <c r="I11" s="262"/>
      <c r="J11" s="262"/>
      <c r="K11" s="262"/>
      <c r="L11" s="262"/>
      <c r="M11" s="262"/>
      <c r="N11" s="262"/>
      <c r="O11" s="262"/>
      <c r="P11" s="262"/>
      <c r="Q11" s="262"/>
      <c r="R11" s="262"/>
      <c r="S11" s="262"/>
      <c r="T11" s="262"/>
      <c r="U11" s="262"/>
      <c r="V11" s="262"/>
      <c r="W11" s="262"/>
      <c r="X11" s="29"/>
      <c r="Y11" s="29"/>
      <c r="Z11" s="29"/>
      <c r="AA11" s="29"/>
      <c r="AB11" s="29"/>
      <c r="AC11" s="29"/>
      <c r="AD11" s="29"/>
      <c r="AE11" s="29"/>
      <c r="AF11" s="29"/>
      <c r="AG11" s="29"/>
      <c r="AH11" s="29"/>
      <c r="AI11" s="29"/>
      <c r="AJ11" s="29"/>
      <c r="AK11" s="29"/>
      <c r="AL11" s="29"/>
      <c r="AM11" s="29"/>
      <c r="AN11" s="29"/>
      <c r="AO11" s="29"/>
      <c r="AP11" s="29"/>
      <c r="AQ11" s="29"/>
      <c r="AR11" s="29"/>
      <c r="AS11" s="29"/>
      <c r="AT11" s="29"/>
      <c r="AU11" s="29"/>
      <c r="AV11" s="29"/>
      <c r="AW11" s="29"/>
      <c r="AX11" s="29"/>
    </row>
    <row r="12" spans="1:51" x14ac:dyDescent="0.2">
      <c r="B12" s="26" t="s">
        <v>48</v>
      </c>
      <c r="C12" s="1">
        <f>'Input data'!C13</f>
        <v>-2.1345519999999998</v>
      </c>
      <c r="D12" s="2">
        <f>'Input data'!D13</f>
        <v>0.29205680000000001</v>
      </c>
      <c r="E12" s="2">
        <f>'Input data'!E13</f>
        <v>-0.2445959</v>
      </c>
      <c r="F12" s="2">
        <f>'Input data'!F13</f>
        <v>-0.53010330000000006</v>
      </c>
      <c r="G12" s="3">
        <f>IF(G10&lt;=$C$6,F12+'Criteria results'!$F$6,F12)</f>
        <v>1.0698967000000001</v>
      </c>
      <c r="H12" s="3">
        <f>IF(H10&lt;=$C$6,G12+'Criteria results'!$F$6,G12)</f>
        <v>2.6698967000000002</v>
      </c>
      <c r="I12" s="3">
        <f>IF(I10&lt;=$C$6,H12+'Criteria results'!$F$6,H12)</f>
        <v>4.2698967000000003</v>
      </c>
      <c r="J12" s="3">
        <f>IF(J10&lt;=$C$6,I12+'Criteria results'!$F$6,I12)</f>
        <v>5.8698967</v>
      </c>
      <c r="K12" s="119">
        <f>IF(K10&lt;=$C$6,J12+'Criteria results'!$F$6,J12)</f>
        <v>7.4698966999999996</v>
      </c>
      <c r="L12" s="119">
        <f>IF(L10&lt;=$C$6,K12+'Criteria results'!$F$6,K12)</f>
        <v>9.0698966999999993</v>
      </c>
      <c r="M12" s="119">
        <f>IF(M10&lt;=$C$6,L12+'Criteria results'!$F$6,L12)</f>
        <v>10.669896699999999</v>
      </c>
      <c r="N12" s="119">
        <f>M12</f>
        <v>10.669896699999999</v>
      </c>
      <c r="O12" s="119">
        <f t="shared" ref="O12:W12" si="0">N12</f>
        <v>10.669896699999999</v>
      </c>
      <c r="P12" s="119">
        <f t="shared" si="0"/>
        <v>10.669896699999999</v>
      </c>
      <c r="Q12" s="119">
        <f t="shared" si="0"/>
        <v>10.669896699999999</v>
      </c>
      <c r="R12" s="119">
        <f t="shared" si="0"/>
        <v>10.669896699999999</v>
      </c>
      <c r="S12" s="119">
        <f t="shared" si="0"/>
        <v>10.669896699999999</v>
      </c>
      <c r="T12" s="119">
        <f t="shared" si="0"/>
        <v>10.669896699999999</v>
      </c>
      <c r="U12" s="119">
        <f t="shared" si="0"/>
        <v>10.669896699999999</v>
      </c>
      <c r="V12" s="119">
        <f t="shared" si="0"/>
        <v>10.669896699999999</v>
      </c>
      <c r="W12" s="119">
        <f t="shared" si="0"/>
        <v>10.669896699999999</v>
      </c>
      <c r="X12" s="59"/>
      <c r="Y12" s="59"/>
      <c r="Z12" s="59"/>
      <c r="AA12" s="59"/>
      <c r="AB12" s="59"/>
      <c r="AC12" s="59"/>
      <c r="AD12" s="59"/>
      <c r="AE12" s="59"/>
      <c r="AF12" s="59"/>
      <c r="AG12" s="59"/>
      <c r="AH12" s="59"/>
      <c r="AI12" s="59"/>
      <c r="AJ12" s="59"/>
      <c r="AK12" s="59"/>
      <c r="AL12" s="59"/>
      <c r="AM12" s="59"/>
      <c r="AN12" s="59"/>
      <c r="AO12" s="59"/>
      <c r="AP12" s="59"/>
      <c r="AQ12" s="59"/>
      <c r="AR12" s="59"/>
      <c r="AS12" s="59"/>
      <c r="AT12" s="59"/>
      <c r="AU12" s="59"/>
      <c r="AV12" s="59"/>
      <c r="AW12" s="59"/>
      <c r="AX12" s="59"/>
      <c r="AY12" s="60"/>
    </row>
    <row r="13" spans="1:51" x14ac:dyDescent="0.2">
      <c r="B13" s="300" t="s">
        <v>192</v>
      </c>
      <c r="C13" s="29"/>
      <c r="D13" s="29"/>
      <c r="E13" s="29"/>
      <c r="F13" s="262"/>
      <c r="G13" s="262">
        <f>G12-F12</f>
        <v>1.6</v>
      </c>
      <c r="H13" s="262">
        <f t="shared" ref="H13:W13" si="1">H12-G12</f>
        <v>1.6</v>
      </c>
      <c r="I13" s="262">
        <f t="shared" si="1"/>
        <v>1.6</v>
      </c>
      <c r="J13" s="262">
        <f t="shared" si="1"/>
        <v>1.5999999999999996</v>
      </c>
      <c r="K13" s="262">
        <f t="shared" si="1"/>
        <v>1.5999999999999996</v>
      </c>
      <c r="L13" s="262">
        <f t="shared" si="1"/>
        <v>1.5999999999999996</v>
      </c>
      <c r="M13" s="262">
        <f t="shared" si="1"/>
        <v>1.5999999999999996</v>
      </c>
      <c r="N13" s="262">
        <f t="shared" si="1"/>
        <v>0</v>
      </c>
      <c r="O13" s="262">
        <f t="shared" si="1"/>
        <v>0</v>
      </c>
      <c r="P13" s="262">
        <f t="shared" si="1"/>
        <v>0</v>
      </c>
      <c r="Q13" s="262">
        <f t="shared" si="1"/>
        <v>0</v>
      </c>
      <c r="R13" s="262">
        <f t="shared" si="1"/>
        <v>0</v>
      </c>
      <c r="S13" s="262">
        <f t="shared" si="1"/>
        <v>0</v>
      </c>
      <c r="T13" s="262">
        <f t="shared" si="1"/>
        <v>0</v>
      </c>
      <c r="U13" s="262">
        <f t="shared" si="1"/>
        <v>0</v>
      </c>
      <c r="V13" s="262">
        <f t="shared" si="1"/>
        <v>0</v>
      </c>
      <c r="W13" s="262">
        <f t="shared" si="1"/>
        <v>0</v>
      </c>
      <c r="X13" s="29"/>
      <c r="Y13" s="29"/>
      <c r="Z13" s="29"/>
      <c r="AA13" s="29"/>
      <c r="AB13" s="29"/>
      <c r="AC13" s="29"/>
      <c r="AD13" s="29"/>
      <c r="AE13" s="29"/>
      <c r="AF13" s="29"/>
      <c r="AG13" s="29"/>
      <c r="AH13" s="29"/>
      <c r="AI13" s="29"/>
      <c r="AJ13" s="29"/>
      <c r="AK13" s="29"/>
      <c r="AL13" s="29"/>
      <c r="AM13" s="29"/>
      <c r="AN13" s="29"/>
      <c r="AO13" s="29"/>
      <c r="AP13" s="29"/>
      <c r="AQ13" s="29"/>
      <c r="AR13" s="29"/>
      <c r="AS13" s="29"/>
      <c r="AT13" s="29"/>
      <c r="AU13" s="29"/>
      <c r="AV13" s="29"/>
      <c r="AW13" s="29"/>
      <c r="AX13" s="29"/>
    </row>
    <row r="14" spans="1:51" x14ac:dyDescent="0.2">
      <c r="B14" s="26" t="s">
        <v>49</v>
      </c>
      <c r="C14" s="1">
        <f>'Input data'!C14</f>
        <v>0</v>
      </c>
      <c r="D14" s="2">
        <f>'Input data'!D14</f>
        <v>0</v>
      </c>
      <c r="E14" s="2">
        <f>'Input data'!E14</f>
        <v>0</v>
      </c>
      <c r="F14" s="2">
        <f>'Input data'!F14</f>
        <v>0</v>
      </c>
      <c r="G14" s="2">
        <f>'Input data'!G14</f>
        <v>0</v>
      </c>
      <c r="H14" s="2">
        <f>0</f>
        <v>0</v>
      </c>
      <c r="I14" s="2">
        <f>0</f>
        <v>0</v>
      </c>
      <c r="J14" s="2">
        <f>0</f>
        <v>0</v>
      </c>
      <c r="K14" s="2">
        <f>0</f>
        <v>0</v>
      </c>
      <c r="L14" s="2">
        <f>0</f>
        <v>0</v>
      </c>
      <c r="M14" s="2">
        <f>0</f>
        <v>0</v>
      </c>
      <c r="N14" s="2">
        <f>0</f>
        <v>0</v>
      </c>
      <c r="O14" s="2">
        <f>0</f>
        <v>0</v>
      </c>
      <c r="P14" s="2">
        <f>0</f>
        <v>0</v>
      </c>
      <c r="Q14" s="2">
        <f>0</f>
        <v>0</v>
      </c>
      <c r="R14" s="2">
        <f>0</f>
        <v>0</v>
      </c>
      <c r="S14" s="2">
        <f>0</f>
        <v>0</v>
      </c>
      <c r="T14" s="2">
        <f>0</f>
        <v>0</v>
      </c>
      <c r="U14" s="2">
        <f>0</f>
        <v>0</v>
      </c>
      <c r="V14" s="2">
        <f>0</f>
        <v>0</v>
      </c>
      <c r="W14" s="2">
        <f>0</f>
        <v>0</v>
      </c>
      <c r="X14" s="59"/>
      <c r="Y14" s="59"/>
      <c r="Z14" s="59"/>
      <c r="AA14" s="59"/>
      <c r="AB14" s="59"/>
      <c r="AC14" s="59"/>
      <c r="AD14" s="59"/>
      <c r="AE14" s="59"/>
      <c r="AF14" s="59"/>
      <c r="AG14" s="59"/>
      <c r="AH14" s="59"/>
      <c r="AI14" s="59"/>
      <c r="AJ14" s="59"/>
      <c r="AK14" s="59"/>
      <c r="AL14" s="59"/>
      <c r="AM14" s="59"/>
      <c r="AN14" s="59"/>
      <c r="AO14" s="59"/>
      <c r="AP14" s="59"/>
      <c r="AQ14" s="59"/>
      <c r="AR14" s="59"/>
      <c r="AS14" s="59"/>
      <c r="AT14" s="59"/>
      <c r="AU14" s="59"/>
      <c r="AV14" s="59"/>
      <c r="AW14" s="59"/>
      <c r="AX14" s="59"/>
      <c r="AY14" s="60"/>
    </row>
    <row r="15" spans="1:51" x14ac:dyDescent="0.2">
      <c r="B15" s="26" t="s">
        <v>87</v>
      </c>
      <c r="C15" s="1">
        <f>'Input data'!C15</f>
        <v>-1.1351690000000001</v>
      </c>
      <c r="D15" s="2">
        <f>'Input data'!D15</f>
        <v>4.8490650000000004</v>
      </c>
      <c r="E15" s="2">
        <f>'Input data'!E15</f>
        <v>2.318794</v>
      </c>
      <c r="F15" s="2">
        <f>'Input data'!F15</f>
        <v>2.6028570000000002</v>
      </c>
      <c r="G15" s="2">
        <f>'Input data'!G15</f>
        <v>1.6620999999999999</v>
      </c>
      <c r="H15" s="2">
        <f>'Input data'!H15</f>
        <v>1.6902729999999999</v>
      </c>
      <c r="I15" s="2">
        <f>'Input data'!I15</f>
        <v>1.702215</v>
      </c>
      <c r="J15" s="2">
        <f>'Input data'!J15</f>
        <v>1.648048</v>
      </c>
      <c r="K15" s="2">
        <f>'Input data'!K15</f>
        <v>1.5813470000000001</v>
      </c>
      <c r="L15" s="2">
        <f>'Input data'!L15</f>
        <v>1.5408029999999999</v>
      </c>
      <c r="M15" s="2">
        <f>'Input data'!M15</f>
        <v>1.5229809999999999</v>
      </c>
      <c r="N15" s="2">
        <f>'Input data'!N15</f>
        <v>1.526135</v>
      </c>
      <c r="O15" s="2">
        <f>'Input data'!O15</f>
        <v>1.3735219999999999</v>
      </c>
      <c r="P15" s="2">
        <f>'Input data'!P15</f>
        <v>1.2209080000000001</v>
      </c>
      <c r="Q15" s="2">
        <f>'Input data'!Q15</f>
        <v>1.068295</v>
      </c>
      <c r="R15" s="2">
        <f>'Input data'!R15</f>
        <v>0.91568099999999997</v>
      </c>
      <c r="S15" s="2">
        <f>'Input data'!S15</f>
        <v>0.76306750000000001</v>
      </c>
      <c r="T15" s="2">
        <f>'Input data'!T15</f>
        <v>0.61045400000000005</v>
      </c>
      <c r="U15" s="2">
        <f>'Input data'!U15</f>
        <v>0.45784049999999998</v>
      </c>
      <c r="V15" s="2">
        <f>'Input data'!V15</f>
        <v>0.30522700000000003</v>
      </c>
      <c r="W15" s="2">
        <f>'Input data'!W15</f>
        <v>0.15261350000000001</v>
      </c>
      <c r="X15" s="59"/>
      <c r="Y15" s="59"/>
      <c r="Z15" s="59"/>
      <c r="AA15" s="59"/>
      <c r="AB15" s="59"/>
      <c r="AC15" s="59"/>
      <c r="AD15" s="59"/>
      <c r="AE15" s="59"/>
      <c r="AF15" s="59"/>
      <c r="AG15" s="59"/>
      <c r="AH15" s="59"/>
      <c r="AI15" s="59"/>
      <c r="AJ15" s="59"/>
      <c r="AK15" s="59"/>
      <c r="AL15" s="59"/>
      <c r="AM15" s="59"/>
      <c r="AN15" s="59"/>
      <c r="AO15" s="59"/>
      <c r="AP15" s="59"/>
      <c r="AQ15" s="59"/>
      <c r="AR15" s="59"/>
      <c r="AS15" s="59"/>
      <c r="AT15" s="59"/>
      <c r="AU15" s="59"/>
      <c r="AV15" s="59"/>
      <c r="AW15" s="59"/>
      <c r="AX15" s="59"/>
      <c r="AY15" s="60"/>
    </row>
    <row r="16" spans="1:51" ht="5.65" customHeight="1" x14ac:dyDescent="0.2">
      <c r="C16" s="1"/>
      <c r="D16" s="1"/>
      <c r="E16" s="1"/>
      <c r="F16" s="1"/>
      <c r="G16" s="1"/>
      <c r="H16" s="1"/>
      <c r="I16" s="1"/>
      <c r="J16" s="1"/>
      <c r="K16" s="1"/>
      <c r="L16" s="1"/>
      <c r="M16" s="1"/>
      <c r="N16" s="1"/>
      <c r="O16" s="1"/>
      <c r="P16" s="1"/>
      <c r="Q16" s="1"/>
      <c r="R16" s="1"/>
      <c r="S16" s="1"/>
      <c r="T16" s="1"/>
      <c r="U16" s="1"/>
      <c r="V16" s="1"/>
      <c r="W16" s="1"/>
      <c r="X16" s="1"/>
      <c r="Y16" s="1"/>
      <c r="Z16" s="1"/>
      <c r="AA16" s="1"/>
      <c r="AB16" s="1"/>
      <c r="AC16" s="1"/>
      <c r="AD16" s="1"/>
      <c r="AE16" s="1"/>
      <c r="AF16" s="1"/>
      <c r="AG16" s="1"/>
      <c r="AH16" s="1"/>
      <c r="AI16" s="1"/>
      <c r="AJ16" s="1"/>
      <c r="AK16" s="1"/>
      <c r="AL16" s="1"/>
      <c r="AM16" s="1"/>
      <c r="AN16" s="1"/>
      <c r="AO16" s="1"/>
      <c r="AP16" s="1"/>
      <c r="AQ16" s="1"/>
      <c r="AR16" s="1"/>
      <c r="AS16" s="1"/>
      <c r="AT16" s="1"/>
      <c r="AU16" s="1"/>
      <c r="AV16" s="1"/>
      <c r="AW16" s="1"/>
      <c r="AX16" s="1"/>
    </row>
    <row r="17" spans="1:50" ht="11.25" customHeight="1" x14ac:dyDescent="0.2">
      <c r="B17" s="30" t="str">
        <f>'Input data'!B19</f>
        <v>Cost of ageing and selected public revenue (based on the Commission-Council 2024 Ageing Report ("AR 2024"))</v>
      </c>
      <c r="C17" s="1"/>
      <c r="D17" s="1"/>
      <c r="E17" s="1"/>
      <c r="F17" s="1"/>
      <c r="G17" s="1"/>
      <c r="H17" s="1"/>
      <c r="I17" s="1"/>
      <c r="J17" s="1"/>
      <c r="K17" s="1"/>
      <c r="L17" s="1"/>
      <c r="M17" s="1"/>
      <c r="N17" s="1"/>
      <c r="O17" s="1"/>
      <c r="P17" s="1"/>
      <c r="Q17" s="1"/>
      <c r="R17" s="1"/>
      <c r="S17" s="1"/>
      <c r="T17" s="1"/>
      <c r="U17" s="1"/>
      <c r="V17" s="1"/>
      <c r="W17" s="1"/>
      <c r="X17" s="1"/>
      <c r="Y17" s="1"/>
      <c r="Z17" s="1"/>
      <c r="AA17" s="1"/>
      <c r="AB17" s="1"/>
      <c r="AC17" s="1"/>
      <c r="AD17" s="1"/>
      <c r="AE17" s="1"/>
      <c r="AF17" s="1"/>
      <c r="AG17" s="1"/>
      <c r="AH17" s="1"/>
      <c r="AI17" s="1"/>
      <c r="AJ17" s="1"/>
      <c r="AK17" s="1"/>
      <c r="AL17" s="1"/>
      <c r="AM17" s="1"/>
      <c r="AN17" s="1"/>
      <c r="AO17" s="1"/>
      <c r="AP17" s="1"/>
      <c r="AQ17" s="1"/>
      <c r="AR17" s="1"/>
      <c r="AS17" s="1"/>
      <c r="AT17" s="1"/>
      <c r="AU17" s="1"/>
      <c r="AV17" s="1"/>
      <c r="AW17" s="1"/>
      <c r="AX17" s="1"/>
    </row>
    <row r="18" spans="1:50" x14ac:dyDescent="0.2">
      <c r="A18" s="61"/>
      <c r="B18" s="26" t="s">
        <v>52</v>
      </c>
      <c r="C18" s="1">
        <f>'Input data'!C20</f>
        <v>0</v>
      </c>
      <c r="D18" s="101">
        <f>'Input data'!D20</f>
        <v>23.655849999999997</v>
      </c>
      <c r="E18" s="101">
        <f>'Input data'!E20</f>
        <v>23.83699</v>
      </c>
      <c r="F18" s="101">
        <f>'Input data'!F20</f>
        <v>23.96105</v>
      </c>
      <c r="G18" s="101">
        <f>'Input data'!G20</f>
        <v>23.911249999999999</v>
      </c>
      <c r="H18" s="101">
        <f>'Input data'!H20</f>
        <v>23.909049999999997</v>
      </c>
      <c r="I18" s="101">
        <f>'Input data'!I20</f>
        <v>23.948919999999998</v>
      </c>
      <c r="J18" s="101">
        <f>'Input data'!J20</f>
        <v>24.046380000000003</v>
      </c>
      <c r="K18" s="101">
        <f>'Input data'!K20</f>
        <v>24.15964</v>
      </c>
      <c r="L18" s="101">
        <f>'Input data'!L20</f>
        <v>24.232299999999999</v>
      </c>
      <c r="M18" s="101">
        <f>'Input data'!M20</f>
        <v>24.288240000000002</v>
      </c>
      <c r="N18" s="101">
        <f>'Input data'!N20</f>
        <v>24.322410000000001</v>
      </c>
      <c r="O18" s="101">
        <f>'Input data'!O20</f>
        <v>24.319019999999998</v>
      </c>
      <c r="P18" s="101">
        <f>'Input data'!P20</f>
        <v>24.31607</v>
      </c>
      <c r="Q18" s="101">
        <f>'Input data'!Q20</f>
        <v>24.304599999999997</v>
      </c>
      <c r="R18" s="101">
        <f>'Input data'!R20</f>
        <v>24.277160000000002</v>
      </c>
      <c r="S18" s="101">
        <f>'Input data'!S20</f>
        <v>24.230790000000002</v>
      </c>
      <c r="T18" s="101">
        <f>'Input data'!T20</f>
        <v>24.168680000000002</v>
      </c>
      <c r="U18" s="101">
        <f>'Input data'!U20</f>
        <v>24.092350000000003</v>
      </c>
      <c r="V18" s="101">
        <f>'Input data'!V20</f>
        <v>24.017060000000001</v>
      </c>
      <c r="W18" s="101">
        <f>'Input data'!W20</f>
        <v>23.958480000000002</v>
      </c>
      <c r="X18" s="1"/>
      <c r="Y18" s="1"/>
      <c r="Z18" s="1"/>
      <c r="AA18" s="1"/>
      <c r="AB18" s="1"/>
      <c r="AC18" s="1"/>
      <c r="AD18" s="1"/>
      <c r="AE18" s="1"/>
      <c r="AF18" s="1"/>
      <c r="AG18" s="1"/>
      <c r="AH18" s="1"/>
      <c r="AI18" s="1"/>
      <c r="AJ18" s="1"/>
      <c r="AK18" s="1"/>
      <c r="AL18" s="1"/>
      <c r="AM18" s="1"/>
      <c r="AN18" s="1"/>
      <c r="AO18" s="1"/>
      <c r="AP18" s="1"/>
      <c r="AQ18" s="1"/>
      <c r="AR18" s="1"/>
      <c r="AS18" s="1"/>
      <c r="AT18" s="1"/>
      <c r="AU18" s="1"/>
      <c r="AV18" s="1"/>
      <c r="AW18" s="1"/>
      <c r="AX18" s="1"/>
    </row>
    <row r="19" spans="1:50" x14ac:dyDescent="0.2">
      <c r="A19" s="61"/>
      <c r="B19" s="26" t="s">
        <v>58</v>
      </c>
      <c r="C19" s="1">
        <f>'Input data'!C26</f>
        <v>2.0641180000000001</v>
      </c>
      <c r="D19" s="101">
        <f>'Input data'!D26</f>
        <v>2.1110479999999998</v>
      </c>
      <c r="E19" s="101">
        <f>'Input data'!E26</f>
        <v>2.1176979999999999</v>
      </c>
      <c r="F19" s="101">
        <f>'Input data'!F26</f>
        <v>2.1243479999999999</v>
      </c>
      <c r="G19" s="101">
        <f>'Input data'!G26</f>
        <v>2.1309979999999999</v>
      </c>
      <c r="H19" s="101">
        <f>'Input data'!H26</f>
        <v>2.137648</v>
      </c>
      <c r="I19" s="101">
        <f>'Input data'!I26</f>
        <v>2.1442990000000002</v>
      </c>
      <c r="J19" s="101">
        <f>'Input data'!J26</f>
        <v>2.1509490000000002</v>
      </c>
      <c r="K19" s="101">
        <f>'Input data'!K26</f>
        <v>2.1575989999999998</v>
      </c>
      <c r="L19" s="101">
        <f>'Input data'!L26</f>
        <v>2.1642489999999999</v>
      </c>
      <c r="M19" s="101">
        <f>'Input data'!M26</f>
        <v>2.1708989999999999</v>
      </c>
      <c r="N19" s="101">
        <f>'Input data'!N26</f>
        <v>2.1775500000000001</v>
      </c>
      <c r="O19" s="101">
        <f>'Input data'!O26</f>
        <v>2.1842000000000001</v>
      </c>
      <c r="P19" s="101">
        <f>'Input data'!P26</f>
        <v>2.1908500000000002</v>
      </c>
      <c r="Q19" s="101">
        <f>'Input data'!Q26</f>
        <v>2.1974999999999998</v>
      </c>
      <c r="R19" s="101">
        <f>'Input data'!R26</f>
        <v>2.2041499999999998</v>
      </c>
      <c r="S19" s="101">
        <f>'Input data'!S26</f>
        <v>2.210801</v>
      </c>
      <c r="T19" s="101">
        <f>'Input data'!T26</f>
        <v>2.2174510000000001</v>
      </c>
      <c r="U19" s="101">
        <f>'Input data'!U26</f>
        <v>2.2241010000000001</v>
      </c>
      <c r="V19" s="101">
        <f>'Input data'!V26</f>
        <v>2.2307510000000002</v>
      </c>
      <c r="W19" s="101">
        <f>'Input data'!W26</f>
        <v>2.2374010000000002</v>
      </c>
      <c r="X19" s="1"/>
      <c r="Y19" s="1"/>
      <c r="Z19" s="1"/>
      <c r="AA19" s="1"/>
      <c r="AB19" s="1"/>
      <c r="AC19" s="1"/>
      <c r="AD19" s="1"/>
      <c r="AE19" s="1"/>
      <c r="AF19" s="1"/>
      <c r="AG19" s="1"/>
      <c r="AH19" s="1"/>
      <c r="AI19" s="1"/>
      <c r="AJ19" s="1"/>
      <c r="AK19" s="1"/>
      <c r="AL19" s="1"/>
      <c r="AM19" s="1"/>
      <c r="AN19" s="1"/>
      <c r="AO19" s="1"/>
      <c r="AP19" s="1"/>
      <c r="AQ19" s="1"/>
      <c r="AR19" s="1"/>
      <c r="AS19" s="1"/>
      <c r="AT19" s="1"/>
      <c r="AU19" s="1"/>
      <c r="AV19" s="1"/>
      <c r="AW19" s="1"/>
      <c r="AX19" s="1"/>
    </row>
    <row r="21" spans="1:50" x14ac:dyDescent="0.2">
      <c r="B21" s="28" t="s">
        <v>88</v>
      </c>
    </row>
    <row r="22" spans="1:50" ht="10.5" customHeight="1" x14ac:dyDescent="0.2">
      <c r="B22" s="30" t="s">
        <v>89</v>
      </c>
    </row>
    <row r="23" spans="1:50" x14ac:dyDescent="0.2">
      <c r="B23" s="26" t="s">
        <v>61</v>
      </c>
      <c r="C23" s="34">
        <f>'Input data'!C31</f>
        <v>230.55600000000001</v>
      </c>
      <c r="D23" s="100">
        <f>'Baseline NFPC'!D22</f>
        <v>233.63499929652002</v>
      </c>
      <c r="E23" s="100">
        <f>'Baseline NFPC'!E22</f>
        <v>231.21599858620368</v>
      </c>
      <c r="F23" s="100">
        <f>'Baseline NFPC'!F22</f>
        <v>231.30753607517994</v>
      </c>
      <c r="G23" s="34">
        <f>IF(AND(G50&gt;1,F50&gt;1),IF(AND(G50&gt;0,F50&gt;0),G27*(G51/100+1),0)+IF(G50&gt;0,F23*(1+G52/100),0)-F23*(1+'Input data'!G30/100),IF(G50=1,G27,F23*(1+G52/100)))</f>
        <v>232.36700554804187</v>
      </c>
      <c r="H23" s="34">
        <f>IF(AND(H50&gt;1,G50&gt;1),IF(AND(H50&gt;0,G50&gt;0),H27*(H51/100+1),0)+IF(H50&gt;0,G23*(1+H52/100),0)-G23*(1+'Input data'!H30/100),IF(H50=1,H27,G23*(1+H52/100)))</f>
        <v>233.57220319476875</v>
      </c>
      <c r="I23" s="34">
        <f>IF(AND(I50&gt;1,H50&gt;1),IF(AND(I50&gt;0,H50&gt;0),I27*(I51/100+1),0)+IF(I50&gt;0,H23*(1+I52/100),0)-H23*(1+'Input data'!I30/100),IF(I50=1,I27,H23*(1+I52/100)))</f>
        <v>234.68523892547657</v>
      </c>
      <c r="J23" s="34">
        <f>IF(AND(J50&gt;1,I50&gt;1),IF(AND(J50&gt;0,I50&gt;0),J27*(J51/100+1),0)+IF(J50&gt;0,I23*(1+J52/100),0)-I23*(1+'Input data'!J30/100),IF(J50=1,J27,I23*(1+J52/100)))</f>
        <v>236.01450177583067</v>
      </c>
      <c r="K23" s="34">
        <f>IF(AND(K50&gt;1,J50&gt;1),IF(AND(K50&gt;0,J50&gt;0),K27*(K51/100+1),0)+IF(K50&gt;0,J23*(1+K52/100),0)-J23*(1+'Input data'!K30/100),IF(K50=1,K27,J23*(1+K52/100)))</f>
        <v>237.27453465356547</v>
      </c>
      <c r="L23" s="34">
        <f>IF(AND(L50&gt;1,K50&gt;1),IF(AND(L50&gt;0,K50&gt;0),L27*(L51/100+1),0)+IF(L50&gt;0,K23*(1+L52/100),0)-K23*(1+'Input data'!L30/100),IF(L50=1,L27,K23*(1+L52/100)))</f>
        <v>238.52510285593732</v>
      </c>
      <c r="M23" s="34">
        <f>IF(AND(M50&gt;1,L50&gt;1),IF(AND(M50&gt;0,L50&gt;0),M27*(M51/100+1),0)+IF(M50&gt;0,L23*(1+M52/100),0)-L23*(1+'Input data'!M30/100),IF(M50=1,M27,L23*(1+M52/100)))</f>
        <v>239.87377781933066</v>
      </c>
      <c r="N23" s="34">
        <f>IF(AND(N50&gt;1,M50&gt;1),IF(AND(N50&gt;0,M50&gt;0),N27*(N51/100+1),0)+IF(N50&gt;0,M23*(1+N52/100),0)-M23*(1+'Input data'!N30/100),IF(N50=1,N27,M23*(1+N52/100)))</f>
        <v>244.30154849333303</v>
      </c>
      <c r="O23" s="34">
        <f>IF(AND(O50&gt;1,N50&gt;1),IF(AND(O50&gt;0,N50&gt;0),O27*(O51/100+1),0)+IF(O50&gt;0,N23*(1+O52/100),0)-N23*(1+'Input data'!O30/100),IF(O50=1,O27,N23*(1+O52/100)))</f>
        <v>248.84193039771355</v>
      </c>
      <c r="P23" s="34">
        <f>IF(AND(P50&gt;1,O50&gt;1),IF(AND(P50&gt;0,O50&gt;0),P27*(P51/100+1),0)+IF(P50&gt;0,O23*(1+P52/100),0)-O23*(1+'Input data'!P30/100),IF(P50=1,P27,O23*(1+P52/100)))</f>
        <v>253.9501091209801</v>
      </c>
      <c r="Q23" s="34">
        <f>IF(AND(Q50&gt;1,P50&gt;1),IF(AND(Q50&gt;0,P50&gt;0),Q27*(Q51/100+1),0)+IF(Q50&gt;0,P23*(1+Q52/100),0)-P23*(1+'Input data'!Q30/100),IF(Q50=1,Q27,P23*(1+Q52/100)))</f>
        <v>256.73165006119314</v>
      </c>
      <c r="R23" s="34">
        <f>IF(AND(R50&gt;1,Q50&gt;1),IF(AND(R50&gt;0,Q50&gt;0),R27*(R51/100+1),0)+IF(R50&gt;0,Q23*(1+R52/100),0)-Q23*(1+'Input data'!R30/100),IF(R50=1,R27,Q23*(1+R52/100)))</f>
        <v>260.07106646083213</v>
      </c>
      <c r="S23" s="34">
        <f>IF(AND(S50&gt;1,R50&gt;1),IF(AND(S50&gt;0,R50&gt;0),S27*(S51/100+1),0)+IF(S50&gt;0,R23*(1+S52/100),0)-R23*(1+'Input data'!S30/100),IF(S50=1,S27,R23*(1+S52/100)))</f>
        <v>263.64705662822189</v>
      </c>
      <c r="T23" s="34">
        <f>IF(AND(T50&gt;1,S50&gt;1),IF(AND(T50&gt;0,S50&gt;0),T27*(T51/100+1),0)+IF(T50&gt;0,S23*(1+T52/100),0)-S23*(1+'Input data'!T30/100),IF(T50=1,T27,S23*(1+T52/100)))</f>
        <v>267.40126943696168</v>
      </c>
      <c r="U23" s="34">
        <f>IF(AND(U50&gt;1,T50&gt;1),IF(AND(U50&gt;0,T50&gt;0),U27*(U51/100+1),0)+IF(U50&gt;0,T23*(1+U52/100),0)-T23*(1+'Input data'!U30/100),IF(U50=1,U27,T23*(1+U52/100)))</f>
        <v>271.37496460932812</v>
      </c>
      <c r="V23" s="34">
        <f>IF(AND(V50&gt;1,U50&gt;1),IF(AND(V50&gt;0,U50&gt;0),V27*(V51/100+1),0)+IF(V50&gt;0,U23*(1+V52/100),0)-U23*(1+'Input data'!V30/100),IF(V50=1,V27,U23*(1+V52/100)))</f>
        <v>275.53536534426007</v>
      </c>
      <c r="W23" s="34">
        <f>IF(AND(W50&gt;1,V50&gt;1),IF(AND(W50&gt;0,V50&gt;0),W27*(W51/100+1),0)+IF(W50&gt;0,V23*(1+W52/100),0)-V23*(1+'Input data'!W30/100),IF(W50=1,W27,V23*(1+W52/100)))</f>
        <v>279.63616645273964</v>
      </c>
      <c r="X23" s="34"/>
      <c r="Y23" s="34"/>
      <c r="Z23" s="34"/>
      <c r="AA23" s="34"/>
      <c r="AB23" s="34"/>
      <c r="AC23" s="34"/>
      <c r="AD23" s="34"/>
      <c r="AE23" s="34"/>
      <c r="AF23" s="34"/>
      <c r="AG23" s="34"/>
      <c r="AH23" s="34"/>
      <c r="AI23" s="34"/>
      <c r="AJ23" s="34"/>
      <c r="AK23" s="34"/>
      <c r="AL23" s="34"/>
      <c r="AM23" s="34"/>
      <c r="AN23" s="34"/>
      <c r="AO23" s="34"/>
      <c r="AP23" s="34"/>
      <c r="AQ23" s="34"/>
      <c r="AR23" s="34"/>
      <c r="AS23" s="34"/>
      <c r="AT23" s="34"/>
      <c r="AU23" s="34"/>
      <c r="AV23" s="34"/>
    </row>
    <row r="24" spans="1:50" x14ac:dyDescent="0.2">
      <c r="A24" s="61"/>
      <c r="B24" s="62" t="s">
        <v>60</v>
      </c>
      <c r="C24" s="34">
        <f>+'Input data'!C30</f>
        <v>2.8381799999999999</v>
      </c>
      <c r="D24" s="100">
        <f>'Baseline NFPC'!D23</f>
        <v>1.335467</v>
      </c>
      <c r="E24" s="100">
        <f>'Baseline NFPC'!E23</f>
        <v>-1.0353760000000001</v>
      </c>
      <c r="F24" s="100">
        <f>'Baseline NFPC'!F23</f>
        <v>3.9589600000000003E-2</v>
      </c>
      <c r="G24" s="34">
        <f t="shared" ref="G24:S24" si="2">100*(G23/F23-1)</f>
        <v>0.45803499999998998</v>
      </c>
      <c r="H24" s="34">
        <f t="shared" si="2"/>
        <v>0.51866126341146845</v>
      </c>
      <c r="I24" s="34">
        <f t="shared" si="2"/>
        <v>0.47652747864852518</v>
      </c>
      <c r="J24" s="34">
        <f t="shared" si="2"/>
        <v>0.5664024104968135</v>
      </c>
      <c r="K24" s="34">
        <f t="shared" si="2"/>
        <v>0.53387943039686636</v>
      </c>
      <c r="L24" s="34">
        <f t="shared" si="2"/>
        <v>0.52705538088937409</v>
      </c>
      <c r="M24" s="34">
        <f t="shared" si="2"/>
        <v>0.56542265247776502</v>
      </c>
      <c r="N24" s="34">
        <f t="shared" si="2"/>
        <v>1.8458752408265777</v>
      </c>
      <c r="O24" s="34">
        <f t="shared" si="2"/>
        <v>1.8585154013071703</v>
      </c>
      <c r="P24" s="34">
        <f t="shared" si="2"/>
        <v>2.0527805402820842</v>
      </c>
      <c r="Q24" s="34">
        <f t="shared" si="2"/>
        <v>1.0953100000000049</v>
      </c>
      <c r="R24" s="34">
        <f t="shared" si="2"/>
        <v>1.3007420000000103</v>
      </c>
      <c r="S24" s="34">
        <f t="shared" si="2"/>
        <v>1.3750050000000069</v>
      </c>
      <c r="T24" s="34">
        <f>100*(T23/S23-1)</f>
        <v>1.4239539999999939</v>
      </c>
      <c r="U24" s="34">
        <f>100*(U23/T23-1)</f>
        <v>1.4860419999999985</v>
      </c>
      <c r="V24" s="34">
        <f>100*(V23/U23-1)</f>
        <v>1.5330819999999967</v>
      </c>
      <c r="W24" s="34">
        <f>100*(W23/V23-1)</f>
        <v>1.4883030000000019</v>
      </c>
      <c r="X24" s="1"/>
      <c r="Y24" s="1"/>
      <c r="Z24" s="1"/>
      <c r="AA24" s="1"/>
      <c r="AB24" s="1"/>
      <c r="AC24" s="1"/>
      <c r="AD24" s="1"/>
      <c r="AE24" s="1"/>
      <c r="AF24" s="1"/>
      <c r="AG24" s="1"/>
      <c r="AH24" s="1"/>
      <c r="AI24" s="1"/>
      <c r="AJ24" s="1"/>
      <c r="AK24" s="1"/>
      <c r="AL24" s="1"/>
      <c r="AM24" s="1"/>
      <c r="AN24" s="1"/>
      <c r="AO24" s="1"/>
      <c r="AP24" s="1"/>
      <c r="AQ24" s="1"/>
      <c r="AR24" s="1"/>
      <c r="AS24" s="1"/>
      <c r="AT24" s="1"/>
      <c r="AU24" s="1"/>
      <c r="AV24" s="1"/>
      <c r="AW24" s="1"/>
      <c r="AX24" s="1"/>
    </row>
    <row r="25" spans="1:50" ht="5.25" customHeight="1" x14ac:dyDescent="0.2">
      <c r="C25" s="34"/>
      <c r="D25" s="34"/>
      <c r="E25" s="34"/>
      <c r="F25" s="34"/>
      <c r="G25" s="34"/>
      <c r="H25" s="34"/>
      <c r="I25" s="34"/>
      <c r="J25" s="34"/>
      <c r="K25" s="34"/>
      <c r="L25" s="34"/>
      <c r="M25" s="34"/>
      <c r="N25" s="34"/>
      <c r="O25" s="34"/>
      <c r="P25" s="34"/>
      <c r="Q25" s="34"/>
      <c r="R25" s="34"/>
      <c r="S25" s="34"/>
      <c r="T25" s="34"/>
      <c r="U25" s="34"/>
      <c r="V25" s="34"/>
      <c r="W25" s="34"/>
      <c r="X25" s="34"/>
      <c r="Y25" s="34"/>
      <c r="Z25" s="34"/>
      <c r="AA25" s="34"/>
      <c r="AB25" s="34"/>
      <c r="AC25" s="34"/>
      <c r="AD25" s="34"/>
      <c r="AE25" s="34"/>
      <c r="AF25" s="34"/>
      <c r="AG25" s="34"/>
      <c r="AH25" s="34"/>
      <c r="AI25" s="34"/>
      <c r="AJ25" s="34"/>
      <c r="AK25" s="34"/>
      <c r="AL25" s="34"/>
      <c r="AM25" s="34"/>
      <c r="AN25" s="34"/>
      <c r="AO25" s="34"/>
      <c r="AP25" s="34"/>
      <c r="AQ25" s="34"/>
      <c r="AR25" s="34"/>
      <c r="AS25" s="34"/>
      <c r="AT25" s="34"/>
      <c r="AU25" s="34"/>
      <c r="AV25" s="34"/>
    </row>
    <row r="26" spans="1:50" ht="15" x14ac:dyDescent="0.2">
      <c r="A26" s="223"/>
      <c r="B26" s="30" t="s">
        <v>90</v>
      </c>
      <c r="C26" s="222"/>
      <c r="D26" s="222"/>
      <c r="E26" s="222"/>
      <c r="F26" s="222"/>
    </row>
    <row r="27" spans="1:50" x14ac:dyDescent="0.2">
      <c r="B27" s="26" t="s">
        <v>61</v>
      </c>
      <c r="C27" s="34">
        <f>'Input data'!C34</f>
        <v>231.15090000000001</v>
      </c>
      <c r="D27" s="100">
        <f>+C27*(1+'Input data'!D33/100)</f>
        <v>233.97713813562902</v>
      </c>
      <c r="E27" s="100">
        <f>+D27*(1+'Input data'!E33/100)</f>
        <v>236.531302768659</v>
      </c>
      <c r="F27" s="100">
        <f>+E27*(1+'Input data'!F33/100)</f>
        <v>238.0217037741894</v>
      </c>
      <c r="G27" s="34">
        <f>+F27*(1+'Input data'!G33/100)</f>
        <v>239.52552870698202</v>
      </c>
      <c r="H27" s="34">
        <f>+G27*(1+'Input data'!H33/100)</f>
        <v>241.16563377590157</v>
      </c>
      <c r="I27" s="34">
        <f>+H27*(1+'Input data'!I33/100)</f>
        <v>242.58008299977581</v>
      </c>
      <c r="J27" s="34">
        <f>+I27*(1+'Input data'!J33/100)</f>
        <v>244.12752876078073</v>
      </c>
      <c r="K27" s="34">
        <f>+J27*(1+'Input data'!K33/100)</f>
        <v>245.54683836400028</v>
      </c>
      <c r="L27" s="34">
        <f>+K27*(1+'Input data'!L33/100)</f>
        <v>246.91806349839558</v>
      </c>
      <c r="M27" s="34">
        <f>+L27*(1+'Input data'!M33/100)</f>
        <v>248.36415543386613</v>
      </c>
      <c r="N27" s="34">
        <f>+M27*(1+'Input data'!N33/100)</f>
        <v>249.99905992456323</v>
      </c>
      <c r="O27" s="34">
        <f>+N27*(1+'Input data'!O33/100)</f>
        <v>251.71018449019431</v>
      </c>
      <c r="P27" s="34">
        <f>+O27*(1+'Input data'!P33/100)</f>
        <v>253.9501091209801</v>
      </c>
      <c r="Q27" s="34">
        <f>+P27*(1+'Input data'!Q33/100)</f>
        <v>256.73165767969641</v>
      </c>
      <c r="R27" s="34">
        <f>+Q27*(1+'Input data'!R33/100)</f>
        <v>260.07107674574905</v>
      </c>
      <c r="S27" s="34">
        <f>+R27*(1+'Input data'!S33/100)</f>
        <v>263.64707745740003</v>
      </c>
      <c r="T27" s="34">
        <f>+S27*(1+'Input data'!T33/100)</f>
        <v>267.40128528979625</v>
      </c>
      <c r="U27" s="34">
        <f>+T27*(1+'Input data'!U33/100)</f>
        <v>271.37498337175526</v>
      </c>
      <c r="V27" s="34">
        <f>+U27*(1+'Input data'!V33/100)</f>
        <v>275.53537353933132</v>
      </c>
      <c r="W27" s="34">
        <f>+V27*(1+'Input data'!W33/100)</f>
        <v>279.63617201442469</v>
      </c>
      <c r="X27" s="34"/>
      <c r="Y27" s="34"/>
      <c r="Z27" s="34"/>
      <c r="AA27" s="34"/>
      <c r="AB27" s="34"/>
      <c r="AC27" s="34"/>
      <c r="AD27" s="34"/>
      <c r="AE27" s="34"/>
      <c r="AF27" s="34"/>
      <c r="AG27" s="34"/>
      <c r="AH27" s="34"/>
      <c r="AI27" s="34"/>
      <c r="AJ27" s="34"/>
      <c r="AK27" s="34"/>
      <c r="AL27" s="34"/>
      <c r="AM27" s="34"/>
      <c r="AN27" s="34"/>
      <c r="AO27" s="34"/>
      <c r="AP27" s="34"/>
      <c r="AQ27" s="34"/>
      <c r="AR27" s="34"/>
      <c r="AS27" s="34"/>
      <c r="AT27" s="34"/>
      <c r="AU27" s="34"/>
      <c r="AV27" s="34"/>
    </row>
    <row r="28" spans="1:50" ht="5.25" customHeight="1" x14ac:dyDescent="0.2">
      <c r="C28" s="34"/>
      <c r="D28" s="34"/>
      <c r="E28" s="34"/>
      <c r="F28" s="34"/>
      <c r="G28" s="34"/>
      <c r="H28" s="34"/>
      <c r="I28" s="34"/>
      <c r="J28" s="34"/>
      <c r="K28" s="34"/>
      <c r="L28" s="34"/>
      <c r="M28" s="34"/>
      <c r="N28" s="34"/>
      <c r="O28" s="34"/>
      <c r="P28" s="34"/>
      <c r="Q28" s="34"/>
      <c r="R28" s="34"/>
      <c r="S28" s="34"/>
      <c r="T28" s="34"/>
      <c r="U28" s="34"/>
      <c r="V28" s="34"/>
      <c r="W28" s="34"/>
      <c r="X28" s="34"/>
      <c r="Y28" s="34"/>
      <c r="Z28" s="34"/>
      <c r="AA28" s="34"/>
      <c r="AB28" s="34"/>
      <c r="AC28" s="34"/>
      <c r="AD28" s="34"/>
      <c r="AE28" s="34"/>
      <c r="AF28" s="34"/>
      <c r="AG28" s="34"/>
      <c r="AH28" s="34"/>
      <c r="AI28" s="34"/>
      <c r="AJ28" s="34"/>
      <c r="AK28" s="34"/>
      <c r="AL28" s="34"/>
      <c r="AM28" s="34"/>
      <c r="AN28" s="34"/>
      <c r="AO28" s="34"/>
      <c r="AP28" s="34"/>
      <c r="AQ28" s="34"/>
      <c r="AR28" s="34"/>
      <c r="AS28" s="34"/>
      <c r="AT28" s="34"/>
      <c r="AU28" s="34"/>
      <c r="AV28" s="34"/>
    </row>
    <row r="29" spans="1:50" x14ac:dyDescent="0.2">
      <c r="B29" s="30" t="s">
        <v>91</v>
      </c>
      <c r="C29" s="34"/>
      <c r="D29" s="34"/>
      <c r="E29" s="34"/>
      <c r="F29" s="34"/>
      <c r="G29" s="34"/>
      <c r="H29" s="34"/>
      <c r="I29" s="34"/>
      <c r="J29" s="34"/>
      <c r="K29" s="34"/>
      <c r="L29" s="34"/>
      <c r="M29" s="34"/>
      <c r="N29" s="34"/>
      <c r="O29" s="34"/>
      <c r="P29" s="34"/>
      <c r="Q29" s="34"/>
      <c r="R29" s="34"/>
      <c r="S29" s="34"/>
      <c r="T29" s="34"/>
      <c r="U29" s="34"/>
      <c r="V29" s="34"/>
      <c r="W29" s="34"/>
      <c r="X29" s="34"/>
      <c r="Y29" s="34"/>
      <c r="Z29" s="34"/>
      <c r="AA29" s="34"/>
      <c r="AB29" s="34"/>
      <c r="AC29" s="34"/>
      <c r="AD29" s="34"/>
      <c r="AE29" s="34"/>
      <c r="AF29" s="34"/>
      <c r="AG29" s="34"/>
      <c r="AH29" s="34"/>
      <c r="AI29" s="34"/>
      <c r="AJ29" s="34"/>
      <c r="AK29" s="34"/>
      <c r="AL29" s="34"/>
      <c r="AM29" s="34"/>
      <c r="AN29" s="34"/>
      <c r="AO29" s="34"/>
      <c r="AP29" s="34"/>
      <c r="AQ29" s="34"/>
      <c r="AR29" s="34"/>
      <c r="AS29" s="34"/>
      <c r="AT29" s="34"/>
      <c r="AU29" s="34"/>
      <c r="AV29" s="34"/>
    </row>
    <row r="30" spans="1:50" x14ac:dyDescent="0.2">
      <c r="B30" s="26" t="s">
        <v>91</v>
      </c>
      <c r="C30" s="34">
        <f>100*(C23/C27-1)</f>
        <v>-0.25736434510962303</v>
      </c>
      <c r="D30" s="100">
        <f t="shared" ref="D30:W30" si="3">100*(D23/D27-1)</f>
        <v>-0.14622746557002575</v>
      </c>
      <c r="E30" s="100">
        <f t="shared" si="3"/>
        <v>-2.2471884779047602</v>
      </c>
      <c r="F30" s="100">
        <f t="shared" si="3"/>
        <v>-2.8208216278374221</v>
      </c>
      <c r="G30" s="34">
        <f t="shared" si="3"/>
        <v>-2.9886263888378117</v>
      </c>
      <c r="H30" s="34">
        <f t="shared" si="3"/>
        <v>-3.1486370849127199</v>
      </c>
      <c r="I30" s="34">
        <f t="shared" si="3"/>
        <v>-3.2545310301944852</v>
      </c>
      <c r="J30" s="34">
        <f t="shared" si="3"/>
        <v>-3.3232741207567695</v>
      </c>
      <c r="K30" s="34">
        <f t="shared" si="3"/>
        <v>-3.3689310624199109</v>
      </c>
      <c r="L30" s="34">
        <f t="shared" si="3"/>
        <v>-3.3990873423939694</v>
      </c>
      <c r="M30" s="34">
        <f>100*(M23/M27-1)</f>
        <v>-3.418519713403767</v>
      </c>
      <c r="N30" s="34">
        <f t="shared" si="3"/>
        <v>-2.2790131422691817</v>
      </c>
      <c r="O30" s="34">
        <f t="shared" si="3"/>
        <v>-1.1395065711345853</v>
      </c>
      <c r="P30" s="34">
        <f t="shared" si="3"/>
        <v>0</v>
      </c>
      <c r="Q30" s="34">
        <f t="shared" si="3"/>
        <v>-2.9674966262049907E-6</v>
      </c>
      <c r="R30" s="34">
        <f t="shared" si="3"/>
        <v>-3.9546561914072242E-6</v>
      </c>
      <c r="S30" s="34">
        <f t="shared" si="3"/>
        <v>-7.9004016773076557E-6</v>
      </c>
      <c r="T30" s="34">
        <f t="shared" si="3"/>
        <v>-5.9284810616233585E-6</v>
      </c>
      <c r="U30" s="34">
        <f t="shared" si="3"/>
        <v>-6.9138381575406527E-6</v>
      </c>
      <c r="V30" s="34">
        <f t="shared" si="3"/>
        <v>-2.9742356244533141E-6</v>
      </c>
      <c r="W30" s="34">
        <f t="shared" si="3"/>
        <v>-1.9889004332362958E-6</v>
      </c>
      <c r="X30" s="34"/>
      <c r="Y30" s="34"/>
      <c r="Z30" s="34"/>
      <c r="AA30" s="34"/>
      <c r="AB30" s="34"/>
      <c r="AC30" s="34"/>
      <c r="AD30" s="34"/>
      <c r="AE30" s="34"/>
      <c r="AF30" s="34"/>
      <c r="AG30" s="34"/>
      <c r="AH30" s="34"/>
      <c r="AI30" s="34"/>
      <c r="AJ30" s="34"/>
      <c r="AK30" s="34"/>
      <c r="AL30" s="34"/>
      <c r="AM30" s="34"/>
      <c r="AN30" s="34"/>
      <c r="AO30" s="34"/>
      <c r="AP30" s="34"/>
      <c r="AQ30" s="34"/>
      <c r="AR30" s="34"/>
      <c r="AS30" s="34"/>
      <c r="AT30" s="34"/>
      <c r="AU30" s="34"/>
      <c r="AV30" s="34"/>
    </row>
    <row r="31" spans="1:50" ht="4.9000000000000004" customHeight="1" x14ac:dyDescent="0.2">
      <c r="C31" s="34"/>
      <c r="D31" s="34"/>
      <c r="E31" s="34"/>
      <c r="F31" s="34"/>
      <c r="G31" s="34"/>
      <c r="H31" s="34"/>
      <c r="I31" s="34"/>
      <c r="J31" s="34"/>
      <c r="K31" s="34"/>
      <c r="L31" s="34"/>
      <c r="M31" s="34"/>
      <c r="N31" s="34"/>
      <c r="O31" s="34"/>
      <c r="P31" s="34"/>
      <c r="Q31" s="34"/>
      <c r="R31" s="34"/>
      <c r="S31" s="34"/>
      <c r="T31" s="34"/>
      <c r="U31" s="34"/>
      <c r="V31" s="34"/>
      <c r="W31" s="34"/>
      <c r="X31" s="34"/>
      <c r="Y31" s="34"/>
      <c r="Z31" s="34"/>
      <c r="AA31" s="34"/>
      <c r="AB31" s="34"/>
      <c r="AC31" s="34"/>
      <c r="AD31" s="34"/>
      <c r="AE31" s="34"/>
      <c r="AF31" s="34"/>
      <c r="AG31" s="34"/>
      <c r="AH31" s="34"/>
      <c r="AI31" s="34"/>
      <c r="AJ31" s="34"/>
      <c r="AK31" s="34"/>
      <c r="AL31" s="34"/>
      <c r="AM31" s="34"/>
      <c r="AN31" s="34"/>
      <c r="AO31" s="34"/>
      <c r="AP31" s="34"/>
      <c r="AQ31" s="34"/>
      <c r="AR31" s="34"/>
      <c r="AS31" s="34"/>
      <c r="AT31" s="34"/>
      <c r="AU31" s="34"/>
      <c r="AV31" s="34"/>
    </row>
    <row r="32" spans="1:50" x14ac:dyDescent="0.2">
      <c r="B32" s="30" t="s">
        <v>92</v>
      </c>
      <c r="C32" s="34"/>
      <c r="D32" s="34"/>
      <c r="E32" s="34"/>
      <c r="F32" s="34"/>
      <c r="G32" s="34"/>
      <c r="H32" s="34"/>
      <c r="I32" s="34"/>
      <c r="J32" s="34"/>
      <c r="K32" s="34"/>
      <c r="L32" s="34"/>
      <c r="M32" s="34"/>
      <c r="N32" s="34"/>
      <c r="O32" s="34"/>
      <c r="P32" s="34"/>
      <c r="Q32" s="34"/>
      <c r="R32" s="34"/>
      <c r="S32" s="34"/>
      <c r="T32" s="34"/>
      <c r="U32" s="34"/>
      <c r="V32" s="34"/>
      <c r="W32" s="34"/>
      <c r="X32" s="34"/>
      <c r="Y32" s="34"/>
      <c r="Z32" s="34"/>
      <c r="AA32" s="34"/>
      <c r="AB32" s="34"/>
      <c r="AC32" s="34"/>
      <c r="AD32" s="34"/>
      <c r="AE32" s="34"/>
      <c r="AF32" s="34"/>
      <c r="AG32" s="34"/>
      <c r="AH32" s="34"/>
      <c r="AI32" s="34"/>
      <c r="AJ32" s="34"/>
      <c r="AK32" s="34"/>
      <c r="AL32" s="34"/>
      <c r="AM32" s="34"/>
      <c r="AN32" s="34"/>
      <c r="AO32" s="34"/>
      <c r="AP32" s="34"/>
      <c r="AQ32" s="34"/>
      <c r="AR32" s="34"/>
      <c r="AS32" s="34"/>
      <c r="AT32" s="34"/>
      <c r="AU32" s="34"/>
      <c r="AV32" s="34"/>
    </row>
    <row r="33" spans="2:51" x14ac:dyDescent="0.2">
      <c r="B33" s="26" t="s">
        <v>60</v>
      </c>
      <c r="C33" s="1">
        <f t="shared" ref="C33:W33" si="4">100*((1+C24/100)*(1+C42/100)-1)</f>
        <v>5.3041963643644108</v>
      </c>
      <c r="D33" s="2">
        <f t="shared" si="4"/>
        <v>6.7911638456366497</v>
      </c>
      <c r="E33" s="2">
        <f t="shared" si="4"/>
        <v>3.7125418942078214</v>
      </c>
      <c r="F33" s="2">
        <f>100*((1+F24/100)*(1+F42/100)-1)</f>
        <v>1.8403042135917813</v>
      </c>
      <c r="G33" s="1">
        <f>100*((1+G24/100)*(1+G42/100)-1)</f>
        <v>2.5927300696966915</v>
      </c>
      <c r="H33" s="1">
        <f t="shared" si="4"/>
        <v>2.7080499316002982</v>
      </c>
      <c r="I33" s="1">
        <f t="shared" si="4"/>
        <v>2.7183813622055242</v>
      </c>
      <c r="J33" s="1">
        <f t="shared" si="4"/>
        <v>2.8636922810410192</v>
      </c>
      <c r="K33" s="1">
        <f t="shared" si="4"/>
        <v>2.8838397606453015</v>
      </c>
      <c r="L33" s="1">
        <f t="shared" si="4"/>
        <v>2.9302659734833592</v>
      </c>
      <c r="M33" s="1">
        <f t="shared" si="4"/>
        <v>3.0229806148325489</v>
      </c>
      <c r="N33" s="1">
        <f t="shared" si="4"/>
        <v>4.3888346005668932</v>
      </c>
      <c r="O33" s="1">
        <f t="shared" si="4"/>
        <v>4.4559075440405049</v>
      </c>
      <c r="P33" s="1">
        <f t="shared" si="4"/>
        <v>4.627061929410714</v>
      </c>
      <c r="Q33" s="1">
        <f t="shared" si="4"/>
        <v>3.6176379845000106</v>
      </c>
      <c r="R33" s="1">
        <f t="shared" si="4"/>
        <v>3.8003378088500073</v>
      </c>
      <c r="S33" s="1">
        <f t="shared" si="4"/>
        <v>3.8485551219999969</v>
      </c>
      <c r="T33" s="1">
        <f t="shared" si="4"/>
        <v>3.8708068902499893</v>
      </c>
      <c r="U33" s="1">
        <f>100*((1+U24/100)*(1+U42/100)-1)</f>
        <v>3.9064841016999807</v>
      </c>
      <c r="V33" s="1">
        <f t="shared" si="4"/>
        <v>3.9267244081499841</v>
      </c>
      <c r="W33" s="1">
        <f t="shared" si="4"/>
        <v>3.8529804599000128</v>
      </c>
      <c r="X33" s="1"/>
      <c r="Y33" s="1"/>
      <c r="Z33" s="1"/>
      <c r="AA33" s="1"/>
      <c r="AB33" s="1"/>
      <c r="AC33" s="1"/>
      <c r="AD33" s="1"/>
      <c r="AE33" s="1"/>
      <c r="AF33" s="1"/>
      <c r="AG33" s="1"/>
      <c r="AH33" s="1"/>
      <c r="AI33" s="1"/>
      <c r="AJ33" s="1"/>
      <c r="AK33" s="1"/>
      <c r="AL33" s="1"/>
      <c r="AM33" s="1"/>
      <c r="AN33" s="1"/>
      <c r="AO33" s="1"/>
      <c r="AP33" s="1"/>
      <c r="AQ33" s="1"/>
      <c r="AR33" s="1"/>
      <c r="AS33" s="1"/>
      <c r="AT33" s="1"/>
      <c r="AU33" s="1"/>
      <c r="AV33" s="1"/>
      <c r="AW33" s="1"/>
      <c r="AX33" s="1"/>
    </row>
    <row r="35" spans="2:51" x14ac:dyDescent="0.2">
      <c r="B35" s="28" t="s">
        <v>141</v>
      </c>
    </row>
    <row r="36" spans="2:51" x14ac:dyDescent="0.2">
      <c r="B36" s="26" t="s">
        <v>63</v>
      </c>
      <c r="C36" s="34">
        <f>'Input data'!C37</f>
        <v>0.73297140000000005</v>
      </c>
      <c r="D36" s="100">
        <f>'Input data'!D37</f>
        <v>0.83926920000000005</v>
      </c>
      <c r="E36" s="100">
        <f>'Input data'!E37</f>
        <v>1.5804370000000001</v>
      </c>
      <c r="F36" s="100">
        <f>'Input data'!F37</f>
        <v>1.6625099999999999</v>
      </c>
      <c r="G36" s="100">
        <f>'Input data'!G37</f>
        <v>1.8895660000000001</v>
      </c>
      <c r="H36" s="34">
        <f t="shared" ref="H36:W36" si="5">H101</f>
        <v>1.9756481083374138</v>
      </c>
      <c r="I36" s="34">
        <f t="shared" si="5"/>
        <v>2.0402071271644862</v>
      </c>
      <c r="J36" s="34">
        <f t="shared" si="5"/>
        <v>2.0854652071440776</v>
      </c>
      <c r="K36" s="34">
        <f t="shared" si="5"/>
        <v>2.1129298775510885</v>
      </c>
      <c r="L36" s="34">
        <f t="shared" si="5"/>
        <v>2.124756440199052</v>
      </c>
      <c r="M36" s="34">
        <f t="shared" si="5"/>
        <v>2.1177128995136347</v>
      </c>
      <c r="N36" s="34">
        <f t="shared" si="5"/>
        <v>2.0931499581848727</v>
      </c>
      <c r="O36" s="34">
        <f t="shared" si="5"/>
        <v>2.0931499581848727</v>
      </c>
      <c r="P36" s="34">
        <f t="shared" si="5"/>
        <v>2.0931499581848727</v>
      </c>
      <c r="Q36" s="34">
        <f t="shared" si="5"/>
        <v>2.0931499581848727</v>
      </c>
      <c r="R36" s="34">
        <f t="shared" si="5"/>
        <v>2.0931499581848727</v>
      </c>
      <c r="S36" s="34">
        <f t="shared" si="5"/>
        <v>2.0931499581848727</v>
      </c>
      <c r="T36" s="34">
        <f t="shared" si="5"/>
        <v>2.0931499581848727</v>
      </c>
      <c r="U36" s="34">
        <f t="shared" si="5"/>
        <v>3.4619660000000003</v>
      </c>
      <c r="V36" s="34">
        <f t="shared" si="5"/>
        <v>3.500397</v>
      </c>
      <c r="W36" s="34">
        <f t="shared" si="5"/>
        <v>3.5388280000000001</v>
      </c>
    </row>
    <row r="37" spans="2:51" x14ac:dyDescent="0.2">
      <c r="B37" s="32" t="s">
        <v>94</v>
      </c>
      <c r="C37" s="1"/>
      <c r="D37" s="2">
        <f>'Input data'!D$39</f>
        <v>1.69</v>
      </c>
      <c r="E37" s="2">
        <f>'Input data'!E$39</f>
        <v>3.04</v>
      </c>
      <c r="F37" s="165">
        <f>'Input data'!F$39</f>
        <v>2.9418000000000002</v>
      </c>
      <c r="G37" s="165">
        <f>'Input data'!G$39</f>
        <v>3.0140359999999999</v>
      </c>
      <c r="H37" s="1">
        <f>G37+($O$37-$G$37)/($O$10-$G$10)</f>
        <v>3.041204</v>
      </c>
      <c r="I37" s="1">
        <f t="shared" ref="I37:N37" si="6">H37+($O$37-$G$37)/($O$10-$G$10)</f>
        <v>3.0683720000000001</v>
      </c>
      <c r="J37" s="1">
        <f t="shared" si="6"/>
        <v>3.0955400000000002</v>
      </c>
      <c r="K37" s="1">
        <f t="shared" si="6"/>
        <v>3.1227080000000003</v>
      </c>
      <c r="L37" s="1">
        <f t="shared" si="6"/>
        <v>3.1498760000000003</v>
      </c>
      <c r="M37" s="1">
        <f t="shared" si="6"/>
        <v>3.1770440000000004</v>
      </c>
      <c r="N37" s="1">
        <f t="shared" si="6"/>
        <v>3.2042120000000005</v>
      </c>
      <c r="O37" s="251">
        <f>'Input data'!$C$52</f>
        <v>3.2313800000000001</v>
      </c>
      <c r="P37" s="1">
        <f>'Baseline NFPC'!P36</f>
        <v>3.2698110000000002</v>
      </c>
      <c r="Q37" s="1">
        <f>'Baseline NFPC'!Q36</f>
        <v>3.3082419999999999</v>
      </c>
      <c r="R37" s="1">
        <f>'Baseline NFPC'!R36</f>
        <v>3.346673</v>
      </c>
      <c r="S37" s="1">
        <f>'Baseline NFPC'!S36</f>
        <v>3.3851040000000001</v>
      </c>
      <c r="T37" s="1">
        <f>'Baseline NFPC'!T36</f>
        <v>3.4235350000000002</v>
      </c>
      <c r="U37" s="1">
        <f>'Baseline NFPC'!U36</f>
        <v>3.4619660000000003</v>
      </c>
      <c r="V37" s="1">
        <f>'Baseline NFPC'!V36</f>
        <v>3.500397</v>
      </c>
      <c r="W37" s="1">
        <f>'Baseline NFPC'!W36</f>
        <v>3.5388280000000001</v>
      </c>
      <c r="X37" s="59"/>
      <c r="Y37" s="59"/>
      <c r="Z37" s="59"/>
      <c r="AA37" s="59"/>
      <c r="AB37" s="59"/>
      <c r="AC37" s="59"/>
      <c r="AD37" s="59"/>
      <c r="AE37" s="59"/>
      <c r="AF37" s="59"/>
      <c r="AG37" s="59"/>
      <c r="AH37" s="59"/>
      <c r="AI37" s="59"/>
      <c r="AJ37" s="59"/>
      <c r="AK37" s="59"/>
      <c r="AL37" s="59"/>
      <c r="AM37" s="59"/>
      <c r="AN37" s="59"/>
      <c r="AO37" s="59"/>
      <c r="AP37" s="59"/>
      <c r="AQ37" s="59"/>
      <c r="AR37" s="59"/>
      <c r="AS37" s="59"/>
      <c r="AT37" s="59"/>
      <c r="AU37" s="59"/>
      <c r="AV37" s="59"/>
      <c r="AW37" s="59"/>
      <c r="AX37" s="59"/>
      <c r="AY37" s="60"/>
    </row>
    <row r="38" spans="2:51" x14ac:dyDescent="0.2">
      <c r="B38" s="32" t="s">
        <v>95</v>
      </c>
      <c r="C38" s="1"/>
      <c r="D38" s="2">
        <f>'Input data'!D$38</f>
        <v>0.35</v>
      </c>
      <c r="E38" s="2">
        <f>'Input data'!E$38</f>
        <v>3.43</v>
      </c>
      <c r="F38" s="165">
        <f>'Input data'!F$38</f>
        <v>3.5642079999999998</v>
      </c>
      <c r="G38" s="165">
        <f>'Input data'!G$38</f>
        <v>2.8163749999999999</v>
      </c>
      <c r="H38" s="1">
        <f>G38+($O$38-$G$38)/($O$10-$G$10)</f>
        <v>2.8050893749999997</v>
      </c>
      <c r="I38" s="1">
        <f t="shared" ref="I38:N38" si="7">H38+($O$38-$G$38)/($O$10-$G$10)</f>
        <v>2.7938037499999995</v>
      </c>
      <c r="J38" s="1">
        <f t="shared" si="7"/>
        <v>2.7825181249999993</v>
      </c>
      <c r="K38" s="1">
        <f t="shared" si="7"/>
        <v>2.7712324999999991</v>
      </c>
      <c r="L38" s="1">
        <f t="shared" si="7"/>
        <v>2.7599468749999989</v>
      </c>
      <c r="M38" s="1">
        <f t="shared" si="7"/>
        <v>2.7486612499999987</v>
      </c>
      <c r="N38" s="1">
        <f t="shared" si="7"/>
        <v>2.7373756249999985</v>
      </c>
      <c r="O38" s="251">
        <f>'Input data'!$C$53</f>
        <v>2.7260900000000001</v>
      </c>
      <c r="P38" s="1">
        <f>'Baseline NFPC'!P37</f>
        <v>2.6897855000000002</v>
      </c>
      <c r="Q38" s="1">
        <f>'Baseline NFPC'!Q37</f>
        <v>2.6534810000000002</v>
      </c>
      <c r="R38" s="1">
        <f>'Baseline NFPC'!R37</f>
        <v>2.6171765000000002</v>
      </c>
      <c r="S38" s="1">
        <f>'Baseline NFPC'!S37</f>
        <v>2.5808720000000003</v>
      </c>
      <c r="T38" s="1">
        <f>'Baseline NFPC'!T37</f>
        <v>2.5445675000000003</v>
      </c>
      <c r="U38" s="1">
        <f>'Baseline NFPC'!U37</f>
        <v>2.5082629999999999</v>
      </c>
      <c r="V38" s="1">
        <f>'Baseline NFPC'!V37</f>
        <v>2.4719584999999999</v>
      </c>
      <c r="W38" s="1">
        <f>'Baseline NFPC'!W37</f>
        <v>2.435654</v>
      </c>
      <c r="X38" s="59"/>
      <c r="Y38" s="59"/>
      <c r="Z38" s="59"/>
      <c r="AA38" s="59"/>
      <c r="AB38" s="59"/>
      <c r="AC38" s="59"/>
      <c r="AD38" s="59"/>
      <c r="AE38" s="59"/>
      <c r="AF38" s="59"/>
      <c r="AG38" s="59"/>
      <c r="AH38" s="59"/>
      <c r="AI38" s="59"/>
      <c r="AJ38" s="59"/>
      <c r="AK38" s="59"/>
      <c r="AL38" s="59"/>
      <c r="AM38" s="59"/>
      <c r="AN38" s="59"/>
      <c r="AO38" s="59"/>
      <c r="AP38" s="59"/>
      <c r="AQ38" s="59"/>
      <c r="AR38" s="59"/>
      <c r="AS38" s="59"/>
      <c r="AT38" s="59"/>
      <c r="AU38" s="59"/>
      <c r="AV38" s="59"/>
      <c r="AW38" s="59"/>
      <c r="AX38" s="59"/>
      <c r="AY38" s="60"/>
    </row>
    <row r="39" spans="2:51" s="5" customFormat="1" ht="12.75" x14ac:dyDescent="0.2">
      <c r="B39" s="26" t="s">
        <v>96</v>
      </c>
      <c r="C39" s="34">
        <f>'Baseline NFPC'!C38</f>
        <v>6.1590999999999998E-3</v>
      </c>
      <c r="D39" s="34">
        <f>'Baseline NFPC'!D38</f>
        <v>4.1645340000000003E-2</v>
      </c>
      <c r="E39" s="34">
        <f>'Baseline NFPC'!E38</f>
        <v>3.9429850000000002E-2</v>
      </c>
      <c r="F39" s="34">
        <f>'Baseline NFPC'!F38</f>
        <v>3.1775579999999998E-2</v>
      </c>
      <c r="G39" s="34">
        <f>'Baseline NFPC'!G38</f>
        <v>3.2450447777777773E-2</v>
      </c>
      <c r="H39" s="34">
        <f>'Baseline NFPC'!H38</f>
        <v>3.3125315555555555E-2</v>
      </c>
      <c r="I39" s="34">
        <f>'Baseline NFPC'!I38</f>
        <v>3.3800183333333331E-2</v>
      </c>
      <c r="J39" s="34">
        <f>'Baseline NFPC'!J38</f>
        <v>3.4475051111111106E-2</v>
      </c>
      <c r="K39" s="34">
        <f>'Baseline NFPC'!K38</f>
        <v>3.5149918888888888E-2</v>
      </c>
      <c r="L39" s="34">
        <f>'Baseline NFPC'!L38</f>
        <v>3.5824786666666664E-2</v>
      </c>
      <c r="M39" s="34">
        <f>'Baseline NFPC'!M38</f>
        <v>3.6499654444444439E-2</v>
      </c>
      <c r="N39" s="34">
        <f>'Baseline NFPC'!N38</f>
        <v>3.7174522222222221E-2</v>
      </c>
      <c r="O39" s="34">
        <f>'Baseline NFPC'!O38</f>
        <v>3.7849389999999997E-2</v>
      </c>
      <c r="P39" s="34">
        <f>'Baseline NFPC'!P38</f>
        <v>3.7849389999999997E-2</v>
      </c>
      <c r="Q39" s="34">
        <f>'Baseline NFPC'!Q38</f>
        <v>3.7849389999999997E-2</v>
      </c>
      <c r="R39" s="34">
        <f>'Baseline NFPC'!R38</f>
        <v>3.7849389999999997E-2</v>
      </c>
      <c r="S39" s="34">
        <f>'Baseline NFPC'!S38</f>
        <v>3.7849389999999997E-2</v>
      </c>
      <c r="T39" s="34">
        <f>'Baseline NFPC'!T38</f>
        <v>3.7849389999999997E-2</v>
      </c>
      <c r="U39" s="34">
        <f>'Baseline NFPC'!U38</f>
        <v>3.7849389999999997E-2</v>
      </c>
      <c r="V39" s="34">
        <f>'Baseline NFPC'!V38</f>
        <v>3.7849389999999997E-2</v>
      </c>
      <c r="W39" s="34">
        <f>'Baseline NFPC'!W38</f>
        <v>3.7849389999999997E-2</v>
      </c>
    </row>
    <row r="40" spans="2:51" x14ac:dyDescent="0.2">
      <c r="C40" s="1"/>
      <c r="D40" s="1"/>
      <c r="E40" s="104"/>
      <c r="F40" s="104"/>
      <c r="G40" s="104"/>
      <c r="H40" s="104"/>
      <c r="I40" s="104"/>
      <c r="J40" s="104"/>
      <c r="K40" s="104"/>
      <c r="L40" s="104"/>
      <c r="M40" s="104"/>
      <c r="N40" s="104"/>
      <c r="O40" s="1"/>
      <c r="P40" s="1"/>
      <c r="Q40" s="1"/>
      <c r="R40" s="1"/>
      <c r="S40" s="1"/>
      <c r="T40" s="1"/>
      <c r="U40" s="1"/>
      <c r="V40" s="1"/>
      <c r="W40" s="1"/>
      <c r="X40" s="59"/>
      <c r="Y40" s="59"/>
      <c r="Z40" s="59"/>
      <c r="AA40" s="59"/>
      <c r="AB40" s="59"/>
      <c r="AC40" s="59"/>
      <c r="AD40" s="59"/>
      <c r="AE40" s="59"/>
      <c r="AF40" s="59"/>
      <c r="AG40" s="59"/>
      <c r="AH40" s="59"/>
      <c r="AI40" s="59"/>
      <c r="AJ40" s="59"/>
      <c r="AK40" s="59"/>
      <c r="AL40" s="59"/>
      <c r="AM40" s="59"/>
      <c r="AN40" s="59"/>
      <c r="AO40" s="59"/>
      <c r="AP40" s="59"/>
      <c r="AQ40" s="59"/>
      <c r="AR40" s="59"/>
      <c r="AS40" s="59"/>
      <c r="AT40" s="59"/>
      <c r="AU40" s="59"/>
      <c r="AV40" s="59"/>
      <c r="AW40" s="59"/>
      <c r="AX40" s="59"/>
      <c r="AY40" s="60"/>
    </row>
    <row r="41" spans="2:51" x14ac:dyDescent="0.2">
      <c r="B41" s="28" t="s">
        <v>97</v>
      </c>
      <c r="C41" s="1"/>
      <c r="D41" s="1"/>
      <c r="E41" s="1"/>
      <c r="F41" s="1"/>
      <c r="G41" s="1"/>
      <c r="H41" s="1"/>
      <c r="I41" s="1"/>
      <c r="J41" s="1"/>
      <c r="K41" s="1"/>
      <c r="L41" s="1"/>
      <c r="M41" s="1"/>
      <c r="N41" s="1"/>
      <c r="O41" s="1"/>
      <c r="P41" s="1"/>
      <c r="Q41" s="1"/>
      <c r="R41" s="1"/>
      <c r="S41" s="1"/>
      <c r="T41" s="1"/>
      <c r="U41" s="1"/>
      <c r="V41" s="1"/>
      <c r="W41" s="1"/>
      <c r="X41" s="59"/>
      <c r="Y41" s="59"/>
      <c r="Z41" s="59"/>
      <c r="AA41" s="59"/>
      <c r="AB41" s="59"/>
      <c r="AC41" s="59"/>
      <c r="AD41" s="59"/>
      <c r="AE41" s="59"/>
      <c r="AF41" s="59"/>
      <c r="AG41" s="59"/>
      <c r="AH41" s="59"/>
      <c r="AI41" s="59"/>
      <c r="AJ41" s="59"/>
      <c r="AK41" s="59"/>
      <c r="AL41" s="59"/>
      <c r="AM41" s="59"/>
      <c r="AN41" s="59"/>
      <c r="AO41" s="59"/>
      <c r="AP41" s="59"/>
      <c r="AQ41" s="59"/>
      <c r="AR41" s="59"/>
      <c r="AS41" s="59"/>
      <c r="AT41" s="59"/>
      <c r="AU41" s="59"/>
      <c r="AV41" s="59"/>
      <c r="AW41" s="59"/>
      <c r="AX41" s="59"/>
      <c r="AY41" s="60"/>
    </row>
    <row r="42" spans="2:51" x14ac:dyDescent="0.2">
      <c r="B42" s="26" t="s">
        <v>142</v>
      </c>
      <c r="C42" s="1">
        <f>'Input data'!C42</f>
        <v>2.397958</v>
      </c>
      <c r="D42" s="2">
        <f>'Input data'!D42</f>
        <v>5.3837979999999996</v>
      </c>
      <c r="E42" s="2">
        <f>'Input data'!E42</f>
        <v>4.7975909999999997</v>
      </c>
      <c r="F42" s="2">
        <f>'Input data'!F42</f>
        <v>1.8000020000000001</v>
      </c>
      <c r="G42" s="2">
        <f>'Input data'!G42</f>
        <v>2.124962</v>
      </c>
      <c r="H42" s="1">
        <f>'Baseline NFPC'!H41</f>
        <v>2.1780917500000001</v>
      </c>
      <c r="I42" s="1">
        <f>'Baseline NFPC'!I41</f>
        <v>2.2312215000000002</v>
      </c>
      <c r="J42" s="1">
        <f>'Baseline NFPC'!J41</f>
        <v>2.2843512499999998</v>
      </c>
      <c r="K42" s="1">
        <f>'Baseline NFPC'!K41</f>
        <v>2.3374809999999999</v>
      </c>
      <c r="L42" s="1">
        <f>'Baseline NFPC'!L41</f>
        <v>2.39061075</v>
      </c>
      <c r="M42" s="1">
        <f>'Baseline NFPC'!M41</f>
        <v>2.4437404999999996</v>
      </c>
      <c r="N42" s="1">
        <f>'Baseline NFPC'!N41</f>
        <v>2.4968702499999997</v>
      </c>
      <c r="O42" s="251">
        <f>'Baseline NFPC'!O41</f>
        <v>2.5499999999999998</v>
      </c>
      <c r="P42" s="1">
        <f>'Baseline NFPC'!P41</f>
        <v>2.5225</v>
      </c>
      <c r="Q42" s="1">
        <f>'Baseline NFPC'!Q41</f>
        <v>2.4949999999999997</v>
      </c>
      <c r="R42" s="1">
        <f>'Baseline NFPC'!R41</f>
        <v>2.4674999999999998</v>
      </c>
      <c r="S42" s="1">
        <f>'Baseline NFPC'!S41</f>
        <v>2.44</v>
      </c>
      <c r="T42" s="1">
        <f>'Baseline NFPC'!T41</f>
        <v>2.4124999999999996</v>
      </c>
      <c r="U42" s="1">
        <f>'Baseline NFPC'!U41</f>
        <v>2.3849999999999998</v>
      </c>
      <c r="V42" s="1">
        <f>'Baseline NFPC'!V41</f>
        <v>2.3574999999999999</v>
      </c>
      <c r="W42" s="1">
        <f>'Baseline NFPC'!W41</f>
        <v>2.33</v>
      </c>
      <c r="X42" s="59"/>
      <c r="Y42" s="59"/>
      <c r="Z42" s="59"/>
      <c r="AA42" s="59"/>
      <c r="AB42" s="59"/>
      <c r="AC42" s="59"/>
      <c r="AD42" s="59"/>
      <c r="AE42" s="59"/>
      <c r="AF42" s="59"/>
      <c r="AG42" s="59"/>
      <c r="AH42" s="59"/>
      <c r="AI42" s="59"/>
      <c r="AJ42" s="59"/>
      <c r="AK42" s="59"/>
      <c r="AL42" s="59"/>
      <c r="AM42" s="59"/>
      <c r="AN42" s="59"/>
      <c r="AO42" s="59"/>
      <c r="AP42" s="59"/>
      <c r="AQ42" s="59"/>
      <c r="AR42" s="59"/>
      <c r="AS42" s="59"/>
      <c r="AT42" s="59"/>
      <c r="AU42" s="59"/>
      <c r="AV42" s="59"/>
      <c r="AW42" s="59"/>
      <c r="AX42" s="59"/>
      <c r="AY42" s="60"/>
    </row>
    <row r="43" spans="2:51" x14ac:dyDescent="0.2">
      <c r="B43" s="26" t="s">
        <v>98</v>
      </c>
      <c r="C43" s="1">
        <f>'Baseline NFPC'!C42</f>
        <v>0.99918229999999997</v>
      </c>
      <c r="D43" s="1">
        <f>'Baseline NFPC'!D42</f>
        <v>1.0048170000000001</v>
      </c>
      <c r="E43" s="1">
        <f>'Baseline NFPC'!E42</f>
        <v>0.99943179999999998</v>
      </c>
      <c r="F43" s="1">
        <f>'Baseline NFPC'!F42</f>
        <v>1.0001910000000001</v>
      </c>
      <c r="G43" s="1">
        <f>'Baseline NFPC'!G42</f>
        <v>1.000102</v>
      </c>
      <c r="H43" s="1">
        <f>'Baseline NFPC'!H42</f>
        <v>1</v>
      </c>
      <c r="I43" s="1">
        <f>'Baseline NFPC'!I42</f>
        <v>1</v>
      </c>
      <c r="J43" s="1">
        <f>'Baseline NFPC'!J42</f>
        <v>1</v>
      </c>
      <c r="K43" s="1">
        <f>'Baseline NFPC'!K42</f>
        <v>1</v>
      </c>
      <c r="L43" s="1">
        <f>'Baseline NFPC'!L42</f>
        <v>1</v>
      </c>
      <c r="M43" s="1">
        <f>'Baseline NFPC'!M42</f>
        <v>1</v>
      </c>
      <c r="N43" s="1">
        <f>'Baseline NFPC'!N42</f>
        <v>1</v>
      </c>
      <c r="O43" s="1">
        <f>'Baseline NFPC'!O42</f>
        <v>1</v>
      </c>
      <c r="P43" s="1">
        <f>'Baseline NFPC'!P42</f>
        <v>1</v>
      </c>
      <c r="Q43" s="1">
        <f>'Baseline NFPC'!Q42</f>
        <v>1</v>
      </c>
      <c r="R43" s="1">
        <f>'Baseline NFPC'!R42</f>
        <v>1</v>
      </c>
      <c r="S43" s="1">
        <f>'Baseline NFPC'!S42</f>
        <v>1</v>
      </c>
      <c r="T43" s="1">
        <f>'Baseline NFPC'!T42</f>
        <v>1</v>
      </c>
      <c r="U43" s="1">
        <f>'Baseline NFPC'!U42</f>
        <v>1</v>
      </c>
      <c r="V43" s="1">
        <f>'Baseline NFPC'!V42</f>
        <v>1</v>
      </c>
      <c r="W43" s="1">
        <f>'Baseline NFPC'!W42</f>
        <v>1</v>
      </c>
      <c r="X43" s="63"/>
      <c r="Y43" s="63"/>
      <c r="Z43" s="63"/>
      <c r="AA43" s="63"/>
      <c r="AB43" s="63"/>
      <c r="AC43" s="63"/>
      <c r="AD43" s="63"/>
      <c r="AE43" s="63"/>
      <c r="AF43" s="63"/>
      <c r="AG43" s="63"/>
      <c r="AH43" s="63"/>
      <c r="AI43" s="63"/>
      <c r="AJ43" s="63"/>
      <c r="AK43" s="63"/>
      <c r="AL43" s="63"/>
      <c r="AM43" s="63"/>
      <c r="AN43" s="63"/>
      <c r="AO43" s="63"/>
      <c r="AP43" s="63"/>
      <c r="AQ43" s="63"/>
      <c r="AR43" s="63"/>
      <c r="AS43" s="63"/>
      <c r="AT43" s="63"/>
      <c r="AU43" s="63"/>
      <c r="AV43" s="63"/>
      <c r="AW43" s="63"/>
      <c r="AX43" s="63"/>
      <c r="AY43" s="60"/>
    </row>
    <row r="44" spans="2:51" x14ac:dyDescent="0.2">
      <c r="C44" s="1"/>
      <c r="D44" s="1"/>
      <c r="E44" s="1"/>
      <c r="F44" s="1"/>
      <c r="G44" s="1"/>
      <c r="H44" s="1"/>
      <c r="I44" s="1"/>
      <c r="J44" s="1"/>
      <c r="K44" s="1"/>
      <c r="L44" s="1"/>
      <c r="M44" s="1"/>
      <c r="N44" s="1"/>
      <c r="O44" s="1"/>
      <c r="P44" s="1"/>
      <c r="Q44" s="1"/>
      <c r="R44" s="1"/>
      <c r="S44" s="1"/>
      <c r="T44" s="1"/>
      <c r="U44" s="1"/>
      <c r="V44" s="1"/>
      <c r="W44" s="1"/>
    </row>
    <row r="45" spans="2:51" s="67" customFormat="1" ht="12.75" x14ac:dyDescent="0.2">
      <c r="B45" s="75" t="s">
        <v>99</v>
      </c>
      <c r="C45" s="68"/>
    </row>
    <row r="46" spans="2:51" x14ac:dyDescent="0.2">
      <c r="C46" s="36"/>
    </row>
    <row r="47" spans="2:51" x14ac:dyDescent="0.2">
      <c r="B47" s="54" t="s">
        <v>68</v>
      </c>
      <c r="C47" s="55">
        <f>'Input data'!C49</f>
        <v>0.75</v>
      </c>
    </row>
    <row r="48" spans="2:51" x14ac:dyDescent="0.2">
      <c r="B48" s="56" t="s">
        <v>258</v>
      </c>
      <c r="C48" s="57">
        <f>'Input data'!C50</f>
        <v>0.58199999999999996</v>
      </c>
    </row>
    <row r="49" spans="2:48" x14ac:dyDescent="0.2">
      <c r="C49" s="58"/>
    </row>
    <row r="50" spans="2:48" outlineLevel="1" x14ac:dyDescent="0.2">
      <c r="B50" s="26" t="s">
        <v>100</v>
      </c>
      <c r="C50" s="34">
        <v>0</v>
      </c>
      <c r="D50" s="34">
        <f>IF(AND(ABS((D12-C12)-('Input data'!D13-'Input data'!C13))&gt;0.0001,ABS(D12-C12)&gt;0.0001,D$10&gt;$C$5),4,IF(C50=4,3,IF(C50=3,2,IF(C50=2,1,0))))</f>
        <v>0</v>
      </c>
      <c r="E50" s="34">
        <f>IF(AND(ABS((E12-D12)-('Input data'!E13-'Input data'!D13))&gt;0.0001,ABS(E12-D12)&gt;0.0001,E$10&gt;$C$5),4,IF(D50=4,3,IF(D50=3,2,IF(D50=2,1,0))))</f>
        <v>0</v>
      </c>
      <c r="F50" s="34">
        <f>IF(AND(ABS((F12-E12)-('Input data'!F13-'Input data'!E13))&gt;0.0001,ABS(F12-E12)&gt;0.0001,F$10&gt;$C$5),4,IF(E50=4,3,IF(E50=3,2,IF(E50=2,1,0))))</f>
        <v>0</v>
      </c>
      <c r="G50" s="34">
        <f>IF(AND(ABS((G12-F12)-('Input data'!G13-'Input data'!F13))&gt;0.0001,ABS(G12-F12)&gt;0.0001,G$10&gt;$C$5),4,IF(F50=4,3,IF(F50=3,2,IF(F50=2,1,0))))</f>
        <v>4</v>
      </c>
      <c r="H50" s="34">
        <f>IF(AND(ABS((H12-G12)-('Input data'!H13-'Input data'!G13))&gt;0.0001,ABS(H12-G12)&gt;0.0001,H$10&gt;$C$5),4,IF(G50=4,3,IF(G50=3,2,IF(G50=2,1,0))))</f>
        <v>4</v>
      </c>
      <c r="I50" s="34">
        <f>IF(AND(ABS((I12-H12)-('Input data'!I13-'Input data'!H13))&gt;0.0001,ABS(I12-H12)&gt;0.0001,I$10&gt;$C$5),4,IF(H50=4,3,IF(H50=3,2,IF(H50=2,1,0))))</f>
        <v>4</v>
      </c>
      <c r="J50" s="34">
        <f>IF(AND(ABS((J12-I12)-('Input data'!J13-'Input data'!I13))&gt;0.0001,ABS(J12-I12)&gt;0.0001,J$10&gt;$C$5),4,IF(I50=4,3,IF(I50=3,2,IF(I50=2,1,0))))</f>
        <v>4</v>
      </c>
      <c r="K50" s="34">
        <f>IF(AND(ABS((K12-J12)-('Input data'!K13-'Input data'!J13))&gt;0.0001,ABS(K12-J12)&gt;0.0001,K$10&gt;$C$5),4,IF(J50=4,3,IF(J50=3,2,IF(J50=2,1,0))))</f>
        <v>4</v>
      </c>
      <c r="L50" s="34">
        <f>IF(AND(ABS((L12-K12)-('Input data'!L13-'Input data'!K13))&gt;0.0001,ABS(L12-K12)&gt;0.0001,L$10&gt;$C$5),4,IF(K50=4,3,IF(K50=3,2,IF(K50=2,1,0))))</f>
        <v>4</v>
      </c>
      <c r="M50" s="34">
        <f>IF(AND(ABS((M12-L12)-('Input data'!M13-'Input data'!L13))&gt;0.0001,ABS(M12-L12)&gt;0.0001,M$10&gt;$C$5),4,IF(L50=4,3,IF(L50=3,2,IF(L50=2,1,0))))</f>
        <v>4</v>
      </c>
      <c r="N50" s="34">
        <f>IF(AND(ABS((N12-M12)-('Input data'!N13-'Input data'!M13))&gt;0.0001,ABS(N12-M12)&gt;0.0001,N$10&gt;$C$5),4,IF(M50=4,3,IF(M50=3,2,IF(M50=2,1,0))))</f>
        <v>3</v>
      </c>
      <c r="O50" s="34">
        <f>IF(AND(ABS((O12-N12)-('Input data'!O13-'Input data'!N13))&gt;0.0001,ABS(O12-N12)&gt;0.0001,O$10&gt;$C$5),4,IF(N50=4,3,IF(N50=3,2,IF(N50=2,1,0))))</f>
        <v>2</v>
      </c>
      <c r="P50" s="34">
        <f>IF(AND(ABS((P12-O12)-('Input data'!P13-'Input data'!O13))&gt;0.0001,ABS(P12-O12)&gt;0.0001,P$10&gt;$C$5),4,IF(O50=4,3,IF(O50=3,2,IF(O50=2,1,0))))</f>
        <v>1</v>
      </c>
      <c r="Q50" s="34">
        <f>IF(AND(ABS((Q12-P12)-('Input data'!Q13-'Input data'!P13))&gt;0.0001,ABS(Q12-P12)&gt;0.0001,Q$10&gt;$C$5),4,IF(P50=4,3,IF(P50=3,2,IF(P50=2,1,0))))</f>
        <v>0</v>
      </c>
      <c r="R50" s="34">
        <f>IF(AND(ABS((R12-Q12)-('Input data'!R13-'Input data'!Q13))&gt;0.0001,ABS(R12-Q12)&gt;0.0001,R$10&gt;$C$5),4,IF(Q50=4,3,IF(Q50=3,2,IF(Q50=2,1,0))))</f>
        <v>0</v>
      </c>
      <c r="S50" s="34">
        <f>IF(AND(ABS((S12-R12)-('Input data'!S13-'Input data'!R13))&gt;0.0001,ABS(S12-R12)&gt;0.0001,S$10&gt;$C$5),4,IF(R50=4,3,IF(R50=3,2,IF(R50=2,1,0))))</f>
        <v>0</v>
      </c>
      <c r="T50" s="34">
        <f>IF(AND(ABS((T12-S12)-('Input data'!T13-'Input data'!S13))&gt;0.0001,ABS(T12-S12)&gt;0.0001,T$10&gt;$C$5),4,IF(S50=4,3,IF(S50=3,2,IF(S50=2,1,0))))</f>
        <v>0</v>
      </c>
      <c r="U50" s="34">
        <f>IF(AND(ABS((U12-T12)-('Input data'!U13-'Input data'!T13))&gt;0.0001,ABS(U12-T12)&gt;0.0001,U$10&gt;$C$5),4,IF(T50=4,3,IF(T50=3,2,IF(T50=2,1,0))))</f>
        <v>0</v>
      </c>
      <c r="V50" s="34">
        <f>IF(AND(ABS((V12-U12)-('Input data'!V13-'Input data'!U13))&gt;0.0001,ABS(V12-U12)&gt;0.0001,V$10&gt;$C$5),4,IF(U50=4,3,IF(U50=3,2,IF(U50=2,1,0))))</f>
        <v>0</v>
      </c>
      <c r="W50" s="34">
        <f>IF(AND(ABS((W12-V12)-('Input data'!W13-'Input data'!V13))&gt;0.0001,ABS(W12-V12)&gt;0.0001,W$10&gt;$C$5),4,IF(V50=4,3,IF(V50=3,2,IF(V50=2,1,0))))</f>
        <v>0</v>
      </c>
      <c r="X50" s="34"/>
      <c r="Y50" s="34"/>
      <c r="Z50" s="34"/>
      <c r="AA50" s="34"/>
      <c r="AB50" s="34"/>
      <c r="AC50" s="34"/>
      <c r="AD50" s="34"/>
      <c r="AE50" s="34"/>
      <c r="AF50" s="34"/>
      <c r="AG50" s="34"/>
      <c r="AH50" s="34"/>
      <c r="AI50" s="34"/>
      <c r="AJ50" s="34"/>
      <c r="AK50" s="34"/>
      <c r="AL50" s="34"/>
      <c r="AM50" s="34"/>
      <c r="AN50" s="34"/>
      <c r="AO50" s="34"/>
      <c r="AP50" s="34"/>
      <c r="AQ50" s="34"/>
      <c r="AR50" s="34"/>
      <c r="AS50" s="34"/>
      <c r="AT50" s="34"/>
      <c r="AU50" s="34"/>
      <c r="AV50" s="34"/>
    </row>
    <row r="51" spans="2:48" outlineLevel="1" x14ac:dyDescent="0.2">
      <c r="B51" s="26" t="s">
        <v>101</v>
      </c>
      <c r="C51" s="34">
        <v>0</v>
      </c>
      <c r="D51" s="34">
        <f t="shared" ref="D51:W51" si="8">IF(C50=4,2/3*C30,IF(C50=3,1/3*B30,0))</f>
        <v>0</v>
      </c>
      <c r="E51" s="34">
        <f t="shared" si="8"/>
        <v>0</v>
      </c>
      <c r="F51" s="34">
        <f t="shared" si="8"/>
        <v>0</v>
      </c>
      <c r="G51" s="34">
        <f t="shared" si="8"/>
        <v>0</v>
      </c>
      <c r="H51" s="34">
        <f t="shared" si="8"/>
        <v>-1.992417592558541</v>
      </c>
      <c r="I51" s="34">
        <f t="shared" si="8"/>
        <v>-2.0990913899418131</v>
      </c>
      <c r="J51" s="34">
        <f t="shared" si="8"/>
        <v>-2.1696873534629901</v>
      </c>
      <c r="K51" s="34">
        <f t="shared" si="8"/>
        <v>-2.2155160805045129</v>
      </c>
      <c r="L51" s="34">
        <f t="shared" si="8"/>
        <v>-2.2459540416132739</v>
      </c>
      <c r="M51" s="34">
        <f t="shared" si="8"/>
        <v>-2.2660582282626462</v>
      </c>
      <c r="N51" s="34">
        <f t="shared" si="8"/>
        <v>-2.2790131422691777</v>
      </c>
      <c r="O51" s="34">
        <f t="shared" si="8"/>
        <v>-1.1395065711345889</v>
      </c>
      <c r="P51" s="34">
        <f t="shared" si="8"/>
        <v>0</v>
      </c>
      <c r="Q51" s="34">
        <f t="shared" si="8"/>
        <v>0</v>
      </c>
      <c r="R51" s="34">
        <f t="shared" si="8"/>
        <v>0</v>
      </c>
      <c r="S51" s="34">
        <f t="shared" si="8"/>
        <v>0</v>
      </c>
      <c r="T51" s="34">
        <f t="shared" si="8"/>
        <v>0</v>
      </c>
      <c r="U51" s="34">
        <f t="shared" si="8"/>
        <v>0</v>
      </c>
      <c r="V51" s="34">
        <f t="shared" si="8"/>
        <v>0</v>
      </c>
      <c r="W51" s="34">
        <f t="shared" si="8"/>
        <v>0</v>
      </c>
      <c r="X51" s="34"/>
      <c r="Y51" s="34"/>
      <c r="Z51" s="34"/>
      <c r="AA51" s="34"/>
      <c r="AB51" s="34"/>
      <c r="AC51" s="34"/>
      <c r="AD51" s="34"/>
      <c r="AE51" s="34"/>
      <c r="AF51" s="34"/>
      <c r="AG51" s="34"/>
      <c r="AH51" s="34"/>
      <c r="AI51" s="34"/>
      <c r="AJ51" s="34"/>
      <c r="AK51" s="34"/>
      <c r="AL51" s="34"/>
      <c r="AM51" s="34"/>
      <c r="AN51" s="34"/>
      <c r="AO51" s="34"/>
      <c r="AP51" s="34"/>
      <c r="AQ51" s="34"/>
      <c r="AR51" s="34"/>
      <c r="AS51" s="34"/>
      <c r="AT51" s="34"/>
      <c r="AU51" s="34"/>
      <c r="AV51" s="34"/>
    </row>
    <row r="52" spans="2:48" outlineLevel="1" x14ac:dyDescent="0.2">
      <c r="B52" s="26" t="s">
        <v>102</v>
      </c>
      <c r="C52" s="34"/>
      <c r="D52" s="34">
        <f>'Input data'!D30-$C$47*((D12-C12)-('Input data'!D13-'Input data'!C13))</f>
        <v>1.335467</v>
      </c>
      <c r="E52" s="34">
        <f>'Input data'!E30-$C$47*((E12-D12)-('Input data'!E13-'Input data'!D13))</f>
        <v>-1.0353760000000001</v>
      </c>
      <c r="F52" s="34">
        <f>'Input data'!F30-$C$47*((F12-E12)-('Input data'!F13-'Input data'!E13))</f>
        <v>3.9589600000000003E-2</v>
      </c>
      <c r="G52" s="34">
        <f>'Input data'!G30-$C$47*((G12-F12))</f>
        <v>0.45803499999999975</v>
      </c>
      <c r="H52" s="34">
        <f>'Input data'!H30-$C$47*((H12-G12))</f>
        <v>0.11028499999999974</v>
      </c>
      <c r="I52" s="34">
        <f>'Input data'!I30-$C$47*((I12-H12))</f>
        <v>0.21461499999999978</v>
      </c>
      <c r="J52" s="34">
        <f>'Input data'!J30-$C$47*((J12-I12))</f>
        <v>-0.15120199999999984</v>
      </c>
      <c r="K52" s="34">
        <f>'Input data'!K30-$C$47*((K12-J12))</f>
        <v>-0.61861879999999969</v>
      </c>
      <c r="L52" s="34">
        <f>'Input data'!L30-$C$47*((L12-K12))</f>
        <v>-0.64156019999999969</v>
      </c>
      <c r="M52" s="34">
        <f>'Input data'!M30-$C$47*((M12-L12))</f>
        <v>-0.61434389999999972</v>
      </c>
      <c r="N52" s="34">
        <f>'Input data'!N30-$C$47*((N12-M12))</f>
        <v>0.65826850000000003</v>
      </c>
      <c r="O52" s="34">
        <f>'Input data'!O30-$C$47*((O12-N12))</f>
        <v>0.68445089999999997</v>
      </c>
      <c r="P52" s="34">
        <f>'Input data'!P30-$C$47*((P12-O12))</f>
        <v>0.88988429999999996</v>
      </c>
      <c r="Q52" s="34">
        <f>'Input data'!Q30-$C$47*((Q12-P12))</f>
        <v>1.09531</v>
      </c>
      <c r="R52" s="34">
        <f>'Input data'!R30-$C$47*((R12-Q12))</f>
        <v>1.3007420000000001</v>
      </c>
      <c r="S52" s="34">
        <f>'Input data'!S30-$C$47*((S12-R12))</f>
        <v>1.375005</v>
      </c>
      <c r="T52" s="34">
        <f>'Input data'!T30-$C$47*((T12-S12))</f>
        <v>1.4239539999999999</v>
      </c>
      <c r="U52" s="34">
        <f>'Input data'!U30-$C$47*((U12-T12))</f>
        <v>1.4860420000000001</v>
      </c>
      <c r="V52" s="34">
        <f>'Input data'!V30-$C$47*((V12-U12))</f>
        <v>1.5330820000000001</v>
      </c>
      <c r="W52" s="34">
        <f>'Input data'!W30-$C$47*((W12-V12))</f>
        <v>1.4883029999999999</v>
      </c>
      <c r="X52" s="34"/>
      <c r="Y52" s="34"/>
      <c r="Z52" s="34"/>
      <c r="AA52" s="34"/>
      <c r="AB52" s="34"/>
      <c r="AC52" s="34"/>
      <c r="AD52" s="34"/>
      <c r="AE52" s="34"/>
      <c r="AF52" s="34"/>
      <c r="AG52" s="34"/>
      <c r="AH52" s="34"/>
      <c r="AI52" s="34"/>
      <c r="AJ52" s="34"/>
      <c r="AK52" s="34"/>
      <c r="AL52" s="34"/>
      <c r="AM52" s="34"/>
      <c r="AN52" s="34"/>
      <c r="AO52" s="34"/>
      <c r="AP52" s="34"/>
      <c r="AQ52" s="34"/>
      <c r="AR52" s="34"/>
      <c r="AS52" s="34"/>
      <c r="AT52" s="34"/>
      <c r="AU52" s="34"/>
      <c r="AV52" s="34"/>
    </row>
    <row r="53" spans="2:48" x14ac:dyDescent="0.2">
      <c r="C53" s="36"/>
    </row>
    <row r="54" spans="2:48" s="67" customFormat="1" ht="12.75" outlineLevel="1" x14ac:dyDescent="0.2">
      <c r="B54" s="72" t="s">
        <v>103</v>
      </c>
      <c r="C54" s="69"/>
      <c r="E54" s="70"/>
      <c r="F54" s="69"/>
    </row>
    <row r="55" spans="2:48" outlineLevel="1" x14ac:dyDescent="0.2">
      <c r="B55" s="43"/>
      <c r="C55" s="29"/>
      <c r="E55" s="44"/>
      <c r="F55" s="29"/>
    </row>
    <row r="56" spans="2:48" outlineLevel="1" x14ac:dyDescent="0.2">
      <c r="B56" s="85"/>
      <c r="C56" s="86">
        <v>2021</v>
      </c>
      <c r="D56" s="86">
        <v>2022</v>
      </c>
      <c r="E56" s="86">
        <v>2023</v>
      </c>
      <c r="F56" s="86">
        <v>2024</v>
      </c>
      <c r="G56" s="86">
        <v>2025</v>
      </c>
      <c r="H56" s="86">
        <v>2026</v>
      </c>
      <c r="I56" s="86">
        <v>2027</v>
      </c>
      <c r="J56" s="86">
        <v>2028</v>
      </c>
      <c r="K56" s="86">
        <v>2029</v>
      </c>
      <c r="L56" s="86">
        <v>2030</v>
      </c>
      <c r="M56" s="86">
        <v>2031</v>
      </c>
      <c r="N56" s="86">
        <v>2032</v>
      </c>
      <c r="O56" s="86">
        <v>2033</v>
      </c>
      <c r="P56" s="86">
        <v>2034</v>
      </c>
      <c r="Q56" s="86">
        <v>2035</v>
      </c>
      <c r="R56" s="86">
        <v>2036</v>
      </c>
      <c r="S56" s="86">
        <v>2037</v>
      </c>
      <c r="T56" s="86">
        <v>2038</v>
      </c>
      <c r="U56" s="86">
        <v>2039</v>
      </c>
      <c r="V56" s="86">
        <v>2040</v>
      </c>
      <c r="W56" s="86">
        <v>2041</v>
      </c>
    </row>
    <row r="57" spans="2:48" ht="10.5" customHeight="1" outlineLevel="1" x14ac:dyDescent="0.2">
      <c r="B57" s="87" t="s">
        <v>104</v>
      </c>
      <c r="C57" s="45">
        <f>+'Input data'!C12</f>
        <v>72.584819999999993</v>
      </c>
      <c r="D57" s="45">
        <f>+C57+D58</f>
        <v>73.511610584961744</v>
      </c>
      <c r="E57" s="45">
        <f>+D57+E58</f>
        <v>75.830716179102311</v>
      </c>
      <c r="F57" s="45">
        <f>+E57+F58</f>
        <v>80.48745186650369</v>
      </c>
      <c r="G57" s="45">
        <f>+F57+G58</f>
        <v>82.275441313739478</v>
      </c>
      <c r="H57" s="45">
        <f t="shared" ref="H57:S57" si="9">+G57+H58</f>
        <v>82.541625659639379</v>
      </c>
      <c r="I57" s="45">
        <f t="shared" si="9"/>
        <v>81.323119123411445</v>
      </c>
      <c r="J57" s="45">
        <f t="shared" si="9"/>
        <v>78.420156567126583</v>
      </c>
      <c r="K57" s="45">
        <f t="shared" si="9"/>
        <v>73.904721542930275</v>
      </c>
      <c r="L57" s="45">
        <f t="shared" si="9"/>
        <v>67.775534644448115</v>
      </c>
      <c r="M57" s="45">
        <f t="shared" si="9"/>
        <v>60.02265064705545</v>
      </c>
      <c r="N57" s="45">
        <f t="shared" si="9"/>
        <v>50.912795362206339</v>
      </c>
      <c r="O57" s="45">
        <f t="shared" si="9"/>
        <v>41.14546213570047</v>
      </c>
      <c r="P57" s="45">
        <f t="shared" si="9"/>
        <v>30.707870482134656</v>
      </c>
      <c r="Q57" s="45">
        <f t="shared" si="9"/>
        <v>20.644235955781806</v>
      </c>
      <c r="R57" s="45">
        <f t="shared" si="9"/>
        <v>10.506159051487185</v>
      </c>
      <c r="S57" s="45">
        <f t="shared" si="9"/>
        <v>0.32439147746383945</v>
      </c>
      <c r="T57" s="45">
        <f>+S57+T58</f>
        <v>-9.9067114452036549</v>
      </c>
      <c r="U57" s="45">
        <f>+T57+U58</f>
        <v>-20.325474122218363</v>
      </c>
      <c r="V57" s="45">
        <f>+U57+V58</f>
        <v>-30.937795087869354</v>
      </c>
      <c r="W57" s="45">
        <f>+V57+W58</f>
        <v>-41.757753136093065</v>
      </c>
      <c r="X57" s="38"/>
      <c r="Y57" s="38"/>
      <c r="Z57" s="38"/>
      <c r="AA57" s="38"/>
      <c r="AB57" s="38"/>
      <c r="AC57" s="38"/>
      <c r="AD57" s="38"/>
      <c r="AE57" s="38"/>
      <c r="AF57" s="38"/>
      <c r="AG57" s="38"/>
      <c r="AH57" s="38"/>
      <c r="AI57" s="38"/>
      <c r="AJ57" s="38"/>
      <c r="AK57" s="38"/>
      <c r="AL57" s="38"/>
      <c r="AM57" s="38"/>
      <c r="AN57" s="38"/>
      <c r="AO57" s="38"/>
      <c r="AP57" s="38"/>
      <c r="AQ57" s="38"/>
      <c r="AR57" s="38"/>
      <c r="AS57" s="38"/>
      <c r="AT57" s="38"/>
      <c r="AU57" s="38"/>
      <c r="AV57" s="38"/>
    </row>
    <row r="58" spans="2:48" outlineLevel="1" x14ac:dyDescent="0.2">
      <c r="B58" s="88" t="s">
        <v>105</v>
      </c>
      <c r="C58" s="47"/>
      <c r="D58" s="47">
        <f>-D59+D67+D72</f>
        <v>0.92679058496175504</v>
      </c>
      <c r="E58" s="47">
        <f>-E59+E67+E72</f>
        <v>2.3191055941405705</v>
      </c>
      <c r="F58" s="47">
        <f>-F59+F67+F72</f>
        <v>4.6567356874013797</v>
      </c>
      <c r="G58" s="47">
        <f>-G59+G67+G72</f>
        <v>1.7879894472357885</v>
      </c>
      <c r="H58" s="47">
        <f t="shared" ref="H58:S58" si="10">-H59+H67+H72</f>
        <v>0.26618434589989648</v>
      </c>
      <c r="I58" s="47">
        <f t="shared" si="10"/>
        <v>-1.2185065362279388</v>
      </c>
      <c r="J58" s="47">
        <f t="shared" si="10"/>
        <v>-2.9029625562848693</v>
      </c>
      <c r="K58" s="47">
        <f t="shared" si="10"/>
        <v>-4.5154350241963126</v>
      </c>
      <c r="L58" s="47">
        <f t="shared" si="10"/>
        <v>-6.129186898482164</v>
      </c>
      <c r="M58" s="47">
        <f t="shared" si="10"/>
        <v>-7.7528839973926669</v>
      </c>
      <c r="N58" s="47">
        <f t="shared" si="10"/>
        <v>-9.1098552848491074</v>
      </c>
      <c r="O58" s="47">
        <f t="shared" si="10"/>
        <v>-9.767333226505869</v>
      </c>
      <c r="P58" s="47">
        <f t="shared" si="10"/>
        <v>-10.437591653565814</v>
      </c>
      <c r="Q58" s="47">
        <f t="shared" si="10"/>
        <v>-10.06363452635285</v>
      </c>
      <c r="R58" s="47">
        <f t="shared" si="10"/>
        <v>-10.138076904294621</v>
      </c>
      <c r="S58" s="47">
        <f t="shared" si="10"/>
        <v>-10.181767574023345</v>
      </c>
      <c r="T58" s="47">
        <f>-T59+T67+T72</f>
        <v>-10.231102922667494</v>
      </c>
      <c r="U58" s="47">
        <f>-U59+U67+U72</f>
        <v>-10.418762677014708</v>
      </c>
      <c r="V58" s="47">
        <f>-V59+V67+V72</f>
        <v>-10.612320965650992</v>
      </c>
      <c r="W58" s="47">
        <f>-W59+W67+W72</f>
        <v>-10.819958048223709</v>
      </c>
    </row>
    <row r="59" spans="2:48" outlineLevel="1" x14ac:dyDescent="0.2">
      <c r="B59" s="84" t="s">
        <v>106</v>
      </c>
      <c r="C59" s="48"/>
      <c r="D59" s="48">
        <f>D60+D61-D62-D63-D64-D65-D66</f>
        <v>0.20695241503824502</v>
      </c>
      <c r="E59" s="48">
        <f>E60+E61-E62-E63-E64-E65-E66</f>
        <v>-1.5524595941405703</v>
      </c>
      <c r="F59" s="48">
        <f t="shared" ref="F59:R59" si="11">F60+F61-F62-F63-F64-F65-F66</f>
        <v>-2.1718214874013797</v>
      </c>
      <c r="G59" s="48">
        <f t="shared" si="11"/>
        <v>-0.66948385830360624</v>
      </c>
      <c r="H59" s="48">
        <f t="shared" si="11"/>
        <v>0.83738991658079742</v>
      </c>
      <c r="I59" s="48">
        <f t="shared" si="11"/>
        <v>2.3757596404268098</v>
      </c>
      <c r="J59" s="48">
        <f t="shared" si="11"/>
        <v>3.9357511617195602</v>
      </c>
      <c r="K59" s="48">
        <f t="shared" si="11"/>
        <v>5.5091788216716111</v>
      </c>
      <c r="L59" s="48">
        <f t="shared" si="11"/>
        <v>7.091627866726709</v>
      </c>
      <c r="M59" s="48">
        <f t="shared" si="11"/>
        <v>8.680318226799006</v>
      </c>
      <c r="N59" s="48">
        <f t="shared" si="11"/>
        <v>9.3159920511993359</v>
      </c>
      <c r="O59" s="48">
        <f t="shared" si="11"/>
        <v>9.9892248755996746</v>
      </c>
      <c r="P59" s="48">
        <f t="shared" si="11"/>
        <v>10.662017700000002</v>
      </c>
      <c r="Q59" s="48">
        <f t="shared" si="11"/>
        <v>10.680135972916966</v>
      </c>
      <c r="R59" s="48">
        <f t="shared" si="11"/>
        <v>10.714225398390095</v>
      </c>
      <c r="S59" s="48">
        <f>S60+S61-S62-S63-S64-S65-S66</f>
        <v>10.767244101966222</v>
      </c>
      <c r="T59" s="48">
        <f>T60+T61-T62-T63-T64-T65-T66</f>
        <v>10.836005249624021</v>
      </c>
      <c r="U59" s="48">
        <f>U60+U61-U62-U63-U64-U65-U66</f>
        <v>10.91898467614619</v>
      </c>
      <c r="V59" s="48">
        <f>V60+V61-V62-V63-V64-V65-V66</f>
        <v>11.000926968994868</v>
      </c>
      <c r="W59" s="48">
        <f>W60+W61-W62-W63-W64-W65-W66</f>
        <v>11.066157542459948</v>
      </c>
    </row>
    <row r="60" spans="2:48" outlineLevel="1" x14ac:dyDescent="0.2">
      <c r="B60" s="79" t="s">
        <v>107</v>
      </c>
      <c r="C60" s="1"/>
      <c r="D60" s="1">
        <f>D12</f>
        <v>0.29205680000000001</v>
      </c>
      <c r="E60" s="1">
        <f>E12</f>
        <v>-0.2445959</v>
      </c>
      <c r="F60" s="1">
        <f>F12</f>
        <v>-0.53010330000000006</v>
      </c>
      <c r="G60" s="1">
        <f t="shared" ref="G60:W60" si="12">IF(G12="",F60,G12)</f>
        <v>1.0698967000000001</v>
      </c>
      <c r="H60" s="1">
        <f t="shared" si="12"/>
        <v>2.6698967000000002</v>
      </c>
      <c r="I60" s="1">
        <f t="shared" si="12"/>
        <v>4.2698967000000003</v>
      </c>
      <c r="J60" s="1">
        <f t="shared" si="12"/>
        <v>5.8698967</v>
      </c>
      <c r="K60" s="1">
        <f t="shared" si="12"/>
        <v>7.4698966999999996</v>
      </c>
      <c r="L60" s="1">
        <f t="shared" si="12"/>
        <v>9.0698966999999993</v>
      </c>
      <c r="M60" s="1">
        <f t="shared" si="12"/>
        <v>10.669896699999999</v>
      </c>
      <c r="N60" s="1">
        <f t="shared" si="12"/>
        <v>10.669896699999999</v>
      </c>
      <c r="O60" s="1">
        <f t="shared" si="12"/>
        <v>10.669896699999999</v>
      </c>
      <c r="P60" s="1">
        <f t="shared" si="12"/>
        <v>10.669896699999999</v>
      </c>
      <c r="Q60" s="1">
        <f t="shared" si="12"/>
        <v>10.669896699999999</v>
      </c>
      <c r="R60" s="1">
        <f t="shared" si="12"/>
        <v>10.669896699999999</v>
      </c>
      <c r="S60" s="1">
        <f t="shared" si="12"/>
        <v>10.669896699999999</v>
      </c>
      <c r="T60" s="1">
        <f t="shared" si="12"/>
        <v>10.669896699999999</v>
      </c>
      <c r="U60" s="1">
        <f t="shared" si="12"/>
        <v>10.669896699999999</v>
      </c>
      <c r="V60" s="1">
        <f t="shared" si="12"/>
        <v>10.669896699999999</v>
      </c>
      <c r="W60" s="1">
        <f t="shared" si="12"/>
        <v>10.669896699999999</v>
      </c>
    </row>
    <row r="61" spans="2:48" outlineLevel="1" x14ac:dyDescent="0.2">
      <c r="B61" s="79" t="s">
        <v>108</v>
      </c>
      <c r="C61" s="1"/>
      <c r="D61" s="1">
        <v>0</v>
      </c>
      <c r="E61" s="1">
        <v>0</v>
      </c>
      <c r="F61" s="1">
        <v>0</v>
      </c>
      <c r="G61" s="1">
        <v>0</v>
      </c>
      <c r="H61" s="1">
        <v>0</v>
      </c>
      <c r="I61" s="1">
        <v>0</v>
      </c>
      <c r="J61" s="1">
        <v>0</v>
      </c>
      <c r="K61" s="1">
        <v>0</v>
      </c>
      <c r="L61" s="1">
        <v>0</v>
      </c>
      <c r="M61" s="1">
        <v>0</v>
      </c>
      <c r="N61" s="1">
        <v>0</v>
      </c>
      <c r="O61" s="1">
        <v>0</v>
      </c>
      <c r="P61" s="1">
        <v>0</v>
      </c>
      <c r="Q61" s="1">
        <v>0</v>
      </c>
      <c r="R61" s="1">
        <v>0</v>
      </c>
      <c r="S61" s="1">
        <v>0</v>
      </c>
      <c r="T61" s="1">
        <v>0</v>
      </c>
      <c r="U61" s="1">
        <v>0</v>
      </c>
      <c r="V61" s="1">
        <v>0</v>
      </c>
      <c r="W61" s="1">
        <v>0</v>
      </c>
    </row>
    <row r="62" spans="2:48" outlineLevel="1" x14ac:dyDescent="0.2">
      <c r="B62" s="79" t="s">
        <v>109</v>
      </c>
      <c r="C62" s="1"/>
      <c r="D62" s="1">
        <f t="shared" ref="D62:W62" si="13">-$C$48*D30</f>
        <v>8.5104384961754986E-2</v>
      </c>
      <c r="E62" s="1">
        <f t="shared" si="13"/>
        <v>1.3078636941405704</v>
      </c>
      <c r="F62" s="1">
        <f t="shared" si="13"/>
        <v>1.6417181874013795</v>
      </c>
      <c r="G62" s="1">
        <f t="shared" si="13"/>
        <v>1.7393805583036064</v>
      </c>
      <c r="H62" s="1">
        <f t="shared" si="13"/>
        <v>1.8325067834192028</v>
      </c>
      <c r="I62" s="1">
        <f t="shared" si="13"/>
        <v>1.8941370595731903</v>
      </c>
      <c r="J62" s="1">
        <f t="shared" si="13"/>
        <v>1.9341455382804398</v>
      </c>
      <c r="K62" s="1">
        <f t="shared" si="13"/>
        <v>1.9607178783283881</v>
      </c>
      <c r="L62" s="1">
        <f t="shared" si="13"/>
        <v>1.9782688332732901</v>
      </c>
      <c r="M62" s="1">
        <f>-$C$48*M30</f>
        <v>1.9895784732009922</v>
      </c>
      <c r="N62" s="1">
        <f t="shared" si="13"/>
        <v>1.3263856488006638</v>
      </c>
      <c r="O62" s="1">
        <f t="shared" si="13"/>
        <v>0.66319282440032856</v>
      </c>
      <c r="P62" s="1">
        <f t="shared" si="13"/>
        <v>0</v>
      </c>
      <c r="Q62" s="1">
        <f t="shared" si="13"/>
        <v>1.7270830364513045E-6</v>
      </c>
      <c r="R62" s="1">
        <f t="shared" si="13"/>
        <v>2.3016099033990043E-6</v>
      </c>
      <c r="S62" s="1">
        <f t="shared" si="13"/>
        <v>4.5980337761930553E-6</v>
      </c>
      <c r="T62" s="1">
        <f t="shared" si="13"/>
        <v>3.4503759778647944E-6</v>
      </c>
      <c r="U62" s="1">
        <f>-$C$48*U30</f>
        <v>4.0238538076886593E-6</v>
      </c>
      <c r="V62" s="1">
        <f t="shared" si="13"/>
        <v>1.7310051334318287E-6</v>
      </c>
      <c r="W62" s="1">
        <f t="shared" si="13"/>
        <v>1.1575400521435242E-6</v>
      </c>
    </row>
    <row r="63" spans="2:48" outlineLevel="1" x14ac:dyDescent="0.2">
      <c r="B63" s="79" t="s">
        <v>110</v>
      </c>
      <c r="C63" s="1"/>
      <c r="D63" s="1">
        <f t="shared" ref="D63:W63" si="14">-D14</f>
        <v>0</v>
      </c>
      <c r="E63" s="1">
        <f t="shared" si="14"/>
        <v>0</v>
      </c>
      <c r="F63" s="1">
        <f t="shared" si="14"/>
        <v>0</v>
      </c>
      <c r="G63" s="1">
        <f t="shared" si="14"/>
        <v>0</v>
      </c>
      <c r="H63" s="1">
        <f t="shared" si="14"/>
        <v>0</v>
      </c>
      <c r="I63" s="1">
        <f t="shared" si="14"/>
        <v>0</v>
      </c>
      <c r="J63" s="1">
        <f t="shared" si="14"/>
        <v>0</v>
      </c>
      <c r="K63" s="1">
        <f t="shared" si="14"/>
        <v>0</v>
      </c>
      <c r="L63" s="1">
        <f t="shared" si="14"/>
        <v>0</v>
      </c>
      <c r="M63" s="1">
        <f t="shared" si="14"/>
        <v>0</v>
      </c>
      <c r="N63" s="1">
        <f t="shared" si="14"/>
        <v>0</v>
      </c>
      <c r="O63" s="1">
        <f t="shared" si="14"/>
        <v>0</v>
      </c>
      <c r="P63" s="1">
        <f t="shared" si="14"/>
        <v>0</v>
      </c>
      <c r="Q63" s="1">
        <f t="shared" si="14"/>
        <v>0</v>
      </c>
      <c r="R63" s="1">
        <f t="shared" si="14"/>
        <v>0</v>
      </c>
      <c r="S63" s="1">
        <f t="shared" si="14"/>
        <v>0</v>
      </c>
      <c r="T63" s="1">
        <f t="shared" si="14"/>
        <v>0</v>
      </c>
      <c r="U63" s="1">
        <f t="shared" si="14"/>
        <v>0</v>
      </c>
      <c r="V63" s="1">
        <f t="shared" si="14"/>
        <v>0</v>
      </c>
      <c r="W63" s="1">
        <f t="shared" si="14"/>
        <v>0</v>
      </c>
    </row>
    <row r="64" spans="2:48" outlineLevel="1" x14ac:dyDescent="0.2">
      <c r="B64" s="79" t="s">
        <v>111</v>
      </c>
      <c r="C64" s="1"/>
      <c r="D64" s="1">
        <f>IF(D$56&lt;=$C$6,0,HLOOKUP(D$56,'Input data'!$C$9:$BB$26,12,FALSE)-HLOOKUP($C$6,'Input data'!$C$9:$BB$26,12,FALSE))</f>
        <v>0</v>
      </c>
      <c r="E64" s="1">
        <f>IF(E$56&lt;=$C$6,0,HLOOKUP(E$56,'Input data'!$C$9:$BB$26,12,FALSE)-HLOOKUP($C$6,'Input data'!$C$9:$BB$26,12,FALSE))</f>
        <v>0</v>
      </c>
      <c r="F64" s="1">
        <f>IF(F$56&lt;=$C$6,0,HLOOKUP(F$56,'Input data'!$C$9:$BB$26,12,FALSE)-HLOOKUP($C$6,'Input data'!$C$9:$BB$26,12,FALSE))</f>
        <v>0</v>
      </c>
      <c r="G64" s="1">
        <f>IF(G$56&lt;=$C$6,0,HLOOKUP(G$56,'Input data'!$C$9:$BB$26,12,FALSE)-HLOOKUP($C$6,'Input data'!$C$9:$BB$26,12,FALSE))</f>
        <v>0</v>
      </c>
      <c r="H64" s="1">
        <f>IF(H$56&lt;=$C$6,0,HLOOKUP(H$56,'Input data'!$C$9:$BB$26,12,FALSE)-HLOOKUP($C$6,'Input data'!$C$9:$BB$26,12,FALSE))</f>
        <v>0</v>
      </c>
      <c r="I64" s="1">
        <f>IF(I$56&lt;=$C$6,0,HLOOKUP(I$56,'Input data'!$C$9:$BB$26,12,FALSE)-HLOOKUP($C$6,'Input data'!$C$9:$BB$26,12,FALSE))</f>
        <v>0</v>
      </c>
      <c r="J64" s="1">
        <f>IF(J$56&lt;=$C$6,0,HLOOKUP(J$56,'Input data'!$C$9:$BB$26,12,FALSE)-HLOOKUP($C$6,'Input data'!$C$9:$BB$26,12,FALSE))</f>
        <v>0</v>
      </c>
      <c r="K64" s="1">
        <f>IF(K$56&lt;=$C$6,0,HLOOKUP(K$56,'Input data'!$C$9:$BB$26,12,FALSE)-HLOOKUP($C$6,'Input data'!$C$9:$BB$26,12,FALSE))</f>
        <v>0</v>
      </c>
      <c r="L64" s="1">
        <f>IF(L$56&lt;=$C$6,0,HLOOKUP(L$56,'Input data'!$C$9:$BB$26,12,FALSE)-HLOOKUP($C$6,'Input data'!$C$9:$BB$26,12,FALSE))</f>
        <v>0</v>
      </c>
      <c r="M64" s="1">
        <f>IF(M$56&lt;=$C$6,0,HLOOKUP(M$56,'Input data'!$C$9:$BB$26,12,FALSE)-HLOOKUP($C$6,'Input data'!$C$9:$BB$26,12,FALSE))</f>
        <v>0</v>
      </c>
      <c r="N64" s="1">
        <f>IF(N$56&lt;=$C$6,0,HLOOKUP(N$56,'Input data'!$C$9:$BB$26,12,FALSE)-HLOOKUP($C$6,'Input data'!$C$9:$BB$26,12,FALSE))</f>
        <v>3.416999999999959E-2</v>
      </c>
      <c r="O64" s="1">
        <f>IF(O$56&lt;=$C$6,0,HLOOKUP(O$56,'Input data'!$C$9:$BB$26,12,FALSE)-HLOOKUP($C$6,'Input data'!$C$9:$BB$26,12,FALSE))</f>
        <v>3.0779999999996477E-2</v>
      </c>
      <c r="P64" s="1">
        <f>IF(P$56&lt;=$C$6,0,HLOOKUP(P$56,'Input data'!$C$9:$BB$26,12,FALSE)-HLOOKUP($C$6,'Input data'!$C$9:$BB$26,12,FALSE))</f>
        <v>2.7829999999998023E-2</v>
      </c>
      <c r="Q64" s="1">
        <f>IF(Q$56&lt;=$C$6,0,HLOOKUP(Q$56,'Input data'!$C$9:$BB$26,12,FALSE)-HLOOKUP($C$6,'Input data'!$C$9:$BB$26,12,FALSE))</f>
        <v>1.6359999999995267E-2</v>
      </c>
      <c r="R64" s="1">
        <f>IF(R$56&lt;=$C$6,0,HLOOKUP(R$56,'Input data'!$C$9:$BB$26,12,FALSE)-HLOOKUP($C$6,'Input data'!$C$9:$BB$26,12,FALSE))</f>
        <v>-1.1079999999999757E-2</v>
      </c>
      <c r="S64" s="1">
        <f>IF(S$56&lt;=$C$6,0,HLOOKUP(S$56,'Input data'!$C$9:$BB$26,12,FALSE)-HLOOKUP($C$6,'Input data'!$C$9:$BB$26,12,FALSE))</f>
        <v>-5.7449999999999335E-2</v>
      </c>
      <c r="T64" s="1">
        <f>IF(T$56&lt;=$C$6,0,HLOOKUP(T$56,'Input data'!$C$9:$BB$26,12,FALSE)-HLOOKUP($C$6,'Input data'!$C$9:$BB$26,12,FALSE))</f>
        <v>-0.11955999999999989</v>
      </c>
      <c r="U64" s="1">
        <f>IF(U$56&lt;=$C$6,0,HLOOKUP(U$56,'Input data'!$C$9:$BB$26,12,FALSE)-HLOOKUP($C$6,'Input data'!$C$9:$BB$26,12,FALSE))</f>
        <v>-0.19588999999999857</v>
      </c>
      <c r="V64" s="1">
        <f>IF(V$56&lt;=$C$6,0,HLOOKUP(V$56,'Input data'!$C$9:$BB$26,12,FALSE)-HLOOKUP($C$6,'Input data'!$C$9:$BB$26,12,FALSE))</f>
        <v>-0.27118000000000109</v>
      </c>
      <c r="W64" s="1">
        <f>IF(W$56&lt;=$C$6,0,HLOOKUP(W$56,'Input data'!$C$9:$BB$26,12,FALSE)-HLOOKUP($C$6,'Input data'!$C$9:$BB$26,12,FALSE))</f>
        <v>-0.32976000000000028</v>
      </c>
    </row>
    <row r="65" spans="2:23" outlineLevel="1" x14ac:dyDescent="0.2">
      <c r="B65" s="79" t="s">
        <v>112</v>
      </c>
      <c r="C65" s="1"/>
      <c r="D65" s="1">
        <f>IF(D$56&lt;=$C$5,0,-HLOOKUP(D$56,'Input data'!$C$9:$BB$26,18,FALSE)+HLOOKUP($C$6,'Input data'!$C$9:$BB$26,18,FALSE))</f>
        <v>0</v>
      </c>
      <c r="E65" s="1">
        <f>IF(E$56&lt;=$C$5,0,-HLOOKUP(E$56,'Input data'!$C$9:$BB$26,18,FALSE)+HLOOKUP($C$6,'Input data'!$C$9:$BB$26,18,FALSE))</f>
        <v>0</v>
      </c>
      <c r="F65" s="1">
        <f>IF(F$56&lt;=$C$5,0,-HLOOKUP(F$56,'Input data'!$C$9:$BB$26,18,FALSE)+HLOOKUP($C$6,'Input data'!$C$9:$BB$26,18,FALSE))</f>
        <v>0</v>
      </c>
      <c r="G65" s="1">
        <f>IF(G$56&lt;=$C$6,0,-HLOOKUP(G$56,'Input data'!$C$9:$BB$26,18,FALSE)+HLOOKUP($C$6,'Input data'!$C$9:$BB$26,18,FALSE))</f>
        <v>0</v>
      </c>
      <c r="H65" s="1">
        <f>IF(H$56&lt;=$C$6,0,-HLOOKUP(H$56,'Input data'!$C$9:$BB$26,18,FALSE)+HLOOKUP($C$6,'Input data'!$C$9:$BB$26,18,FALSE))</f>
        <v>0</v>
      </c>
      <c r="I65" s="1">
        <f>IF(I$56&lt;=$C$6,0,-HLOOKUP(I$56,'Input data'!$C$9:$BB$26,18,FALSE)+HLOOKUP($C$6,'Input data'!$C$9:$BB$26,18,FALSE))</f>
        <v>0</v>
      </c>
      <c r="J65" s="1">
        <f>IF(J$56&lt;=$C$6,0,-HLOOKUP(J$56,'Input data'!$C$9:$BB$26,18,FALSE)+HLOOKUP($C$6,'Input data'!$C$9:$BB$26,18,FALSE))</f>
        <v>0</v>
      </c>
      <c r="K65" s="1">
        <f>IF(K$56&lt;=$C$6,0,-HLOOKUP(K$56,'Input data'!$C$9:$BB$26,18,FALSE)+HLOOKUP($C$6,'Input data'!$C$9:$BB$26,18,FALSE))</f>
        <v>0</v>
      </c>
      <c r="L65" s="1">
        <f>IF(L$56&lt;=$C$6,0,-HLOOKUP(L$56,'Input data'!$C$9:$BB$26,18,FALSE)+HLOOKUP($C$6,'Input data'!$C$9:$BB$26,18,FALSE))</f>
        <v>0</v>
      </c>
      <c r="M65" s="1">
        <f>IF(M$56&lt;=$C$6,0,-HLOOKUP(M$56,'Input data'!$C$9:$BB$26,18,FALSE)+HLOOKUP($C$6,'Input data'!$C$9:$BB$26,18,FALSE))</f>
        <v>0</v>
      </c>
      <c r="N65" s="1">
        <f>IF(N$56&lt;=$C$6,0,-HLOOKUP(N$56,'Input data'!$C$9:$BB$26,18,FALSE)+HLOOKUP($C$6,'Input data'!$C$9:$BB$26,18,FALSE))</f>
        <v>-6.6510000000001845E-3</v>
      </c>
      <c r="O65" s="1">
        <f>IF(O$56&lt;=$C$6,0,-HLOOKUP(O$56,'Input data'!$C$9:$BB$26,18,FALSE)+HLOOKUP($C$6,'Input data'!$C$9:$BB$26,18,FALSE))</f>
        <v>-1.3301000000000229E-2</v>
      </c>
      <c r="P65" s="1">
        <f>IF(P$56&lt;=$C$6,0,-HLOOKUP(P$56,'Input data'!$C$9:$BB$26,18,FALSE)+HLOOKUP($C$6,'Input data'!$C$9:$BB$26,18,FALSE))</f>
        <v>-1.9951000000000274E-2</v>
      </c>
      <c r="Q65" s="1">
        <f>IF(Q$56&lt;=$C$6,0,-HLOOKUP(Q$56,'Input data'!$C$9:$BB$26,18,FALSE)+HLOOKUP($C$6,'Input data'!$C$9:$BB$26,18,FALSE))</f>
        <v>-2.6600999999999875E-2</v>
      </c>
      <c r="R65" s="1">
        <f>IF(R$56&lt;=$C$6,0,-HLOOKUP(R$56,'Input data'!$C$9:$BB$26,18,FALSE)+HLOOKUP($C$6,'Input data'!$C$9:$BB$26,18,FALSE))</f>
        <v>-3.325099999999992E-2</v>
      </c>
      <c r="S65" s="1">
        <f>IF(S$56&lt;=$C$6,0,-HLOOKUP(S$56,'Input data'!$C$9:$BB$26,18,FALSE)+HLOOKUP($C$6,'Input data'!$C$9:$BB$26,18,FALSE))</f>
        <v>-3.9902000000000104E-2</v>
      </c>
      <c r="T65" s="1">
        <f>IF(T$56&lt;=$C$6,0,-HLOOKUP(T$56,'Input data'!$C$9:$BB$26,18,FALSE)+HLOOKUP($C$6,'Input data'!$C$9:$BB$26,18,FALSE))</f>
        <v>-4.6552000000000149E-2</v>
      </c>
      <c r="U65" s="263">
        <f>IF(U$56&lt;=$C$6,0,-HLOOKUP(U$56,'Input data'!$C$9:$BB$26,18,FALSE)+HLOOKUP($C$6,'Input data'!$C$9:$BB$26,18,FALSE))</f>
        <v>-5.3202000000000194E-2</v>
      </c>
      <c r="V65" s="263">
        <f>IF(V$56&lt;=$C$6,0,-HLOOKUP(V$56,'Input data'!$C$9:$BB$26,18,FALSE)+HLOOKUP($C$6,'Input data'!$C$9:$BB$26,18,FALSE))</f>
        <v>-5.9852000000000238E-2</v>
      </c>
      <c r="W65" s="263">
        <f>IF(W$56&lt;=$C$6,0,-HLOOKUP(W$56,'Input data'!$C$9:$BB$26,18,FALSE)+HLOOKUP($C$6,'Input data'!$C$9:$BB$26,18,FALSE))</f>
        <v>-6.6502000000000283E-2</v>
      </c>
    </row>
    <row r="66" spans="2:23" outlineLevel="1" x14ac:dyDescent="0.2">
      <c r="B66" s="79" t="s">
        <v>113</v>
      </c>
      <c r="C66" s="37"/>
      <c r="D66" s="37">
        <v>0</v>
      </c>
      <c r="E66" s="37">
        <v>0</v>
      </c>
      <c r="F66" s="37">
        <v>0</v>
      </c>
      <c r="G66" s="37">
        <v>0</v>
      </c>
      <c r="H66" s="37">
        <v>0</v>
      </c>
      <c r="I66" s="37">
        <v>0</v>
      </c>
      <c r="J66" s="37">
        <v>0</v>
      </c>
      <c r="K66" s="37">
        <v>0</v>
      </c>
      <c r="L66" s="37">
        <v>0</v>
      </c>
      <c r="M66" s="37">
        <v>0</v>
      </c>
      <c r="N66" s="37">
        <v>0</v>
      </c>
      <c r="O66" s="37">
        <v>0</v>
      </c>
      <c r="P66" s="37">
        <v>0</v>
      </c>
      <c r="Q66" s="37">
        <v>0</v>
      </c>
      <c r="R66" s="37">
        <v>0</v>
      </c>
      <c r="S66" s="37">
        <v>0</v>
      </c>
      <c r="T66" s="37">
        <v>0</v>
      </c>
      <c r="U66" s="264">
        <v>0</v>
      </c>
      <c r="V66" s="264">
        <v>0</v>
      </c>
      <c r="W66" s="264">
        <v>0</v>
      </c>
    </row>
    <row r="67" spans="2:23" outlineLevel="1" x14ac:dyDescent="0.2">
      <c r="B67" s="84" t="s">
        <v>114</v>
      </c>
      <c r="C67" s="48"/>
      <c r="D67" s="48">
        <f t="shared" ref="D67:O67" si="15">SUM(D68:D71)</f>
        <v>-4.0426919999999997</v>
      </c>
      <c r="E67" s="48">
        <f t="shared" si="15"/>
        <v>-1.511876</v>
      </c>
      <c r="F67" s="48">
        <f t="shared" si="15"/>
        <v>-0.13214980000000001</v>
      </c>
      <c r="G67" s="48">
        <f t="shared" si="15"/>
        <v>-0.5515054110678177</v>
      </c>
      <c r="H67" s="48">
        <f t="shared" si="15"/>
        <v>-0.58669873751930601</v>
      </c>
      <c r="I67" s="48">
        <f t="shared" si="15"/>
        <v>-0.54496189580112908</v>
      </c>
      <c r="J67" s="48">
        <f t="shared" si="15"/>
        <v>-0.61525939456530954</v>
      </c>
      <c r="K67" s="48">
        <f t="shared" si="15"/>
        <v>-0.58760320252470177</v>
      </c>
      <c r="L67" s="48">
        <f t="shared" si="15"/>
        <v>-0.57836203175545453</v>
      </c>
      <c r="M67" s="48">
        <f t="shared" si="15"/>
        <v>-0.59554677059365968</v>
      </c>
      <c r="N67" s="48">
        <f t="shared" si="15"/>
        <v>-1.3199982336497706</v>
      </c>
      <c r="O67" s="48">
        <f t="shared" si="15"/>
        <v>-1.1516303509061943</v>
      </c>
      <c r="P67" s="48">
        <f t="shared" ref="P67:W67" si="16">SUM(P68:P71)</f>
        <v>-0.99648195356581237</v>
      </c>
      <c r="Q67" s="48">
        <f t="shared" si="16"/>
        <v>-0.45179355343588296</v>
      </c>
      <c r="R67" s="48">
        <f t="shared" si="16"/>
        <v>-0.33953250590452544</v>
      </c>
      <c r="S67" s="48">
        <f t="shared" si="16"/>
        <v>-0.17759097205712315</v>
      </c>
      <c r="T67" s="48">
        <f t="shared" si="16"/>
        <v>-5.5516730434734835E-3</v>
      </c>
      <c r="U67" s="48">
        <f t="shared" si="16"/>
        <v>4.2381499131482259E-2</v>
      </c>
      <c r="V67" s="48">
        <f t="shared" si="16"/>
        <v>8.3379003343875657E-2</v>
      </c>
      <c r="W67" s="48">
        <f t="shared" si="16"/>
        <v>9.3585994236238257E-2</v>
      </c>
    </row>
    <row r="68" spans="2:23" outlineLevel="1" x14ac:dyDescent="0.2">
      <c r="B68" s="79" t="s">
        <v>115</v>
      </c>
      <c r="C68" s="34"/>
      <c r="D68" s="34">
        <f>C57*D36/100*(1/(1+D33/100))</f>
        <v>0.57044236264340553</v>
      </c>
      <c r="E68" s="34">
        <f>D57*E36/100*(1/(1+E33/100))</f>
        <v>1.1202161973483911</v>
      </c>
      <c r="F68" s="34">
        <f>E57*F36/100*(1/(1+F33/100))</f>
        <v>1.237911894788841</v>
      </c>
      <c r="G68" s="34">
        <f>F57*G36/100*(1/(1+G33/100))</f>
        <v>1.4824281639669943</v>
      </c>
      <c r="H68" s="34">
        <f t="shared" ref="H68:W68" si="17">G57*H36/100*(1/(1+H33/100))</f>
        <v>1.5826151903610837</v>
      </c>
      <c r="I68" s="34">
        <f t="shared" si="17"/>
        <v>1.6394535303736939</v>
      </c>
      <c r="J68" s="34">
        <f>I57*J36/100*(1/(1+J33/100))</f>
        <v>1.6487502218464147</v>
      </c>
      <c r="K68" s="34">
        <f t="shared" si="17"/>
        <v>1.6105181552166117</v>
      </c>
      <c r="L68" s="34">
        <f t="shared" si="17"/>
        <v>1.5255914436275941</v>
      </c>
      <c r="M68" s="34">
        <f t="shared" si="17"/>
        <v>1.3931758053534387</v>
      </c>
      <c r="N68" s="34">
        <f t="shared" si="17"/>
        <v>1.2035425931591639</v>
      </c>
      <c r="O68" s="34">
        <f t="shared" si="17"/>
        <v>1.0202210481829008</v>
      </c>
      <c r="P68" s="34">
        <f t="shared" si="17"/>
        <v>0.82314862675723588</v>
      </c>
      <c r="Q68" s="34">
        <f t="shared" si="17"/>
        <v>0.62032081666676864</v>
      </c>
      <c r="R68" s="34">
        <f t="shared" si="17"/>
        <v>0.41629422928447468</v>
      </c>
      <c r="S68" s="34">
        <f t="shared" si="17"/>
        <v>0.21175996482059192</v>
      </c>
      <c r="T68" s="34">
        <f t="shared" si="17"/>
        <v>6.5369667168023136E-3</v>
      </c>
      <c r="U68" s="34">
        <f t="shared" si="17"/>
        <v>-0.3300727427321814</v>
      </c>
      <c r="V68" s="34">
        <f t="shared" si="17"/>
        <v>-0.68459031155042727</v>
      </c>
      <c r="W68" s="34">
        <f t="shared" si="17"/>
        <v>-1.054216595714252</v>
      </c>
    </row>
    <row r="69" spans="2:23" outlineLevel="1" x14ac:dyDescent="0.2">
      <c r="B69" s="79" t="s">
        <v>116</v>
      </c>
      <c r="C69" s="34"/>
      <c r="D69" s="34">
        <f t="shared" ref="D69:W69" si="18">-C57*(D24/100)*(1/(1+D33/100))</f>
        <v>-0.90770273794427436</v>
      </c>
      <c r="E69" s="34">
        <f t="shared" si="18"/>
        <v>0.7338761149895805</v>
      </c>
      <c r="F69" s="34">
        <f t="shared" si="18"/>
        <v>-2.9478581632550963E-2</v>
      </c>
      <c r="G69" s="34">
        <f t="shared" si="18"/>
        <v>-0.35934388324229338</v>
      </c>
      <c r="H69" s="34">
        <f t="shared" si="18"/>
        <v>-0.41547945236949702</v>
      </c>
      <c r="I69" s="34">
        <f t="shared" si="18"/>
        <v>-0.38292418783782339</v>
      </c>
      <c r="J69" s="34">
        <f t="shared" si="18"/>
        <v>-0.4477927019649619</v>
      </c>
      <c r="K69" s="34">
        <f t="shared" si="18"/>
        <v>-0.40693376741276499</v>
      </c>
      <c r="L69" s="34">
        <f t="shared" si="18"/>
        <v>-0.37842981161990719</v>
      </c>
      <c r="M69" s="34">
        <f t="shared" si="18"/>
        <v>-0.37197353777828085</v>
      </c>
      <c r="N69" s="34">
        <f t="shared" si="18"/>
        <v>-1.0613618318676137</v>
      </c>
      <c r="O69" s="34">
        <f t="shared" si="18"/>
        <v>-0.90585795029703142</v>
      </c>
      <c r="P69" s="34">
        <f t="shared" si="18"/>
        <v>-0.80727301747289892</v>
      </c>
      <c r="Q69" s="34">
        <f t="shared" si="18"/>
        <v>-0.32460340027069917</v>
      </c>
      <c r="R69" s="34">
        <f t="shared" si="18"/>
        <v>-0.25869689186412531</v>
      </c>
      <c r="S69" s="34">
        <f t="shared" si="18"/>
        <v>-0.13910661741628663</v>
      </c>
      <c r="T69" s="34">
        <f t="shared" si="18"/>
        <v>-4.4470487495933842E-3</v>
      </c>
      <c r="U69" s="34">
        <f t="shared" si="18"/>
        <v>0.14168306642965756</v>
      </c>
      <c r="V69" s="34">
        <f t="shared" si="18"/>
        <v>0.29983258585021927</v>
      </c>
      <c r="W69" s="34">
        <f t="shared" si="18"/>
        <v>0.4433653520463019</v>
      </c>
    </row>
    <row r="70" spans="2:23" outlineLevel="1" x14ac:dyDescent="0.2">
      <c r="B70" s="79" t="s">
        <v>117</v>
      </c>
      <c r="C70" s="34"/>
      <c r="D70" s="34">
        <f t="shared" ref="D70:W70" si="19">-C57*D42/100*(1/(1+D42/100))</f>
        <v>-3.7081792093539843</v>
      </c>
      <c r="E70" s="34">
        <f t="shared" si="19"/>
        <v>-3.3653315689090335</v>
      </c>
      <c r="F70" s="34">
        <f t="shared" si="19"/>
        <v>-1.3408196277227631</v>
      </c>
      <c r="G70" s="34">
        <f t="shared" si="19"/>
        <v>-1.6747401746220421</v>
      </c>
      <c r="H70" s="34">
        <f t="shared" si="19"/>
        <v>-1.7538344755108926</v>
      </c>
      <c r="I70" s="34">
        <f t="shared" si="19"/>
        <v>-1.8014912383369996</v>
      </c>
      <c r="J70" s="34">
        <f t="shared" si="19"/>
        <v>-1.8162169144467624</v>
      </c>
      <c r="K70" s="34">
        <f t="shared" si="19"/>
        <v>-1.7911875903285484</v>
      </c>
      <c r="L70" s="34">
        <f t="shared" si="19"/>
        <v>-1.7255236637631415</v>
      </c>
      <c r="M70" s="34">
        <f t="shared" si="19"/>
        <v>-1.6167490381688174</v>
      </c>
      <c r="N70" s="34">
        <f t="shared" si="19"/>
        <v>-1.4621789949413209</v>
      </c>
      <c r="O70" s="34">
        <f t="shared" si="19"/>
        <v>-1.2659934487920637</v>
      </c>
      <c r="P70" s="34">
        <f t="shared" si="19"/>
        <v>-1.0123575628501493</v>
      </c>
      <c r="Q70" s="34">
        <f t="shared" si="19"/>
        <v>-0.74751096983195242</v>
      </c>
      <c r="R70" s="34">
        <f t="shared" si="19"/>
        <v>-0.49712984332487481</v>
      </c>
      <c r="S70" s="34">
        <f t="shared" si="19"/>
        <v>-0.25024431946142844</v>
      </c>
      <c r="T70" s="34">
        <f t="shared" si="19"/>
        <v>-7.6415910106824129E-3</v>
      </c>
      <c r="U70" s="34">
        <f t="shared" si="19"/>
        <v>0.2307711754340061</v>
      </c>
      <c r="V70" s="34">
        <f t="shared" si="19"/>
        <v>0.46813672904408365</v>
      </c>
      <c r="W70" s="34">
        <f t="shared" si="19"/>
        <v>0.70443723790418833</v>
      </c>
    </row>
    <row r="71" spans="2:23" outlineLevel="1" x14ac:dyDescent="0.2">
      <c r="B71" s="79" t="s">
        <v>118</v>
      </c>
      <c r="C71" s="49"/>
      <c r="D71" s="49">
        <f>'Baseline NFPC'!D70</f>
        <v>2.7475846548536964E-3</v>
      </c>
      <c r="E71" s="49">
        <f>'Baseline NFPC'!E70</f>
        <v>-6.3674342893804692E-4</v>
      </c>
      <c r="F71" s="49">
        <f>'Baseline NFPC'!F70</f>
        <v>2.3651456647297286E-4</v>
      </c>
      <c r="G71" s="49">
        <f>'Baseline NFPC'!G70</f>
        <v>1.5048282952356828E-4</v>
      </c>
      <c r="H71" s="49">
        <v>0</v>
      </c>
      <c r="I71" s="49">
        <v>0</v>
      </c>
      <c r="J71" s="49">
        <v>0</v>
      </c>
      <c r="K71" s="49">
        <v>0</v>
      </c>
      <c r="L71" s="49">
        <v>0</v>
      </c>
      <c r="M71" s="49">
        <v>0</v>
      </c>
      <c r="N71" s="49">
        <v>0</v>
      </c>
      <c r="O71" s="49">
        <v>0</v>
      </c>
      <c r="P71" s="49">
        <v>0</v>
      </c>
      <c r="Q71" s="49">
        <v>0</v>
      </c>
      <c r="R71" s="49">
        <v>0</v>
      </c>
      <c r="S71" s="49">
        <v>0</v>
      </c>
      <c r="T71" s="49">
        <v>0</v>
      </c>
      <c r="U71" s="49">
        <v>0</v>
      </c>
      <c r="V71" s="49">
        <v>0</v>
      </c>
      <c r="W71" s="49">
        <v>0</v>
      </c>
    </row>
    <row r="72" spans="2:23" outlineLevel="1" x14ac:dyDescent="0.2">
      <c r="B72" s="84" t="s">
        <v>119</v>
      </c>
      <c r="C72" s="50"/>
      <c r="D72" s="50">
        <f>'Input data'!D16</f>
        <v>5.1764349999999997</v>
      </c>
      <c r="E72" s="50">
        <f>'Input data'!E16</f>
        <v>2.2785220000000002</v>
      </c>
      <c r="F72" s="50">
        <f>'Input data'!F16</f>
        <v>2.6170640000000001</v>
      </c>
      <c r="G72" s="50">
        <f>'Input data'!G16</f>
        <v>1.6700109999999999</v>
      </c>
      <c r="H72" s="50">
        <f>'Input data'!H16</f>
        <v>1.6902729999999999</v>
      </c>
      <c r="I72" s="50">
        <f>'Input data'!I16</f>
        <v>1.702215</v>
      </c>
      <c r="J72" s="50">
        <f>'Input data'!J16</f>
        <v>1.648048</v>
      </c>
      <c r="K72" s="50">
        <f>'Input data'!K16</f>
        <v>1.5813470000000001</v>
      </c>
      <c r="L72" s="50">
        <f>'Input data'!L16</f>
        <v>1.5408029999999999</v>
      </c>
      <c r="M72" s="50">
        <f>'Input data'!M16</f>
        <v>1.5229809999999999</v>
      </c>
      <c r="N72" s="50">
        <f>'Input data'!N16</f>
        <v>1.526135</v>
      </c>
      <c r="O72" s="50">
        <f>'Input data'!O16</f>
        <v>1.3735219999999999</v>
      </c>
      <c r="P72" s="50">
        <f>'Input data'!P16</f>
        <v>1.2209080000000001</v>
      </c>
      <c r="Q72" s="50">
        <f>'Input data'!Q16</f>
        <v>1.068295</v>
      </c>
      <c r="R72" s="50">
        <f>'Input data'!R16</f>
        <v>0.91568099999999997</v>
      </c>
      <c r="S72" s="50">
        <f>'Input data'!S16</f>
        <v>0.76306750000000001</v>
      </c>
      <c r="T72" s="50">
        <f>'Input data'!T16</f>
        <v>0.61045400000000005</v>
      </c>
      <c r="U72" s="50">
        <f>'Input data'!U16</f>
        <v>0.45784049999999998</v>
      </c>
      <c r="V72" s="50">
        <f>'Input data'!V16</f>
        <v>0.30522700000000003</v>
      </c>
      <c r="W72" s="50">
        <f>'Input data'!W16</f>
        <v>0.15261350000000001</v>
      </c>
    </row>
    <row r="73" spans="2:23" outlineLevel="1" x14ac:dyDescent="0.2">
      <c r="B73" s="79" t="s">
        <v>120</v>
      </c>
      <c r="C73" s="34"/>
      <c r="D73" s="34">
        <f t="shared" ref="D73:W73" si="20">D15</f>
        <v>4.8490650000000004</v>
      </c>
      <c r="E73" s="34">
        <f t="shared" si="20"/>
        <v>2.318794</v>
      </c>
      <c r="F73" s="34">
        <f t="shared" si="20"/>
        <v>2.6028570000000002</v>
      </c>
      <c r="G73" s="34">
        <f t="shared" si="20"/>
        <v>1.6620999999999999</v>
      </c>
      <c r="H73" s="34">
        <f t="shared" si="20"/>
        <v>1.6902729999999999</v>
      </c>
      <c r="I73" s="34">
        <f t="shared" si="20"/>
        <v>1.702215</v>
      </c>
      <c r="J73" s="34">
        <f t="shared" si="20"/>
        <v>1.648048</v>
      </c>
      <c r="K73" s="34">
        <f t="shared" si="20"/>
        <v>1.5813470000000001</v>
      </c>
      <c r="L73" s="34">
        <f t="shared" si="20"/>
        <v>1.5408029999999999</v>
      </c>
      <c r="M73" s="34">
        <f t="shared" si="20"/>
        <v>1.5229809999999999</v>
      </c>
      <c r="N73" s="34">
        <f t="shared" si="20"/>
        <v>1.526135</v>
      </c>
      <c r="O73" s="34">
        <f t="shared" si="20"/>
        <v>1.3735219999999999</v>
      </c>
      <c r="P73" s="34">
        <f t="shared" si="20"/>
        <v>1.2209080000000001</v>
      </c>
      <c r="Q73" s="34">
        <f t="shared" si="20"/>
        <v>1.068295</v>
      </c>
      <c r="R73" s="34">
        <f t="shared" si="20"/>
        <v>0.91568099999999997</v>
      </c>
      <c r="S73" s="34">
        <f t="shared" si="20"/>
        <v>0.76306750000000001</v>
      </c>
      <c r="T73" s="34">
        <f t="shared" si="20"/>
        <v>0.61045400000000005</v>
      </c>
      <c r="U73" s="34">
        <f t="shared" si="20"/>
        <v>0.45784049999999998</v>
      </c>
      <c r="V73" s="34">
        <f t="shared" si="20"/>
        <v>0.30522700000000003</v>
      </c>
      <c r="W73" s="34">
        <f t="shared" si="20"/>
        <v>0.15261350000000001</v>
      </c>
    </row>
    <row r="74" spans="2:23" outlineLevel="1" x14ac:dyDescent="0.2">
      <c r="B74" s="89" t="s">
        <v>121</v>
      </c>
      <c r="C74" s="49"/>
      <c r="D74" s="49">
        <f>+D72-D73</f>
        <v>0.32736999999999927</v>
      </c>
      <c r="E74" s="49">
        <f t="shared" ref="E74:W74" si="21">+E72-E73</f>
        <v>-4.0271999999999863E-2</v>
      </c>
      <c r="F74" s="49">
        <f t="shared" si="21"/>
        <v>1.4206999999999859E-2</v>
      </c>
      <c r="G74" s="49">
        <f t="shared" si="21"/>
        <v>7.9110000000000014E-3</v>
      </c>
      <c r="H74" s="49">
        <f t="shared" si="21"/>
        <v>0</v>
      </c>
      <c r="I74" s="49">
        <f t="shared" si="21"/>
        <v>0</v>
      </c>
      <c r="J74" s="49">
        <f t="shared" si="21"/>
        <v>0</v>
      </c>
      <c r="K74" s="49">
        <f t="shared" si="21"/>
        <v>0</v>
      </c>
      <c r="L74" s="49">
        <f t="shared" si="21"/>
        <v>0</v>
      </c>
      <c r="M74" s="49">
        <f t="shared" si="21"/>
        <v>0</v>
      </c>
      <c r="N74" s="49">
        <f t="shared" si="21"/>
        <v>0</v>
      </c>
      <c r="O74" s="49">
        <f t="shared" si="21"/>
        <v>0</v>
      </c>
      <c r="P74" s="49">
        <f t="shared" si="21"/>
        <v>0</v>
      </c>
      <c r="Q74" s="49">
        <f t="shared" si="21"/>
        <v>0</v>
      </c>
      <c r="R74" s="49">
        <f t="shared" si="21"/>
        <v>0</v>
      </c>
      <c r="S74" s="49">
        <f t="shared" si="21"/>
        <v>0</v>
      </c>
      <c r="T74" s="49">
        <f t="shared" si="21"/>
        <v>0</v>
      </c>
      <c r="U74" s="49">
        <f t="shared" si="21"/>
        <v>0</v>
      </c>
      <c r="V74" s="49">
        <f t="shared" si="21"/>
        <v>0</v>
      </c>
      <c r="W74" s="49">
        <f t="shared" si="21"/>
        <v>0</v>
      </c>
    </row>
    <row r="75" spans="2:23" ht="10.5" customHeight="1" outlineLevel="1" x14ac:dyDescent="0.2"/>
    <row r="76" spans="2:23" ht="10.5" customHeight="1" outlineLevel="1" x14ac:dyDescent="0.2">
      <c r="B76" s="91" t="s">
        <v>122</v>
      </c>
    </row>
    <row r="77" spans="2:23" x14ac:dyDescent="0.2">
      <c r="B77" s="77" t="s">
        <v>41</v>
      </c>
      <c r="C77" s="77"/>
      <c r="D77" s="78">
        <f>D59-D68</f>
        <v>-0.36348994760516051</v>
      </c>
      <c r="E77" s="78">
        <f t="shared" ref="E77:W77" si="22">E59-E68</f>
        <v>-2.6726757914889614</v>
      </c>
      <c r="F77" s="78">
        <f t="shared" si="22"/>
        <v>-3.4097333821902209</v>
      </c>
      <c r="G77" s="78">
        <f>G59-G68</f>
        <v>-2.1519120222706007</v>
      </c>
      <c r="H77" s="78">
        <f t="shared" si="22"/>
        <v>-0.74522527378028625</v>
      </c>
      <c r="I77" s="78">
        <f t="shared" si="22"/>
        <v>0.73630611005311586</v>
      </c>
      <c r="J77" s="78">
        <f t="shared" si="22"/>
        <v>2.2870009398731455</v>
      </c>
      <c r="K77" s="78">
        <f t="shared" si="22"/>
        <v>3.8986606664549992</v>
      </c>
      <c r="L77" s="78">
        <f t="shared" si="22"/>
        <v>5.5660364230991153</v>
      </c>
      <c r="M77" s="78">
        <f t="shared" si="22"/>
        <v>7.2871424214455676</v>
      </c>
      <c r="N77" s="78">
        <f t="shared" si="22"/>
        <v>8.1124494580401727</v>
      </c>
      <c r="O77" s="78">
        <f t="shared" si="22"/>
        <v>8.969003827416774</v>
      </c>
      <c r="P77" s="78">
        <f t="shared" si="22"/>
        <v>9.8388690732427655</v>
      </c>
      <c r="Q77" s="78">
        <f t="shared" si="22"/>
        <v>10.059815156250197</v>
      </c>
      <c r="R77" s="78">
        <f t="shared" si="22"/>
        <v>10.29793116910562</v>
      </c>
      <c r="S77" s="78">
        <f t="shared" si="22"/>
        <v>10.55548413714563</v>
      </c>
      <c r="T77" s="78">
        <f t="shared" si="22"/>
        <v>10.829468282907218</v>
      </c>
      <c r="U77" s="78">
        <f t="shared" si="22"/>
        <v>11.249057418878371</v>
      </c>
      <c r="V77" s="78">
        <f t="shared" si="22"/>
        <v>11.685517280545294</v>
      </c>
      <c r="W77" s="78">
        <f t="shared" si="22"/>
        <v>12.120374138174199</v>
      </c>
    </row>
    <row r="78" spans="2:23" x14ac:dyDescent="0.2">
      <c r="B78" s="26" t="s">
        <v>42</v>
      </c>
      <c r="D78" s="34">
        <f>D60-D68-D64-D65-D66</f>
        <v>-0.27838556264340553</v>
      </c>
      <c r="E78" s="34">
        <f t="shared" ref="E78:W78" si="23">E60-E68-E64-E65-E66</f>
        <v>-1.364812097348391</v>
      </c>
      <c r="F78" s="34">
        <f t="shared" si="23"/>
        <v>-1.7680151947888412</v>
      </c>
      <c r="G78" s="34">
        <f t="shared" si="23"/>
        <v>-0.41253146396699414</v>
      </c>
      <c r="H78" s="34">
        <f t="shared" si="23"/>
        <v>1.0872815096389166</v>
      </c>
      <c r="I78" s="34">
        <f t="shared" si="23"/>
        <v>2.6304431696263064</v>
      </c>
      <c r="J78" s="34">
        <f t="shared" si="23"/>
        <v>4.2211464781535852</v>
      </c>
      <c r="K78" s="34">
        <f t="shared" si="23"/>
        <v>5.8593785447833877</v>
      </c>
      <c r="L78" s="34">
        <f t="shared" si="23"/>
        <v>7.5443052563724056</v>
      </c>
      <c r="M78" s="34">
        <f t="shared" si="23"/>
        <v>9.2767208946465605</v>
      </c>
      <c r="N78" s="34">
        <f t="shared" si="23"/>
        <v>9.4388351068408358</v>
      </c>
      <c r="O78" s="34">
        <f t="shared" si="23"/>
        <v>9.6321966518171021</v>
      </c>
      <c r="P78" s="34">
        <f t="shared" si="23"/>
        <v>9.8388690732427655</v>
      </c>
      <c r="Q78" s="34">
        <f t="shared" si="23"/>
        <v>10.059816883333234</v>
      </c>
      <c r="R78" s="34">
        <f t="shared" si="23"/>
        <v>10.297933470715524</v>
      </c>
      <c r="S78" s="34">
        <f t="shared" si="23"/>
        <v>10.555488735179406</v>
      </c>
      <c r="T78" s="34">
        <f t="shared" si="23"/>
        <v>10.829471733283196</v>
      </c>
      <c r="U78" s="34">
        <f t="shared" si="23"/>
        <v>11.249061442732179</v>
      </c>
      <c r="V78" s="34">
        <f t="shared" si="23"/>
        <v>11.685519011550426</v>
      </c>
      <c r="W78" s="34">
        <f t="shared" si="23"/>
        <v>12.120375295714251</v>
      </c>
    </row>
    <row r="79" spans="2:23" x14ac:dyDescent="0.2">
      <c r="B79" s="35" t="s">
        <v>123</v>
      </c>
      <c r="C79" s="35"/>
      <c r="D79" s="281">
        <f>'Input data'!D45</f>
        <v>5.7681103325160432</v>
      </c>
      <c r="E79" s="281">
        <f>'Input data'!E45</f>
        <v>7.4830230810080138</v>
      </c>
      <c r="F79" s="281">
        <f>'Input data'!F45</f>
        <v>3.9912900392291735</v>
      </c>
      <c r="G79" s="49">
        <f>'Input data'!G33+G42-(G$12-F$12)/'Input data'!$C$64*100</f>
        <v>-0.14348043198566929</v>
      </c>
      <c r="H79" s="49">
        <f>'Input data'!H33+H42-(H$12-G$12)/'Input data'!$C$64*100</f>
        <v>-3.7421481985669303E-2</v>
      </c>
      <c r="I79" s="49">
        <f>'Input data'!I33+I42-(I$12-H$12)/'Input data'!$C$64*100</f>
        <v>-8.2517231985669515E-2</v>
      </c>
      <c r="J79" s="49">
        <f>'Input data'!J33+J42-(J$12-I$12)/'Input data'!$C$64*100</f>
        <v>2.2018518014331523E-2</v>
      </c>
      <c r="K79" s="49">
        <f>'Input data'!K33+K42-(K$12-J$12)/'Input data'!$C$64*100</f>
        <v>1.8617368014331781E-2</v>
      </c>
      <c r="L79" s="49">
        <f>'Input data'!L33+L42-(L$12-K$12)/'Input data'!$C$64*100</f>
        <v>4.8804018014331874E-2</v>
      </c>
      <c r="M79" s="49">
        <f>'Input data'!M33+M42-(M$12-L$12)/'Input data'!$C$64*100</f>
        <v>0.12915306801433157</v>
      </c>
      <c r="N79" s="49">
        <f>'Input data'!N33+N42-(N$12-M$12)/'Input data'!$C$64*100</f>
        <v>3.1551393499999998</v>
      </c>
      <c r="O79" s="49">
        <f>'Input data'!O33+O42-(O$12-N$12)/'Input data'!$C$64*100</f>
        <v>3.2344523999999999</v>
      </c>
      <c r="P79" s="49">
        <f>'Input data'!P33+P42-(P$12-O$12)/'Input data'!$C$64*100</f>
        <v>3.4123823999999998</v>
      </c>
      <c r="Q79" s="49">
        <f>'Input data'!Q33+Q42-(Q$12-P$12)/'Input data'!$C$64*100</f>
        <v>3.5903129999999996</v>
      </c>
      <c r="R79" s="49">
        <f>'Input data'!R33+R42-(R$12-Q$12)/'Input data'!$C$64*100</f>
        <v>3.768243</v>
      </c>
      <c r="S79" s="49">
        <f>'Input data'!S33+S42-(S$12-R$12)/'Input data'!$C$64*100</f>
        <v>3.8150089999999999</v>
      </c>
      <c r="T79" s="49">
        <f>'Input data'!T33+T42-(T$12-S$12)/'Input data'!$C$64*100</f>
        <v>3.8364519999999995</v>
      </c>
      <c r="U79" s="49">
        <f>'Input data'!U33+U42-(U$12-T$12)/'Input data'!$C$64*100</f>
        <v>3.8710429999999998</v>
      </c>
      <c r="V79" s="49">
        <f>'Input data'!V33+V42-(V$12-U$12)/'Input data'!$C$64*100</f>
        <v>3.8905779999999996</v>
      </c>
      <c r="W79" s="49">
        <f>'Input data'!W33+W42-(W$12-V$12)/'Input data'!$C$64*100</f>
        <v>3.8183020000000001</v>
      </c>
    </row>
    <row r="80" spans="2:23" x14ac:dyDescent="0.2">
      <c r="D80" s="34"/>
      <c r="E80" s="34"/>
      <c r="F80" s="34"/>
      <c r="G80" s="34"/>
      <c r="H80" s="34"/>
      <c r="I80" s="34"/>
      <c r="J80" s="34"/>
      <c r="K80" s="34"/>
      <c r="L80" s="34"/>
      <c r="M80" s="34"/>
      <c r="N80" s="34"/>
      <c r="O80" s="34"/>
      <c r="P80" s="34"/>
      <c r="Q80" s="34"/>
      <c r="R80" s="34"/>
      <c r="S80" s="34"/>
      <c r="T80" s="34"/>
      <c r="U80" s="34"/>
      <c r="V80" s="34"/>
      <c r="W80" s="34"/>
    </row>
    <row r="81" spans="2:23" x14ac:dyDescent="0.2">
      <c r="B81" s="113" t="s">
        <v>143</v>
      </c>
      <c r="C81" s="51"/>
      <c r="D81" s="214">
        <f ca="1">AVERAGE(OFFSET($G$79,0,0,1,'Criteria results'!F5))</f>
        <v>-6.4037391285259081E-3</v>
      </c>
      <c r="E81" s="34"/>
      <c r="F81" s="34"/>
      <c r="G81" s="34"/>
      <c r="H81" s="34"/>
      <c r="I81" s="36"/>
      <c r="J81" s="36"/>
      <c r="K81" s="36"/>
      <c r="L81" s="36"/>
      <c r="M81" s="34"/>
      <c r="N81" s="34"/>
      <c r="O81" s="34"/>
      <c r="P81" s="34"/>
      <c r="Q81" s="34"/>
      <c r="R81" s="34"/>
      <c r="S81" s="34"/>
      <c r="T81" s="34"/>
      <c r="U81" s="34"/>
      <c r="V81" s="34"/>
      <c r="W81" s="34"/>
    </row>
    <row r="82" spans="2:23" x14ac:dyDescent="0.2">
      <c r="B82" s="87"/>
      <c r="C82" s="77"/>
      <c r="D82" s="325"/>
      <c r="E82" s="34"/>
      <c r="F82" s="34"/>
      <c r="G82" s="34"/>
      <c r="H82" s="34"/>
      <c r="I82" s="36"/>
      <c r="J82" s="36"/>
      <c r="K82" s="36"/>
      <c r="L82" s="36"/>
      <c r="M82" s="34"/>
      <c r="N82" s="34"/>
      <c r="O82" s="34"/>
      <c r="P82" s="34"/>
      <c r="Q82" s="34"/>
      <c r="R82" s="34"/>
      <c r="S82" s="34"/>
      <c r="T82" s="34"/>
      <c r="U82" s="34"/>
      <c r="V82" s="34"/>
      <c r="W82" s="34"/>
    </row>
    <row r="83" spans="2:23" x14ac:dyDescent="0.2">
      <c r="B83" s="51" t="s">
        <v>218</v>
      </c>
      <c r="C83" s="51"/>
      <c r="D83" s="51"/>
      <c r="E83" s="51"/>
      <c r="F83" s="51"/>
      <c r="G83" s="257"/>
      <c r="H83" s="257"/>
      <c r="I83" s="257"/>
      <c r="J83" s="257"/>
      <c r="K83" s="257">
        <f t="shared" ref="K83:W83" si="24">IF(K57&lt;J57,0,1)</f>
        <v>0</v>
      </c>
      <c r="L83" s="257">
        <f t="shared" si="24"/>
        <v>0</v>
      </c>
      <c r="M83" s="257">
        <f t="shared" si="24"/>
        <v>0</v>
      </c>
      <c r="N83" s="257">
        <f t="shared" si="24"/>
        <v>0</v>
      </c>
      <c r="O83" s="257">
        <f t="shared" si="24"/>
        <v>0</v>
      </c>
      <c r="P83" s="257">
        <f t="shared" si="24"/>
        <v>0</v>
      </c>
      <c r="Q83" s="257">
        <f t="shared" si="24"/>
        <v>0</v>
      </c>
      <c r="R83" s="257">
        <f t="shared" si="24"/>
        <v>0</v>
      </c>
      <c r="S83" s="257">
        <f t="shared" si="24"/>
        <v>0</v>
      </c>
      <c r="T83" s="257">
        <f t="shared" si="24"/>
        <v>0</v>
      </c>
      <c r="U83" s="78">
        <f t="shared" si="24"/>
        <v>0</v>
      </c>
      <c r="V83" s="78">
        <f t="shared" si="24"/>
        <v>0</v>
      </c>
      <c r="W83" s="78">
        <f t="shared" si="24"/>
        <v>0</v>
      </c>
    </row>
    <row r="84" spans="2:23" x14ac:dyDescent="0.2">
      <c r="B84" s="77"/>
      <c r="C84" s="77"/>
      <c r="D84" s="78"/>
      <c r="E84" s="34"/>
      <c r="F84" s="34"/>
      <c r="G84" s="34"/>
      <c r="H84" s="34"/>
      <c r="I84" s="34"/>
      <c r="J84" s="34"/>
      <c r="K84" s="34"/>
      <c r="L84" s="34"/>
      <c r="M84" s="34"/>
      <c r="N84" s="34"/>
      <c r="O84" s="34"/>
      <c r="P84" s="34"/>
      <c r="Q84" s="34"/>
      <c r="R84" s="34"/>
      <c r="S84" s="34"/>
      <c r="T84" s="34"/>
      <c r="U84" s="34"/>
      <c r="V84" s="34"/>
      <c r="W84" s="34"/>
    </row>
    <row r="85" spans="2:23" s="93" customFormat="1" ht="12.75" outlineLevel="1" x14ac:dyDescent="0.2">
      <c r="B85" s="94" t="s">
        <v>124</v>
      </c>
      <c r="C85" s="95"/>
      <c r="E85" s="96"/>
      <c r="F85" s="95"/>
    </row>
    <row r="86" spans="2:23" x14ac:dyDescent="0.2">
      <c r="C86" s="34"/>
      <c r="D86" s="34"/>
      <c r="E86" s="34"/>
      <c r="F86" s="34"/>
      <c r="G86" s="34"/>
      <c r="H86" s="34"/>
      <c r="I86" s="34"/>
      <c r="J86" s="34"/>
      <c r="K86" s="34"/>
      <c r="L86" s="34"/>
      <c r="M86" s="34"/>
      <c r="N86" s="34"/>
      <c r="O86" s="34"/>
      <c r="P86" s="34"/>
      <c r="Q86" s="34"/>
      <c r="R86" s="34"/>
      <c r="S86" s="34"/>
      <c r="T86" s="34"/>
      <c r="U86" s="34"/>
      <c r="V86" s="34"/>
      <c r="W86" s="34"/>
    </row>
    <row r="87" spans="2:23" x14ac:dyDescent="0.2">
      <c r="B87" s="26" t="s">
        <v>125</v>
      </c>
      <c r="D87" s="29">
        <f t="shared" ref="D87:W87" si="25">IF((D92-C92*D43/((1+D24/100)*(1+D42/100)))&gt;0,1,0)</f>
        <v>1</v>
      </c>
      <c r="E87" s="29">
        <f t="shared" si="25"/>
        <v>1</v>
      </c>
      <c r="F87" s="29">
        <f t="shared" si="25"/>
        <v>1</v>
      </c>
      <c r="G87" s="29">
        <f t="shared" si="25"/>
        <v>1</v>
      </c>
      <c r="H87" s="29">
        <f t="shared" si="25"/>
        <v>1</v>
      </c>
      <c r="I87" s="29">
        <f t="shared" si="25"/>
        <v>1</v>
      </c>
      <c r="J87" s="29">
        <f t="shared" si="25"/>
        <v>0</v>
      </c>
      <c r="K87" s="29">
        <f t="shared" si="25"/>
        <v>0</v>
      </c>
      <c r="L87" s="29">
        <f t="shared" si="25"/>
        <v>0</v>
      </c>
      <c r="M87" s="29">
        <f t="shared" si="25"/>
        <v>0</v>
      </c>
      <c r="N87" s="29">
        <f t="shared" si="25"/>
        <v>0</v>
      </c>
      <c r="O87" s="29">
        <f t="shared" si="25"/>
        <v>0</v>
      </c>
      <c r="P87" s="29">
        <f t="shared" si="25"/>
        <v>0</v>
      </c>
      <c r="Q87" s="29">
        <f t="shared" si="25"/>
        <v>0</v>
      </c>
      <c r="R87" s="29">
        <f t="shared" si="25"/>
        <v>0</v>
      </c>
      <c r="S87" s="29">
        <f t="shared" si="25"/>
        <v>0</v>
      </c>
      <c r="T87" s="29">
        <f t="shared" si="25"/>
        <v>0</v>
      </c>
      <c r="U87" s="29">
        <f t="shared" si="25"/>
        <v>0</v>
      </c>
      <c r="V87" s="29">
        <f t="shared" si="25"/>
        <v>0</v>
      </c>
      <c r="W87" s="29">
        <f t="shared" si="25"/>
        <v>0</v>
      </c>
    </row>
    <row r="88" spans="2:23" x14ac:dyDescent="0.2">
      <c r="B88" s="26" t="s">
        <v>126</v>
      </c>
      <c r="D88" s="29">
        <f t="shared" ref="D88:W88" si="26">IF(AND(D87=0,ABS(D92-C92*D43/((1+D24/100)*(1+D42/100)))&lt;((C98*C92*D43/((1+D24/100)*(1+D42/100))+(D39*C92*C99*D43/((1+D24/100)*(1+D42/100)))))),1,0)</f>
        <v>0</v>
      </c>
      <c r="E88" s="29">
        <f t="shared" si="26"/>
        <v>0</v>
      </c>
      <c r="F88" s="29">
        <f t="shared" si="26"/>
        <v>0</v>
      </c>
      <c r="G88" s="29">
        <f t="shared" si="26"/>
        <v>0</v>
      </c>
      <c r="H88" s="29">
        <f t="shared" si="26"/>
        <v>0</v>
      </c>
      <c r="I88" s="29">
        <f t="shared" si="26"/>
        <v>0</v>
      </c>
      <c r="J88" s="29">
        <f t="shared" si="26"/>
        <v>1</v>
      </c>
      <c r="K88" s="29">
        <f t="shared" si="26"/>
        <v>1</v>
      </c>
      <c r="L88" s="29">
        <f t="shared" si="26"/>
        <v>1</v>
      </c>
      <c r="M88" s="29">
        <f t="shared" si="26"/>
        <v>0</v>
      </c>
      <c r="N88" s="29">
        <f t="shared" si="26"/>
        <v>0</v>
      </c>
      <c r="O88" s="29">
        <f t="shared" si="26"/>
        <v>0</v>
      </c>
      <c r="P88" s="29">
        <f t="shared" si="26"/>
        <v>0</v>
      </c>
      <c r="Q88" s="29">
        <f t="shared" si="26"/>
        <v>0</v>
      </c>
      <c r="R88" s="29">
        <f t="shared" si="26"/>
        <v>0</v>
      </c>
      <c r="S88" s="29">
        <f t="shared" si="26"/>
        <v>0</v>
      </c>
      <c r="T88" s="29">
        <f t="shared" si="26"/>
        <v>0</v>
      </c>
      <c r="U88" s="29">
        <f t="shared" si="26"/>
        <v>0</v>
      </c>
      <c r="V88" s="29">
        <f t="shared" si="26"/>
        <v>0</v>
      </c>
      <c r="W88" s="29">
        <f t="shared" si="26"/>
        <v>0</v>
      </c>
    </row>
    <row r="90" spans="2:23" x14ac:dyDescent="0.2">
      <c r="H90" s="38"/>
      <c r="I90" s="38"/>
      <c r="J90" s="38"/>
      <c r="K90" s="38"/>
      <c r="L90" s="38"/>
      <c r="M90" s="38"/>
      <c r="N90" s="38"/>
      <c r="O90" s="38"/>
      <c r="P90" s="38"/>
      <c r="Q90" s="38"/>
      <c r="R90" s="38"/>
      <c r="S90" s="38"/>
      <c r="T90" s="38"/>
    </row>
    <row r="91" spans="2:23" x14ac:dyDescent="0.2">
      <c r="B91" s="51"/>
      <c r="C91" s="86">
        <v>2021</v>
      </c>
      <c r="D91" s="86">
        <v>2022</v>
      </c>
      <c r="E91" s="86">
        <v>2023</v>
      </c>
      <c r="F91" s="86">
        <v>2024</v>
      </c>
      <c r="G91" s="86">
        <v>2025</v>
      </c>
      <c r="H91" s="86">
        <v>2026</v>
      </c>
      <c r="I91" s="86">
        <v>2027</v>
      </c>
      <c r="J91" s="86">
        <v>2028</v>
      </c>
      <c r="K91" s="86">
        <v>2029</v>
      </c>
      <c r="L91" s="86">
        <v>2030</v>
      </c>
      <c r="M91" s="86">
        <v>2031</v>
      </c>
      <c r="N91" s="86">
        <v>2032</v>
      </c>
      <c r="O91" s="86">
        <v>2033</v>
      </c>
      <c r="P91" s="86">
        <v>2034</v>
      </c>
      <c r="Q91" s="86">
        <v>2035</v>
      </c>
      <c r="R91" s="86">
        <v>2036</v>
      </c>
      <c r="S91" s="86">
        <v>2037</v>
      </c>
      <c r="T91" s="86">
        <v>2038</v>
      </c>
      <c r="U91" s="86">
        <v>2039</v>
      </c>
      <c r="V91" s="86">
        <v>2040</v>
      </c>
      <c r="W91" s="86">
        <v>2041</v>
      </c>
    </row>
    <row r="92" spans="2:23" x14ac:dyDescent="0.2">
      <c r="B92" s="106" t="s">
        <v>104</v>
      </c>
      <c r="C92" s="110">
        <f>C57</f>
        <v>72.584819999999993</v>
      </c>
      <c r="D92" s="110">
        <f>D57</f>
        <v>73.511610584961744</v>
      </c>
      <c r="E92" s="110">
        <f>E57</f>
        <v>75.830716179102311</v>
      </c>
      <c r="F92" s="110">
        <f>F57</f>
        <v>80.48745186650369</v>
      </c>
      <c r="G92" s="110">
        <f>G57</f>
        <v>82.275441313739478</v>
      </c>
      <c r="H92" s="110">
        <f t="shared" ref="H92:W92" si="27">G92*(1+H106/100)*H43-H60-H61+H62+H63+H64+H65+H66+H72</f>
        <v>82.541625659639365</v>
      </c>
      <c r="I92" s="110">
        <f t="shared" si="27"/>
        <v>81.323119123411431</v>
      </c>
      <c r="J92" s="110">
        <f t="shared" si="27"/>
        <v>78.420156567126568</v>
      </c>
      <c r="K92" s="110">
        <f t="shared" si="27"/>
        <v>73.904721542930247</v>
      </c>
      <c r="L92" s="110">
        <f t="shared" si="27"/>
        <v>67.775534644448086</v>
      </c>
      <c r="M92" s="110">
        <f t="shared" si="27"/>
        <v>60.022650647055414</v>
      </c>
      <c r="N92" s="110">
        <f t="shared" si="27"/>
        <v>50.912795362206325</v>
      </c>
      <c r="O92" s="110">
        <f t="shared" si="27"/>
        <v>41.145462135700463</v>
      </c>
      <c r="P92" s="110">
        <f t="shared" si="27"/>
        <v>30.707870482134652</v>
      </c>
      <c r="Q92" s="110">
        <f t="shared" si="27"/>
        <v>20.644235955781799</v>
      </c>
      <c r="R92" s="110">
        <f t="shared" si="27"/>
        <v>10.506159051487181</v>
      </c>
      <c r="S92" s="110">
        <f t="shared" si="27"/>
        <v>0.32439147746383745</v>
      </c>
      <c r="T92" s="110">
        <f t="shared" si="27"/>
        <v>-9.9067114452036567</v>
      </c>
      <c r="U92" s="110">
        <f t="shared" si="27"/>
        <v>-20.325474122218367</v>
      </c>
      <c r="V92" s="110">
        <f t="shared" si="27"/>
        <v>-30.937795087869361</v>
      </c>
      <c r="W92" s="110">
        <f t="shared" si="27"/>
        <v>-41.757753136093065</v>
      </c>
    </row>
    <row r="93" spans="2:23" x14ac:dyDescent="0.2">
      <c r="B93" s="26" t="s">
        <v>127</v>
      </c>
      <c r="C93" s="34"/>
      <c r="D93" s="253">
        <f>'Input data'!C66*$D$92</f>
        <v>59.051128502792025</v>
      </c>
      <c r="E93" s="34">
        <f t="shared" ref="E93:W93" si="28">IF(E92=0,0,IF(E87=1,D92*E43/((1+E24/100)*(1+E42/100))-E94-E95,IF(AND(E87=0,E88=1),(1-D98-E39*D99)*D92*E43/((1+E24/100)*(1+E42/100)),E92)))</f>
        <v>61.391972720723572</v>
      </c>
      <c r="F93" s="34">
        <f t="shared" si="28"/>
        <v>65.006446801647428</v>
      </c>
      <c r="G93" s="34">
        <f t="shared" si="28"/>
        <v>68.382981616343159</v>
      </c>
      <c r="H93" s="34">
        <f t="shared" si="28"/>
        <v>69.735193108758978</v>
      </c>
      <c r="I93" s="34">
        <f t="shared" si="28"/>
        <v>69.885119239163345</v>
      </c>
      <c r="J93" s="34">
        <f t="shared" si="28"/>
        <v>68.700547662749415</v>
      </c>
      <c r="K93" s="34">
        <f t="shared" si="28"/>
        <v>66.586293787974341</v>
      </c>
      <c r="L93" s="34">
        <f t="shared" si="28"/>
        <v>64.09897212679256</v>
      </c>
      <c r="M93" s="34">
        <f t="shared" si="28"/>
        <v>60.022650647055414</v>
      </c>
      <c r="N93" s="34">
        <f t="shared" si="28"/>
        <v>50.912795362206325</v>
      </c>
      <c r="O93" s="34">
        <f t="shared" si="28"/>
        <v>41.145462135700463</v>
      </c>
      <c r="P93" s="34">
        <f t="shared" si="28"/>
        <v>30.707870482134652</v>
      </c>
      <c r="Q93" s="34">
        <f t="shared" si="28"/>
        <v>20.644235955781799</v>
      </c>
      <c r="R93" s="34">
        <f t="shared" si="28"/>
        <v>10.506159051487181</v>
      </c>
      <c r="S93" s="34">
        <f t="shared" si="28"/>
        <v>0.32439147746383745</v>
      </c>
      <c r="T93" s="34">
        <f t="shared" si="28"/>
        <v>-9.9067114452036567</v>
      </c>
      <c r="U93" s="34">
        <f t="shared" si="28"/>
        <v>-20.325474122218367</v>
      </c>
      <c r="V93" s="34">
        <f t="shared" si="28"/>
        <v>-30.937795087869361</v>
      </c>
      <c r="W93" s="34">
        <f t="shared" si="28"/>
        <v>-41.757753136093065</v>
      </c>
    </row>
    <row r="94" spans="2:23" x14ac:dyDescent="0.2">
      <c r="B94" s="105" t="s">
        <v>128</v>
      </c>
      <c r="C94" s="34"/>
      <c r="D94" s="253">
        <f>'Input data'!C67*$D$92</f>
        <v>2.5660693694891989</v>
      </c>
      <c r="E94" s="34">
        <f t="shared" ref="E94:W94" si="29">IF(E92=0,0,IF(E87=1,E39*D92*D99*E43/((1+E24/100)*(1+E42/100)),IF(AND(E87=0,E88=1),(E39*D92*D99*E43/((1+E24/100)*(1+E42/100)))*(1-ABS(E92-D92*E43/((1+E24/100)*(1+E42/100)))/((E39*D92*D99*E43/((1+E24/100)*(1+E42/100)))+(D98*D92*E43/((1+E24/100)*(1+E42/100))))),0)))</f>
        <v>2.5200411188940466</v>
      </c>
      <c r="F94" s="34">
        <f t="shared" si="29"/>
        <v>2.1334078217749264</v>
      </c>
      <c r="G94" s="34">
        <f t="shared" si="29"/>
        <v>2.2934829216067047</v>
      </c>
      <c r="H94" s="34">
        <f t="shared" si="29"/>
        <v>2.3891413377758934</v>
      </c>
      <c r="I94" s="34">
        <f t="shared" si="29"/>
        <v>2.4447632899629315</v>
      </c>
      <c r="J94" s="34">
        <f t="shared" si="29"/>
        <v>2.3017118017268086</v>
      </c>
      <c r="K94" s="34">
        <f t="shared" si="29"/>
        <v>1.8423917704118129</v>
      </c>
      <c r="L94" s="34">
        <f t="shared" si="29"/>
        <v>1.1369167452885689</v>
      </c>
      <c r="M94" s="34">
        <f t="shared" si="29"/>
        <v>0</v>
      </c>
      <c r="N94" s="34">
        <f t="shared" si="29"/>
        <v>0</v>
      </c>
      <c r="O94" s="34">
        <f t="shared" si="29"/>
        <v>0</v>
      </c>
      <c r="P94" s="34">
        <f t="shared" si="29"/>
        <v>0</v>
      </c>
      <c r="Q94" s="34">
        <f t="shared" si="29"/>
        <v>0</v>
      </c>
      <c r="R94" s="34">
        <f t="shared" si="29"/>
        <v>0</v>
      </c>
      <c r="S94" s="34">
        <f t="shared" si="29"/>
        <v>0</v>
      </c>
      <c r="T94" s="34">
        <f t="shared" si="29"/>
        <v>0</v>
      </c>
      <c r="U94" s="34">
        <f t="shared" si="29"/>
        <v>0</v>
      </c>
      <c r="V94" s="34">
        <f t="shared" si="29"/>
        <v>0</v>
      </c>
      <c r="W94" s="34">
        <f t="shared" si="29"/>
        <v>0</v>
      </c>
    </row>
    <row r="95" spans="2:23" x14ac:dyDescent="0.2">
      <c r="B95" s="105" t="s">
        <v>129</v>
      </c>
      <c r="C95" s="34"/>
      <c r="D95" s="253">
        <f>'Input data'!C68*$D$92</f>
        <v>6.679115961728173</v>
      </c>
      <c r="E95" s="34">
        <f t="shared" ref="E95:W95" si="30">IF(E92=0,0,IF(E87=1,(1-D99)*D92*E43/((1+E24/100)*(1+E42/100)),IF(AND(E87=0,E88=1),(D98*D92*E43/((1+E24/100)*(1+E42/100)))*(1-ABS(E92-D92*E43/((1+E24/100)*(1+E42/100)))/((E39*D92*D99*E43/((1+E24/100)*(1+E42/100)))+(D98*D92*E43/((1+E24/100)*(1+E42/100))))),0)))</f>
        <v>6.9278671872792303</v>
      </c>
      <c r="F95" s="34">
        <f t="shared" si="30"/>
        <v>7.3347852861568796</v>
      </c>
      <c r="G95" s="34">
        <f t="shared" si="30"/>
        <v>7.7849055142059802</v>
      </c>
      <c r="H95" s="34">
        <f t="shared" si="30"/>
        <v>7.9817929393241895</v>
      </c>
      <c r="I95" s="34">
        <f t="shared" si="30"/>
        <v>8.0273277043382762</v>
      </c>
      <c r="J95" s="34">
        <f t="shared" si="30"/>
        <v>7.4178971026503531</v>
      </c>
      <c r="K95" s="34">
        <f t="shared" si="30"/>
        <v>5.4760359845440965</v>
      </c>
      <c r="L95" s="34">
        <f t="shared" si="30"/>
        <v>2.5396457723669461</v>
      </c>
      <c r="M95" s="34">
        <f t="shared" si="30"/>
        <v>0</v>
      </c>
      <c r="N95" s="34">
        <f t="shared" si="30"/>
        <v>0</v>
      </c>
      <c r="O95" s="34">
        <f t="shared" si="30"/>
        <v>0</v>
      </c>
      <c r="P95" s="34">
        <f t="shared" si="30"/>
        <v>0</v>
      </c>
      <c r="Q95" s="34">
        <f t="shared" si="30"/>
        <v>0</v>
      </c>
      <c r="R95" s="34">
        <f t="shared" si="30"/>
        <v>0</v>
      </c>
      <c r="S95" s="34">
        <f t="shared" si="30"/>
        <v>0</v>
      </c>
      <c r="T95" s="34">
        <f t="shared" si="30"/>
        <v>0</v>
      </c>
      <c r="U95" s="34">
        <f t="shared" si="30"/>
        <v>0</v>
      </c>
      <c r="V95" s="34">
        <f t="shared" si="30"/>
        <v>0</v>
      </c>
      <c r="W95" s="34">
        <f t="shared" si="30"/>
        <v>0</v>
      </c>
    </row>
    <row r="96" spans="2:23" x14ac:dyDescent="0.2">
      <c r="B96" s="105" t="s">
        <v>130</v>
      </c>
      <c r="C96" s="34"/>
      <c r="D96" s="253">
        <f>'Input data'!C69*$D$92</f>
        <v>4.7052606775120811</v>
      </c>
      <c r="E96" s="34">
        <f>IF(E92=0,0,IF(E87=1,'Input data'!$C$58*(E92-D92*E43/((1+E24/100)*(1+E42/100))),0))</f>
        <v>4.4503611438171307</v>
      </c>
      <c r="F96" s="34">
        <f>IF(F92=0,0,IF(F87=1,'Input data'!$C$58*(F92-E92*F43/((1+F24/100)*(1+F42/100))),0))</f>
        <v>5.3616647078296573</v>
      </c>
      <c r="G96" s="34">
        <f>IF(G92=0,0,IF(G87=1,'Input data'!$C$58*(G92-F92*G43/((1+G24/100)*(1+G42/100))),0))</f>
        <v>3.4010328982315796</v>
      </c>
      <c r="H96" s="34">
        <f>IF(H92=0,0,IF(H87=1,'Input data'!$C$58*(H92-G92*H43/((1+H24/100)*(1+H42/100))),0))</f>
        <v>2.1717501285683252</v>
      </c>
      <c r="I96" s="34">
        <f>IF(I92=0,0,IF(I87=1,'Input data'!$C$58*(I92-H92*I43/((1+I24/100)*(1+I42/100))),0))</f>
        <v>0.86130742875519029</v>
      </c>
      <c r="J96" s="34">
        <f>IF(J92=0,0,IF(J87=1,'Input data'!$C$58*(J92-I92*J43/((1+J24/100)*(1+J42/100))),0))</f>
        <v>0</v>
      </c>
      <c r="K96" s="34">
        <f>IF(K92=0,0,IF(K87=1,'Input data'!$C$58*(K92-J92*K43/((1+K24/100)*(1+K42/100))),0))</f>
        <v>0</v>
      </c>
      <c r="L96" s="34">
        <f>IF(L92=0,0,IF(L87=1,'Input data'!$C$58*(L92-K92*L43/((1+L24/100)*(1+L42/100))),0))</f>
        <v>0</v>
      </c>
      <c r="M96" s="34">
        <f>IF(M92=0,0,IF(M87=1,'Input data'!$C$58*(M92-L92*M43/((1+M24/100)*(1+M42/100))),0))</f>
        <v>0</v>
      </c>
      <c r="N96" s="34">
        <f>IF(N92=0,0,IF(N87=1,'Input data'!$C$58*(N92-M92*N43/((1+N24/100)*(1+N42/100))),0))</f>
        <v>0</v>
      </c>
      <c r="O96" s="34">
        <f>IF(O92=0,0,IF(O87=1,'Input data'!$C$58*(O92-N92*O43/((1+O24/100)*(1+O42/100))),0))</f>
        <v>0</v>
      </c>
      <c r="P96" s="34">
        <f>IF(P92=0,0,IF(P87=1,'Input data'!$C$58*(P92-O92*P43/((1+P24/100)*(1+P42/100))),0))</f>
        <v>0</v>
      </c>
      <c r="Q96" s="34">
        <f>IF(Q92=0,0,IF(Q87=1,'Input data'!$C$58*(Q92-P92*Q43/((1+Q24/100)*(1+Q42/100))),0))</f>
        <v>0</v>
      </c>
      <c r="R96" s="34">
        <f>IF(R92=0,0,IF(R87=1,'Input data'!$C$58*(R92-Q92*R43/((1+R24/100)*(1+R42/100))),0))</f>
        <v>0</v>
      </c>
      <c r="S96" s="34">
        <f>IF(S92=0,0,IF(S87=1,'Input data'!$C$58*(S92-R92*S43/((1+S24/100)*(1+S42/100))),0))</f>
        <v>0</v>
      </c>
      <c r="T96" s="34">
        <f>IF(T92=0,0,IF(T87=1,'Input data'!$C$58*(T92-S92*T43/((1+T24/100)*(1+T42/100))),0))</f>
        <v>0</v>
      </c>
      <c r="U96" s="34">
        <f>IF(U92=0,0,IF(U87=1,'Input data'!$C$58*(U92-T92*U43/((1+U24/100)*(1+U42/100))),0))</f>
        <v>0</v>
      </c>
      <c r="V96" s="34">
        <f>IF(V92=0,0,IF(V87=1,'Input data'!$C$58*(V92-U92*V43/((1+V24/100)*(1+V42/100))),0))</f>
        <v>0</v>
      </c>
      <c r="W96" s="34">
        <f>IF(W92=0,0,IF(W87=1,'Input data'!$C$58*(W92-V92*W43/((1+W24/100)*(1+W42/100))),0))</f>
        <v>0</v>
      </c>
    </row>
    <row r="97" spans="2:25" x14ac:dyDescent="0.2">
      <c r="B97" s="107" t="s">
        <v>131</v>
      </c>
      <c r="C97" s="49"/>
      <c r="D97" s="254">
        <f>'Input data'!C70*$D$92</f>
        <v>0.51003587344023849</v>
      </c>
      <c r="E97" s="49">
        <f>IF(E92=0,0,IF(E87=1,'Input data'!$C$57*(E92-D92*E43/((1+E24/100)*(1+E42/100))),0))</f>
        <v>0.54047400838833182</v>
      </c>
      <c r="F97" s="49">
        <f>IF(F92=0,0,IF(F87=1,'Input data'!$C$57*(F92-E92*F43/((1+F24/100)*(1+F42/100))),0))</f>
        <v>0.65114724909480826</v>
      </c>
      <c r="G97" s="49">
        <f>IF(G92=0,0,IF(G87=1,'Input data'!$C$57*(G92-F92*G43/((1+G24/100)*(1+G42/100))),0))</f>
        <v>0.41303836335205502</v>
      </c>
      <c r="H97" s="49">
        <f>IF(H92=0,0,IF(H87=1,'Input data'!$C$57*(H92-G92*H43/((1+H24/100)*(1+H42/100))),0))</f>
        <v>0.26374814521197182</v>
      </c>
      <c r="I97" s="49">
        <f>IF(I92=0,0,IF(I87=1,'Input data'!$C$57*(I92-H92*I43/((1+I24/100)*(1+I42/100))),0))</f>
        <v>0.10460146119168383</v>
      </c>
      <c r="J97" s="49">
        <f>IF(J92=0,0,IF(J87=1,'Input data'!$C$57*(J92-I92*J43/((1+J24/100)*(1+J42/100))),0))</f>
        <v>0</v>
      </c>
      <c r="K97" s="49">
        <f>IF(K92=0,0,IF(K87=1,'Input data'!$C$57*(K92-J92*K43/((1+K24/100)*(1+K42/100))),0))</f>
        <v>0</v>
      </c>
      <c r="L97" s="49">
        <f>IF(L92=0,0,IF(L87=1,'Input data'!$C$57*(L92-K92*L43/((1+L24/100)*(1+L42/100))),0))</f>
        <v>0</v>
      </c>
      <c r="M97" s="49">
        <f>IF(M92=0,0,IF(M87=1,'Input data'!$C$57*(M92-L92*M43/((1+M24/100)*(1+M42/100))),0))</f>
        <v>0</v>
      </c>
      <c r="N97" s="49">
        <f>IF(N92=0,0,IF(N87=1,'Input data'!$C$57*(N92-M92*N43/((1+N24/100)*(1+N42/100))),0))</f>
        <v>0</v>
      </c>
      <c r="O97" s="49">
        <f>IF(O92=0,0,IF(O87=1,'Input data'!$C$57*(O92-N92*O43/((1+O24/100)*(1+O42/100))),0))</f>
        <v>0</v>
      </c>
      <c r="P97" s="49">
        <f>IF(P92=0,0,IF(P87=1,'Input data'!$C$57*(P92-O92*P43/((1+P24/100)*(1+P42/100))),0))</f>
        <v>0</v>
      </c>
      <c r="Q97" s="49">
        <f>IF(Q92=0,0,IF(Q87=1,'Input data'!$C$57*(Q92-P92*Q43/((1+Q24/100)*(1+Q42/100))),0))</f>
        <v>0</v>
      </c>
      <c r="R97" s="49">
        <f>IF(R92=0,0,IF(R87=1,'Input data'!$C$57*(R92-Q92*R43/((1+R24/100)*(1+R42/100))),0))</f>
        <v>0</v>
      </c>
      <c r="S97" s="49">
        <f>IF(S92=0,0,IF(S87=1,'Input data'!$C$57*(S92-R92*S43/((1+S24/100)*(1+S42/100))),0))</f>
        <v>0</v>
      </c>
      <c r="T97" s="49">
        <f>IF(T92=0,0,IF(T87=1,'Input data'!$C$57*(T92-S92*T43/((1+T24/100)*(1+T42/100))),0))</f>
        <v>0</v>
      </c>
      <c r="U97" s="49">
        <f>IF(U92=0,0,IF(U87=1,'Input data'!$C$57*(U92-T92*U43/((1+U24/100)*(1+U42/100))),0))</f>
        <v>0</v>
      </c>
      <c r="V97" s="49">
        <f>IF(V92=0,0,IF(V87=1,'Input data'!$C$57*(V92-U92*V43/((1+V24/100)*(1+V42/100))),0))</f>
        <v>0</v>
      </c>
      <c r="W97" s="49">
        <f>IF(W92=0,0,IF(W87=1,'Input data'!$C$57*(W92-V92*W43/((1+W24/100)*(1+W42/100))),0))</f>
        <v>0</v>
      </c>
    </row>
    <row r="98" spans="2:25" x14ac:dyDescent="0.2">
      <c r="B98" s="26" t="s">
        <v>73</v>
      </c>
      <c r="C98" s="36"/>
      <c r="D98" s="259">
        <f>'Baseline NFPC'!$D$93</f>
        <v>9.7796143737858943E-2</v>
      </c>
      <c r="E98" s="36">
        <f t="shared" ref="E98:W98" si="31">IF(E92&lt;&gt;0,(E95+E97)/(E93+E94+E95+E96+E97),0)</f>
        <v>9.8487019139161358E-2</v>
      </c>
      <c r="F98" s="36">
        <f t="shared" si="31"/>
        <v>9.9219596968942919E-2</v>
      </c>
      <c r="G98" s="36">
        <f t="shared" si="31"/>
        <v>9.9640229777643627E-2</v>
      </c>
      <c r="H98" s="36">
        <f t="shared" si="31"/>
        <v>9.9895549895475444E-2</v>
      </c>
      <c r="I98" s="36">
        <f t="shared" si="31"/>
        <v>9.9995293505520846E-2</v>
      </c>
      <c r="J98" s="36">
        <f t="shared" si="31"/>
        <v>9.4591715030570414E-2</v>
      </c>
      <c r="K98" s="36">
        <f t="shared" si="31"/>
        <v>7.4095888195223655E-2</v>
      </c>
      <c r="L98" s="36">
        <f t="shared" si="31"/>
        <v>3.747142365884655E-2</v>
      </c>
      <c r="M98" s="36">
        <f t="shared" si="31"/>
        <v>0</v>
      </c>
      <c r="N98" s="36">
        <f t="shared" si="31"/>
        <v>0</v>
      </c>
      <c r="O98" s="36">
        <f t="shared" si="31"/>
        <v>0</v>
      </c>
      <c r="P98" s="36">
        <f t="shared" si="31"/>
        <v>0</v>
      </c>
      <c r="Q98" s="36">
        <f t="shared" si="31"/>
        <v>0</v>
      </c>
      <c r="R98" s="36">
        <f t="shared" si="31"/>
        <v>0</v>
      </c>
      <c r="S98" s="36">
        <f t="shared" si="31"/>
        <v>0</v>
      </c>
      <c r="T98" s="36">
        <f t="shared" si="31"/>
        <v>0</v>
      </c>
      <c r="U98" s="36">
        <f>IF(U92&lt;&gt;0,(U95+U97)/(U93+U94+U95+U96+U97),0)</f>
        <v>0</v>
      </c>
      <c r="V98" s="36">
        <f t="shared" si="31"/>
        <v>0</v>
      </c>
      <c r="W98" s="34">
        <f t="shared" si="31"/>
        <v>0</v>
      </c>
    </row>
    <row r="99" spans="2:25" x14ac:dyDescent="0.2">
      <c r="B99" s="35" t="s">
        <v>74</v>
      </c>
      <c r="C99" s="108"/>
      <c r="D99" s="260">
        <f>'Baseline NFPC'!$D$94</f>
        <v>0.90220385626214106</v>
      </c>
      <c r="E99" s="108">
        <f t="shared" ref="E99:W99" si="32">IF(E92&lt;&gt;0,(E93+E94+E96)/(E93+E94+E95+E96+E97),1)</f>
        <v>0.90151298086083864</v>
      </c>
      <c r="F99" s="108">
        <f t="shared" si="32"/>
        <v>0.90078040303105722</v>
      </c>
      <c r="G99" s="108">
        <f t="shared" si="32"/>
        <v>0.90035977022235636</v>
      </c>
      <c r="H99" s="108">
        <f t="shared" si="32"/>
        <v>0.90010445010452445</v>
      </c>
      <c r="I99" s="108">
        <f t="shared" si="32"/>
        <v>0.90000470649447928</v>
      </c>
      <c r="J99" s="108">
        <f t="shared" si="32"/>
        <v>0.90540828496942949</v>
      </c>
      <c r="K99" s="108">
        <f t="shared" si="32"/>
        <v>0.92590411180477639</v>
      </c>
      <c r="L99" s="108">
        <f t="shared" si="32"/>
        <v>0.9625285763411533</v>
      </c>
      <c r="M99" s="108">
        <f t="shared" si="32"/>
        <v>1</v>
      </c>
      <c r="N99" s="108">
        <f t="shared" si="32"/>
        <v>1</v>
      </c>
      <c r="O99" s="108">
        <f t="shared" si="32"/>
        <v>1</v>
      </c>
      <c r="P99" s="108">
        <f t="shared" si="32"/>
        <v>1</v>
      </c>
      <c r="Q99" s="108">
        <f t="shared" si="32"/>
        <v>1</v>
      </c>
      <c r="R99" s="108">
        <f t="shared" si="32"/>
        <v>1</v>
      </c>
      <c r="S99" s="108">
        <f t="shared" si="32"/>
        <v>1</v>
      </c>
      <c r="T99" s="108">
        <f t="shared" si="32"/>
        <v>1</v>
      </c>
      <c r="U99" s="108">
        <f t="shared" si="32"/>
        <v>1</v>
      </c>
      <c r="V99" s="108">
        <f t="shared" si="32"/>
        <v>1</v>
      </c>
      <c r="W99" s="49">
        <f t="shared" si="32"/>
        <v>1</v>
      </c>
    </row>
    <row r="100" spans="2:25" x14ac:dyDescent="0.2">
      <c r="C100" s="38"/>
      <c r="D100" s="38"/>
      <c r="E100" s="38"/>
      <c r="F100" s="38"/>
      <c r="G100" s="38"/>
      <c r="H100" s="38"/>
      <c r="I100" s="38"/>
      <c r="J100" s="38"/>
      <c r="K100" s="38"/>
      <c r="L100" s="38"/>
      <c r="M100" s="38"/>
      <c r="N100" s="38"/>
      <c r="O100" s="38"/>
      <c r="P100" s="38"/>
      <c r="Q100" s="38"/>
      <c r="R100" s="38"/>
      <c r="S100" s="38"/>
      <c r="T100" s="38"/>
      <c r="U100" s="38"/>
      <c r="V100" s="38"/>
      <c r="W100" s="38"/>
    </row>
    <row r="101" spans="2:25" x14ac:dyDescent="0.2">
      <c r="B101" s="113" t="s">
        <v>132</v>
      </c>
      <c r="C101" s="115">
        <f>'Baseline NFPC'!C96</f>
        <v>0.73297140000000005</v>
      </c>
      <c r="D101" s="115">
        <f>'Baseline NFPC'!D96</f>
        <v>0.83926920000000005</v>
      </c>
      <c r="E101" s="115">
        <f>'Baseline NFPC'!E96</f>
        <v>1.5804370000000001</v>
      </c>
      <c r="F101" s="115">
        <f>'Baseline NFPC'!F96</f>
        <v>1.6625099999999999</v>
      </c>
      <c r="G101" s="115">
        <f>'Baseline NFPC'!G96</f>
        <v>1.8895660000000001</v>
      </c>
      <c r="H101" s="115">
        <f t="shared" ref="H101:W101" si="33">H103+H104</f>
        <v>1.9756481083374138</v>
      </c>
      <c r="I101" s="115">
        <f t="shared" si="33"/>
        <v>2.0402071271644862</v>
      </c>
      <c r="J101" s="115">
        <f>J103+J104</f>
        <v>2.0854652071440776</v>
      </c>
      <c r="K101" s="115">
        <f t="shared" si="33"/>
        <v>2.1129298775510885</v>
      </c>
      <c r="L101" s="115">
        <f t="shared" si="33"/>
        <v>2.124756440199052</v>
      </c>
      <c r="M101" s="115">
        <f t="shared" si="33"/>
        <v>2.1177128995136347</v>
      </c>
      <c r="N101" s="115">
        <f t="shared" si="33"/>
        <v>2.0931499581848727</v>
      </c>
      <c r="O101" s="115">
        <f t="shared" si="33"/>
        <v>2.0931499581848727</v>
      </c>
      <c r="P101" s="115">
        <f t="shared" si="33"/>
        <v>2.0931499581848727</v>
      </c>
      <c r="Q101" s="115">
        <f t="shared" si="33"/>
        <v>2.0931499581848727</v>
      </c>
      <c r="R101" s="115">
        <f t="shared" si="33"/>
        <v>2.0931499581848727</v>
      </c>
      <c r="S101" s="115">
        <f t="shared" si="33"/>
        <v>2.0931499581848727</v>
      </c>
      <c r="T101" s="115">
        <f t="shared" si="33"/>
        <v>2.0931499581848727</v>
      </c>
      <c r="U101" s="115">
        <f t="shared" si="33"/>
        <v>3.4619660000000003</v>
      </c>
      <c r="V101" s="115">
        <f t="shared" si="33"/>
        <v>3.500397</v>
      </c>
      <c r="W101" s="115">
        <f t="shared" si="33"/>
        <v>3.5388280000000001</v>
      </c>
    </row>
    <row r="102" spans="2:25" x14ac:dyDescent="0.2">
      <c r="B102" s="33" t="s">
        <v>133</v>
      </c>
      <c r="C102" s="34"/>
      <c r="D102" s="34"/>
      <c r="E102" s="265">
        <f>((E36*D92)-(E38*(D95+D97)))/(D93+D94+D96)</f>
        <v>1.3799500275570342</v>
      </c>
      <c r="F102" s="265">
        <f>((F36*E92)-(F38*(E95+E97)))/(E93+E94+E96)</f>
        <v>1.4547563998864859</v>
      </c>
      <c r="G102" s="265">
        <f>((G36*F92)-(G38*(F95+F97)))/(F93+F94+F96)</f>
        <v>1.787479392500815</v>
      </c>
      <c r="H102" s="34">
        <f t="shared" ref="H102:W102" si="34">IF(G92&gt;0,(G102*G93+H37*(G96+G94))/(G93+G94+G96),H37)</f>
        <v>1.8838562256582159</v>
      </c>
      <c r="I102" s="34">
        <f t="shared" si="34"/>
        <v>1.95657133464198</v>
      </c>
      <c r="J102" s="34">
        <f t="shared" si="34"/>
        <v>2.0080189331336089</v>
      </c>
      <c r="K102" s="34">
        <f t="shared" si="34"/>
        <v>2.0441543040332615</v>
      </c>
      <c r="L102" s="34">
        <f t="shared" si="34"/>
        <v>2.0739250432545595</v>
      </c>
      <c r="M102" s="34">
        <f t="shared" si="34"/>
        <v>2.0931499581848727</v>
      </c>
      <c r="N102" s="34">
        <f t="shared" si="34"/>
        <v>2.0931499581848727</v>
      </c>
      <c r="O102" s="34">
        <f t="shared" si="34"/>
        <v>2.0931499581848727</v>
      </c>
      <c r="P102" s="34">
        <f t="shared" si="34"/>
        <v>2.0931499581848727</v>
      </c>
      <c r="Q102" s="34">
        <f t="shared" si="34"/>
        <v>2.0931499581848727</v>
      </c>
      <c r="R102" s="34">
        <f t="shared" si="34"/>
        <v>2.0931499581848727</v>
      </c>
      <c r="S102" s="34">
        <f t="shared" si="34"/>
        <v>2.0931499581848727</v>
      </c>
      <c r="T102" s="34">
        <f t="shared" si="34"/>
        <v>2.0931499581848727</v>
      </c>
      <c r="U102" s="34">
        <f t="shared" si="34"/>
        <v>3.4619660000000003</v>
      </c>
      <c r="V102" s="34">
        <f t="shared" si="34"/>
        <v>3.500397</v>
      </c>
      <c r="W102" s="34">
        <f t="shared" si="34"/>
        <v>3.5388280000000001</v>
      </c>
    </row>
    <row r="103" spans="2:25" x14ac:dyDescent="0.2">
      <c r="B103" s="26" t="s">
        <v>134</v>
      </c>
      <c r="C103" s="34"/>
      <c r="D103" s="34"/>
      <c r="E103" s="34">
        <f t="shared" ref="E103:W103" si="35">(E102*(D93+D94+D96)+E38*(D95+D97))/D92</f>
        <v>1.5804370000000001</v>
      </c>
      <c r="F103" s="34">
        <f t="shared" si="35"/>
        <v>1.6625099999999999</v>
      </c>
      <c r="G103" s="34">
        <f t="shared" si="35"/>
        <v>1.8895660000000001</v>
      </c>
      <c r="H103" s="34">
        <f t="shared" si="35"/>
        <v>1.9756481083374138</v>
      </c>
      <c r="I103" s="34">
        <f t="shared" si="35"/>
        <v>2.0402071271644862</v>
      </c>
      <c r="J103" s="34">
        <f t="shared" si="35"/>
        <v>2.0854652071440776</v>
      </c>
      <c r="K103" s="34">
        <f t="shared" si="35"/>
        <v>2.1129298775510885</v>
      </c>
      <c r="L103" s="34">
        <f t="shared" si="35"/>
        <v>2.124756440199052</v>
      </c>
      <c r="M103" s="34">
        <f t="shared" si="35"/>
        <v>2.1177128995136347</v>
      </c>
      <c r="N103" s="34">
        <f t="shared" si="35"/>
        <v>2.0931499581848727</v>
      </c>
      <c r="O103" s="34">
        <f t="shared" si="35"/>
        <v>2.0931499581848727</v>
      </c>
      <c r="P103" s="34">
        <f t="shared" si="35"/>
        <v>2.0931499581848727</v>
      </c>
      <c r="Q103" s="34">
        <f t="shared" si="35"/>
        <v>2.0931499581848727</v>
      </c>
      <c r="R103" s="34">
        <f t="shared" si="35"/>
        <v>2.0931499581848727</v>
      </c>
      <c r="S103" s="34">
        <f t="shared" si="35"/>
        <v>2.0931499581848727</v>
      </c>
      <c r="T103" s="34">
        <f t="shared" si="35"/>
        <v>2.0931499581848727</v>
      </c>
      <c r="U103" s="34">
        <f t="shared" si="35"/>
        <v>3.4619660000000003</v>
      </c>
      <c r="V103" s="34">
        <f t="shared" si="35"/>
        <v>3.500397</v>
      </c>
      <c r="W103" s="34">
        <f t="shared" si="35"/>
        <v>3.5388280000000001</v>
      </c>
    </row>
    <row r="104" spans="2:25" x14ac:dyDescent="0.2">
      <c r="B104" s="35" t="s">
        <v>135</v>
      </c>
      <c r="C104" s="114"/>
      <c r="D104" s="114"/>
      <c r="E104" s="49">
        <f>IF('Criteria results'!$F$5=4,E115,E120)</f>
        <v>0</v>
      </c>
      <c r="F104" s="49">
        <f>IF('Criteria results'!$F$5=4,F115,F120)</f>
        <v>0</v>
      </c>
      <c r="G104" s="49">
        <f>IF('Criteria results'!$F$5=4,G115,G120)</f>
        <v>0</v>
      </c>
      <c r="H104" s="49">
        <f>IF('Criteria results'!$F$5=4,H115,H120)</f>
        <v>0</v>
      </c>
      <c r="I104" s="49">
        <f>IF('Criteria results'!$F$5=4,I115,I120)</f>
        <v>0</v>
      </c>
      <c r="J104" s="49">
        <f>IF('Criteria results'!$F$5=4,J115,J120)</f>
        <v>0</v>
      </c>
      <c r="K104" s="49">
        <f>IF('Criteria results'!$F$5=4,K115,K120)</f>
        <v>0</v>
      </c>
      <c r="L104" s="49">
        <f>IF('Criteria results'!$F$5=4,L115,L120)</f>
        <v>0</v>
      </c>
      <c r="M104" s="49">
        <f>IF('Criteria results'!$F$5=4,M115,M120)</f>
        <v>0</v>
      </c>
      <c r="N104" s="49">
        <f>IF('Criteria results'!$F$5=4,N115,N120)</f>
        <v>0</v>
      </c>
      <c r="O104" s="49">
        <f>IF('Criteria results'!$F$5=4,O115,O120)</f>
        <v>0</v>
      </c>
      <c r="P104" s="49">
        <f>IF('Criteria results'!$F$5=4,P115,P120)</f>
        <v>0</v>
      </c>
      <c r="Q104" s="49">
        <f>IF('Criteria results'!$F$5=4,Q115,Q120)</f>
        <v>0</v>
      </c>
      <c r="R104" s="49">
        <f>IF('Criteria results'!$F$5=4,R115,R120)</f>
        <v>0</v>
      </c>
      <c r="S104" s="49">
        <f>IF('Criteria results'!$F$5=4,S115,S120)</f>
        <v>0</v>
      </c>
      <c r="T104" s="49">
        <f>IF('Criteria results'!$F$5=4,T115,T120)</f>
        <v>0</v>
      </c>
      <c r="U104" s="49">
        <f>IF('Criteria results'!$F$5=4,U115,U120)</f>
        <v>0</v>
      </c>
      <c r="V104" s="49">
        <f>IF('Criteria results'!$F$5=4,V115,V120)</f>
        <v>0</v>
      </c>
      <c r="W104" s="49">
        <f>IF('Criteria results'!$F$5=4,W115,W120)</f>
        <v>0</v>
      </c>
    </row>
    <row r="105" spans="2:25" x14ac:dyDescent="0.2">
      <c r="C105" s="38"/>
      <c r="D105" s="38"/>
      <c r="E105" s="38"/>
      <c r="F105" s="38"/>
      <c r="G105" s="34"/>
      <c r="H105" s="34"/>
      <c r="I105" s="34"/>
      <c r="J105" s="34"/>
      <c r="K105" s="34"/>
      <c r="L105" s="34"/>
      <c r="M105" s="34"/>
      <c r="N105" s="34"/>
      <c r="O105" s="34"/>
      <c r="P105" s="34"/>
      <c r="Q105" s="34"/>
      <c r="R105" s="34"/>
      <c r="S105" s="34"/>
      <c r="T105" s="34"/>
      <c r="U105" s="34"/>
      <c r="V105" s="34"/>
      <c r="W105" s="34"/>
    </row>
    <row r="106" spans="2:25" x14ac:dyDescent="0.2">
      <c r="B106" s="113" t="s">
        <v>186</v>
      </c>
      <c r="C106" s="115">
        <f t="shared" ref="C106:W106" si="36">((1+C101/100)/((1+C24/100)*(1+C42/100))-1)*100</f>
        <v>-4.3409713213587997</v>
      </c>
      <c r="D106" s="115">
        <f t="shared" si="36"/>
        <v>-5.5733961793317803</v>
      </c>
      <c r="E106" s="115">
        <f t="shared" si="36"/>
        <v>-2.0557830858901172</v>
      </c>
      <c r="F106" s="115">
        <f t="shared" si="36"/>
        <v>-0.1745813850073441</v>
      </c>
      <c r="G106" s="115">
        <f t="shared" si="36"/>
        <v>-0.68539366212302388</v>
      </c>
      <c r="H106" s="115">
        <f t="shared" si="36"/>
        <v>-0.7130909639026739</v>
      </c>
      <c r="I106" s="115">
        <f t="shared" si="36"/>
        <v>-0.66022675401169462</v>
      </c>
      <c r="J106" s="115">
        <f t="shared" si="36"/>
        <v>-0.7565614811596455</v>
      </c>
      <c r="K106" s="115">
        <f t="shared" si="36"/>
        <v>-0.74930123611997024</v>
      </c>
      <c r="L106" s="115">
        <f t="shared" si="36"/>
        <v>-0.78257791881333194</v>
      </c>
      <c r="M106" s="115">
        <f t="shared" si="36"/>
        <v>-0.87870464426126338</v>
      </c>
      <c r="N106" s="115">
        <f t="shared" si="36"/>
        <v>-2.1991668468818615</v>
      </c>
      <c r="O106" s="115">
        <f t="shared" si="36"/>
        <v>-2.2619664520739935</v>
      </c>
      <c r="P106" s="115">
        <f t="shared" si="36"/>
        <v>-2.4218514067951169</v>
      </c>
      <c r="Q106" s="115">
        <f t="shared" si="36"/>
        <v>-1.4712630551790618</v>
      </c>
      <c r="R106" s="115">
        <f t="shared" si="36"/>
        <v>-1.6446842916917448</v>
      </c>
      <c r="S106" s="115">
        <f t="shared" si="36"/>
        <v>-1.6903510710889358</v>
      </c>
      <c r="T106" s="115">
        <f t="shared" si="36"/>
        <v>-1.711411497884463</v>
      </c>
      <c r="U106" s="115">
        <f t="shared" si="36"/>
        <v>-0.42780593101860998</v>
      </c>
      <c r="V106" s="115">
        <f t="shared" si="36"/>
        <v>-0.41021922953683454</v>
      </c>
      <c r="W106" s="115">
        <f t="shared" si="36"/>
        <v>-0.30249729811202553</v>
      </c>
    </row>
    <row r="107" spans="2:25" x14ac:dyDescent="0.2">
      <c r="F107" s="34"/>
      <c r="G107" s="34"/>
      <c r="H107" s="34"/>
      <c r="I107" s="34"/>
      <c r="J107" s="34"/>
      <c r="K107" s="34"/>
      <c r="L107" s="34"/>
      <c r="M107" s="34"/>
      <c r="N107" s="34"/>
      <c r="O107" s="34"/>
      <c r="P107" s="34"/>
      <c r="Q107" s="34"/>
      <c r="R107" s="34"/>
      <c r="S107" s="34"/>
      <c r="T107" s="34"/>
      <c r="U107" s="34"/>
      <c r="V107" s="34"/>
      <c r="W107" s="34"/>
    </row>
    <row r="108" spans="2:25" x14ac:dyDescent="0.2">
      <c r="F108" s="34"/>
      <c r="G108" s="34"/>
      <c r="H108" s="252"/>
      <c r="I108" s="252"/>
      <c r="J108" s="252"/>
      <c r="K108" s="252"/>
      <c r="L108" s="252"/>
      <c r="M108" s="252"/>
      <c r="N108" s="252"/>
      <c r="O108" s="252"/>
      <c r="P108" s="252"/>
      <c r="Q108" s="252"/>
      <c r="R108" s="252"/>
      <c r="S108" s="252"/>
      <c r="T108" s="252"/>
      <c r="U108" s="34"/>
      <c r="V108" s="34"/>
      <c r="W108" s="34"/>
    </row>
    <row r="109" spans="2:25" x14ac:dyDescent="0.2">
      <c r="T109" s="62"/>
      <c r="U109" s="62"/>
      <c r="V109" s="62"/>
      <c r="W109" s="62"/>
      <c r="X109" s="62"/>
      <c r="Y109" s="62"/>
    </row>
    <row r="110" spans="2:25" s="25" customFormat="1" ht="12.75" outlineLevel="1" x14ac:dyDescent="0.2">
      <c r="B110" s="25" t="s">
        <v>136</v>
      </c>
      <c r="C110" s="112"/>
      <c r="D110" s="112"/>
      <c r="E110" s="112"/>
      <c r="F110" s="112"/>
      <c r="G110" s="112"/>
      <c r="H110" s="112"/>
      <c r="I110" s="112"/>
      <c r="J110" s="112"/>
      <c r="K110" s="112"/>
      <c r="L110" s="112"/>
      <c r="M110" s="112"/>
      <c r="N110" s="112"/>
      <c r="O110" s="112"/>
      <c r="P110" s="112"/>
      <c r="Q110" s="112"/>
      <c r="R110" s="112"/>
      <c r="S110" s="112"/>
      <c r="T110" s="112"/>
      <c r="U110" s="112"/>
      <c r="V110" s="112"/>
      <c r="W110" s="112"/>
    </row>
    <row r="111" spans="2:25" s="102" customFormat="1" ht="12.75" outlineLevel="1" x14ac:dyDescent="0.2">
      <c r="C111" s="124"/>
      <c r="D111" s="124"/>
      <c r="E111" s="124"/>
      <c r="F111" s="124"/>
      <c r="G111" s="124"/>
      <c r="H111" s="124"/>
      <c r="I111" s="124"/>
      <c r="J111" s="124"/>
      <c r="K111" s="124"/>
      <c r="L111" s="124"/>
      <c r="M111" s="124"/>
      <c r="N111" s="124"/>
      <c r="O111" s="124"/>
      <c r="P111" s="124"/>
      <c r="Q111" s="124"/>
      <c r="R111" s="124"/>
      <c r="S111" s="124"/>
      <c r="T111" s="124"/>
      <c r="U111" s="124"/>
      <c r="V111" s="124"/>
      <c r="W111" s="124"/>
    </row>
    <row r="112" spans="2:25" s="102" customFormat="1" ht="12.75" outlineLevel="1" x14ac:dyDescent="0.2">
      <c r="B112" s="106" t="s">
        <v>293</v>
      </c>
      <c r="C112" s="125"/>
      <c r="D112" s="125"/>
      <c r="E112" s="125"/>
      <c r="F112" s="125"/>
      <c r="G112" s="125"/>
      <c r="H112" s="37"/>
      <c r="I112" s="37"/>
      <c r="J112" s="37"/>
      <c r="K112" s="37"/>
      <c r="L112" s="37"/>
      <c r="M112" s="37"/>
      <c r="N112" s="37"/>
      <c r="O112" s="37"/>
      <c r="P112" s="37"/>
      <c r="Q112" s="37"/>
      <c r="R112" s="37"/>
      <c r="S112" s="37"/>
      <c r="T112" s="37"/>
      <c r="U112" s="125"/>
      <c r="V112" s="125"/>
      <c r="W112" s="125"/>
    </row>
    <row r="113" spans="1:51" outlineLevel="1" x14ac:dyDescent="0.2">
      <c r="B113" s="120" t="s">
        <v>43</v>
      </c>
      <c r="C113" s="34">
        <v>72.584815979003906</v>
      </c>
      <c r="D113" s="34">
        <v>73.511604309082031</v>
      </c>
      <c r="E113" s="34">
        <v>75.830703735351563</v>
      </c>
      <c r="F113" s="34">
        <v>80.487434387207031</v>
      </c>
      <c r="G113" s="34">
        <v>82.262153625488281</v>
      </c>
      <c r="H113" s="34">
        <v>83.381324768066406</v>
      </c>
      <c r="I113" s="34">
        <v>83.9129638671875</v>
      </c>
      <c r="J113" s="34">
        <v>83.675552368164063</v>
      </c>
      <c r="K113" s="34">
        <v>82.830154418945313</v>
      </c>
      <c r="L113" s="34">
        <v>81.712348937988281</v>
      </c>
      <c r="M113" s="34">
        <v>80.287811279296875</v>
      </c>
      <c r="N113" s="34">
        <v>79.301177978515625</v>
      </c>
      <c r="O113" s="34">
        <v>78.133712768554688</v>
      </c>
      <c r="P113" s="34">
        <v>76.708305358886719</v>
      </c>
      <c r="Q113" s="34">
        <v>75.021430969238281</v>
      </c>
      <c r="R113" s="34">
        <v>73.063255310058594</v>
      </c>
      <c r="S113" s="34">
        <v>70.915367126464844</v>
      </c>
      <c r="T113" s="34">
        <v>68.580741882324219</v>
      </c>
      <c r="U113" s="34">
        <v>66.036476135253906</v>
      </c>
      <c r="V113" s="34">
        <v>63.294288635253906</v>
      </c>
      <c r="W113" s="34">
        <v>60.429271697998047</v>
      </c>
      <c r="X113" s="116"/>
      <c r="Y113" s="62"/>
    </row>
    <row r="114" spans="1:51" x14ac:dyDescent="0.2">
      <c r="B114" s="26" t="s">
        <v>132</v>
      </c>
      <c r="C114" s="1">
        <v>0.73297137022018433</v>
      </c>
      <c r="D114" s="1">
        <v>0.83926922082901001</v>
      </c>
      <c r="E114" s="1">
        <v>1.580437183380127</v>
      </c>
      <c r="F114" s="1">
        <v>1.6625103950500488</v>
      </c>
      <c r="G114" s="1">
        <v>1.88956618309021</v>
      </c>
      <c r="H114" s="1">
        <v>1.9827291965484619</v>
      </c>
      <c r="I114" s="1">
        <v>2.0615065097808838</v>
      </c>
      <c r="J114" s="1">
        <v>2.1287131309509277</v>
      </c>
      <c r="K114" s="1">
        <v>2.1856439113616943</v>
      </c>
      <c r="L114" s="1">
        <v>2.2386186122894287</v>
      </c>
      <c r="M114" s="1">
        <v>2.2877640724182129</v>
      </c>
      <c r="N114" s="1">
        <v>2.3333659172058105</v>
      </c>
      <c r="O114" s="1">
        <v>2.378939151763916</v>
      </c>
      <c r="P114" s="1">
        <v>2.4205222129821777</v>
      </c>
      <c r="Q114" s="1">
        <v>2.4601023197174072</v>
      </c>
      <c r="R114" s="1">
        <v>2.4976263046264648</v>
      </c>
      <c r="S114" s="1">
        <v>2.5329279899597168</v>
      </c>
      <c r="T114" s="1">
        <v>2.5657763481140137</v>
      </c>
      <c r="U114" s="1">
        <v>2.595919132232666</v>
      </c>
      <c r="V114" s="1">
        <v>2.6230399608612061</v>
      </c>
      <c r="W114" s="1">
        <v>2.6496624946594238</v>
      </c>
      <c r="X114" s="117"/>
      <c r="Y114" s="59"/>
      <c r="Z114" s="59"/>
      <c r="AA114" s="59"/>
      <c r="AB114" s="59"/>
      <c r="AC114" s="59"/>
      <c r="AD114" s="59"/>
      <c r="AE114" s="59"/>
      <c r="AF114" s="59"/>
      <c r="AG114" s="59"/>
      <c r="AH114" s="59"/>
      <c r="AI114" s="59"/>
      <c r="AJ114" s="59"/>
      <c r="AK114" s="59"/>
      <c r="AL114" s="59"/>
      <c r="AM114" s="59"/>
      <c r="AN114" s="59"/>
      <c r="AO114" s="59"/>
      <c r="AP114" s="59"/>
      <c r="AQ114" s="59"/>
      <c r="AR114" s="59"/>
      <c r="AS114" s="59"/>
      <c r="AT114" s="59"/>
      <c r="AU114" s="59"/>
      <c r="AV114" s="59"/>
      <c r="AW114" s="59"/>
      <c r="AX114" s="59"/>
      <c r="AY114" s="60"/>
    </row>
    <row r="115" spans="1:51" x14ac:dyDescent="0.2">
      <c r="B115" s="26" t="s">
        <v>185</v>
      </c>
      <c r="C115" s="1"/>
      <c r="D115" s="1"/>
      <c r="E115" s="1">
        <v>0</v>
      </c>
      <c r="F115" s="1">
        <v>0</v>
      </c>
      <c r="G115" s="1">
        <v>0</v>
      </c>
      <c r="H115" s="1">
        <v>0</v>
      </c>
      <c r="I115" s="1">
        <v>0</v>
      </c>
      <c r="J115" s="1">
        <v>0</v>
      </c>
      <c r="K115" s="1">
        <v>0</v>
      </c>
      <c r="L115" s="1">
        <v>0</v>
      </c>
      <c r="M115" s="1">
        <v>0</v>
      </c>
      <c r="N115" s="1">
        <v>0</v>
      </c>
      <c r="O115" s="1">
        <v>0</v>
      </c>
      <c r="P115" s="1">
        <v>0</v>
      </c>
      <c r="Q115" s="1">
        <v>0</v>
      </c>
      <c r="R115" s="1">
        <v>0</v>
      </c>
      <c r="S115" s="1">
        <v>0</v>
      </c>
      <c r="T115" s="1">
        <v>0</v>
      </c>
      <c r="U115" s="1">
        <v>0</v>
      </c>
      <c r="V115" s="1">
        <v>0</v>
      </c>
      <c r="W115" s="1">
        <v>0</v>
      </c>
      <c r="X115" s="117"/>
      <c r="Y115" s="59"/>
      <c r="Z115" s="59"/>
      <c r="AA115" s="59"/>
      <c r="AB115" s="59"/>
      <c r="AC115" s="59"/>
      <c r="AD115" s="59"/>
      <c r="AE115" s="59"/>
      <c r="AF115" s="59"/>
      <c r="AG115" s="59"/>
      <c r="AH115" s="59"/>
      <c r="AI115" s="59"/>
      <c r="AJ115" s="59"/>
      <c r="AK115" s="59"/>
      <c r="AL115" s="59"/>
      <c r="AM115" s="59"/>
      <c r="AN115" s="59"/>
      <c r="AO115" s="59"/>
      <c r="AP115" s="59"/>
      <c r="AQ115" s="59"/>
      <c r="AR115" s="59"/>
      <c r="AS115" s="59"/>
      <c r="AT115" s="59"/>
      <c r="AU115" s="59"/>
      <c r="AV115" s="59"/>
      <c r="AW115" s="59"/>
      <c r="AX115" s="59"/>
      <c r="AY115" s="60"/>
    </row>
    <row r="116" spans="1:51" x14ac:dyDescent="0.2">
      <c r="C116" s="1"/>
      <c r="D116" s="1"/>
      <c r="E116" s="99"/>
      <c r="F116" s="99"/>
      <c r="G116" s="99"/>
      <c r="H116" s="99"/>
      <c r="I116" s="99"/>
      <c r="J116" s="99"/>
      <c r="K116" s="99"/>
      <c r="L116" s="99"/>
      <c r="M116" s="99"/>
      <c r="N116" s="99"/>
      <c r="O116" s="99"/>
      <c r="P116" s="99"/>
      <c r="Q116" s="99"/>
      <c r="R116" s="99"/>
      <c r="S116" s="99"/>
      <c r="T116" s="99"/>
      <c r="U116" s="103"/>
      <c r="V116" s="103"/>
      <c r="W116" s="103"/>
      <c r="X116" s="117"/>
      <c r="Y116" s="59"/>
      <c r="Z116" s="59"/>
      <c r="AA116" s="59"/>
      <c r="AB116" s="59"/>
      <c r="AC116" s="59"/>
      <c r="AD116" s="59"/>
      <c r="AE116" s="59"/>
      <c r="AF116" s="59"/>
      <c r="AG116" s="59"/>
      <c r="AH116" s="59"/>
      <c r="AI116" s="59"/>
      <c r="AJ116" s="59"/>
      <c r="AK116" s="59"/>
      <c r="AL116" s="59"/>
      <c r="AM116" s="59"/>
      <c r="AN116" s="59"/>
      <c r="AO116" s="59"/>
      <c r="AP116" s="59"/>
      <c r="AQ116" s="59"/>
      <c r="AR116" s="59"/>
      <c r="AS116" s="59"/>
      <c r="AT116" s="59"/>
      <c r="AU116" s="59"/>
      <c r="AV116" s="59"/>
      <c r="AW116" s="59"/>
      <c r="AX116" s="59"/>
      <c r="AY116" s="60"/>
    </row>
    <row r="117" spans="1:51" x14ac:dyDescent="0.2">
      <c r="B117" s="106" t="s">
        <v>294</v>
      </c>
      <c r="C117" s="37"/>
      <c r="D117" s="37"/>
      <c r="E117" s="37"/>
      <c r="F117" s="37"/>
      <c r="G117" s="37"/>
      <c r="H117" s="37"/>
      <c r="I117" s="37"/>
      <c r="J117" s="37"/>
      <c r="K117" s="37"/>
      <c r="L117" s="37"/>
      <c r="M117" s="37"/>
      <c r="N117" s="37"/>
      <c r="O117" s="37"/>
      <c r="P117" s="37"/>
      <c r="Q117" s="37"/>
      <c r="R117" s="37"/>
      <c r="S117" s="37"/>
      <c r="T117" s="37"/>
      <c r="U117" s="37"/>
      <c r="V117" s="126"/>
      <c r="W117" s="126"/>
      <c r="X117" s="117"/>
      <c r="Y117" s="59"/>
      <c r="Z117" s="59"/>
      <c r="AA117" s="59"/>
      <c r="AB117" s="59"/>
      <c r="AC117" s="59"/>
      <c r="AD117" s="59"/>
      <c r="AE117" s="59"/>
      <c r="AF117" s="59"/>
      <c r="AG117" s="59"/>
      <c r="AH117" s="59"/>
      <c r="AI117" s="59"/>
      <c r="AJ117" s="59"/>
      <c r="AK117" s="59"/>
      <c r="AL117" s="59"/>
      <c r="AM117" s="59"/>
      <c r="AN117" s="59"/>
      <c r="AO117" s="59"/>
      <c r="AP117" s="59"/>
      <c r="AQ117" s="59"/>
      <c r="AR117" s="59"/>
      <c r="AS117" s="59"/>
      <c r="AT117" s="59"/>
      <c r="AU117" s="59"/>
      <c r="AV117" s="59"/>
      <c r="AW117" s="59"/>
      <c r="AX117" s="59"/>
      <c r="AY117" s="60"/>
    </row>
    <row r="118" spans="1:51" outlineLevel="1" x14ac:dyDescent="0.2">
      <c r="B118" s="120" t="s">
        <v>43</v>
      </c>
      <c r="C118" s="34">
        <v>72.584815979003906</v>
      </c>
      <c r="D118" s="34">
        <v>73.511604309082031</v>
      </c>
      <c r="E118" s="34">
        <v>75.830703735351563</v>
      </c>
      <c r="F118" s="34">
        <v>80.487434387207031</v>
      </c>
      <c r="G118" s="34">
        <v>82.259086608886719</v>
      </c>
      <c r="H118" s="34">
        <v>83.703659057617188</v>
      </c>
      <c r="I118" s="34">
        <v>84.899864196777344</v>
      </c>
      <c r="J118" s="34">
        <v>85.673782348632813</v>
      </c>
      <c r="K118" s="34">
        <v>86.113090515136719</v>
      </c>
      <c r="L118" s="34">
        <v>86.220924377441406</v>
      </c>
      <c r="M118" s="34">
        <v>85.980087280273438</v>
      </c>
      <c r="N118" s="34">
        <v>85.383163452148438</v>
      </c>
      <c r="O118" s="34">
        <v>84.452705383300781</v>
      </c>
      <c r="P118" s="34">
        <v>83.105934143066406</v>
      </c>
      <c r="Q118" s="34">
        <v>81.70721435546875</v>
      </c>
      <c r="R118" s="34">
        <v>80.024871826171875</v>
      </c>
      <c r="S118" s="34">
        <v>78.148757934570313</v>
      </c>
      <c r="T118" s="34">
        <v>76.083610534667969</v>
      </c>
      <c r="U118" s="34">
        <v>73.805633544921875</v>
      </c>
      <c r="V118" s="34">
        <v>71.327713012695313</v>
      </c>
      <c r="W118" s="34">
        <v>68.730560302734375</v>
      </c>
      <c r="X118" s="116"/>
      <c r="Y118" s="62"/>
    </row>
    <row r="119" spans="1:51" x14ac:dyDescent="0.2">
      <c r="B119" s="26" t="s">
        <v>132</v>
      </c>
      <c r="C119" s="1">
        <v>0.73297137022018433</v>
      </c>
      <c r="D119" s="1">
        <v>0.83926922082901001</v>
      </c>
      <c r="E119" s="1">
        <v>1.580437183380127</v>
      </c>
      <c r="F119" s="1">
        <v>1.6625103950500488</v>
      </c>
      <c r="G119" s="1">
        <v>1.88956618309021</v>
      </c>
      <c r="H119" s="1">
        <v>1.9854403734207153</v>
      </c>
      <c r="I119" s="1">
        <v>2.0695152282714844</v>
      </c>
      <c r="J119" s="1">
        <v>2.1444764137268066</v>
      </c>
      <c r="K119" s="1">
        <v>2.2115991115570068</v>
      </c>
      <c r="L119" s="1">
        <v>2.27219557762146</v>
      </c>
      <c r="M119" s="1">
        <v>2.3275411128997803</v>
      </c>
      <c r="N119" s="1">
        <v>2.3785543441772461</v>
      </c>
      <c r="O119" s="1">
        <v>2.4276635646820068</v>
      </c>
      <c r="P119" s="1">
        <v>2.4713766574859619</v>
      </c>
      <c r="Q119" s="1">
        <v>2.51186203956604</v>
      </c>
      <c r="R119" s="1">
        <v>2.5505201816558838</v>
      </c>
      <c r="S119" s="1">
        <v>2.5872571468353271</v>
      </c>
      <c r="T119" s="1">
        <v>2.6219298839569092</v>
      </c>
      <c r="U119" s="1">
        <v>2.6543915271759033</v>
      </c>
      <c r="V119" s="1">
        <v>2.684459924697876</v>
      </c>
      <c r="W119" s="1">
        <v>2.7120418548583984</v>
      </c>
      <c r="X119" s="117"/>
      <c r="Y119" s="59"/>
      <c r="Z119" s="59"/>
      <c r="AA119" s="59"/>
      <c r="AB119" s="59"/>
      <c r="AC119" s="59"/>
      <c r="AD119" s="59"/>
      <c r="AE119" s="59"/>
      <c r="AF119" s="59"/>
      <c r="AG119" s="59"/>
      <c r="AH119" s="59"/>
      <c r="AI119" s="59"/>
      <c r="AJ119" s="59"/>
      <c r="AK119" s="59"/>
      <c r="AL119" s="59"/>
      <c r="AM119" s="59"/>
      <c r="AN119" s="59"/>
      <c r="AO119" s="59"/>
      <c r="AP119" s="59"/>
      <c r="AQ119" s="59"/>
      <c r="AR119" s="59"/>
      <c r="AS119" s="59"/>
      <c r="AT119" s="59"/>
      <c r="AU119" s="59"/>
      <c r="AV119" s="59"/>
      <c r="AW119" s="59"/>
      <c r="AX119" s="59"/>
      <c r="AY119" s="60"/>
    </row>
    <row r="120" spans="1:51" x14ac:dyDescent="0.2">
      <c r="B120" s="26" t="s">
        <v>185</v>
      </c>
      <c r="C120" s="1"/>
      <c r="D120" s="1"/>
      <c r="E120" s="1"/>
      <c r="F120" s="1"/>
      <c r="G120" s="1">
        <v>0</v>
      </c>
      <c r="H120" s="1">
        <v>0</v>
      </c>
      <c r="I120" s="1">
        <v>0</v>
      </c>
      <c r="J120" s="1">
        <v>0</v>
      </c>
      <c r="K120" s="1">
        <v>0</v>
      </c>
      <c r="L120" s="1">
        <v>0</v>
      </c>
      <c r="M120" s="1">
        <v>0</v>
      </c>
      <c r="N120" s="1">
        <v>0</v>
      </c>
      <c r="O120" s="1">
        <v>0</v>
      </c>
      <c r="P120" s="1">
        <v>0</v>
      </c>
      <c r="Q120" s="1">
        <v>0</v>
      </c>
      <c r="R120" s="1">
        <v>0</v>
      </c>
      <c r="S120" s="1">
        <v>0</v>
      </c>
      <c r="T120" s="1">
        <v>0</v>
      </c>
      <c r="U120" s="1">
        <v>0</v>
      </c>
      <c r="V120" s="1">
        <v>0</v>
      </c>
      <c r="W120" s="1">
        <v>0</v>
      </c>
      <c r="X120" s="117"/>
      <c r="Y120" s="59"/>
      <c r="Z120" s="59"/>
      <c r="AA120" s="59"/>
      <c r="AB120" s="59"/>
      <c r="AC120" s="59"/>
      <c r="AD120" s="59"/>
      <c r="AE120" s="59"/>
      <c r="AF120" s="59"/>
      <c r="AG120" s="59"/>
      <c r="AH120" s="59"/>
      <c r="AI120" s="59"/>
      <c r="AJ120" s="59"/>
      <c r="AK120" s="59"/>
      <c r="AL120" s="59"/>
      <c r="AM120" s="59"/>
      <c r="AN120" s="59"/>
      <c r="AO120" s="59"/>
      <c r="AP120" s="59"/>
      <c r="AQ120" s="59"/>
      <c r="AR120" s="59"/>
      <c r="AS120" s="59"/>
      <c r="AT120" s="59"/>
      <c r="AU120" s="59"/>
      <c r="AV120" s="59"/>
      <c r="AW120" s="59"/>
      <c r="AX120" s="59"/>
      <c r="AY120" s="60"/>
    </row>
    <row r="121" spans="1:51" x14ac:dyDescent="0.2">
      <c r="T121" s="62"/>
      <c r="U121" s="116"/>
      <c r="V121" s="116"/>
      <c r="W121" s="116"/>
      <c r="X121" s="116"/>
      <c r="Y121" s="62"/>
    </row>
    <row r="122" spans="1:51" x14ac:dyDescent="0.2">
      <c r="H122" s="121"/>
      <c r="I122" s="121"/>
      <c r="J122" s="121"/>
      <c r="K122" s="121"/>
      <c r="L122" s="121"/>
      <c r="M122" s="121"/>
      <c r="N122" s="121"/>
      <c r="O122" s="121"/>
      <c r="P122" s="121"/>
      <c r="Q122" s="121"/>
      <c r="R122" s="121"/>
      <c r="S122" s="121"/>
      <c r="T122" s="121"/>
      <c r="U122" s="121"/>
      <c r="V122" s="121"/>
      <c r="W122" s="121"/>
    </row>
    <row r="123" spans="1:51" x14ac:dyDescent="0.2">
      <c r="E123" s="34"/>
      <c r="F123" s="34"/>
      <c r="G123" s="121"/>
      <c r="H123" s="121"/>
      <c r="I123" s="121"/>
      <c r="J123" s="121"/>
      <c r="K123" s="121"/>
      <c r="L123" s="121"/>
      <c r="M123" s="121"/>
      <c r="N123" s="121"/>
      <c r="O123" s="121"/>
      <c r="P123" s="121"/>
      <c r="Q123" s="121"/>
      <c r="R123" s="121"/>
      <c r="S123" s="121"/>
      <c r="T123" s="121"/>
      <c r="U123" s="121"/>
      <c r="V123" s="121"/>
      <c r="W123" s="121"/>
    </row>
    <row r="124" spans="1:51" x14ac:dyDescent="0.2">
      <c r="A124" s="60"/>
      <c r="C124" s="34"/>
      <c r="D124" s="34"/>
      <c r="E124" s="34"/>
      <c r="F124" s="34"/>
      <c r="G124" s="34"/>
      <c r="H124" s="34"/>
      <c r="I124" s="34"/>
      <c r="J124" s="34"/>
      <c r="K124" s="34"/>
      <c r="L124" s="34"/>
      <c r="M124" s="34"/>
      <c r="N124" s="34"/>
      <c r="O124" s="34"/>
      <c r="P124" s="34"/>
      <c r="Q124" s="34"/>
      <c r="R124" s="34"/>
      <c r="S124" s="34"/>
      <c r="T124" s="34"/>
      <c r="U124" s="34"/>
      <c r="V124" s="34"/>
      <c r="W124" s="34"/>
    </row>
    <row r="125" spans="1:51" x14ac:dyDescent="0.2">
      <c r="C125" s="61"/>
      <c r="D125" s="61"/>
      <c r="E125" s="61"/>
      <c r="F125" s="61"/>
      <c r="G125" s="61"/>
      <c r="H125" s="61"/>
      <c r="I125" s="61"/>
      <c r="J125" s="61"/>
      <c r="K125" s="61"/>
      <c r="L125" s="61"/>
      <c r="M125" s="61"/>
      <c r="N125" s="61"/>
      <c r="O125" s="61"/>
      <c r="P125" s="61"/>
      <c r="Q125" s="61"/>
      <c r="R125" s="61"/>
      <c r="S125" s="61"/>
      <c r="T125" s="61"/>
      <c r="U125" s="61"/>
      <c r="V125" s="61"/>
      <c r="W125" s="61"/>
      <c r="X125" s="61"/>
    </row>
    <row r="127" spans="1:51" x14ac:dyDescent="0.2">
      <c r="E127" s="34"/>
      <c r="F127" s="34"/>
      <c r="G127" s="121"/>
      <c r="H127" s="121"/>
      <c r="I127" s="121"/>
      <c r="J127" s="121"/>
      <c r="K127" s="121"/>
      <c r="L127" s="121"/>
      <c r="M127" s="121"/>
      <c r="N127" s="121"/>
      <c r="O127" s="121"/>
      <c r="P127" s="121"/>
      <c r="Q127" s="121"/>
      <c r="R127" s="121"/>
      <c r="S127" s="121"/>
      <c r="T127" s="121"/>
      <c r="U127" s="121"/>
      <c r="V127" s="121"/>
      <c r="W127" s="121"/>
    </row>
    <row r="128" spans="1:51" x14ac:dyDescent="0.2">
      <c r="E128" s="34"/>
      <c r="F128" s="34"/>
      <c r="G128" s="121"/>
      <c r="H128" s="121"/>
      <c r="I128" s="121"/>
      <c r="J128" s="121"/>
      <c r="K128" s="121"/>
      <c r="L128" s="121"/>
      <c r="M128" s="121"/>
      <c r="N128" s="121"/>
      <c r="O128" s="121"/>
      <c r="P128" s="121"/>
      <c r="Q128" s="121"/>
      <c r="R128" s="121"/>
      <c r="S128" s="121"/>
      <c r="T128" s="121"/>
      <c r="U128" s="121"/>
      <c r="V128" s="121"/>
      <c r="W128" s="121"/>
      <c r="X128" s="53"/>
    </row>
    <row r="129" spans="5:24" x14ac:dyDescent="0.2">
      <c r="G129" s="53"/>
      <c r="H129" s="53"/>
      <c r="I129" s="53"/>
      <c r="J129" s="53"/>
      <c r="K129" s="53"/>
      <c r="L129" s="53"/>
      <c r="M129" s="53"/>
      <c r="N129" s="53"/>
      <c r="O129" s="53"/>
      <c r="P129" s="53"/>
      <c r="Q129" s="53"/>
      <c r="R129" s="53"/>
      <c r="S129" s="53"/>
      <c r="T129" s="53"/>
      <c r="U129" s="53"/>
      <c r="V129" s="53"/>
      <c r="W129" s="53"/>
      <c r="X129" s="53"/>
    </row>
    <row r="130" spans="5:24" x14ac:dyDescent="0.2">
      <c r="E130" s="34"/>
      <c r="F130" s="34"/>
      <c r="G130" s="121"/>
      <c r="H130" s="121"/>
      <c r="I130" s="121"/>
      <c r="J130" s="121"/>
      <c r="K130" s="121"/>
      <c r="L130" s="121"/>
      <c r="M130" s="121"/>
      <c r="N130" s="121"/>
      <c r="O130" s="121"/>
      <c r="P130" s="121"/>
      <c r="Q130" s="121"/>
      <c r="R130" s="121"/>
      <c r="S130" s="121"/>
      <c r="T130" s="121"/>
      <c r="U130" s="121"/>
      <c r="V130" s="121"/>
      <c r="W130" s="121"/>
      <c r="X130" s="53"/>
    </row>
    <row r="131" spans="5:24" x14ac:dyDescent="0.2">
      <c r="E131" s="34"/>
      <c r="F131" s="34"/>
      <c r="G131" s="121"/>
      <c r="H131" s="121"/>
      <c r="I131" s="121"/>
      <c r="J131" s="121"/>
      <c r="K131" s="121"/>
      <c r="L131" s="121"/>
      <c r="M131" s="121"/>
      <c r="N131" s="121"/>
      <c r="O131" s="121"/>
      <c r="P131" s="121"/>
      <c r="Q131" s="121"/>
      <c r="R131" s="121"/>
      <c r="S131" s="121"/>
      <c r="T131" s="121"/>
      <c r="U131" s="121"/>
      <c r="V131" s="121"/>
      <c r="W131" s="121"/>
      <c r="X131" s="53"/>
    </row>
    <row r="132" spans="5:24" x14ac:dyDescent="0.2">
      <c r="G132" s="53"/>
      <c r="H132" s="53"/>
      <c r="I132" s="53"/>
      <c r="J132" s="53"/>
      <c r="K132" s="53"/>
      <c r="L132" s="53"/>
      <c r="M132" s="53"/>
      <c r="N132" s="53"/>
      <c r="O132" s="53"/>
      <c r="P132" s="53"/>
      <c r="Q132" s="53"/>
      <c r="R132" s="53"/>
      <c r="S132" s="53"/>
      <c r="T132" s="53"/>
      <c r="U132" s="53"/>
      <c r="V132" s="53"/>
      <c r="W132" s="53"/>
      <c r="X132" s="53"/>
    </row>
    <row r="133" spans="5:24" x14ac:dyDescent="0.2">
      <c r="E133" s="34"/>
      <c r="F133" s="34"/>
      <c r="G133" s="121"/>
      <c r="H133" s="121"/>
      <c r="I133" s="121"/>
      <c r="J133" s="121"/>
      <c r="K133" s="121"/>
      <c r="L133" s="121"/>
      <c r="M133" s="121"/>
      <c r="N133" s="121"/>
      <c r="O133" s="121"/>
      <c r="P133" s="121"/>
      <c r="Q133" s="121"/>
      <c r="R133" s="121"/>
      <c r="S133" s="121"/>
      <c r="T133" s="121"/>
      <c r="U133" s="121"/>
      <c r="V133" s="121"/>
      <c r="W133" s="121"/>
      <c r="X133" s="121"/>
    </row>
    <row r="134" spans="5:24" x14ac:dyDescent="0.2">
      <c r="E134" s="34"/>
      <c r="F134" s="34"/>
      <c r="G134" s="121"/>
      <c r="H134" s="121"/>
      <c r="I134" s="121"/>
      <c r="J134" s="121"/>
      <c r="K134" s="121"/>
      <c r="L134" s="121"/>
      <c r="M134" s="121"/>
      <c r="N134" s="121"/>
      <c r="O134" s="121"/>
      <c r="P134" s="121"/>
      <c r="Q134" s="121"/>
      <c r="R134" s="121"/>
      <c r="S134" s="121"/>
      <c r="T134" s="121"/>
      <c r="U134" s="121"/>
      <c r="V134" s="121"/>
      <c r="W134" s="121"/>
      <c r="X134" s="121"/>
    </row>
    <row r="135" spans="5:24" x14ac:dyDescent="0.2">
      <c r="G135" s="121"/>
      <c r="H135" s="121"/>
      <c r="I135" s="121"/>
      <c r="J135" s="121"/>
      <c r="K135" s="121"/>
      <c r="L135" s="121"/>
      <c r="M135" s="121"/>
      <c r="N135" s="121"/>
      <c r="O135" s="121"/>
      <c r="P135" s="121"/>
      <c r="Q135" s="121"/>
      <c r="R135" s="121"/>
      <c r="S135" s="121"/>
      <c r="T135" s="121"/>
      <c r="U135" s="121"/>
      <c r="V135" s="121"/>
      <c r="W135" s="121"/>
      <c r="X135" s="121"/>
    </row>
    <row r="136" spans="5:24" x14ac:dyDescent="0.2">
      <c r="E136" s="34"/>
      <c r="F136" s="34"/>
      <c r="G136" s="121"/>
      <c r="H136" s="121"/>
      <c r="I136" s="121"/>
      <c r="J136" s="121"/>
      <c r="K136" s="121"/>
      <c r="L136" s="121"/>
      <c r="M136" s="121"/>
      <c r="N136" s="121"/>
      <c r="O136" s="121"/>
      <c r="P136" s="121"/>
      <c r="Q136" s="121"/>
      <c r="R136" s="121"/>
      <c r="S136" s="121"/>
      <c r="T136" s="121"/>
      <c r="U136" s="121"/>
      <c r="V136" s="121"/>
      <c r="W136" s="121"/>
      <c r="X136" s="121"/>
    </row>
    <row r="137" spans="5:24" x14ac:dyDescent="0.2">
      <c r="E137" s="34"/>
      <c r="F137" s="34"/>
      <c r="G137" s="121"/>
      <c r="H137" s="121"/>
      <c r="I137" s="121"/>
      <c r="J137" s="121"/>
      <c r="K137" s="121"/>
      <c r="L137" s="121"/>
      <c r="M137" s="121"/>
      <c r="N137" s="121"/>
      <c r="O137" s="121"/>
      <c r="P137" s="121"/>
      <c r="Q137" s="121"/>
      <c r="R137" s="121"/>
      <c r="S137" s="121"/>
      <c r="T137" s="121"/>
      <c r="U137" s="121"/>
      <c r="V137" s="121"/>
      <c r="W137" s="121"/>
      <c r="X137" s="121"/>
    </row>
    <row r="138" spans="5:24" x14ac:dyDescent="0.2">
      <c r="G138" s="121"/>
      <c r="H138" s="121"/>
      <c r="I138" s="121"/>
      <c r="J138" s="121"/>
      <c r="K138" s="121"/>
      <c r="L138" s="121"/>
      <c r="M138" s="121"/>
      <c r="N138" s="121"/>
      <c r="O138" s="121"/>
      <c r="P138" s="121"/>
      <c r="Q138" s="121"/>
      <c r="R138" s="121"/>
      <c r="S138" s="121"/>
      <c r="T138" s="121"/>
      <c r="U138" s="121"/>
      <c r="V138" s="121"/>
      <c r="W138" s="121"/>
      <c r="X138" s="121"/>
    </row>
    <row r="139" spans="5:24" x14ac:dyDescent="0.2">
      <c r="G139" s="121"/>
      <c r="H139" s="121"/>
      <c r="I139" s="121"/>
      <c r="J139" s="121"/>
      <c r="K139" s="121"/>
      <c r="L139" s="121"/>
      <c r="M139" s="121"/>
      <c r="N139" s="121"/>
      <c r="O139" s="121"/>
      <c r="P139" s="121"/>
      <c r="Q139" s="121"/>
      <c r="R139" s="121"/>
      <c r="S139" s="121"/>
      <c r="T139" s="121"/>
      <c r="U139" s="121"/>
      <c r="V139" s="121"/>
      <c r="W139" s="121"/>
      <c r="X139" s="121"/>
    </row>
  </sheetData>
  <conditionalFormatting sqref="G12:M12">
    <cfRule type="expression" dxfId="31" priority="6">
      <formula>AND(G10&gt;$C$5,G10&lt;=$C$6)</formula>
    </cfRule>
  </conditionalFormatting>
  <conditionalFormatting sqref="U10:W44 U46:W53 U55:W78 U80:W84 U86:W109 U111:W123 U126:W150">
    <cfRule type="expression" dxfId="30" priority="2">
      <formula>U$10&gt;$C$7</formula>
    </cfRule>
  </conditionalFormatting>
  <conditionalFormatting sqref="U79:W79">
    <cfRule type="expression" dxfId="29" priority="1">
      <formula>U$10&gt;$C$7</formula>
    </cfRule>
  </conditionalFormatting>
  <pageMargins left="0.7" right="0.7" top="0.75" bottom="0.75" header="0.3" footer="0.3"/>
  <pageSetup paperSize="9" orientation="portrait" r:id="rId1"/>
  <ignoredErrors>
    <ignoredError sqref="C47:C48 C5:C6" unlockedFormula="1"/>
  </ignoredErrors>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500-000000000000}">
  <sheetPr codeName="Sheet7">
    <tabColor rgb="FF92D050"/>
  </sheetPr>
  <dimension ref="A1:BB129"/>
  <sheetViews>
    <sheetView zoomScaleNormal="100" workbookViewId="0"/>
  </sheetViews>
  <sheetFormatPr defaultColWidth="9.28515625" defaultRowHeight="11.25" outlineLevelRow="1" x14ac:dyDescent="0.2"/>
  <cols>
    <col min="1" max="1" width="9.28515625" style="26" customWidth="1"/>
    <col min="2" max="2" width="57.42578125" style="26" customWidth="1"/>
    <col min="3" max="38" width="9.28515625" style="26" customWidth="1"/>
    <col min="39" max="48" width="11.42578125" style="26" bestFit="1" customWidth="1"/>
    <col min="49" max="16384" width="9.28515625" style="26"/>
  </cols>
  <sheetData>
    <row r="1" spans="1:51" ht="24.75" customHeight="1" x14ac:dyDescent="0.2">
      <c r="B1" s="39"/>
    </row>
    <row r="2" spans="1:51" ht="11.25" customHeight="1" x14ac:dyDescent="0.2">
      <c r="B2" s="27"/>
    </row>
    <row r="3" spans="1:51" ht="11.25" customHeight="1" x14ac:dyDescent="0.2">
      <c r="B3" s="19" t="s">
        <v>15</v>
      </c>
      <c r="C3" s="20" t="str">
        <f>'Input data'!C3</f>
        <v>FI</v>
      </c>
    </row>
    <row r="4" spans="1:51" x14ac:dyDescent="0.2">
      <c r="B4" s="64" t="s">
        <v>38</v>
      </c>
      <c r="C4" s="21"/>
    </row>
    <row r="5" spans="1:51" x14ac:dyDescent="0.2">
      <c r="A5" s="29"/>
      <c r="B5" s="22" t="str">
        <f>'Input data'!B5</f>
        <v>Last year before the adjustment</v>
      </c>
      <c r="C5" s="23">
        <f>+'Input data'!C5</f>
        <v>2024</v>
      </c>
    </row>
    <row r="6" spans="1:51" x14ac:dyDescent="0.2">
      <c r="A6" s="29"/>
      <c r="B6" s="65" t="s">
        <v>44</v>
      </c>
      <c r="C6" s="23">
        <f>+C5+'Criteria results'!F5</f>
        <v>2031</v>
      </c>
      <c r="E6" s="43"/>
      <c r="F6" s="29"/>
    </row>
    <row r="7" spans="1:51" x14ac:dyDescent="0.2">
      <c r="A7" s="29"/>
      <c r="B7" s="24" t="s">
        <v>39</v>
      </c>
      <c r="C7" s="66">
        <f>C5+'Criteria results'!F5+10</f>
        <v>2041</v>
      </c>
      <c r="E7" s="43"/>
      <c r="F7" s="29"/>
    </row>
    <row r="8" spans="1:51" x14ac:dyDescent="0.2">
      <c r="A8" s="29"/>
      <c r="C8" s="29"/>
      <c r="E8" s="43"/>
      <c r="F8" s="29"/>
    </row>
    <row r="9" spans="1:51" s="67" customFormat="1" ht="12.75" x14ac:dyDescent="0.2">
      <c r="B9" s="25" t="s">
        <v>45</v>
      </c>
    </row>
    <row r="10" spans="1:51" x14ac:dyDescent="0.2">
      <c r="C10" s="31">
        <v>2021</v>
      </c>
      <c r="D10" s="31">
        <v>2022</v>
      </c>
      <c r="E10" s="31">
        <v>2023</v>
      </c>
      <c r="F10" s="31">
        <v>2024</v>
      </c>
      <c r="G10" s="31">
        <v>2025</v>
      </c>
      <c r="H10" s="31">
        <v>2026</v>
      </c>
      <c r="I10" s="31">
        <v>2027</v>
      </c>
      <c r="J10" s="31">
        <v>2028</v>
      </c>
      <c r="K10" s="31">
        <v>2029</v>
      </c>
      <c r="L10" s="31">
        <v>2030</v>
      </c>
      <c r="M10" s="31">
        <v>2031</v>
      </c>
      <c r="N10" s="31">
        <v>2032</v>
      </c>
      <c r="O10" s="31">
        <v>2033</v>
      </c>
      <c r="P10" s="31">
        <v>2034</v>
      </c>
      <c r="Q10" s="31">
        <v>2035</v>
      </c>
      <c r="R10" s="31">
        <v>2036</v>
      </c>
      <c r="S10" s="31">
        <v>2037</v>
      </c>
      <c r="T10" s="31">
        <v>2038</v>
      </c>
      <c r="U10" s="31">
        <v>2039</v>
      </c>
      <c r="V10" s="31">
        <v>2040</v>
      </c>
      <c r="W10" s="31">
        <v>2041</v>
      </c>
      <c r="X10" s="29"/>
      <c r="Y10" s="29"/>
      <c r="Z10" s="29"/>
      <c r="AA10" s="29"/>
      <c r="AB10" s="29"/>
      <c r="AC10" s="29"/>
      <c r="AD10" s="29"/>
      <c r="AE10" s="29"/>
      <c r="AF10" s="29"/>
      <c r="AG10" s="29"/>
      <c r="AH10" s="29"/>
      <c r="AI10" s="29"/>
      <c r="AJ10" s="29"/>
      <c r="AK10" s="29"/>
      <c r="AL10" s="29"/>
      <c r="AM10" s="29"/>
      <c r="AN10" s="29"/>
      <c r="AO10" s="29"/>
      <c r="AP10" s="29"/>
      <c r="AQ10" s="29"/>
      <c r="AR10" s="29"/>
      <c r="AS10" s="29"/>
      <c r="AT10" s="29"/>
      <c r="AU10" s="29"/>
      <c r="AV10" s="29"/>
      <c r="AW10" s="29"/>
      <c r="AX10" s="29"/>
    </row>
    <row r="11" spans="1:51" x14ac:dyDescent="0.2">
      <c r="B11" s="28" t="s">
        <v>46</v>
      </c>
      <c r="C11" s="29"/>
      <c r="D11" s="29"/>
      <c r="E11" s="29"/>
      <c r="F11" s="29"/>
      <c r="G11" s="29"/>
      <c r="H11" s="29"/>
      <c r="I11" s="29"/>
      <c r="J11" s="29"/>
      <c r="K11" s="29"/>
      <c r="L11" s="29"/>
      <c r="M11" s="29"/>
      <c r="N11" s="29"/>
      <c r="O11" s="29"/>
      <c r="P11" s="29"/>
      <c r="Q11" s="29"/>
      <c r="R11" s="29"/>
      <c r="S11" s="29"/>
      <c r="T11" s="29"/>
      <c r="U11" s="29"/>
      <c r="V11" s="29"/>
      <c r="W11" s="29"/>
      <c r="X11" s="29"/>
      <c r="Y11" s="29"/>
      <c r="Z11" s="29"/>
      <c r="AA11" s="29"/>
      <c r="AB11" s="29"/>
      <c r="AC11" s="29"/>
      <c r="AD11" s="29"/>
      <c r="AE11" s="29"/>
      <c r="AF11" s="29"/>
      <c r="AG11" s="29"/>
      <c r="AH11" s="29"/>
      <c r="AI11" s="29"/>
      <c r="AJ11" s="29"/>
      <c r="AK11" s="29"/>
      <c r="AL11" s="29"/>
      <c r="AM11" s="29"/>
      <c r="AN11" s="29"/>
      <c r="AO11" s="29"/>
      <c r="AP11" s="29"/>
      <c r="AQ11" s="29"/>
      <c r="AR11" s="29"/>
      <c r="AS11" s="29"/>
      <c r="AT11" s="29"/>
      <c r="AU11" s="29"/>
      <c r="AV11" s="29"/>
      <c r="AW11" s="29"/>
      <c r="AX11" s="29"/>
    </row>
    <row r="12" spans="1:51" x14ac:dyDescent="0.2">
      <c r="B12" s="26" t="s">
        <v>48</v>
      </c>
      <c r="C12" s="1">
        <f>'Input data'!C13</f>
        <v>-2.1345519999999998</v>
      </c>
      <c r="D12" s="2">
        <f>'Input data'!D13</f>
        <v>0.29205680000000001</v>
      </c>
      <c r="E12" s="2">
        <f>'Input data'!E13</f>
        <v>-0.2445959</v>
      </c>
      <c r="F12" s="2">
        <f>'Input data'!F13</f>
        <v>-0.53010330000000006</v>
      </c>
      <c r="G12" s="3">
        <f>'Adjust. no safeguard'!G12</f>
        <v>1.0698967000000001</v>
      </c>
      <c r="H12" s="3">
        <f>'Adjust. no safeguard'!H12</f>
        <v>2.6698967000000002</v>
      </c>
      <c r="I12" s="3">
        <f>'Adjust. no safeguard'!I12</f>
        <v>4.2698967000000003</v>
      </c>
      <c r="J12" s="3">
        <f>'Adjust. no safeguard'!J12</f>
        <v>5.8698967</v>
      </c>
      <c r="K12" s="119">
        <f>'Adjust. no safeguard'!K12</f>
        <v>7.4698966999999996</v>
      </c>
      <c r="L12" s="119">
        <f>'Adjust. no safeguard'!L12</f>
        <v>9.0698966999999993</v>
      </c>
      <c r="M12" s="119">
        <f>'Adjust. no safeguard'!M12</f>
        <v>10.669896699999999</v>
      </c>
      <c r="N12" s="119">
        <f>IF(N10&lt;=$C$6,M12+'Criteria results'!$F$6,M12)</f>
        <v>10.669896699999999</v>
      </c>
      <c r="O12" s="119">
        <f>IF(O10&lt;=$C$6,N12+'Criteria results'!$F$6,N12)</f>
        <v>10.669896699999999</v>
      </c>
      <c r="P12" s="119">
        <f>IF(P10&lt;=$C$6,O12+'Criteria results'!$F$6,O12)</f>
        <v>10.669896699999999</v>
      </c>
      <c r="Q12" s="119">
        <f>IF(Q10&lt;=$C$6,P12+'Criteria results'!$F$6,P12)</f>
        <v>10.669896699999999</v>
      </c>
      <c r="R12" s="119">
        <f>IF(R10&lt;=$C$6,Q12+'Criteria results'!$F$6,Q12)</f>
        <v>10.669896699999999</v>
      </c>
      <c r="S12" s="119">
        <f>IF(S10&lt;=$C$6,R12+'Criteria results'!$F$6,R12)</f>
        <v>10.669896699999999</v>
      </c>
      <c r="T12" s="119">
        <f>IF(T10&lt;=$C$6,S12+'Criteria results'!$F$6,S12)</f>
        <v>10.669896699999999</v>
      </c>
      <c r="U12" s="119">
        <f>IF(U10&lt;=$C$6,T12+'Criteria results'!$F$6,T12)</f>
        <v>10.669896699999999</v>
      </c>
      <c r="V12" s="119">
        <f>IF(V10&lt;=$C$6,U12+'Criteria results'!$F$6,U12)</f>
        <v>10.669896699999999</v>
      </c>
      <c r="W12" s="119">
        <f>IF(W10&lt;=$C$6,V12+'Criteria results'!$F$6,V12)</f>
        <v>10.669896699999999</v>
      </c>
      <c r="X12" s="59"/>
      <c r="Y12" s="59"/>
      <c r="Z12" s="59"/>
      <c r="AA12" s="59"/>
      <c r="AB12" s="59"/>
      <c r="AC12" s="59"/>
      <c r="AD12" s="59"/>
      <c r="AE12" s="59"/>
      <c r="AF12" s="59"/>
      <c r="AG12" s="59"/>
      <c r="AH12" s="59"/>
      <c r="AI12" s="59"/>
      <c r="AJ12" s="59"/>
      <c r="AK12" s="59"/>
      <c r="AL12" s="59"/>
      <c r="AM12" s="59"/>
      <c r="AN12" s="59"/>
      <c r="AO12" s="59"/>
      <c r="AP12" s="59"/>
      <c r="AQ12" s="59"/>
      <c r="AR12" s="59"/>
      <c r="AS12" s="59"/>
      <c r="AT12" s="59"/>
      <c r="AU12" s="59"/>
      <c r="AV12" s="59"/>
      <c r="AW12" s="59"/>
      <c r="AX12" s="59"/>
      <c r="AY12" s="60"/>
    </row>
    <row r="13" spans="1:51" x14ac:dyDescent="0.2">
      <c r="B13" s="26" t="s">
        <v>49</v>
      </c>
      <c r="C13" s="1">
        <f>'Input data'!C14</f>
        <v>0</v>
      </c>
      <c r="D13" s="2">
        <f>'Input data'!D14</f>
        <v>0</v>
      </c>
      <c r="E13" s="2">
        <f>'Input data'!E14</f>
        <v>0</v>
      </c>
      <c r="F13" s="2">
        <f>'Input data'!F14</f>
        <v>0</v>
      </c>
      <c r="G13" s="2">
        <f>'Input data'!G14</f>
        <v>0</v>
      </c>
      <c r="H13" s="2">
        <f>0</f>
        <v>0</v>
      </c>
      <c r="I13" s="2">
        <f>0</f>
        <v>0</v>
      </c>
      <c r="J13" s="2">
        <f>0</f>
        <v>0</v>
      </c>
      <c r="K13" s="2">
        <f>0</f>
        <v>0</v>
      </c>
      <c r="L13" s="2">
        <f>0</f>
        <v>0</v>
      </c>
      <c r="M13" s="2">
        <f>0</f>
        <v>0</v>
      </c>
      <c r="N13" s="2">
        <f>0</f>
        <v>0</v>
      </c>
      <c r="O13" s="2">
        <f>0</f>
        <v>0</v>
      </c>
      <c r="P13" s="2">
        <f>0</f>
        <v>0</v>
      </c>
      <c r="Q13" s="2">
        <f>0</f>
        <v>0</v>
      </c>
      <c r="R13" s="2">
        <f>0</f>
        <v>0</v>
      </c>
      <c r="S13" s="2">
        <f>0</f>
        <v>0</v>
      </c>
      <c r="T13" s="2">
        <f>0</f>
        <v>0</v>
      </c>
      <c r="U13" s="2">
        <f>0</f>
        <v>0</v>
      </c>
      <c r="V13" s="2">
        <f>0</f>
        <v>0</v>
      </c>
      <c r="W13" s="2">
        <f>0</f>
        <v>0</v>
      </c>
      <c r="X13" s="59"/>
      <c r="Y13" s="59"/>
      <c r="Z13" s="59"/>
      <c r="AA13" s="59"/>
      <c r="AB13" s="59"/>
      <c r="AC13" s="59"/>
      <c r="AD13" s="59"/>
      <c r="AE13" s="59"/>
      <c r="AF13" s="59"/>
      <c r="AG13" s="59"/>
      <c r="AH13" s="59"/>
      <c r="AI13" s="59"/>
      <c r="AJ13" s="59"/>
      <c r="AK13" s="59"/>
      <c r="AL13" s="59"/>
      <c r="AM13" s="59"/>
      <c r="AN13" s="59"/>
      <c r="AO13" s="59"/>
      <c r="AP13" s="59"/>
      <c r="AQ13" s="59"/>
      <c r="AR13" s="59"/>
      <c r="AS13" s="59"/>
      <c r="AT13" s="59"/>
      <c r="AU13" s="59"/>
      <c r="AV13" s="59"/>
      <c r="AW13" s="59"/>
      <c r="AX13" s="59"/>
      <c r="AY13" s="60"/>
    </row>
    <row r="14" spans="1:51" x14ac:dyDescent="0.2">
      <c r="B14" s="26" t="s">
        <v>87</v>
      </c>
      <c r="C14" s="1">
        <f>'Input data'!C15</f>
        <v>-1.1351690000000001</v>
      </c>
      <c r="D14" s="2">
        <f>'Input data'!D15</f>
        <v>4.8490650000000004</v>
      </c>
      <c r="E14" s="2">
        <f>'Input data'!E15</f>
        <v>2.318794</v>
      </c>
      <c r="F14" s="2">
        <f>'Input data'!F15</f>
        <v>2.6028570000000002</v>
      </c>
      <c r="G14" s="2">
        <f>'Input data'!G15</f>
        <v>1.6620999999999999</v>
      </c>
      <c r="H14" s="2">
        <f>'Input data'!H15</f>
        <v>1.6902729999999999</v>
      </c>
      <c r="I14" s="2">
        <f>'Input data'!I15</f>
        <v>1.702215</v>
      </c>
      <c r="J14" s="2">
        <f>'Input data'!J15</f>
        <v>1.648048</v>
      </c>
      <c r="K14" s="2">
        <f>'Input data'!K15</f>
        <v>1.5813470000000001</v>
      </c>
      <c r="L14" s="2">
        <f>'Input data'!L15</f>
        <v>1.5408029999999999</v>
      </c>
      <c r="M14" s="2">
        <f>'Input data'!M15</f>
        <v>1.5229809999999999</v>
      </c>
      <c r="N14" s="2">
        <f>'Input data'!N15</f>
        <v>1.526135</v>
      </c>
      <c r="O14" s="2">
        <f>'Input data'!O15</f>
        <v>1.3735219999999999</v>
      </c>
      <c r="P14" s="2">
        <f>'Input data'!P15</f>
        <v>1.2209080000000001</v>
      </c>
      <c r="Q14" s="2">
        <f>'Input data'!Q15</f>
        <v>1.068295</v>
      </c>
      <c r="R14" s="2">
        <f>'Input data'!R15</f>
        <v>0.91568099999999997</v>
      </c>
      <c r="S14" s="2">
        <f>'Input data'!S15</f>
        <v>0.76306750000000001</v>
      </c>
      <c r="T14" s="2">
        <f>'Input data'!T15</f>
        <v>0.61045400000000005</v>
      </c>
      <c r="U14" s="2">
        <f>'Input data'!U15</f>
        <v>0.45784049999999998</v>
      </c>
      <c r="V14" s="2">
        <f>'Input data'!V15</f>
        <v>0.30522700000000003</v>
      </c>
      <c r="W14" s="2">
        <f>'Input data'!W15</f>
        <v>0.15261350000000001</v>
      </c>
      <c r="X14" s="59"/>
      <c r="Y14" s="59"/>
      <c r="Z14" s="59"/>
      <c r="AA14" s="59"/>
      <c r="AB14" s="59"/>
      <c r="AC14" s="59"/>
      <c r="AD14" s="59"/>
      <c r="AE14" s="59"/>
      <c r="AF14" s="59"/>
      <c r="AG14" s="59"/>
      <c r="AH14" s="59"/>
      <c r="AI14" s="59"/>
      <c r="AJ14" s="59"/>
      <c r="AK14" s="59"/>
      <c r="AL14" s="59"/>
      <c r="AM14" s="59"/>
      <c r="AN14" s="59"/>
      <c r="AO14" s="59"/>
      <c r="AP14" s="59"/>
      <c r="AQ14" s="59"/>
      <c r="AR14" s="59"/>
      <c r="AS14" s="59"/>
      <c r="AT14" s="59"/>
      <c r="AU14" s="59"/>
      <c r="AV14" s="59"/>
      <c r="AW14" s="59"/>
      <c r="AX14" s="59"/>
      <c r="AY14" s="60"/>
    </row>
    <row r="15" spans="1:51" ht="5.65" customHeight="1" x14ac:dyDescent="0.2">
      <c r="C15" s="1"/>
      <c r="D15" s="1"/>
      <c r="E15" s="1"/>
      <c r="F15" s="1"/>
      <c r="G15" s="1"/>
      <c r="H15" s="1"/>
      <c r="I15" s="1"/>
      <c r="J15" s="1"/>
      <c r="K15" s="1"/>
      <c r="L15" s="1"/>
      <c r="M15" s="1"/>
      <c r="N15" s="1"/>
      <c r="O15" s="1"/>
      <c r="P15" s="1"/>
      <c r="Q15" s="1"/>
      <c r="R15" s="1"/>
      <c r="S15" s="1"/>
      <c r="T15" s="1"/>
      <c r="U15" s="1"/>
      <c r="V15" s="1"/>
      <c r="W15" s="1"/>
      <c r="X15" s="1"/>
      <c r="Y15" s="1"/>
      <c r="Z15" s="1"/>
      <c r="AA15" s="1"/>
      <c r="AB15" s="1"/>
      <c r="AC15" s="1"/>
      <c r="AD15" s="1"/>
      <c r="AE15" s="1"/>
      <c r="AF15" s="1"/>
      <c r="AG15" s="1"/>
      <c r="AH15" s="1"/>
      <c r="AI15" s="1"/>
      <c r="AJ15" s="1"/>
      <c r="AK15" s="1"/>
      <c r="AL15" s="1"/>
      <c r="AM15" s="1"/>
      <c r="AN15" s="1"/>
      <c r="AO15" s="1"/>
      <c r="AP15" s="1"/>
      <c r="AQ15" s="1"/>
      <c r="AR15" s="1"/>
      <c r="AS15" s="1"/>
      <c r="AT15" s="1"/>
      <c r="AU15" s="1"/>
      <c r="AV15" s="1"/>
      <c r="AW15" s="1"/>
      <c r="AX15" s="1"/>
    </row>
    <row r="16" spans="1:51" ht="11.25" customHeight="1" x14ac:dyDescent="0.2">
      <c r="B16" s="30" t="str">
        <f>'Input data'!B19</f>
        <v>Cost of ageing and selected public revenue (based on the Commission-Council 2024 Ageing Report ("AR 2024"))</v>
      </c>
      <c r="C16" s="1"/>
      <c r="D16" s="1"/>
      <c r="E16" s="1"/>
      <c r="F16" s="1"/>
      <c r="G16" s="1"/>
      <c r="H16" s="1"/>
      <c r="I16" s="1"/>
      <c r="J16" s="1"/>
      <c r="K16" s="1"/>
      <c r="L16" s="1"/>
      <c r="M16" s="1"/>
      <c r="N16" s="1"/>
      <c r="O16" s="1"/>
      <c r="P16" s="1"/>
      <c r="Q16" s="1"/>
      <c r="R16" s="1"/>
      <c r="S16" s="1"/>
      <c r="T16" s="1"/>
      <c r="U16" s="1"/>
      <c r="V16" s="1"/>
      <c r="W16" s="1"/>
      <c r="X16" s="1"/>
      <c r="Y16" s="1"/>
      <c r="Z16" s="1"/>
      <c r="AA16" s="1"/>
      <c r="AB16" s="1"/>
      <c r="AC16" s="1"/>
      <c r="AD16" s="1"/>
      <c r="AE16" s="1"/>
      <c r="AF16" s="1"/>
      <c r="AG16" s="1"/>
      <c r="AH16" s="1"/>
      <c r="AI16" s="1"/>
      <c r="AJ16" s="1"/>
      <c r="AK16" s="1"/>
      <c r="AL16" s="1"/>
      <c r="AM16" s="1"/>
      <c r="AN16" s="1"/>
      <c r="AO16" s="1"/>
      <c r="AP16" s="1"/>
      <c r="AQ16" s="1"/>
      <c r="AR16" s="1"/>
      <c r="AS16" s="1"/>
      <c r="AT16" s="1"/>
      <c r="AU16" s="1"/>
      <c r="AV16" s="1"/>
      <c r="AW16" s="1"/>
      <c r="AX16" s="1"/>
    </row>
    <row r="17" spans="1:50" x14ac:dyDescent="0.2">
      <c r="A17" s="61"/>
      <c r="B17" s="26" t="s">
        <v>52</v>
      </c>
      <c r="C17" s="1">
        <f>'Input data'!C20</f>
        <v>0</v>
      </c>
      <c r="D17" s="101">
        <f>'Input data'!D20</f>
        <v>23.655849999999997</v>
      </c>
      <c r="E17" s="101">
        <f>'Input data'!E20</f>
        <v>23.83699</v>
      </c>
      <c r="F17" s="101">
        <f>'Input data'!F20</f>
        <v>23.96105</v>
      </c>
      <c r="G17" s="101">
        <f>'Input data'!G20</f>
        <v>23.911249999999999</v>
      </c>
      <c r="H17" s="101">
        <f>'Input data'!H20</f>
        <v>23.909049999999997</v>
      </c>
      <c r="I17" s="101">
        <f>'Input data'!I20</f>
        <v>23.948919999999998</v>
      </c>
      <c r="J17" s="101">
        <f>'Input data'!J20</f>
        <v>24.046380000000003</v>
      </c>
      <c r="K17" s="101">
        <f>'Input data'!K20</f>
        <v>24.15964</v>
      </c>
      <c r="L17" s="101">
        <f>'Input data'!L20</f>
        <v>24.232299999999999</v>
      </c>
      <c r="M17" s="101">
        <f>'Input data'!M20</f>
        <v>24.288240000000002</v>
      </c>
      <c r="N17" s="101">
        <f>'Input data'!N20</f>
        <v>24.322410000000001</v>
      </c>
      <c r="O17" s="101">
        <f>'Input data'!O20</f>
        <v>24.319019999999998</v>
      </c>
      <c r="P17" s="101">
        <f>'Input data'!P20</f>
        <v>24.31607</v>
      </c>
      <c r="Q17" s="101">
        <f>'Input data'!Q20</f>
        <v>24.304599999999997</v>
      </c>
      <c r="R17" s="101">
        <f>'Input data'!R20</f>
        <v>24.277160000000002</v>
      </c>
      <c r="S17" s="101">
        <f>'Input data'!S20</f>
        <v>24.230790000000002</v>
      </c>
      <c r="T17" s="101">
        <f>'Input data'!T20</f>
        <v>24.168680000000002</v>
      </c>
      <c r="U17" s="101">
        <f>'Input data'!U20</f>
        <v>24.092350000000003</v>
      </c>
      <c r="V17" s="101">
        <f>'Input data'!V20</f>
        <v>24.017060000000001</v>
      </c>
      <c r="W17" s="101">
        <f>'Input data'!W20</f>
        <v>23.958480000000002</v>
      </c>
      <c r="X17" s="1"/>
      <c r="Y17" s="1"/>
      <c r="Z17" s="1"/>
      <c r="AA17" s="1"/>
      <c r="AB17" s="1"/>
      <c r="AC17" s="1"/>
      <c r="AD17" s="1"/>
      <c r="AE17" s="1"/>
      <c r="AF17" s="1"/>
      <c r="AG17" s="1"/>
      <c r="AH17" s="1"/>
      <c r="AI17" s="1"/>
      <c r="AJ17" s="1"/>
      <c r="AK17" s="1"/>
      <c r="AL17" s="1"/>
      <c r="AM17" s="1"/>
      <c r="AN17" s="1"/>
      <c r="AO17" s="1"/>
      <c r="AP17" s="1"/>
      <c r="AQ17" s="1"/>
      <c r="AR17" s="1"/>
      <c r="AS17" s="1"/>
      <c r="AT17" s="1"/>
      <c r="AU17" s="1"/>
      <c r="AV17" s="1"/>
      <c r="AW17" s="1"/>
      <c r="AX17" s="1"/>
    </row>
    <row r="18" spans="1:50" x14ac:dyDescent="0.2">
      <c r="A18" s="61"/>
      <c r="B18" s="26" t="s">
        <v>58</v>
      </c>
      <c r="C18" s="1">
        <f>'Input data'!C26</f>
        <v>2.0641180000000001</v>
      </c>
      <c r="D18" s="101">
        <f>'Input data'!D26</f>
        <v>2.1110479999999998</v>
      </c>
      <c r="E18" s="101">
        <f>'Input data'!E26</f>
        <v>2.1176979999999999</v>
      </c>
      <c r="F18" s="101">
        <f>'Input data'!F26</f>
        <v>2.1243479999999999</v>
      </c>
      <c r="G18" s="101">
        <f>'Input data'!G26</f>
        <v>2.1309979999999999</v>
      </c>
      <c r="H18" s="101">
        <f>'Input data'!H26</f>
        <v>2.137648</v>
      </c>
      <c r="I18" s="101">
        <f>'Input data'!I26</f>
        <v>2.1442990000000002</v>
      </c>
      <c r="J18" s="101">
        <f>'Input data'!J26</f>
        <v>2.1509490000000002</v>
      </c>
      <c r="K18" s="101">
        <f>'Input data'!K26</f>
        <v>2.1575989999999998</v>
      </c>
      <c r="L18" s="101">
        <f>'Input data'!L26</f>
        <v>2.1642489999999999</v>
      </c>
      <c r="M18" s="101">
        <f>'Input data'!M26</f>
        <v>2.1708989999999999</v>
      </c>
      <c r="N18" s="101">
        <f>'Input data'!N26</f>
        <v>2.1775500000000001</v>
      </c>
      <c r="O18" s="101">
        <f>'Input data'!O26</f>
        <v>2.1842000000000001</v>
      </c>
      <c r="P18" s="101">
        <f>'Input data'!P26</f>
        <v>2.1908500000000002</v>
      </c>
      <c r="Q18" s="101">
        <f>'Input data'!Q26</f>
        <v>2.1974999999999998</v>
      </c>
      <c r="R18" s="101">
        <f>'Input data'!R26</f>
        <v>2.2041499999999998</v>
      </c>
      <c r="S18" s="101">
        <f>'Input data'!S26</f>
        <v>2.210801</v>
      </c>
      <c r="T18" s="101">
        <f>'Input data'!T26</f>
        <v>2.2174510000000001</v>
      </c>
      <c r="U18" s="101">
        <f>'Input data'!U26</f>
        <v>2.2241010000000001</v>
      </c>
      <c r="V18" s="101">
        <f>'Input data'!V26</f>
        <v>2.2307510000000002</v>
      </c>
      <c r="W18" s="101">
        <f>'Input data'!W26</f>
        <v>2.2374010000000002</v>
      </c>
      <c r="X18" s="1"/>
      <c r="Y18" s="1"/>
      <c r="Z18" s="1"/>
      <c r="AA18" s="1"/>
      <c r="AB18" s="1"/>
      <c r="AC18" s="1"/>
      <c r="AD18" s="1"/>
      <c r="AE18" s="1"/>
      <c r="AF18" s="1"/>
      <c r="AG18" s="1"/>
      <c r="AH18" s="1"/>
      <c r="AI18" s="1"/>
      <c r="AJ18" s="1"/>
      <c r="AK18" s="1"/>
      <c r="AL18" s="1"/>
      <c r="AM18" s="1"/>
      <c r="AN18" s="1"/>
      <c r="AO18" s="1"/>
      <c r="AP18" s="1"/>
      <c r="AQ18" s="1"/>
      <c r="AR18" s="1"/>
      <c r="AS18" s="1"/>
      <c r="AT18" s="1"/>
      <c r="AU18" s="1"/>
      <c r="AV18" s="1"/>
      <c r="AW18" s="1"/>
      <c r="AX18" s="1"/>
    </row>
    <row r="20" spans="1:50" x14ac:dyDescent="0.2">
      <c r="B20" s="28" t="s">
        <v>88</v>
      </c>
    </row>
    <row r="21" spans="1:50" ht="10.5" customHeight="1" x14ac:dyDescent="0.2">
      <c r="B21" s="30" t="s">
        <v>89</v>
      </c>
    </row>
    <row r="22" spans="1:50" x14ac:dyDescent="0.2">
      <c r="B22" s="26" t="s">
        <v>61</v>
      </c>
      <c r="C22" s="34">
        <f>'Input data'!C31</f>
        <v>230.55600000000001</v>
      </c>
      <c r="D22" s="100">
        <f>'Baseline NFPC'!D22</f>
        <v>233.63499929652002</v>
      </c>
      <c r="E22" s="100">
        <f>'Baseline NFPC'!E22</f>
        <v>231.21599858620368</v>
      </c>
      <c r="F22" s="100">
        <f>'Baseline NFPC'!F22</f>
        <v>231.30753607517994</v>
      </c>
      <c r="G22" s="34">
        <f>IF(AND(G49&gt;1,F49&gt;1),IF(AND(G49&gt;0,F49&gt;0),G26*(G50/100+1),0)+IF(G49&gt;0,F22*(1+G51/100),0)-F22*(1+'Input data'!G30/100),IF(G49=1,G26,F22*(1+G51/100)))</f>
        <v>232.36700554804187</v>
      </c>
      <c r="H22" s="34">
        <f>IF(AND(H49&gt;1,G49&gt;1),IF(AND(H49&gt;0,G49&gt;0),H26*(H50/100+1),0)+IF(H49&gt;0,G22*(1+H51/100),0)-G22*(1+'Input data'!H30/100),IF(H49=1,H26,G22*(1+H51/100)))</f>
        <v>233.57220319476875</v>
      </c>
      <c r="I22" s="34">
        <f>IF(AND(I49&gt;1,H49&gt;1),IF(AND(I49&gt;0,H49&gt;0),I26*(I50/100+1),0)+IF(I49&gt;0,H22*(1+I51/100),0)-H22*(1+'Input data'!I30/100),IF(I49=1,I26,H22*(1+I51/100)))</f>
        <v>234.68523892547657</v>
      </c>
      <c r="J22" s="34">
        <f>IF(AND(J49&gt;1,I49&gt;1),IF(AND(J49&gt;0,I49&gt;0),J26*(J50/100+1),0)+IF(J49&gt;0,I22*(1+J51/100),0)-I22*(1+'Input data'!J30/100),IF(J49=1,J26,I22*(1+J51/100)))</f>
        <v>236.01450177583067</v>
      </c>
      <c r="K22" s="34">
        <f>IF(AND(K49&gt;1,J49&gt;1),IF(AND(K49&gt;0,J49&gt;0),K26*(K50/100+1),0)+IF(K49&gt;0,J22*(1+K51/100),0)-J22*(1+'Input data'!K30/100),IF(K49=1,K26,J22*(1+K51/100)))</f>
        <v>237.27453465356547</v>
      </c>
      <c r="L22" s="34">
        <f>IF(AND(L49&gt;1,K49&gt;1),IF(AND(L49&gt;0,K49&gt;0),L26*(L50/100+1),0)+IF(L49&gt;0,K22*(1+L51/100),0)-K22*(1+'Input data'!L30/100),IF(L49=1,L26,K22*(1+L51/100)))</f>
        <v>238.52510285593732</v>
      </c>
      <c r="M22" s="34">
        <f>IF(AND(M49&gt;1,L49&gt;1),IF(AND(M49&gt;0,L49&gt;0),M26*(M50/100+1),0)+IF(M49&gt;0,L22*(1+M51/100),0)-L22*(1+'Input data'!M30/100),IF(M49=1,M26,L22*(1+M51/100)))</f>
        <v>239.87377781933066</v>
      </c>
      <c r="N22" s="34">
        <f>IF(AND(N49&gt;1,M49&gt;1),IF(AND(N49&gt;0,M49&gt;0),N26*(N50/100+1),0)+IF(N49&gt;0,M22*(1+N51/100),0)-M22*(1+'Input data'!N30/100),IF(N49=1,N26,M22*(1+N51/100)))</f>
        <v>244.30154849333303</v>
      </c>
      <c r="O22" s="34">
        <f>IF(AND(O49&gt;1,N49&gt;1),IF(AND(O49&gt;0,N49&gt;0),O26*(O50/100+1),0)+IF(O49&gt;0,N22*(1+O51/100),0)-N22*(1+'Input data'!O30/100),IF(O49=1,O26,N22*(1+O51/100)))</f>
        <v>248.84193039771355</v>
      </c>
      <c r="P22" s="34">
        <f>IF(AND(P49&gt;1,O49&gt;1),IF(AND(P49&gt;0,O49&gt;0),P26*(P50/100+1),0)+IF(P49&gt;0,O22*(1+P51/100),0)-O22*(1+'Input data'!P30/100),IF(P49=1,P26,O22*(1+P51/100)))</f>
        <v>253.9501091209801</v>
      </c>
      <c r="Q22" s="34">
        <f>IF(AND(Q49&gt;1,P49&gt;1),IF(AND(Q49&gt;0,P49&gt;0),Q26*(Q50/100+1),0)+IF(Q49&gt;0,P22*(1+Q51/100),0)-P22*(1+'Input data'!Q30/100),IF(Q49=1,Q26,P22*(1+Q51/100)))</f>
        <v>256.73165006119314</v>
      </c>
      <c r="R22" s="34">
        <f>IF(AND(R49&gt;1,Q49&gt;1),IF(AND(R49&gt;0,Q49&gt;0),R26*(R50/100+1),0)+IF(R49&gt;0,Q22*(1+R51/100),0)-Q22*(1+'Input data'!R30/100),IF(R49=1,R26,Q22*(1+R51/100)))</f>
        <v>260.07106646083213</v>
      </c>
      <c r="S22" s="34">
        <f>IF(AND(S49&gt;1,R49&gt;1),IF(AND(S49&gt;0,R49&gt;0),S26*(S50/100+1),0)+IF(S49&gt;0,R22*(1+S51/100),0)-R22*(1+'Input data'!S30/100),IF(S49=1,S26,R22*(1+S51/100)))</f>
        <v>263.64705662822189</v>
      </c>
      <c r="T22" s="34">
        <f>IF(AND(T49&gt;1,S49&gt;1),IF(AND(T49&gt;0,S49&gt;0),T26*(T50/100+1),0)+IF(T49&gt;0,S22*(1+T51/100),0)-S22*(1+'Input data'!T30/100),IF(T49=1,T26,S22*(1+T51/100)))</f>
        <v>267.40126943696168</v>
      </c>
      <c r="U22" s="34">
        <f>IF(AND(U49&gt;1,T49&gt;1),IF(AND(U49&gt;0,T49&gt;0),U26*(U50/100+1),0)+IF(U49&gt;0,T22*(1+U51/100),0)-T22*(1+'Input data'!U30/100),IF(U49=1,U26,T22*(1+U51/100)))</f>
        <v>271.37496460932812</v>
      </c>
      <c r="V22" s="34">
        <f>IF(AND(V49&gt;1,U49&gt;1),IF(AND(V49&gt;0,U49&gt;0),V26*(V50/100+1),0)+IF(V49&gt;0,U22*(1+V51/100),0)-U22*(1+'Input data'!V30/100),IF(V49=1,V26,U22*(1+V51/100)))</f>
        <v>275.53536534426007</v>
      </c>
      <c r="W22" s="34">
        <f>IF(AND(W49&gt;1,V49&gt;1),IF(AND(W49&gt;0,V49&gt;0),W26*(W50/100+1),0)+IF(W49&gt;0,V22*(1+W51/100),0)-V22*(1+'Input data'!W30/100),IF(W49=1,W26,V22*(1+W51/100)))</f>
        <v>279.63616645273964</v>
      </c>
      <c r="X22" s="34"/>
      <c r="Y22" s="34"/>
      <c r="Z22" s="34"/>
      <c r="AA22" s="34"/>
      <c r="AB22" s="34"/>
      <c r="AC22" s="34"/>
      <c r="AD22" s="34"/>
      <c r="AE22" s="34"/>
      <c r="AF22" s="34"/>
      <c r="AG22" s="34"/>
      <c r="AH22" s="34"/>
      <c r="AI22" s="34"/>
      <c r="AJ22" s="34"/>
      <c r="AK22" s="34"/>
      <c r="AL22" s="34"/>
      <c r="AM22" s="34"/>
      <c r="AN22" s="34"/>
      <c r="AO22" s="34"/>
      <c r="AP22" s="34"/>
      <c r="AQ22" s="34"/>
      <c r="AR22" s="34"/>
      <c r="AS22" s="34"/>
      <c r="AT22" s="34"/>
      <c r="AU22" s="34"/>
      <c r="AV22" s="34"/>
    </row>
    <row r="23" spans="1:50" x14ac:dyDescent="0.2">
      <c r="A23" s="61"/>
      <c r="B23" s="62" t="s">
        <v>60</v>
      </c>
      <c r="C23" s="34">
        <f>+'Input data'!C30</f>
        <v>2.8381799999999999</v>
      </c>
      <c r="D23" s="100">
        <f>'Baseline NFPC'!D23</f>
        <v>1.335467</v>
      </c>
      <c r="E23" s="100">
        <f>'Baseline NFPC'!E23</f>
        <v>-1.0353760000000001</v>
      </c>
      <c r="F23" s="100">
        <f>'Baseline NFPC'!F23</f>
        <v>3.9589600000000003E-2</v>
      </c>
      <c r="G23" s="34">
        <f t="shared" ref="G23:T23" si="0">100*(G22/F22-1)</f>
        <v>0.45803499999998998</v>
      </c>
      <c r="H23" s="34">
        <f t="shared" si="0"/>
        <v>0.51866126341146845</v>
      </c>
      <c r="I23" s="34">
        <f t="shared" si="0"/>
        <v>0.47652747864852518</v>
      </c>
      <c r="J23" s="34">
        <f t="shared" si="0"/>
        <v>0.5664024104968135</v>
      </c>
      <c r="K23" s="34">
        <f t="shared" si="0"/>
        <v>0.53387943039686636</v>
      </c>
      <c r="L23" s="34">
        <f t="shared" si="0"/>
        <v>0.52705538088937409</v>
      </c>
      <c r="M23" s="34">
        <f t="shared" si="0"/>
        <v>0.56542265247776502</v>
      </c>
      <c r="N23" s="34">
        <f t="shared" si="0"/>
        <v>1.8458752408265777</v>
      </c>
      <c r="O23" s="34">
        <f t="shared" si="0"/>
        <v>1.8585154013071703</v>
      </c>
      <c r="P23" s="34">
        <f t="shared" si="0"/>
        <v>2.0527805402820842</v>
      </c>
      <c r="Q23" s="34">
        <f t="shared" si="0"/>
        <v>1.0953100000000049</v>
      </c>
      <c r="R23" s="34">
        <f t="shared" si="0"/>
        <v>1.3007420000000103</v>
      </c>
      <c r="S23" s="34">
        <f t="shared" si="0"/>
        <v>1.3750050000000069</v>
      </c>
      <c r="T23" s="34">
        <f t="shared" si="0"/>
        <v>1.4239539999999939</v>
      </c>
      <c r="U23" s="34">
        <f>100*(U22/T22-1)</f>
        <v>1.4860419999999985</v>
      </c>
      <c r="V23" s="34">
        <f>100*(V22/U22-1)</f>
        <v>1.5330819999999967</v>
      </c>
      <c r="W23" s="34">
        <f>100*(W22/V22-1)</f>
        <v>1.4883030000000019</v>
      </c>
      <c r="X23" s="1"/>
      <c r="Y23" s="1"/>
      <c r="Z23" s="1"/>
      <c r="AA23" s="1"/>
      <c r="AB23" s="1"/>
      <c r="AC23" s="1"/>
      <c r="AD23" s="1"/>
      <c r="AE23" s="1"/>
      <c r="AF23" s="1"/>
      <c r="AG23" s="1"/>
      <c r="AH23" s="1"/>
      <c r="AI23" s="1"/>
      <c r="AJ23" s="1"/>
      <c r="AK23" s="1"/>
      <c r="AL23" s="1"/>
      <c r="AM23" s="1"/>
      <c r="AN23" s="1"/>
      <c r="AO23" s="1"/>
      <c r="AP23" s="1"/>
      <c r="AQ23" s="1"/>
      <c r="AR23" s="1"/>
      <c r="AS23" s="1"/>
      <c r="AT23" s="1"/>
      <c r="AU23" s="1"/>
      <c r="AV23" s="1"/>
      <c r="AW23" s="1"/>
      <c r="AX23" s="1"/>
    </row>
    <row r="24" spans="1:50" ht="5.25" customHeight="1" x14ac:dyDescent="0.2">
      <c r="C24" s="34"/>
      <c r="D24" s="34"/>
      <c r="E24" s="34"/>
      <c r="F24" s="34"/>
      <c r="G24" s="34"/>
      <c r="H24" s="34"/>
      <c r="I24" s="34"/>
      <c r="J24" s="34"/>
      <c r="K24" s="34"/>
      <c r="L24" s="34"/>
      <c r="M24" s="34"/>
      <c r="N24" s="34"/>
      <c r="O24" s="34"/>
      <c r="P24" s="34"/>
      <c r="Q24" s="34"/>
      <c r="R24" s="34"/>
      <c r="S24" s="34"/>
      <c r="T24" s="34"/>
      <c r="U24" s="34"/>
      <c r="V24" s="34"/>
      <c r="W24" s="34"/>
      <c r="X24" s="34"/>
      <c r="Y24" s="34"/>
      <c r="Z24" s="34"/>
      <c r="AA24" s="34"/>
      <c r="AB24" s="34"/>
      <c r="AC24" s="34"/>
      <c r="AD24" s="34"/>
      <c r="AE24" s="34"/>
      <c r="AF24" s="34"/>
      <c r="AG24" s="34"/>
      <c r="AH24" s="34"/>
      <c r="AI24" s="34"/>
      <c r="AJ24" s="34"/>
      <c r="AK24" s="34"/>
      <c r="AL24" s="34"/>
      <c r="AM24" s="34"/>
      <c r="AN24" s="34"/>
      <c r="AO24" s="34"/>
      <c r="AP24" s="34"/>
      <c r="AQ24" s="34"/>
      <c r="AR24" s="34"/>
      <c r="AS24" s="34"/>
      <c r="AT24" s="34"/>
      <c r="AU24" s="34"/>
      <c r="AV24" s="34"/>
    </row>
    <row r="25" spans="1:50" ht="15" x14ac:dyDescent="0.2">
      <c r="A25" s="223"/>
      <c r="B25" s="30" t="s">
        <v>90</v>
      </c>
      <c r="C25" s="222"/>
      <c r="D25" s="222"/>
      <c r="E25" s="222"/>
      <c r="F25" s="222"/>
    </row>
    <row r="26" spans="1:50" x14ac:dyDescent="0.2">
      <c r="B26" s="26" t="s">
        <v>61</v>
      </c>
      <c r="C26" s="34">
        <f>'Input data'!C34</f>
        <v>231.15090000000001</v>
      </c>
      <c r="D26" s="100">
        <f>+C26*(1+'Input data'!D33/100)</f>
        <v>233.97713813562902</v>
      </c>
      <c r="E26" s="100">
        <f>+D26*(1+'Input data'!E33/100)</f>
        <v>236.531302768659</v>
      </c>
      <c r="F26" s="100">
        <f>+E26*(1+'Input data'!F33/100)</f>
        <v>238.0217037741894</v>
      </c>
      <c r="G26" s="34">
        <f>+F26*(1+'Input data'!G33/100)</f>
        <v>239.52552870698202</v>
      </c>
      <c r="H26" s="34">
        <f>+G26*(1+'Input data'!H33/100)</f>
        <v>241.16563377590157</v>
      </c>
      <c r="I26" s="34">
        <f>+H26*(1+'Input data'!I33/100)</f>
        <v>242.58008299977581</v>
      </c>
      <c r="J26" s="34">
        <f>+I26*(1+'Input data'!J33/100)</f>
        <v>244.12752876078073</v>
      </c>
      <c r="K26" s="34">
        <f>+J26*(1+'Input data'!K33/100)</f>
        <v>245.54683836400028</v>
      </c>
      <c r="L26" s="34">
        <f>+K26*(1+'Input data'!L33/100)</f>
        <v>246.91806349839558</v>
      </c>
      <c r="M26" s="34">
        <f>+L26*(1+'Input data'!M33/100)</f>
        <v>248.36415543386613</v>
      </c>
      <c r="N26" s="34">
        <f>+M26*(1+'Input data'!N33/100)</f>
        <v>249.99905992456323</v>
      </c>
      <c r="O26" s="34">
        <f>+N26*(1+'Input data'!O33/100)</f>
        <v>251.71018449019431</v>
      </c>
      <c r="P26" s="34">
        <f>+O26*(1+'Input data'!P33/100)</f>
        <v>253.9501091209801</v>
      </c>
      <c r="Q26" s="34">
        <f>+P26*(1+'Input data'!Q33/100)</f>
        <v>256.73165767969641</v>
      </c>
      <c r="R26" s="34">
        <f>+Q26*(1+'Input data'!R33/100)</f>
        <v>260.07107674574905</v>
      </c>
      <c r="S26" s="34">
        <f>+R26*(1+'Input data'!S33/100)</f>
        <v>263.64707745740003</v>
      </c>
      <c r="T26" s="34">
        <f>+S26*(1+'Input data'!T33/100)</f>
        <v>267.40128528979625</v>
      </c>
      <c r="U26" s="34">
        <f>+T26*(1+'Input data'!U33/100)</f>
        <v>271.37498337175526</v>
      </c>
      <c r="V26" s="34">
        <f>+U26*(1+'Input data'!V33/100)</f>
        <v>275.53537353933132</v>
      </c>
      <c r="W26" s="34">
        <f>+V26*(1+'Input data'!W33/100)</f>
        <v>279.63617201442469</v>
      </c>
      <c r="X26" s="34"/>
      <c r="Y26" s="34"/>
      <c r="Z26" s="34"/>
      <c r="AA26" s="34"/>
      <c r="AB26" s="34"/>
      <c r="AC26" s="34"/>
      <c r="AD26" s="34"/>
      <c r="AE26" s="34"/>
      <c r="AF26" s="34"/>
      <c r="AG26" s="34"/>
      <c r="AH26" s="34"/>
      <c r="AI26" s="34"/>
      <c r="AJ26" s="34"/>
      <c r="AK26" s="34"/>
      <c r="AL26" s="34"/>
      <c r="AM26" s="34"/>
      <c r="AN26" s="34"/>
      <c r="AO26" s="34"/>
      <c r="AP26" s="34"/>
      <c r="AQ26" s="34"/>
      <c r="AR26" s="34"/>
      <c r="AS26" s="34"/>
      <c r="AT26" s="34"/>
      <c r="AU26" s="34"/>
      <c r="AV26" s="34"/>
    </row>
    <row r="27" spans="1:50" ht="5.25" customHeight="1" x14ac:dyDescent="0.2">
      <c r="C27" s="34"/>
      <c r="D27" s="34"/>
      <c r="E27" s="34"/>
      <c r="F27" s="34"/>
      <c r="G27" s="34"/>
      <c r="H27" s="34"/>
      <c r="I27" s="34"/>
      <c r="J27" s="34"/>
      <c r="K27" s="34"/>
      <c r="L27" s="34"/>
      <c r="M27" s="34"/>
      <c r="N27" s="34"/>
      <c r="O27" s="34"/>
      <c r="P27" s="34"/>
      <c r="Q27" s="34"/>
      <c r="R27" s="34"/>
      <c r="S27" s="34"/>
      <c r="T27" s="34"/>
      <c r="U27" s="34"/>
      <c r="V27" s="34"/>
      <c r="W27" s="34"/>
      <c r="X27" s="34"/>
      <c r="Y27" s="34"/>
      <c r="Z27" s="34"/>
      <c r="AA27" s="34"/>
      <c r="AB27" s="34"/>
      <c r="AC27" s="34"/>
      <c r="AD27" s="34"/>
      <c r="AE27" s="34"/>
      <c r="AF27" s="34"/>
      <c r="AG27" s="34"/>
      <c r="AH27" s="34"/>
      <c r="AI27" s="34"/>
      <c r="AJ27" s="34"/>
      <c r="AK27" s="34"/>
      <c r="AL27" s="34"/>
      <c r="AM27" s="34"/>
      <c r="AN27" s="34"/>
      <c r="AO27" s="34"/>
      <c r="AP27" s="34"/>
      <c r="AQ27" s="34"/>
      <c r="AR27" s="34"/>
      <c r="AS27" s="34"/>
      <c r="AT27" s="34"/>
      <c r="AU27" s="34"/>
      <c r="AV27" s="34"/>
    </row>
    <row r="28" spans="1:50" x14ac:dyDescent="0.2">
      <c r="B28" s="30" t="s">
        <v>91</v>
      </c>
      <c r="C28" s="34"/>
      <c r="D28" s="34"/>
      <c r="E28" s="34"/>
      <c r="F28" s="34"/>
      <c r="G28" s="34"/>
      <c r="H28" s="34"/>
      <c r="I28" s="34"/>
      <c r="J28" s="34"/>
      <c r="K28" s="34"/>
      <c r="L28" s="34"/>
      <c r="M28" s="34"/>
      <c r="N28" s="34"/>
      <c r="O28" s="34"/>
      <c r="P28" s="34"/>
      <c r="Q28" s="34"/>
      <c r="R28" s="34"/>
      <c r="S28" s="34"/>
      <c r="T28" s="34"/>
      <c r="U28" s="34"/>
      <c r="V28" s="34"/>
      <c r="W28" s="34"/>
      <c r="X28" s="34"/>
      <c r="Y28" s="34"/>
      <c r="Z28" s="34"/>
      <c r="AA28" s="34"/>
      <c r="AB28" s="34"/>
      <c r="AC28" s="34"/>
      <c r="AD28" s="34"/>
      <c r="AE28" s="34"/>
      <c r="AF28" s="34"/>
      <c r="AG28" s="34"/>
      <c r="AH28" s="34"/>
      <c r="AI28" s="34"/>
      <c r="AJ28" s="34"/>
      <c r="AK28" s="34"/>
      <c r="AL28" s="34"/>
      <c r="AM28" s="34"/>
      <c r="AN28" s="34"/>
      <c r="AO28" s="34"/>
      <c r="AP28" s="34"/>
      <c r="AQ28" s="34"/>
      <c r="AR28" s="34"/>
      <c r="AS28" s="34"/>
      <c r="AT28" s="34"/>
      <c r="AU28" s="34"/>
      <c r="AV28" s="34"/>
    </row>
    <row r="29" spans="1:50" x14ac:dyDescent="0.2">
      <c r="B29" s="26" t="s">
        <v>91</v>
      </c>
      <c r="C29" s="34">
        <f>100*(C22/C26-1)</f>
        <v>-0.25736434510962303</v>
      </c>
      <c r="D29" s="100">
        <f t="shared" ref="D29:T29" si="1">100*(D22/D26-1)</f>
        <v>-0.14622746557002575</v>
      </c>
      <c r="E29" s="100">
        <f t="shared" si="1"/>
        <v>-2.2471884779047602</v>
      </c>
      <c r="F29" s="100">
        <f t="shared" si="1"/>
        <v>-2.8208216278374221</v>
      </c>
      <c r="G29" s="34">
        <f t="shared" si="1"/>
        <v>-2.9886263888378117</v>
      </c>
      <c r="H29" s="34">
        <f t="shared" si="1"/>
        <v>-3.1486370849127199</v>
      </c>
      <c r="I29" s="34">
        <f t="shared" si="1"/>
        <v>-3.2545310301944852</v>
      </c>
      <c r="J29" s="34">
        <f t="shared" si="1"/>
        <v>-3.3232741207567695</v>
      </c>
      <c r="K29" s="34">
        <f t="shared" si="1"/>
        <v>-3.3689310624199109</v>
      </c>
      <c r="L29" s="34">
        <f t="shared" si="1"/>
        <v>-3.3990873423939694</v>
      </c>
      <c r="M29" s="34">
        <f t="shared" si="1"/>
        <v>-3.418519713403767</v>
      </c>
      <c r="N29" s="34">
        <f t="shared" si="1"/>
        <v>-2.2790131422691817</v>
      </c>
      <c r="O29" s="34">
        <f t="shared" si="1"/>
        <v>-1.1395065711345853</v>
      </c>
      <c r="P29" s="34">
        <f t="shared" si="1"/>
        <v>0</v>
      </c>
      <c r="Q29" s="34">
        <f t="shared" si="1"/>
        <v>-2.9674966262049907E-6</v>
      </c>
      <c r="R29" s="34">
        <f t="shared" si="1"/>
        <v>-3.9546561914072242E-6</v>
      </c>
      <c r="S29" s="34">
        <f t="shared" si="1"/>
        <v>-7.9004016773076557E-6</v>
      </c>
      <c r="T29" s="34">
        <f t="shared" si="1"/>
        <v>-5.9284810616233585E-6</v>
      </c>
      <c r="U29" s="34">
        <f>100*(U22/U26-1)</f>
        <v>-6.9138381575406527E-6</v>
      </c>
      <c r="V29" s="34">
        <f>100*(V22/V26-1)</f>
        <v>-2.9742356244533141E-6</v>
      </c>
      <c r="W29" s="34">
        <f>100*(W22/W26-1)</f>
        <v>-1.9889004332362958E-6</v>
      </c>
      <c r="X29" s="34"/>
      <c r="Y29" s="34"/>
      <c r="Z29" s="34"/>
      <c r="AA29" s="34"/>
      <c r="AB29" s="34"/>
      <c r="AC29" s="34"/>
      <c r="AD29" s="34"/>
      <c r="AE29" s="34"/>
      <c r="AF29" s="34"/>
      <c r="AG29" s="34"/>
      <c r="AH29" s="34"/>
      <c r="AI29" s="34"/>
      <c r="AJ29" s="34"/>
      <c r="AK29" s="34"/>
      <c r="AL29" s="34"/>
      <c r="AM29" s="34"/>
      <c r="AN29" s="34"/>
      <c r="AO29" s="34"/>
      <c r="AP29" s="34"/>
      <c r="AQ29" s="34"/>
      <c r="AR29" s="34"/>
      <c r="AS29" s="34"/>
      <c r="AT29" s="34"/>
      <c r="AU29" s="34"/>
      <c r="AV29" s="34"/>
    </row>
    <row r="30" spans="1:50" ht="5.25" customHeight="1" x14ac:dyDescent="0.2">
      <c r="C30" s="34"/>
      <c r="D30" s="34"/>
      <c r="E30" s="34"/>
      <c r="F30" s="34"/>
      <c r="G30" s="34"/>
      <c r="H30" s="34"/>
      <c r="I30" s="34"/>
      <c r="J30" s="34"/>
      <c r="K30" s="34"/>
      <c r="L30" s="34"/>
      <c r="M30" s="34"/>
      <c r="N30" s="34"/>
      <c r="O30" s="34"/>
      <c r="P30" s="34"/>
      <c r="Q30" s="34"/>
      <c r="R30" s="34"/>
      <c r="S30" s="34"/>
      <c r="T30" s="34"/>
      <c r="U30" s="34"/>
      <c r="V30" s="34"/>
      <c r="W30" s="34"/>
      <c r="X30" s="34"/>
      <c r="Y30" s="34"/>
      <c r="Z30" s="34"/>
      <c r="AA30" s="34"/>
      <c r="AB30" s="34"/>
      <c r="AC30" s="34"/>
      <c r="AD30" s="34"/>
      <c r="AE30" s="34"/>
      <c r="AF30" s="34"/>
      <c r="AG30" s="34"/>
      <c r="AH30" s="34"/>
      <c r="AI30" s="34"/>
      <c r="AJ30" s="34"/>
      <c r="AK30" s="34"/>
      <c r="AL30" s="34"/>
      <c r="AM30" s="34"/>
      <c r="AN30" s="34"/>
      <c r="AO30" s="34"/>
      <c r="AP30" s="34"/>
      <c r="AQ30" s="34"/>
      <c r="AR30" s="34"/>
      <c r="AS30" s="34"/>
      <c r="AT30" s="34"/>
      <c r="AU30" s="34"/>
      <c r="AV30" s="34"/>
    </row>
    <row r="31" spans="1:50" x14ac:dyDescent="0.2">
      <c r="B31" s="30" t="s">
        <v>92</v>
      </c>
      <c r="C31" s="34"/>
      <c r="D31" s="34"/>
      <c r="E31" s="34"/>
      <c r="F31" s="34"/>
      <c r="G31" s="34"/>
      <c r="H31" s="34"/>
      <c r="I31" s="34"/>
      <c r="J31" s="34"/>
      <c r="K31" s="34"/>
      <c r="L31" s="34"/>
      <c r="M31" s="34"/>
      <c r="N31" s="34"/>
      <c r="O31" s="34"/>
      <c r="P31" s="34"/>
      <c r="Q31" s="34"/>
      <c r="R31" s="34"/>
      <c r="S31" s="34"/>
      <c r="T31" s="34"/>
      <c r="U31" s="34"/>
      <c r="V31" s="34"/>
      <c r="W31" s="34"/>
      <c r="X31" s="34"/>
      <c r="Y31" s="34"/>
      <c r="Z31" s="34"/>
      <c r="AA31" s="34"/>
      <c r="AB31" s="34"/>
      <c r="AC31" s="34"/>
      <c r="AD31" s="34"/>
      <c r="AE31" s="34"/>
      <c r="AF31" s="34"/>
      <c r="AG31" s="34"/>
      <c r="AH31" s="34"/>
      <c r="AI31" s="34"/>
      <c r="AJ31" s="34"/>
      <c r="AK31" s="34"/>
      <c r="AL31" s="34"/>
      <c r="AM31" s="34"/>
      <c r="AN31" s="34"/>
      <c r="AO31" s="34"/>
      <c r="AP31" s="34"/>
      <c r="AQ31" s="34"/>
      <c r="AR31" s="34"/>
      <c r="AS31" s="34"/>
      <c r="AT31" s="34"/>
      <c r="AU31" s="34"/>
      <c r="AV31" s="34"/>
    </row>
    <row r="32" spans="1:50" x14ac:dyDescent="0.2">
      <c r="B32" s="26" t="s">
        <v>60</v>
      </c>
      <c r="C32" s="1">
        <f t="shared" ref="C32:W32" si="2">100*((1+C23/100)*(1+C41/100)-1)</f>
        <v>5.3041963643644108</v>
      </c>
      <c r="D32" s="2">
        <f t="shared" si="2"/>
        <v>6.7911638456366497</v>
      </c>
      <c r="E32" s="2">
        <f t="shared" si="2"/>
        <v>3.7125418942078214</v>
      </c>
      <c r="F32" s="2">
        <f t="shared" si="2"/>
        <v>1.8403042135917813</v>
      </c>
      <c r="G32" s="1">
        <f t="shared" si="2"/>
        <v>2.5927300696966915</v>
      </c>
      <c r="H32" s="1">
        <f t="shared" si="2"/>
        <v>2.7080499316002982</v>
      </c>
      <c r="I32" s="1">
        <f t="shared" si="2"/>
        <v>2.7183813622055242</v>
      </c>
      <c r="J32" s="1">
        <f t="shared" si="2"/>
        <v>2.8636922810410192</v>
      </c>
      <c r="K32" s="1">
        <f t="shared" si="2"/>
        <v>2.8838397606453015</v>
      </c>
      <c r="L32" s="1">
        <f t="shared" si="2"/>
        <v>2.9302659734833592</v>
      </c>
      <c r="M32" s="1">
        <f t="shared" si="2"/>
        <v>3.0229806148325489</v>
      </c>
      <c r="N32" s="1">
        <f t="shared" si="2"/>
        <v>4.3888346005668932</v>
      </c>
      <c r="O32" s="1">
        <f t="shared" si="2"/>
        <v>4.4559075440405049</v>
      </c>
      <c r="P32" s="1">
        <f t="shared" si="2"/>
        <v>4.627061929410714</v>
      </c>
      <c r="Q32" s="1">
        <f t="shared" si="2"/>
        <v>3.6176379845000106</v>
      </c>
      <c r="R32" s="1">
        <f t="shared" si="2"/>
        <v>3.8003378088500073</v>
      </c>
      <c r="S32" s="1">
        <f t="shared" si="2"/>
        <v>3.8485551219999969</v>
      </c>
      <c r="T32" s="1">
        <f t="shared" si="2"/>
        <v>3.8708068902499893</v>
      </c>
      <c r="U32" s="1">
        <f t="shared" si="2"/>
        <v>3.9064841016999807</v>
      </c>
      <c r="V32" s="1">
        <f t="shared" si="2"/>
        <v>3.9267244081499841</v>
      </c>
      <c r="W32" s="1">
        <f t="shared" si="2"/>
        <v>3.8529804599000128</v>
      </c>
      <c r="X32" s="1"/>
      <c r="Y32" s="1"/>
      <c r="Z32" s="1"/>
      <c r="AA32" s="1"/>
      <c r="AB32" s="1"/>
      <c r="AC32" s="1"/>
      <c r="AD32" s="1"/>
      <c r="AE32" s="1"/>
      <c r="AF32" s="1"/>
      <c r="AG32" s="1"/>
      <c r="AH32" s="1"/>
      <c r="AI32" s="1"/>
      <c r="AJ32" s="1"/>
      <c r="AK32" s="1"/>
      <c r="AL32" s="1"/>
      <c r="AM32" s="1"/>
      <c r="AN32" s="1"/>
      <c r="AO32" s="1"/>
      <c r="AP32" s="1"/>
      <c r="AQ32" s="1"/>
      <c r="AR32" s="1"/>
      <c r="AS32" s="1"/>
      <c r="AT32" s="1"/>
      <c r="AU32" s="1"/>
      <c r="AV32" s="1"/>
      <c r="AW32" s="1"/>
      <c r="AX32" s="1"/>
    </row>
    <row r="34" spans="2:51" x14ac:dyDescent="0.2">
      <c r="B34" s="28" t="s">
        <v>141</v>
      </c>
    </row>
    <row r="35" spans="2:51" x14ac:dyDescent="0.2">
      <c r="B35" s="26" t="s">
        <v>63</v>
      </c>
      <c r="C35" s="34">
        <f>'Input data'!C37</f>
        <v>0.73297140000000005</v>
      </c>
      <c r="D35" s="100">
        <f>'Input data'!D37</f>
        <v>0.83926920000000005</v>
      </c>
      <c r="E35" s="100">
        <f>'Input data'!E37</f>
        <v>1.5804370000000001</v>
      </c>
      <c r="F35" s="100">
        <f>'Input data'!F37</f>
        <v>1.6625099999999999</v>
      </c>
      <c r="G35" s="100">
        <f>'Input data'!G37</f>
        <v>1.8895660000000001</v>
      </c>
      <c r="H35" s="34">
        <f>H92</f>
        <v>1.9756481083374138</v>
      </c>
      <c r="I35" s="34">
        <f t="shared" ref="I35:W35" si="3">I92</f>
        <v>2.0402071271644862</v>
      </c>
      <c r="J35" s="34">
        <f t="shared" si="3"/>
        <v>2.0854652071440776</v>
      </c>
      <c r="K35" s="34">
        <f>K92</f>
        <v>2.1129298775510885</v>
      </c>
      <c r="L35" s="34">
        <f t="shared" si="3"/>
        <v>2.124756440199052</v>
      </c>
      <c r="M35" s="34">
        <f t="shared" si="3"/>
        <v>2.1177128995136347</v>
      </c>
      <c r="N35" s="34">
        <f t="shared" si="3"/>
        <v>2.0931499581848727</v>
      </c>
      <c r="O35" s="34">
        <f t="shared" si="3"/>
        <v>2.0931499581848727</v>
      </c>
      <c r="P35" s="34">
        <f t="shared" si="3"/>
        <v>2.0931499581848727</v>
      </c>
      <c r="Q35" s="34">
        <f t="shared" si="3"/>
        <v>2.0931499581848727</v>
      </c>
      <c r="R35" s="34">
        <f t="shared" si="3"/>
        <v>2.0931499581848727</v>
      </c>
      <c r="S35" s="34">
        <f t="shared" si="3"/>
        <v>2.0931499581848727</v>
      </c>
      <c r="T35" s="34">
        <f t="shared" si="3"/>
        <v>2.0931499581848727</v>
      </c>
      <c r="U35" s="34">
        <f t="shared" si="3"/>
        <v>3.4619660000000003</v>
      </c>
      <c r="V35" s="34">
        <f t="shared" si="3"/>
        <v>3.500397</v>
      </c>
      <c r="W35" s="34">
        <f t="shared" si="3"/>
        <v>3.5388280000000001</v>
      </c>
    </row>
    <row r="36" spans="2:51" x14ac:dyDescent="0.2">
      <c r="B36" s="32" t="s">
        <v>94</v>
      </c>
      <c r="C36" s="1"/>
      <c r="D36" s="2">
        <f>'Input data'!D$39</f>
        <v>1.69</v>
      </c>
      <c r="E36" s="2">
        <f>'Input data'!E$39</f>
        <v>3.04</v>
      </c>
      <c r="F36" s="165">
        <f>'Input data'!F$39</f>
        <v>2.9418000000000002</v>
      </c>
      <c r="G36" s="165">
        <f>'Input data'!G$39</f>
        <v>3.0140359999999999</v>
      </c>
      <c r="H36" s="1">
        <f>G36+($O$36-$G$36)/($O$10-$G$10)</f>
        <v>3.041204</v>
      </c>
      <c r="I36" s="1">
        <f>H36+($O$36-$G$36)/($O$10-$G$10)</f>
        <v>3.0683720000000001</v>
      </c>
      <c r="J36" s="1">
        <f>I36+($O$36-$G$36)/($O$10-$G$10)</f>
        <v>3.0955400000000002</v>
      </c>
      <c r="K36" s="1">
        <f>IF('Criteria results'!$F$5=4,IF(J56&gt;90,G36+('Input data'!$C$52-$G$36)/($O$10-$G$10)*(K10-$G$10)+1+0.06*(J56-90),G36+('Input data'!$C$52-$G$36)/($O$10-$G$10)*(K10-$G$10)+1),G36+('Input data'!$C$52-$G$36)/($O$10-$G$10)*(K10-$G$10))</f>
        <v>3.1227080000000003</v>
      </c>
      <c r="L36" s="1">
        <f>$G$36+('Input data'!$C$52-$G$36)/($O$10-$G$10)*(L10-$G$10)</f>
        <v>3.1498759999999999</v>
      </c>
      <c r="M36" s="1">
        <f>$G$36+('Input data'!$C$52-$G$36)/($O$10-$G$10)*(M10-$G$10)</f>
        <v>3.177044</v>
      </c>
      <c r="N36" s="1">
        <f>IF('Criteria results'!$F$5=7,IF(M56&gt;90,G36+('Input data'!$C$52-$G$36)/($O$10-$G$10)*(N10-$G$10)+1+0.06*(M56-90),G36+('Input data'!$C$52-$G$36)/($O$10-$G$10)*(N10-$G$10)+1),G36+('Input data'!$C$52-$G$36)/($O$10-$G$10)*(N10-$G$10))</f>
        <v>4.2042120000000001</v>
      </c>
      <c r="O36" s="251">
        <f>'Baseline NFPC'!O36</f>
        <v>3.2313800000000001</v>
      </c>
      <c r="P36" s="1">
        <f>'Baseline NFPC'!P36</f>
        <v>3.2698110000000002</v>
      </c>
      <c r="Q36" s="1">
        <f>'Baseline NFPC'!Q36</f>
        <v>3.3082419999999999</v>
      </c>
      <c r="R36" s="1">
        <f>'Baseline NFPC'!R36</f>
        <v>3.346673</v>
      </c>
      <c r="S36" s="1">
        <f>'Baseline NFPC'!S36</f>
        <v>3.3851040000000001</v>
      </c>
      <c r="T36" s="1">
        <f>'Baseline NFPC'!T36</f>
        <v>3.4235350000000002</v>
      </c>
      <c r="U36" s="1">
        <f>'Baseline NFPC'!U36</f>
        <v>3.4619660000000003</v>
      </c>
      <c r="V36" s="1">
        <f>'Baseline NFPC'!V36</f>
        <v>3.500397</v>
      </c>
      <c r="W36" s="1">
        <f>'Baseline NFPC'!W36</f>
        <v>3.5388280000000001</v>
      </c>
      <c r="X36" s="59"/>
      <c r="Y36" s="59"/>
      <c r="Z36" s="59"/>
      <c r="AA36" s="59"/>
      <c r="AB36" s="59"/>
      <c r="AC36" s="59"/>
      <c r="AD36" s="59"/>
      <c r="AE36" s="59"/>
      <c r="AF36" s="59"/>
      <c r="AG36" s="59"/>
      <c r="AH36" s="59"/>
      <c r="AI36" s="59"/>
      <c r="AJ36" s="59"/>
      <c r="AK36" s="59"/>
      <c r="AL36" s="59"/>
      <c r="AM36" s="59"/>
      <c r="AN36" s="59"/>
      <c r="AO36" s="59"/>
      <c r="AP36" s="59"/>
      <c r="AQ36" s="59"/>
      <c r="AR36" s="59"/>
      <c r="AS36" s="59"/>
      <c r="AT36" s="59"/>
      <c r="AU36" s="59"/>
      <c r="AV36" s="59"/>
      <c r="AW36" s="59"/>
      <c r="AX36" s="59"/>
      <c r="AY36" s="60"/>
    </row>
    <row r="37" spans="2:51" x14ac:dyDescent="0.2">
      <c r="B37" s="32" t="s">
        <v>95</v>
      </c>
      <c r="C37" s="1"/>
      <c r="D37" s="2">
        <f>'Input data'!D$38</f>
        <v>0.35</v>
      </c>
      <c r="E37" s="2">
        <f>'Input data'!E$38</f>
        <v>3.43</v>
      </c>
      <c r="F37" s="165">
        <f>'Input data'!F$38</f>
        <v>3.5642079999999998</v>
      </c>
      <c r="G37" s="165">
        <f>'Input data'!G$38</f>
        <v>2.8163749999999999</v>
      </c>
      <c r="H37" s="1">
        <f>G37+($O$37-$G$37)/($O$10-$G$10)</f>
        <v>2.8050893749999997</v>
      </c>
      <c r="I37" s="1">
        <f>H37+($O$37-$G$37)/($O$10-$G$10)</f>
        <v>2.7938037499999995</v>
      </c>
      <c r="J37" s="1">
        <f>I37+($O$37-$G$37)/($O$10-$G$10)</f>
        <v>2.7825181249999993</v>
      </c>
      <c r="K37" s="1">
        <f>IF('Criteria results'!$F$5=4,IF(J56&gt;90,G37+('Input data'!$C$53-$G$37)/($O$10-$G$10)*(K10-$G$10)+1+0.06*(J56-90),G37+('Input data'!$C$53-$G$37)/($O$10-$G$10)*(K10-$G$10)+1),G37+('Input data'!$C$53-$G$37)/($O$10-$G$10)*(K10-$G$10))</f>
        <v>2.7712325</v>
      </c>
      <c r="L37" s="1">
        <f>$G$37+('Input data'!$C$53-$G$37)/($O$10-$G$10)*(L10-$G$10)</f>
        <v>2.7599468749999998</v>
      </c>
      <c r="M37" s="1">
        <f>$G$37+('Input data'!$C$53-$G$37)/($O$10-$G$10)*(M10-$G$10)</f>
        <v>2.7486612500000001</v>
      </c>
      <c r="N37" s="1">
        <f>IF('Criteria results'!$F$5=7,IF(M56&gt;90,G37+('Input data'!$C$53-$G$37)/($O$10-$G$10)*(N10-$G$10)+1+0.06*(M56-90),G37+('Input data'!$C$53-$G$37)/($O$10-$G$10)*(N10-$G$10)+1),G37+('Input data'!$C$53-$G$37)/($O$10-$G$10)*(N10-$G$10))</f>
        <v>3.7373756250000003</v>
      </c>
      <c r="O37" s="251">
        <f>'Baseline NFPC'!O37</f>
        <v>2.7260900000000001</v>
      </c>
      <c r="P37" s="1">
        <f>'Baseline NFPC'!P37</f>
        <v>2.6897855000000002</v>
      </c>
      <c r="Q37" s="1">
        <f>'Baseline NFPC'!Q37</f>
        <v>2.6534810000000002</v>
      </c>
      <c r="R37" s="1">
        <f>'Baseline NFPC'!R37</f>
        <v>2.6171765000000002</v>
      </c>
      <c r="S37" s="1">
        <f>'Baseline NFPC'!S37</f>
        <v>2.5808720000000003</v>
      </c>
      <c r="T37" s="1">
        <f>'Baseline NFPC'!T37</f>
        <v>2.5445675000000003</v>
      </c>
      <c r="U37" s="1">
        <f>'Baseline NFPC'!U37</f>
        <v>2.5082629999999999</v>
      </c>
      <c r="V37" s="1">
        <f>'Baseline NFPC'!V37</f>
        <v>2.4719584999999999</v>
      </c>
      <c r="W37" s="1">
        <f>'Baseline NFPC'!W37</f>
        <v>2.435654</v>
      </c>
      <c r="X37" s="59"/>
      <c r="Y37" s="59"/>
      <c r="Z37" s="59"/>
      <c r="AA37" s="59"/>
      <c r="AB37" s="59"/>
      <c r="AC37" s="59"/>
      <c r="AD37" s="59"/>
      <c r="AE37" s="59"/>
      <c r="AF37" s="59"/>
      <c r="AG37" s="59"/>
      <c r="AH37" s="59"/>
      <c r="AI37" s="59"/>
      <c r="AJ37" s="59"/>
      <c r="AK37" s="59"/>
      <c r="AL37" s="59"/>
      <c r="AM37" s="59"/>
      <c r="AN37" s="59"/>
      <c r="AO37" s="59"/>
      <c r="AP37" s="59"/>
      <c r="AQ37" s="59"/>
      <c r="AR37" s="59"/>
      <c r="AS37" s="59"/>
      <c r="AT37" s="59"/>
      <c r="AU37" s="59"/>
      <c r="AV37" s="59"/>
      <c r="AW37" s="59"/>
      <c r="AX37" s="59"/>
      <c r="AY37" s="60"/>
    </row>
    <row r="38" spans="2:51" s="5" customFormat="1" ht="12.75" x14ac:dyDescent="0.2">
      <c r="B38" s="26" t="s">
        <v>96</v>
      </c>
      <c r="C38" s="34">
        <f>'Baseline NFPC'!C38</f>
        <v>6.1590999999999998E-3</v>
      </c>
      <c r="D38" s="34">
        <f>'Baseline NFPC'!D38</f>
        <v>4.1645340000000003E-2</v>
      </c>
      <c r="E38" s="34">
        <f>'Baseline NFPC'!E38</f>
        <v>3.9429850000000002E-2</v>
      </c>
      <c r="F38" s="34">
        <f>'Baseline NFPC'!F38</f>
        <v>3.1775579999999998E-2</v>
      </c>
      <c r="G38" s="34">
        <f>'Baseline NFPC'!G38</f>
        <v>3.2450447777777773E-2</v>
      </c>
      <c r="H38" s="34">
        <f>'Baseline NFPC'!H38</f>
        <v>3.3125315555555555E-2</v>
      </c>
      <c r="I38" s="34">
        <f>'Baseline NFPC'!I38</f>
        <v>3.3800183333333331E-2</v>
      </c>
      <c r="J38" s="34">
        <f>'Baseline NFPC'!J38</f>
        <v>3.4475051111111106E-2</v>
      </c>
      <c r="K38" s="34">
        <f>'Baseline NFPC'!K38</f>
        <v>3.5149918888888888E-2</v>
      </c>
      <c r="L38" s="34">
        <f>'Baseline NFPC'!L38</f>
        <v>3.5824786666666664E-2</v>
      </c>
      <c r="M38" s="34">
        <f>'Baseline NFPC'!M38</f>
        <v>3.6499654444444439E-2</v>
      </c>
      <c r="N38" s="34">
        <f>'Baseline NFPC'!N38</f>
        <v>3.7174522222222221E-2</v>
      </c>
      <c r="O38" s="34">
        <f>'Baseline NFPC'!O38</f>
        <v>3.7849389999999997E-2</v>
      </c>
      <c r="P38" s="34">
        <f>'Baseline NFPC'!P38</f>
        <v>3.7849389999999997E-2</v>
      </c>
      <c r="Q38" s="34">
        <f>'Baseline NFPC'!Q38</f>
        <v>3.7849389999999997E-2</v>
      </c>
      <c r="R38" s="34">
        <f>'Baseline NFPC'!R38</f>
        <v>3.7849389999999997E-2</v>
      </c>
      <c r="S38" s="34">
        <f>'Baseline NFPC'!S38</f>
        <v>3.7849389999999997E-2</v>
      </c>
      <c r="T38" s="34">
        <f>'Baseline NFPC'!T38</f>
        <v>3.7849389999999997E-2</v>
      </c>
      <c r="U38" s="34">
        <f>'Baseline NFPC'!U38</f>
        <v>3.7849389999999997E-2</v>
      </c>
      <c r="V38" s="34">
        <f>'Baseline NFPC'!V38</f>
        <v>3.7849389999999997E-2</v>
      </c>
      <c r="W38" s="34">
        <f>'Baseline NFPC'!W38</f>
        <v>3.7849389999999997E-2</v>
      </c>
    </row>
    <row r="39" spans="2:51" x14ac:dyDescent="0.2">
      <c r="C39" s="1"/>
      <c r="D39" s="1"/>
      <c r="E39" s="1"/>
      <c r="F39" s="1"/>
      <c r="G39" s="99"/>
      <c r="H39" s="99"/>
      <c r="I39" s="99"/>
      <c r="J39" s="99"/>
      <c r="K39" s="99"/>
      <c r="L39" s="99"/>
      <c r="M39" s="99"/>
      <c r="N39" s="99"/>
      <c r="O39" s="1"/>
      <c r="P39" s="1"/>
      <c r="Q39" s="1"/>
      <c r="R39" s="1"/>
      <c r="S39" s="1"/>
      <c r="T39" s="1"/>
      <c r="U39" s="1"/>
      <c r="V39" s="1"/>
      <c r="W39" s="1"/>
      <c r="X39" s="59"/>
      <c r="Y39" s="59"/>
      <c r="Z39" s="59"/>
      <c r="AA39" s="59"/>
      <c r="AB39" s="59"/>
      <c r="AC39" s="59"/>
      <c r="AD39" s="59"/>
      <c r="AE39" s="59"/>
      <c r="AF39" s="59"/>
      <c r="AG39" s="59"/>
      <c r="AH39" s="59"/>
      <c r="AI39" s="59"/>
      <c r="AJ39" s="59"/>
      <c r="AK39" s="59"/>
      <c r="AL39" s="59"/>
      <c r="AM39" s="59"/>
      <c r="AN39" s="59"/>
      <c r="AO39" s="59"/>
      <c r="AP39" s="59"/>
      <c r="AQ39" s="59"/>
      <c r="AR39" s="59"/>
      <c r="AS39" s="59"/>
      <c r="AT39" s="59"/>
      <c r="AU39" s="59"/>
      <c r="AV39" s="59"/>
      <c r="AW39" s="59"/>
      <c r="AX39" s="59"/>
      <c r="AY39" s="60"/>
    </row>
    <row r="40" spans="2:51" x14ac:dyDescent="0.2">
      <c r="B40" s="28" t="s">
        <v>97</v>
      </c>
      <c r="C40" s="1"/>
      <c r="D40" s="1"/>
      <c r="E40" s="1"/>
      <c r="F40" s="1"/>
      <c r="G40" s="99"/>
      <c r="H40" s="99"/>
      <c r="I40" s="99"/>
      <c r="J40" s="99"/>
      <c r="K40" s="99"/>
      <c r="L40" s="99"/>
      <c r="M40" s="99"/>
      <c r="N40" s="99"/>
      <c r="O40" s="1"/>
      <c r="P40" s="1"/>
      <c r="Q40" s="1"/>
      <c r="R40" s="1"/>
      <c r="S40" s="1"/>
      <c r="T40" s="1"/>
      <c r="U40" s="1"/>
      <c r="V40" s="1"/>
      <c r="W40" s="1"/>
      <c r="X40" s="59"/>
      <c r="Y40" s="59"/>
      <c r="Z40" s="59"/>
      <c r="AA40" s="59"/>
      <c r="AB40" s="59"/>
      <c r="AC40" s="59"/>
      <c r="AD40" s="59"/>
      <c r="AE40" s="59"/>
      <c r="AF40" s="59"/>
      <c r="AG40" s="59"/>
      <c r="AH40" s="59"/>
      <c r="AI40" s="59"/>
      <c r="AJ40" s="59"/>
      <c r="AK40" s="59"/>
      <c r="AL40" s="59"/>
      <c r="AM40" s="59"/>
      <c r="AN40" s="59"/>
      <c r="AO40" s="59"/>
      <c r="AP40" s="59"/>
      <c r="AQ40" s="59"/>
      <c r="AR40" s="59"/>
      <c r="AS40" s="59"/>
      <c r="AT40" s="59"/>
      <c r="AU40" s="59"/>
      <c r="AV40" s="59"/>
      <c r="AW40" s="59"/>
      <c r="AX40" s="59"/>
      <c r="AY40" s="60"/>
    </row>
    <row r="41" spans="2:51" x14ac:dyDescent="0.2">
      <c r="B41" s="26" t="s">
        <v>142</v>
      </c>
      <c r="C41" s="1">
        <f>'Input data'!C42</f>
        <v>2.397958</v>
      </c>
      <c r="D41" s="2">
        <f>'Input data'!D42</f>
        <v>5.3837979999999996</v>
      </c>
      <c r="E41" s="2">
        <f>'Input data'!E42</f>
        <v>4.7975909999999997</v>
      </c>
      <c r="F41" s="2">
        <f>'Input data'!F42</f>
        <v>1.8000020000000001</v>
      </c>
      <c r="G41" s="2">
        <f>'Input data'!G42</f>
        <v>2.124962</v>
      </c>
      <c r="H41" s="1">
        <f>'Baseline NFPC'!H41</f>
        <v>2.1780917500000001</v>
      </c>
      <c r="I41" s="1">
        <f>'Baseline NFPC'!I41</f>
        <v>2.2312215000000002</v>
      </c>
      <c r="J41" s="1">
        <f>'Baseline NFPC'!J41</f>
        <v>2.2843512499999998</v>
      </c>
      <c r="K41" s="1">
        <f>'Baseline NFPC'!K41</f>
        <v>2.3374809999999999</v>
      </c>
      <c r="L41" s="1">
        <f>'Baseline NFPC'!L41</f>
        <v>2.39061075</v>
      </c>
      <c r="M41" s="1">
        <f>'Baseline NFPC'!M41</f>
        <v>2.4437404999999996</v>
      </c>
      <c r="N41" s="1">
        <f>'Baseline NFPC'!N41</f>
        <v>2.4968702499999997</v>
      </c>
      <c r="O41" s="251">
        <f>'Baseline NFPC'!O41</f>
        <v>2.5499999999999998</v>
      </c>
      <c r="P41" s="1">
        <f>'Baseline NFPC'!P41</f>
        <v>2.5225</v>
      </c>
      <c r="Q41" s="1">
        <f>'Baseline NFPC'!Q41</f>
        <v>2.4949999999999997</v>
      </c>
      <c r="R41" s="1">
        <f>'Baseline NFPC'!R41</f>
        <v>2.4674999999999998</v>
      </c>
      <c r="S41" s="1">
        <f>'Baseline NFPC'!S41</f>
        <v>2.44</v>
      </c>
      <c r="T41" s="1">
        <f>'Baseline NFPC'!T41</f>
        <v>2.4124999999999996</v>
      </c>
      <c r="U41" s="1">
        <f>'Baseline NFPC'!U41</f>
        <v>2.3849999999999998</v>
      </c>
      <c r="V41" s="1">
        <f>'Baseline NFPC'!V41</f>
        <v>2.3574999999999999</v>
      </c>
      <c r="W41" s="1">
        <f>'Baseline NFPC'!W41</f>
        <v>2.33</v>
      </c>
      <c r="X41" s="59"/>
      <c r="Y41" s="59"/>
      <c r="Z41" s="59"/>
      <c r="AA41" s="59"/>
      <c r="AB41" s="59"/>
      <c r="AC41" s="59"/>
      <c r="AD41" s="59"/>
      <c r="AE41" s="59"/>
      <c r="AF41" s="59"/>
      <c r="AG41" s="59"/>
      <c r="AH41" s="59"/>
      <c r="AI41" s="59"/>
      <c r="AJ41" s="59"/>
      <c r="AK41" s="59"/>
      <c r="AL41" s="59"/>
      <c r="AM41" s="59"/>
      <c r="AN41" s="59"/>
      <c r="AO41" s="59"/>
      <c r="AP41" s="59"/>
      <c r="AQ41" s="59"/>
      <c r="AR41" s="59"/>
      <c r="AS41" s="59"/>
      <c r="AT41" s="59"/>
      <c r="AU41" s="59"/>
      <c r="AV41" s="59"/>
      <c r="AW41" s="59"/>
      <c r="AX41" s="59"/>
      <c r="AY41" s="60"/>
    </row>
    <row r="42" spans="2:51" x14ac:dyDescent="0.2">
      <c r="B42" s="26" t="s">
        <v>98</v>
      </c>
      <c r="C42" s="1">
        <f>'Baseline NFPC'!C42</f>
        <v>0.99918229999999997</v>
      </c>
      <c r="D42" s="1">
        <f>'Baseline NFPC'!D42</f>
        <v>1.0048170000000001</v>
      </c>
      <c r="E42" s="1">
        <f>'Baseline NFPC'!E42</f>
        <v>0.99943179999999998</v>
      </c>
      <c r="F42" s="1">
        <f>'Baseline NFPC'!F42</f>
        <v>1.0001910000000001</v>
      </c>
      <c r="G42" s="1">
        <f>'Baseline NFPC'!G42</f>
        <v>1.000102</v>
      </c>
      <c r="H42" s="1">
        <f>'Baseline NFPC'!H42</f>
        <v>1</v>
      </c>
      <c r="I42" s="1">
        <f>'Baseline NFPC'!I42</f>
        <v>1</v>
      </c>
      <c r="J42" s="1">
        <f>'Baseline NFPC'!J42</f>
        <v>1</v>
      </c>
      <c r="K42" s="1">
        <f>'Baseline NFPC'!K42</f>
        <v>1</v>
      </c>
      <c r="L42" s="1">
        <f>'Baseline NFPC'!L42</f>
        <v>1</v>
      </c>
      <c r="M42" s="1">
        <f>'Baseline NFPC'!M42</f>
        <v>1</v>
      </c>
      <c r="N42" s="1">
        <f>'Baseline NFPC'!N42</f>
        <v>1</v>
      </c>
      <c r="O42" s="1">
        <f>'Baseline NFPC'!O42</f>
        <v>1</v>
      </c>
      <c r="P42" s="1">
        <f>'Baseline NFPC'!P42</f>
        <v>1</v>
      </c>
      <c r="Q42" s="1">
        <f>'Baseline NFPC'!Q42</f>
        <v>1</v>
      </c>
      <c r="R42" s="1">
        <f>'Baseline NFPC'!R42</f>
        <v>1</v>
      </c>
      <c r="S42" s="1">
        <f>'Baseline NFPC'!S42</f>
        <v>1</v>
      </c>
      <c r="T42" s="1">
        <f>'Baseline NFPC'!T42</f>
        <v>1</v>
      </c>
      <c r="U42" s="1">
        <f>'Baseline NFPC'!U42</f>
        <v>1</v>
      </c>
      <c r="V42" s="1">
        <f>'Baseline NFPC'!V42</f>
        <v>1</v>
      </c>
      <c r="W42" s="1">
        <f>'Baseline NFPC'!W42</f>
        <v>1</v>
      </c>
      <c r="X42" s="63"/>
      <c r="Y42" s="63"/>
      <c r="Z42" s="63"/>
      <c r="AA42" s="63"/>
      <c r="AB42" s="63"/>
      <c r="AC42" s="63"/>
      <c r="AD42" s="63"/>
      <c r="AE42" s="63"/>
      <c r="AF42" s="63"/>
      <c r="AG42" s="63"/>
      <c r="AH42" s="63"/>
      <c r="AI42" s="63"/>
      <c r="AJ42" s="63"/>
      <c r="AK42" s="63"/>
      <c r="AL42" s="63"/>
      <c r="AM42" s="63"/>
      <c r="AN42" s="63"/>
      <c r="AO42" s="63"/>
      <c r="AP42" s="63"/>
      <c r="AQ42" s="63"/>
      <c r="AR42" s="63"/>
      <c r="AS42" s="63"/>
      <c r="AT42" s="63"/>
      <c r="AU42" s="63"/>
      <c r="AV42" s="63"/>
      <c r="AW42" s="63"/>
      <c r="AX42" s="63"/>
      <c r="AY42" s="60"/>
    </row>
    <row r="43" spans="2:51" x14ac:dyDescent="0.2">
      <c r="C43" s="36"/>
    </row>
    <row r="44" spans="2:51" s="67" customFormat="1" ht="12.75" x14ac:dyDescent="0.2">
      <c r="B44" s="75" t="s">
        <v>99</v>
      </c>
      <c r="C44" s="68"/>
    </row>
    <row r="45" spans="2:51" x14ac:dyDescent="0.2">
      <c r="C45" s="36"/>
    </row>
    <row r="46" spans="2:51" x14ac:dyDescent="0.2">
      <c r="B46" s="54" t="s">
        <v>68</v>
      </c>
      <c r="C46" s="55">
        <f>'Input data'!C49</f>
        <v>0.75</v>
      </c>
    </row>
    <row r="47" spans="2:51" x14ac:dyDescent="0.2">
      <c r="B47" s="56" t="s">
        <v>258</v>
      </c>
      <c r="C47" s="57">
        <f>'Input data'!C50</f>
        <v>0.58199999999999996</v>
      </c>
    </row>
    <row r="48" spans="2:51" x14ac:dyDescent="0.2">
      <c r="C48" s="58"/>
    </row>
    <row r="49" spans="2:48" outlineLevel="1" x14ac:dyDescent="0.2">
      <c r="B49" s="26" t="s">
        <v>100</v>
      </c>
      <c r="C49" s="34">
        <v>0</v>
      </c>
      <c r="D49" s="34">
        <f>IF(AND(ABS((D12-C12)-('Input data'!D13-'Input data'!C13))&gt;0.0001,ABS(D12-C12)&gt;0.0001,D$10&gt;$C$5),4,IF(C49=4,3,IF(C49=3,2,IF(C49=2,1,0))))</f>
        <v>0</v>
      </c>
      <c r="E49" s="34">
        <f>IF(AND(ABS((E12-D12)-('Input data'!E13-'Input data'!D13))&gt;0.0001,ABS(E12-D12)&gt;0.0001,E$10&gt;$C$5),4,IF(D49=4,3,IF(D49=3,2,IF(D49=2,1,0))))</f>
        <v>0</v>
      </c>
      <c r="F49" s="34">
        <f>IF(AND(ABS((F12-E12)-('Input data'!F13-'Input data'!E13))&gt;0.0001,ABS(F12-E12)&gt;0.0001,F$10&gt;$C$5),4,IF(E49=4,3,IF(E49=3,2,IF(E49=2,1,0))))</f>
        <v>0</v>
      </c>
      <c r="G49" s="34">
        <f>IF(AND(ABS((G12-F12)-('Input data'!G13-'Input data'!F13))&gt;0.0001,ABS(G12-F12)&gt;0.0001,G$10&gt;$C$5),4,IF(F49=4,3,IF(F49=3,2,IF(F49=2,1,0))))</f>
        <v>4</v>
      </c>
      <c r="H49" s="34">
        <f>IF(AND(ABS((H12-G12)-('Input data'!H13-'Input data'!G13))&gt;0.0001,ABS(H12-G12)&gt;0.0001,H$10&gt;$C$5),4,IF(G49=4,3,IF(G49=3,2,IF(G49=2,1,0))))</f>
        <v>4</v>
      </c>
      <c r="I49" s="34">
        <f>IF(AND(ABS((I12-H12)-('Input data'!I13-'Input data'!H13))&gt;0.0001,ABS(I12-H12)&gt;0.0001,I$10&gt;$C$5),4,IF(H49=4,3,IF(H49=3,2,IF(H49=2,1,0))))</f>
        <v>4</v>
      </c>
      <c r="J49" s="34">
        <f>IF(AND(ABS((J12-I12)-('Input data'!J13-'Input data'!I13))&gt;0.0001,ABS(J12-I12)&gt;0.0001,J$10&gt;$C$5),4,IF(I49=4,3,IF(I49=3,2,IF(I49=2,1,0))))</f>
        <v>4</v>
      </c>
      <c r="K49" s="34">
        <f>IF(AND(ABS((K12-J12)-('Input data'!K13-'Input data'!J13))&gt;0.0001,ABS(K12-J12)&gt;0.0001,K$10&gt;$C$5),4,IF(J49=4,3,IF(J49=3,2,IF(J49=2,1,0))))</f>
        <v>4</v>
      </c>
      <c r="L49" s="34">
        <f>IF(AND(ABS((L12-K12)-('Input data'!L13-'Input data'!K13))&gt;0.0001,ABS(L12-K12)&gt;0.0001,L$10&gt;$C$5),4,IF(K49=4,3,IF(K49=3,2,IF(K49=2,1,0))))</f>
        <v>4</v>
      </c>
      <c r="M49" s="34">
        <f>IF(AND(ABS((M12-L12)-('Input data'!M13-'Input data'!L13))&gt;0.0001,ABS(M12-L12)&gt;0.0001,M$10&gt;$C$5),4,IF(L49=4,3,IF(L49=3,2,IF(L49=2,1,0))))</f>
        <v>4</v>
      </c>
      <c r="N49" s="34">
        <f>IF(AND(ABS((N12-M12)-('Input data'!N13-'Input data'!M13))&gt;0.0001,ABS(N12-M12)&gt;0.0001,N$10&gt;$C$5),4,IF(M49=4,3,IF(M49=3,2,IF(M49=2,1,0))))</f>
        <v>3</v>
      </c>
      <c r="O49" s="34">
        <f>IF(AND(ABS((O12-N12)-('Input data'!O13-'Input data'!N13))&gt;0.0001,ABS(O12-N12)&gt;0.0001,O$10&gt;$C$5),4,IF(N49=4,3,IF(N49=3,2,IF(N49=2,1,0))))</f>
        <v>2</v>
      </c>
      <c r="P49" s="34">
        <f>IF(AND(ABS((P12-O12)-('Input data'!P13-'Input data'!O13))&gt;0.0001,ABS(P12-O12)&gt;0.0001,P$10&gt;$C$5),4,IF(O49=4,3,IF(O49=3,2,IF(O49=2,1,0))))</f>
        <v>1</v>
      </c>
      <c r="Q49" s="34">
        <f>IF(AND(ABS((Q12-P12)-('Input data'!Q13-'Input data'!P13))&gt;0.0001,ABS(Q12-P12)&gt;0.0001,Q$10&gt;$C$5),4,IF(P49=4,3,IF(P49=3,2,IF(P49=2,1,0))))</f>
        <v>0</v>
      </c>
      <c r="R49" s="34">
        <f>IF(AND(ABS((R12-Q12)-('Input data'!R13-'Input data'!Q13))&gt;0.0001,ABS(R12-Q12)&gt;0.0001,R$10&gt;$C$5),4,IF(Q49=4,3,IF(Q49=3,2,IF(Q49=2,1,0))))</f>
        <v>0</v>
      </c>
      <c r="S49" s="34">
        <f>IF(AND(ABS((S12-R12)-('Input data'!S13-'Input data'!R13))&gt;0.0001,ABS(S12-R12)&gt;0.0001,S$10&gt;$C$5),4,IF(R49=4,3,IF(R49=3,2,IF(R49=2,1,0))))</f>
        <v>0</v>
      </c>
      <c r="T49" s="34">
        <f>IF(AND(ABS((T12-S12)-('Input data'!T13-'Input data'!S13))&gt;0.0001,ABS(T12-S12)&gt;0.0001,T$10&gt;$C$5),4,IF(S49=4,3,IF(S49=3,2,IF(S49=2,1,0))))</f>
        <v>0</v>
      </c>
      <c r="U49" s="34">
        <f>IF(AND(ABS((U12-T12)-('Input data'!U13-'Input data'!T13))&gt;0.0001,ABS(U12-T12)&gt;0.0001,U$10&gt;$C$5),4,IF(T49=4,3,IF(T49=3,2,IF(T49=2,1,0))))</f>
        <v>0</v>
      </c>
      <c r="V49" s="34">
        <f>IF(AND(ABS((V12-U12)-('Input data'!V13-'Input data'!U13))&gt;0.0001,ABS(V12-U12)&gt;0.0001,V$10&gt;$C$5),4,IF(U49=4,3,IF(U49=3,2,IF(U49=2,1,0))))</f>
        <v>0</v>
      </c>
      <c r="W49" s="34">
        <f>IF(AND(ABS((W12-V12)-('Input data'!W13-'Input data'!V13))&gt;0.0001,ABS(W12-V12)&gt;0.0001,W$10&gt;$C$5),4,IF(V49=4,3,IF(V49=3,2,IF(V49=2,1,0))))</f>
        <v>0</v>
      </c>
      <c r="X49" s="34"/>
      <c r="Y49" s="34"/>
      <c r="Z49" s="34"/>
      <c r="AA49" s="34"/>
      <c r="AB49" s="34"/>
      <c r="AC49" s="34"/>
      <c r="AD49" s="34"/>
      <c r="AE49" s="34"/>
      <c r="AF49" s="34"/>
      <c r="AG49" s="34"/>
      <c r="AH49" s="34"/>
      <c r="AI49" s="34"/>
      <c r="AJ49" s="34"/>
      <c r="AK49" s="34"/>
      <c r="AL49" s="34"/>
      <c r="AM49" s="34"/>
      <c r="AN49" s="34"/>
      <c r="AO49" s="34"/>
      <c r="AP49" s="34"/>
      <c r="AQ49" s="34"/>
      <c r="AR49" s="34"/>
      <c r="AS49" s="34"/>
      <c r="AT49" s="34"/>
      <c r="AU49" s="34"/>
      <c r="AV49" s="34"/>
    </row>
    <row r="50" spans="2:48" outlineLevel="1" x14ac:dyDescent="0.2">
      <c r="B50" s="26" t="s">
        <v>101</v>
      </c>
      <c r="C50" s="34">
        <v>0</v>
      </c>
      <c r="D50" s="34">
        <f t="shared" ref="D50:W50" si="4">IF(C49=4,2/3*C29,IF(C49=3,1/3*B29,0))</f>
        <v>0</v>
      </c>
      <c r="E50" s="34">
        <f t="shared" si="4"/>
        <v>0</v>
      </c>
      <c r="F50" s="34">
        <f t="shared" si="4"/>
        <v>0</v>
      </c>
      <c r="G50" s="34">
        <f t="shared" si="4"/>
        <v>0</v>
      </c>
      <c r="H50" s="34">
        <f t="shared" si="4"/>
        <v>-1.992417592558541</v>
      </c>
      <c r="I50" s="34">
        <f t="shared" si="4"/>
        <v>-2.0990913899418131</v>
      </c>
      <c r="J50" s="34">
        <f t="shared" si="4"/>
        <v>-2.1696873534629901</v>
      </c>
      <c r="K50" s="34">
        <f t="shared" si="4"/>
        <v>-2.2155160805045129</v>
      </c>
      <c r="L50" s="34">
        <f t="shared" si="4"/>
        <v>-2.2459540416132739</v>
      </c>
      <c r="M50" s="34">
        <f t="shared" si="4"/>
        <v>-2.2660582282626462</v>
      </c>
      <c r="N50" s="34">
        <f t="shared" si="4"/>
        <v>-2.2790131422691777</v>
      </c>
      <c r="O50" s="34">
        <f t="shared" si="4"/>
        <v>-1.1395065711345889</v>
      </c>
      <c r="P50" s="34">
        <f t="shared" si="4"/>
        <v>0</v>
      </c>
      <c r="Q50" s="34">
        <f t="shared" si="4"/>
        <v>0</v>
      </c>
      <c r="R50" s="34">
        <f t="shared" si="4"/>
        <v>0</v>
      </c>
      <c r="S50" s="34">
        <f t="shared" si="4"/>
        <v>0</v>
      </c>
      <c r="T50" s="34">
        <f t="shared" si="4"/>
        <v>0</v>
      </c>
      <c r="U50" s="34">
        <f t="shared" si="4"/>
        <v>0</v>
      </c>
      <c r="V50" s="34">
        <f t="shared" si="4"/>
        <v>0</v>
      </c>
      <c r="W50" s="34">
        <f t="shared" si="4"/>
        <v>0</v>
      </c>
      <c r="X50" s="34"/>
      <c r="Y50" s="34"/>
      <c r="Z50" s="34"/>
      <c r="AA50" s="34"/>
      <c r="AB50" s="34"/>
      <c r="AC50" s="34"/>
      <c r="AD50" s="34"/>
      <c r="AE50" s="34"/>
      <c r="AF50" s="34"/>
      <c r="AG50" s="34"/>
      <c r="AH50" s="34"/>
      <c r="AI50" s="34"/>
      <c r="AJ50" s="34"/>
      <c r="AK50" s="34"/>
      <c r="AL50" s="34"/>
      <c r="AM50" s="34"/>
      <c r="AN50" s="34"/>
      <c r="AO50" s="34"/>
      <c r="AP50" s="34"/>
      <c r="AQ50" s="34"/>
      <c r="AR50" s="34"/>
      <c r="AS50" s="34"/>
      <c r="AT50" s="34"/>
      <c r="AU50" s="34"/>
      <c r="AV50" s="34"/>
    </row>
    <row r="51" spans="2:48" outlineLevel="1" x14ac:dyDescent="0.2">
      <c r="B51" s="26" t="s">
        <v>102</v>
      </c>
      <c r="C51" s="34"/>
      <c r="D51" s="34">
        <f>'Input data'!D30-$C$46*((D12-C12)-('Input data'!D13-'Input data'!C13))</f>
        <v>1.335467</v>
      </c>
      <c r="E51" s="34">
        <f>'Input data'!E30-$C$46*((E12-D12)-('Input data'!E13-'Input data'!D13))</f>
        <v>-1.0353760000000001</v>
      </c>
      <c r="F51" s="34">
        <f>'Input data'!F30-$C$46*((F12-E12)-('Input data'!F13-'Input data'!E13))</f>
        <v>3.9589600000000003E-2</v>
      </c>
      <c r="G51" s="34">
        <f>'Input data'!G30-$C$46*((G12-F12))</f>
        <v>0.45803499999999975</v>
      </c>
      <c r="H51" s="34">
        <f>'Input data'!H30-$C$46*((H12-G12))</f>
        <v>0.11028499999999974</v>
      </c>
      <c r="I51" s="34">
        <f>'Input data'!I30-$C$46*((I12-H12))</f>
        <v>0.21461499999999978</v>
      </c>
      <c r="J51" s="34">
        <f>'Input data'!J30-$C$46*((J12-I12))</f>
        <v>-0.15120199999999984</v>
      </c>
      <c r="K51" s="34">
        <f>'Input data'!K30-$C$46*((K12-J12))</f>
        <v>-0.61861879999999969</v>
      </c>
      <c r="L51" s="34">
        <f>'Input data'!L30-$C$46*((L12-K12))</f>
        <v>-0.64156019999999969</v>
      </c>
      <c r="M51" s="34">
        <f>'Input data'!M30-$C$46*((M12-L12))</f>
        <v>-0.61434389999999972</v>
      </c>
      <c r="N51" s="34">
        <f>'Input data'!N30-$C$46*((N12-M12))</f>
        <v>0.65826850000000003</v>
      </c>
      <c r="O51" s="34">
        <f>'Input data'!O30-$C$46*((O12-N12))</f>
        <v>0.68445089999999997</v>
      </c>
      <c r="P51" s="34">
        <f>'Input data'!P30-$C$46*((P12-O12))</f>
        <v>0.88988429999999996</v>
      </c>
      <c r="Q51" s="34">
        <f>'Input data'!Q30-$C$46*((Q12-P12))</f>
        <v>1.09531</v>
      </c>
      <c r="R51" s="34">
        <f>'Input data'!R30-$C$46*((R12-Q12))</f>
        <v>1.3007420000000001</v>
      </c>
      <c r="S51" s="34">
        <f>'Input data'!S30-$C$46*((S12-R12))</f>
        <v>1.375005</v>
      </c>
      <c r="T51" s="34">
        <f>'Input data'!T30-$C$46*((T12-S12))</f>
        <v>1.4239539999999999</v>
      </c>
      <c r="U51" s="34">
        <f>'Input data'!U30-$C$46*((U12-T12))</f>
        <v>1.4860420000000001</v>
      </c>
      <c r="V51" s="34">
        <f>'Input data'!V30-$C$46*((V12-U12))</f>
        <v>1.5330820000000001</v>
      </c>
      <c r="W51" s="34">
        <f>'Input data'!W30-$C$46*((W12-V12))</f>
        <v>1.4883029999999999</v>
      </c>
      <c r="X51" s="34"/>
      <c r="Y51" s="34"/>
      <c r="Z51" s="34"/>
      <c r="AA51" s="34"/>
      <c r="AB51" s="34"/>
      <c r="AC51" s="34"/>
      <c r="AD51" s="34"/>
      <c r="AE51" s="34"/>
      <c r="AF51" s="34"/>
      <c r="AG51" s="34"/>
      <c r="AH51" s="34"/>
      <c r="AI51" s="34"/>
      <c r="AJ51" s="34"/>
      <c r="AK51" s="34"/>
      <c r="AL51" s="34"/>
      <c r="AM51" s="34"/>
      <c r="AN51" s="34"/>
      <c r="AO51" s="34"/>
      <c r="AP51" s="34"/>
      <c r="AQ51" s="34"/>
      <c r="AR51" s="34"/>
      <c r="AS51" s="34"/>
      <c r="AT51" s="34"/>
      <c r="AU51" s="34"/>
      <c r="AV51" s="34"/>
    </row>
    <row r="52" spans="2:48" x14ac:dyDescent="0.2">
      <c r="C52" s="36"/>
    </row>
    <row r="53" spans="2:48" s="67" customFormat="1" ht="12.75" outlineLevel="1" x14ac:dyDescent="0.2">
      <c r="B53" s="72" t="s">
        <v>103</v>
      </c>
      <c r="C53" s="69"/>
      <c r="E53" s="70"/>
      <c r="F53" s="69"/>
    </row>
    <row r="54" spans="2:48" outlineLevel="1" x14ac:dyDescent="0.2">
      <c r="B54" s="43"/>
      <c r="C54" s="29"/>
      <c r="E54" s="44"/>
      <c r="F54" s="29"/>
    </row>
    <row r="55" spans="2:48" outlineLevel="1" x14ac:dyDescent="0.2">
      <c r="B55" s="85"/>
      <c r="C55" s="86">
        <v>2021</v>
      </c>
      <c r="D55" s="86">
        <v>2022</v>
      </c>
      <c r="E55" s="86">
        <v>2023</v>
      </c>
      <c r="F55" s="86">
        <v>2024</v>
      </c>
      <c r="G55" s="86">
        <v>2025</v>
      </c>
      <c r="H55" s="86">
        <v>2026</v>
      </c>
      <c r="I55" s="86">
        <v>2027</v>
      </c>
      <c r="J55" s="86">
        <v>2028</v>
      </c>
      <c r="K55" s="86">
        <v>2029</v>
      </c>
      <c r="L55" s="86">
        <v>2030</v>
      </c>
      <c r="M55" s="86">
        <v>2031</v>
      </c>
      <c r="N55" s="86">
        <v>2032</v>
      </c>
      <c r="O55" s="86">
        <v>2033</v>
      </c>
      <c r="P55" s="86">
        <v>2034</v>
      </c>
      <c r="Q55" s="86">
        <v>2035</v>
      </c>
      <c r="R55" s="86">
        <v>2036</v>
      </c>
      <c r="S55" s="86">
        <v>2037</v>
      </c>
      <c r="T55" s="86">
        <v>2038</v>
      </c>
      <c r="U55" s="86">
        <v>2039</v>
      </c>
      <c r="V55" s="86">
        <v>2040</v>
      </c>
      <c r="W55" s="86">
        <v>2041</v>
      </c>
    </row>
    <row r="56" spans="2:48" ht="10.5" customHeight="1" outlineLevel="1" x14ac:dyDescent="0.2">
      <c r="B56" s="87" t="s">
        <v>104</v>
      </c>
      <c r="C56" s="45">
        <f>+'Input data'!C12</f>
        <v>72.584819999999993</v>
      </c>
      <c r="D56" s="45">
        <f>+C56+D57</f>
        <v>73.511610584961744</v>
      </c>
      <c r="E56" s="45">
        <f t="shared" ref="E56:T56" si="5">+D56+E57</f>
        <v>75.830716179102311</v>
      </c>
      <c r="F56" s="45">
        <f>+E56+F57</f>
        <v>80.48745186650369</v>
      </c>
      <c r="G56" s="45">
        <f>+F56+G57</f>
        <v>82.275441313739478</v>
      </c>
      <c r="H56" s="45">
        <f>+G56+H57</f>
        <v>82.541625659639379</v>
      </c>
      <c r="I56" s="45">
        <f t="shared" si="5"/>
        <v>81.323119123411445</v>
      </c>
      <c r="J56" s="45">
        <f t="shared" si="5"/>
        <v>78.420156567126583</v>
      </c>
      <c r="K56" s="45">
        <f>+J56+K57</f>
        <v>73.904721542930275</v>
      </c>
      <c r="L56" s="45">
        <f t="shared" si="5"/>
        <v>67.775534644448115</v>
      </c>
      <c r="M56" s="45">
        <f t="shared" si="5"/>
        <v>60.02265064705545</v>
      </c>
      <c r="N56" s="45">
        <f t="shared" si="5"/>
        <v>50.912795362206339</v>
      </c>
      <c r="O56" s="46">
        <f t="shared" si="5"/>
        <v>41.14546213570047</v>
      </c>
      <c r="P56" s="46">
        <f>+O56+P57</f>
        <v>30.707870482134656</v>
      </c>
      <c r="Q56" s="46">
        <f t="shared" si="5"/>
        <v>20.644235955781806</v>
      </c>
      <c r="R56" s="46">
        <f t="shared" si="5"/>
        <v>10.506159051487185</v>
      </c>
      <c r="S56" s="46">
        <f t="shared" si="5"/>
        <v>0.32439147746383945</v>
      </c>
      <c r="T56" s="46">
        <f t="shared" si="5"/>
        <v>-9.9067114452036549</v>
      </c>
      <c r="U56" s="46">
        <f>+T56+U57</f>
        <v>-20.325474122218363</v>
      </c>
      <c r="V56" s="46">
        <f>+U56+V57</f>
        <v>-30.937795087869354</v>
      </c>
      <c r="W56" s="46">
        <f>+V56+W57</f>
        <v>-41.757753136093065</v>
      </c>
      <c r="X56" s="38"/>
      <c r="Y56" s="38"/>
      <c r="Z56" s="38"/>
      <c r="AA56" s="38"/>
      <c r="AB56" s="38"/>
      <c r="AC56" s="38"/>
      <c r="AD56" s="38"/>
      <c r="AE56" s="38"/>
      <c r="AF56" s="38"/>
      <c r="AG56" s="38"/>
      <c r="AH56" s="38"/>
      <c r="AI56" s="38"/>
      <c r="AJ56" s="38"/>
      <c r="AK56" s="38"/>
      <c r="AL56" s="38"/>
      <c r="AM56" s="38"/>
      <c r="AN56" s="38"/>
      <c r="AO56" s="38"/>
      <c r="AP56" s="38"/>
      <c r="AQ56" s="38"/>
      <c r="AR56" s="38"/>
      <c r="AS56" s="38"/>
      <c r="AT56" s="38"/>
      <c r="AU56" s="38"/>
      <c r="AV56" s="38"/>
    </row>
    <row r="57" spans="2:48" outlineLevel="1" x14ac:dyDescent="0.2">
      <c r="B57" s="88" t="s">
        <v>105</v>
      </c>
      <c r="C57" s="47"/>
      <c r="D57" s="47">
        <f>-D58+D66+D71</f>
        <v>0.92679058496175504</v>
      </c>
      <c r="E57" s="47">
        <f t="shared" ref="E57:S57" si="6">-E58+E66+E71</f>
        <v>2.3191055941405705</v>
      </c>
      <c r="F57" s="47">
        <f>-F58+F66+F71</f>
        <v>4.6567356874013797</v>
      </c>
      <c r="G57" s="47">
        <f>-G58+G66+G71</f>
        <v>1.7879894472357885</v>
      </c>
      <c r="H57" s="47">
        <f>-H58+H66+H71</f>
        <v>0.26618434589989648</v>
      </c>
      <c r="I57" s="47">
        <f t="shared" si="6"/>
        <v>-1.2185065362279388</v>
      </c>
      <c r="J57" s="47">
        <f t="shared" si="6"/>
        <v>-2.9029625562848693</v>
      </c>
      <c r="K57" s="47">
        <f t="shared" si="6"/>
        <v>-4.5154350241963126</v>
      </c>
      <c r="L57" s="47">
        <f t="shared" si="6"/>
        <v>-6.129186898482164</v>
      </c>
      <c r="M57" s="47">
        <f t="shared" si="6"/>
        <v>-7.7528839973926669</v>
      </c>
      <c r="N57" s="47">
        <f t="shared" si="6"/>
        <v>-9.1098552848491074</v>
      </c>
      <c r="O57" s="47">
        <f t="shared" si="6"/>
        <v>-9.767333226505869</v>
      </c>
      <c r="P57" s="47">
        <f>-P58+P66+P71</f>
        <v>-10.437591653565814</v>
      </c>
      <c r="Q57" s="47">
        <f t="shared" si="6"/>
        <v>-10.06363452635285</v>
      </c>
      <c r="R57" s="47">
        <f t="shared" si="6"/>
        <v>-10.138076904294621</v>
      </c>
      <c r="S57" s="47">
        <f t="shared" si="6"/>
        <v>-10.181767574023345</v>
      </c>
      <c r="T57" s="47">
        <f>-T58+T66+T71</f>
        <v>-10.231102922667494</v>
      </c>
      <c r="U57" s="47">
        <f>-U58+U66+U71</f>
        <v>-10.418762677014708</v>
      </c>
      <c r="V57" s="47">
        <f>-V58+V66+V71</f>
        <v>-10.612320965650992</v>
      </c>
      <c r="W57" s="47">
        <f>-W58+W66+W71</f>
        <v>-10.819958048223709</v>
      </c>
    </row>
    <row r="58" spans="2:48" outlineLevel="1" x14ac:dyDescent="0.2">
      <c r="B58" s="84" t="s">
        <v>106</v>
      </c>
      <c r="C58" s="48"/>
      <c r="D58" s="48">
        <f>D59+D60-D61-D62-D63-D64-D65</f>
        <v>0.20695241503824502</v>
      </c>
      <c r="E58" s="48">
        <f t="shared" ref="E58:S58" si="7">E59+E60-E61-E62-E63-E64-E65</f>
        <v>-1.5524595941405703</v>
      </c>
      <c r="F58" s="48">
        <f t="shared" si="7"/>
        <v>-2.1718214874013797</v>
      </c>
      <c r="G58" s="48">
        <f t="shared" si="7"/>
        <v>-0.66948385830360624</v>
      </c>
      <c r="H58" s="48">
        <f t="shared" si="7"/>
        <v>0.83738991658079742</v>
      </c>
      <c r="I58" s="48">
        <f t="shared" si="7"/>
        <v>2.3757596404268098</v>
      </c>
      <c r="J58" s="48">
        <f t="shared" si="7"/>
        <v>3.9357511617195602</v>
      </c>
      <c r="K58" s="48">
        <f t="shared" si="7"/>
        <v>5.5091788216716111</v>
      </c>
      <c r="L58" s="48">
        <f t="shared" si="7"/>
        <v>7.091627866726709</v>
      </c>
      <c r="M58" s="48">
        <f t="shared" si="7"/>
        <v>8.680318226799006</v>
      </c>
      <c r="N58" s="48">
        <f t="shared" si="7"/>
        <v>9.3159920511993359</v>
      </c>
      <c r="O58" s="48">
        <f t="shared" si="7"/>
        <v>9.9892248755996746</v>
      </c>
      <c r="P58" s="48">
        <f t="shared" si="7"/>
        <v>10.662017700000002</v>
      </c>
      <c r="Q58" s="48">
        <f t="shared" si="7"/>
        <v>10.680135972916966</v>
      </c>
      <c r="R58" s="48">
        <f t="shared" si="7"/>
        <v>10.714225398390095</v>
      </c>
      <c r="S58" s="48">
        <f t="shared" si="7"/>
        <v>10.767244101966222</v>
      </c>
      <c r="T58" s="48">
        <f>T59+T60-T61-T62-T63-T64-T65</f>
        <v>10.836005249624021</v>
      </c>
      <c r="U58" s="48">
        <f>U59+U60-U61-U62-U63-U64-U65</f>
        <v>10.91898467614619</v>
      </c>
      <c r="V58" s="48">
        <f>V59+V60-V61-V62-V63-V64-V65</f>
        <v>11.000926968994868</v>
      </c>
      <c r="W58" s="48">
        <f>W59+W60-W61-W62-W63-W64-W65</f>
        <v>11.066157542459948</v>
      </c>
    </row>
    <row r="59" spans="2:48" outlineLevel="1" x14ac:dyDescent="0.2">
      <c r="B59" s="79" t="s">
        <v>107</v>
      </c>
      <c r="C59" s="1"/>
      <c r="D59" s="1">
        <f>D12</f>
        <v>0.29205680000000001</v>
      </c>
      <c r="E59" s="1">
        <f>E12</f>
        <v>-0.2445959</v>
      </c>
      <c r="F59" s="1">
        <f>F12</f>
        <v>-0.53010330000000006</v>
      </c>
      <c r="G59" s="1">
        <f t="shared" ref="G59:W59" si="8">IF(G12="",F59,G12)</f>
        <v>1.0698967000000001</v>
      </c>
      <c r="H59" s="1">
        <f t="shared" si="8"/>
        <v>2.6698967000000002</v>
      </c>
      <c r="I59" s="1">
        <f t="shared" si="8"/>
        <v>4.2698967000000003</v>
      </c>
      <c r="J59" s="1">
        <f t="shared" si="8"/>
        <v>5.8698967</v>
      </c>
      <c r="K59" s="1">
        <f t="shared" si="8"/>
        <v>7.4698966999999996</v>
      </c>
      <c r="L59" s="1">
        <f t="shared" si="8"/>
        <v>9.0698966999999993</v>
      </c>
      <c r="M59" s="1">
        <f t="shared" si="8"/>
        <v>10.669896699999999</v>
      </c>
      <c r="N59" s="1">
        <f t="shared" si="8"/>
        <v>10.669896699999999</v>
      </c>
      <c r="O59" s="1">
        <f t="shared" si="8"/>
        <v>10.669896699999999</v>
      </c>
      <c r="P59" s="1">
        <f t="shared" si="8"/>
        <v>10.669896699999999</v>
      </c>
      <c r="Q59" s="1">
        <f t="shared" si="8"/>
        <v>10.669896699999999</v>
      </c>
      <c r="R59" s="1">
        <f t="shared" si="8"/>
        <v>10.669896699999999</v>
      </c>
      <c r="S59" s="1">
        <f t="shared" si="8"/>
        <v>10.669896699999999</v>
      </c>
      <c r="T59" s="1">
        <f t="shared" si="8"/>
        <v>10.669896699999999</v>
      </c>
      <c r="U59" s="1">
        <f t="shared" si="8"/>
        <v>10.669896699999999</v>
      </c>
      <c r="V59" s="1">
        <f t="shared" si="8"/>
        <v>10.669896699999999</v>
      </c>
      <c r="W59" s="1">
        <f t="shared" si="8"/>
        <v>10.669896699999999</v>
      </c>
    </row>
    <row r="60" spans="2:48" outlineLevel="1" x14ac:dyDescent="0.2">
      <c r="B60" s="79" t="s">
        <v>108</v>
      </c>
      <c r="C60" s="1"/>
      <c r="D60" s="1">
        <v>0</v>
      </c>
      <c r="E60" s="1">
        <v>0</v>
      </c>
      <c r="F60" s="1">
        <v>0</v>
      </c>
      <c r="G60" s="1">
        <v>0</v>
      </c>
      <c r="H60" s="1">
        <v>0</v>
      </c>
      <c r="I60" s="1">
        <v>0</v>
      </c>
      <c r="J60" s="1">
        <v>0</v>
      </c>
      <c r="K60" s="1">
        <v>0</v>
      </c>
      <c r="L60" s="1">
        <v>0</v>
      </c>
      <c r="M60" s="1">
        <v>0</v>
      </c>
      <c r="N60" s="1">
        <v>0</v>
      </c>
      <c r="O60" s="1">
        <v>0</v>
      </c>
      <c r="P60" s="1">
        <v>0</v>
      </c>
      <c r="Q60" s="1">
        <v>0</v>
      </c>
      <c r="R60" s="1">
        <v>0</v>
      </c>
      <c r="S60" s="1">
        <v>0</v>
      </c>
      <c r="T60" s="1">
        <v>0</v>
      </c>
      <c r="U60" s="1">
        <v>0</v>
      </c>
      <c r="V60" s="1">
        <v>0</v>
      </c>
      <c r="W60" s="1">
        <v>0</v>
      </c>
    </row>
    <row r="61" spans="2:48" outlineLevel="1" x14ac:dyDescent="0.2">
      <c r="B61" s="79" t="s">
        <v>109</v>
      </c>
      <c r="C61" s="1"/>
      <c r="D61" s="1">
        <f t="shared" ref="D61:W61" si="9">-$C$47*D29</f>
        <v>8.5104384961754986E-2</v>
      </c>
      <c r="E61" s="1">
        <f t="shared" si="9"/>
        <v>1.3078636941405704</v>
      </c>
      <c r="F61" s="1">
        <f t="shared" si="9"/>
        <v>1.6417181874013795</v>
      </c>
      <c r="G61" s="1">
        <f t="shared" si="9"/>
        <v>1.7393805583036064</v>
      </c>
      <c r="H61" s="1">
        <f t="shared" si="9"/>
        <v>1.8325067834192028</v>
      </c>
      <c r="I61" s="1">
        <f t="shared" si="9"/>
        <v>1.8941370595731903</v>
      </c>
      <c r="J61" s="1">
        <f t="shared" si="9"/>
        <v>1.9341455382804398</v>
      </c>
      <c r="K61" s="1">
        <f t="shared" si="9"/>
        <v>1.9607178783283881</v>
      </c>
      <c r="L61" s="1">
        <f t="shared" si="9"/>
        <v>1.9782688332732901</v>
      </c>
      <c r="M61" s="1">
        <f t="shared" si="9"/>
        <v>1.9895784732009922</v>
      </c>
      <c r="N61" s="1">
        <f t="shared" si="9"/>
        <v>1.3263856488006638</v>
      </c>
      <c r="O61" s="1">
        <f t="shared" si="9"/>
        <v>0.66319282440032856</v>
      </c>
      <c r="P61" s="1">
        <f t="shared" si="9"/>
        <v>0</v>
      </c>
      <c r="Q61" s="1">
        <f t="shared" si="9"/>
        <v>1.7270830364513045E-6</v>
      </c>
      <c r="R61" s="1">
        <f t="shared" si="9"/>
        <v>2.3016099033990043E-6</v>
      </c>
      <c r="S61" s="1">
        <f t="shared" si="9"/>
        <v>4.5980337761930553E-6</v>
      </c>
      <c r="T61" s="1">
        <f t="shared" si="9"/>
        <v>3.4503759778647944E-6</v>
      </c>
      <c r="U61" s="1">
        <f t="shared" si="9"/>
        <v>4.0238538076886593E-6</v>
      </c>
      <c r="V61" s="1">
        <f t="shared" si="9"/>
        <v>1.7310051334318287E-6</v>
      </c>
      <c r="W61" s="1">
        <f t="shared" si="9"/>
        <v>1.1575400521435242E-6</v>
      </c>
    </row>
    <row r="62" spans="2:48" outlineLevel="1" x14ac:dyDescent="0.2">
      <c r="B62" s="79" t="s">
        <v>110</v>
      </c>
      <c r="C62" s="1"/>
      <c r="D62" s="1">
        <f t="shared" ref="D62:W62" si="10">-D13</f>
        <v>0</v>
      </c>
      <c r="E62" s="1">
        <f t="shared" si="10"/>
        <v>0</v>
      </c>
      <c r="F62" s="1">
        <f t="shared" si="10"/>
        <v>0</v>
      </c>
      <c r="G62" s="1">
        <f t="shared" si="10"/>
        <v>0</v>
      </c>
      <c r="H62" s="1">
        <f t="shared" si="10"/>
        <v>0</v>
      </c>
      <c r="I62" s="1">
        <f t="shared" si="10"/>
        <v>0</v>
      </c>
      <c r="J62" s="1">
        <f t="shared" si="10"/>
        <v>0</v>
      </c>
      <c r="K62" s="1">
        <f t="shared" si="10"/>
        <v>0</v>
      </c>
      <c r="L62" s="1">
        <f t="shared" si="10"/>
        <v>0</v>
      </c>
      <c r="M62" s="1">
        <f t="shared" si="10"/>
        <v>0</v>
      </c>
      <c r="N62" s="1">
        <f t="shared" si="10"/>
        <v>0</v>
      </c>
      <c r="O62" s="1">
        <f t="shared" si="10"/>
        <v>0</v>
      </c>
      <c r="P62" s="1">
        <f t="shared" si="10"/>
        <v>0</v>
      </c>
      <c r="Q62" s="1">
        <f t="shared" si="10"/>
        <v>0</v>
      </c>
      <c r="R62" s="1">
        <f t="shared" si="10"/>
        <v>0</v>
      </c>
      <c r="S62" s="1">
        <f t="shared" si="10"/>
        <v>0</v>
      </c>
      <c r="T62" s="1">
        <f t="shared" si="10"/>
        <v>0</v>
      </c>
      <c r="U62" s="1">
        <f t="shared" si="10"/>
        <v>0</v>
      </c>
      <c r="V62" s="1">
        <f t="shared" si="10"/>
        <v>0</v>
      </c>
      <c r="W62" s="1">
        <f t="shared" si="10"/>
        <v>0</v>
      </c>
    </row>
    <row r="63" spans="2:48" outlineLevel="1" x14ac:dyDescent="0.2">
      <c r="B63" s="79" t="s">
        <v>111</v>
      </c>
      <c r="C63" s="1"/>
      <c r="D63" s="1">
        <f>IF(D$55&lt;=$C$6,0,HLOOKUP(D$55,'Input data'!$C$9:$BB$26,12,FALSE)-HLOOKUP($C$6,'Input data'!$C$9:$BB$26,12,FALSE))</f>
        <v>0</v>
      </c>
      <c r="E63" s="1">
        <f>IF(E$55&lt;=$C$6,0,HLOOKUP(E$55,'Input data'!$C$9:$BB$26,12,FALSE)-HLOOKUP($C$6,'Input data'!$C$9:$BB$26,12,FALSE))</f>
        <v>0</v>
      </c>
      <c r="F63" s="1">
        <f>IF(F$55&lt;=$C$6,0,HLOOKUP(F$55,'Input data'!$C$9:$BB$26,12,FALSE)-HLOOKUP($C$6,'Input data'!$C$9:$BB$26,12,FALSE))</f>
        <v>0</v>
      </c>
      <c r="G63" s="1">
        <f>IF(G$55&lt;=$C$6,0,HLOOKUP(G$55,'Input data'!$C$9:$BB$26,12,FALSE)-HLOOKUP($C$6,'Input data'!$C$9:$BB$26,12,FALSE))</f>
        <v>0</v>
      </c>
      <c r="H63" s="1">
        <f>IF(H$55&lt;=$C$6,0,HLOOKUP(H$55,'Input data'!$C$9:$BB$26,12,FALSE)-HLOOKUP($C$6,'Input data'!$C$9:$BB$26,12,FALSE))</f>
        <v>0</v>
      </c>
      <c r="I63" s="1">
        <f>IF(I$55&lt;=$C$6,0,HLOOKUP(I$55,'Input data'!$C$9:$BB$26,12,FALSE)-HLOOKUP($C$6,'Input data'!$C$9:$BB$26,12,FALSE))</f>
        <v>0</v>
      </c>
      <c r="J63" s="1">
        <f>IF(J$55&lt;=$C$6,0,HLOOKUP(J$55,'Input data'!$C$9:$BB$26,12,FALSE)-HLOOKUP($C$6,'Input data'!$C$9:$BB$26,12,FALSE))</f>
        <v>0</v>
      </c>
      <c r="K63" s="1">
        <f>IF(K$55&lt;=$C$6,0,HLOOKUP(K$55,'Input data'!$C$9:$BB$26,12,FALSE)-HLOOKUP($C$6,'Input data'!$C$9:$BB$26,12,FALSE))</f>
        <v>0</v>
      </c>
      <c r="L63" s="1">
        <f>IF(L$55&lt;=$C$6,0,HLOOKUP(L$55,'Input data'!$C$9:$BB$26,12,FALSE)-HLOOKUP($C$6,'Input data'!$C$9:$BB$26,12,FALSE))</f>
        <v>0</v>
      </c>
      <c r="M63" s="1">
        <f>IF(M$55&lt;=$C$6,0,HLOOKUP(M$55,'Input data'!$C$9:$BB$26,12,FALSE)-HLOOKUP($C$6,'Input data'!$C$9:$BB$26,12,FALSE))</f>
        <v>0</v>
      </c>
      <c r="N63" s="1">
        <f>IF(N$55&lt;=$C$6,0,HLOOKUP(N$55,'Input data'!$C$9:$BB$26,12,FALSE)-HLOOKUP($C$6,'Input data'!$C$9:$BB$26,12,FALSE))</f>
        <v>3.416999999999959E-2</v>
      </c>
      <c r="O63" s="1">
        <f>IF(O$55&lt;=$C$6,0,HLOOKUP(O$55,'Input data'!$C$9:$BB$26,12,FALSE)-HLOOKUP($C$6,'Input data'!$C$9:$BB$26,12,FALSE))</f>
        <v>3.0779999999996477E-2</v>
      </c>
      <c r="P63" s="1">
        <f>IF(P$55&lt;=$C$6,0,HLOOKUP(P$55,'Input data'!$C$9:$BB$26,12,FALSE)-HLOOKUP($C$6,'Input data'!$C$9:$BB$26,12,FALSE))</f>
        <v>2.7829999999998023E-2</v>
      </c>
      <c r="Q63" s="1">
        <f>IF(Q$55&lt;=$C$6,0,HLOOKUP(Q$55,'Input data'!$C$9:$BB$26,12,FALSE)-HLOOKUP($C$6,'Input data'!$C$9:$BB$26,12,FALSE))</f>
        <v>1.6359999999995267E-2</v>
      </c>
      <c r="R63" s="1">
        <f>IF(R$55&lt;=$C$6,0,HLOOKUP(R$55,'Input data'!$C$9:$BB$26,12,FALSE)-HLOOKUP($C$6,'Input data'!$C$9:$BB$26,12,FALSE))</f>
        <v>-1.1079999999999757E-2</v>
      </c>
      <c r="S63" s="1">
        <f>IF(S$55&lt;=$C$6,0,HLOOKUP(S$55,'Input data'!$C$9:$BB$26,12,FALSE)-HLOOKUP($C$6,'Input data'!$C$9:$BB$26,12,FALSE))</f>
        <v>-5.7449999999999335E-2</v>
      </c>
      <c r="T63" s="1">
        <f>IF(T$55&lt;=$C$6,0,HLOOKUP(T$55,'Input data'!$C$9:$BB$26,12,FALSE)-HLOOKUP($C$6,'Input data'!$C$9:$BB$26,12,FALSE))</f>
        <v>-0.11955999999999989</v>
      </c>
      <c r="U63" s="1">
        <f>IF(U$55&lt;=$C$6,0,HLOOKUP(U$55,'Input data'!$C$9:$BB$26,12,FALSE)-HLOOKUP($C$6,'Input data'!$C$9:$BB$26,12,FALSE))</f>
        <v>-0.19588999999999857</v>
      </c>
      <c r="V63" s="1">
        <f>IF(V$55&lt;=$C$6,0,HLOOKUP(V$55,'Input data'!$C$9:$BB$26,12,FALSE)-HLOOKUP($C$6,'Input data'!$C$9:$BB$26,12,FALSE))</f>
        <v>-0.27118000000000109</v>
      </c>
      <c r="W63" s="1">
        <f>IF(W$55&lt;=$C$6,0,HLOOKUP(W$55,'Input data'!$C$9:$BB$26,12,FALSE)-HLOOKUP($C$6,'Input data'!$C$9:$BB$26,12,FALSE))</f>
        <v>-0.32976000000000028</v>
      </c>
    </row>
    <row r="64" spans="2:48" outlineLevel="1" x14ac:dyDescent="0.2">
      <c r="B64" s="79" t="s">
        <v>112</v>
      </c>
      <c r="C64" s="1"/>
      <c r="D64" s="1">
        <f>IF(D$55&lt;=$C$5,0,-HLOOKUP(D$55,'Input data'!$C$9:$BB$26,18,FALSE)+HLOOKUP($C$6,'Input data'!$C$9:$BB$26,18,FALSE))</f>
        <v>0</v>
      </c>
      <c r="E64" s="1">
        <f>IF(E$55&lt;=$C$5,0,-HLOOKUP(E$55,'Input data'!$C$9:$BB$26,18,FALSE)+HLOOKUP($C$6,'Input data'!$C$9:$BB$26,18,FALSE))</f>
        <v>0</v>
      </c>
      <c r="F64" s="1">
        <f>IF(F$55&lt;=$C$5,0,-HLOOKUP(F$55,'Input data'!$C$9:$BB$26,18,FALSE)+HLOOKUP($C$6,'Input data'!$C$9:$BB$26,18,FALSE))</f>
        <v>0</v>
      </c>
      <c r="G64" s="1">
        <f>IF(G$55&lt;=$C$6,0,-HLOOKUP(G$55,'Input data'!$C$9:$BB$26,18,FALSE)+HLOOKUP($C$6,'Input data'!$C$9:$BB$26,18,FALSE))</f>
        <v>0</v>
      </c>
      <c r="H64" s="1">
        <f>IF(H$55&lt;=$C$6,0,-HLOOKUP(H$55,'Input data'!$C$9:$BB$26,18,FALSE)+HLOOKUP($C$6,'Input data'!$C$9:$BB$26,18,FALSE))</f>
        <v>0</v>
      </c>
      <c r="I64" s="1">
        <f>IF(I$55&lt;=$C$6,0,-HLOOKUP(I$55,'Input data'!$C$9:$BB$26,18,FALSE)+HLOOKUP($C$6,'Input data'!$C$9:$BB$26,18,FALSE))</f>
        <v>0</v>
      </c>
      <c r="J64" s="1">
        <f>IF(J$55&lt;=$C$6,0,-HLOOKUP(J$55,'Input data'!$C$9:$BB$26,18,FALSE)+HLOOKUP($C$6,'Input data'!$C$9:$BB$26,18,FALSE))</f>
        <v>0</v>
      </c>
      <c r="K64" s="1">
        <f>IF(K$55&lt;=$C$6,0,-HLOOKUP(K$55,'Input data'!$C$9:$BB$26,18,FALSE)+HLOOKUP($C$6,'Input data'!$C$9:$BB$26,18,FALSE))</f>
        <v>0</v>
      </c>
      <c r="L64" s="1">
        <f>IF(L$55&lt;=$C$6,0,-HLOOKUP(L$55,'Input data'!$C$9:$BB$26,18,FALSE)+HLOOKUP($C$6,'Input data'!$C$9:$BB$26,18,FALSE))</f>
        <v>0</v>
      </c>
      <c r="M64" s="1">
        <f>IF(M$55&lt;=$C$6,0,-HLOOKUP(M$55,'Input data'!$C$9:$BB$26,18,FALSE)+HLOOKUP($C$6,'Input data'!$C$9:$BB$26,18,FALSE))</f>
        <v>0</v>
      </c>
      <c r="N64" s="1">
        <f>IF(N$55&lt;=$C$6,0,-HLOOKUP(N$55,'Input data'!$C$9:$BB$26,18,FALSE)+HLOOKUP($C$6,'Input data'!$C$9:$BB$26,18,FALSE))</f>
        <v>-6.6510000000001845E-3</v>
      </c>
      <c r="O64" s="1">
        <f>IF(O$55&lt;=$C$6,0,-HLOOKUP(O$55,'Input data'!$C$9:$BB$26,18,FALSE)+HLOOKUP($C$6,'Input data'!$C$9:$BB$26,18,FALSE))</f>
        <v>-1.3301000000000229E-2</v>
      </c>
      <c r="P64" s="1">
        <f>IF(P$55&lt;=$C$6,0,-HLOOKUP(P$55,'Input data'!$C$9:$BB$26,18,FALSE)+HLOOKUP($C$6,'Input data'!$C$9:$BB$26,18,FALSE))</f>
        <v>-1.9951000000000274E-2</v>
      </c>
      <c r="Q64" s="1">
        <f>IF(Q$55&lt;=$C$6,0,-HLOOKUP(Q$55,'Input data'!$C$9:$BB$26,18,FALSE)+HLOOKUP($C$6,'Input data'!$C$9:$BB$26,18,FALSE))</f>
        <v>-2.6600999999999875E-2</v>
      </c>
      <c r="R64" s="1">
        <f>IF(R$55&lt;=$C$6,0,-HLOOKUP(R$55,'Input data'!$C$9:$BB$26,18,FALSE)+HLOOKUP($C$6,'Input data'!$C$9:$BB$26,18,FALSE))</f>
        <v>-3.325099999999992E-2</v>
      </c>
      <c r="S64" s="1">
        <f>IF(S$55&lt;=$C$6,0,-HLOOKUP(S$55,'Input data'!$C$9:$BB$26,18,FALSE)+HLOOKUP($C$6,'Input data'!$C$9:$BB$26,18,FALSE))</f>
        <v>-3.9902000000000104E-2</v>
      </c>
      <c r="T64" s="1">
        <f>IF(T$55&lt;=$C$6,0,-HLOOKUP(T$55,'Input data'!$C$9:$BB$26,18,FALSE)+HLOOKUP($C$6,'Input data'!$C$9:$BB$26,18,FALSE))</f>
        <v>-4.6552000000000149E-2</v>
      </c>
      <c r="U64" s="1">
        <f>IF(U$55&lt;=$C$6,0,-HLOOKUP(U$55,'Input data'!$C$9:$BB$26,18,FALSE)+HLOOKUP($C$6,'Input data'!$C$9:$BB$26,18,FALSE))</f>
        <v>-5.3202000000000194E-2</v>
      </c>
      <c r="V64" s="1">
        <f>IF(V$55&lt;=$C$6,0,-HLOOKUP(V$55,'Input data'!$C$9:$BB$26,18,FALSE)+HLOOKUP($C$6,'Input data'!$C$9:$BB$26,18,FALSE))</f>
        <v>-5.9852000000000238E-2</v>
      </c>
      <c r="W64" s="1">
        <f>IF(W$55&lt;=$C$6,0,-HLOOKUP(W$55,'Input data'!$C$9:$BB$26,18,FALSE)+HLOOKUP($C$6,'Input data'!$C$9:$BB$26,18,FALSE))</f>
        <v>-6.6502000000000283E-2</v>
      </c>
    </row>
    <row r="65" spans="2:23" outlineLevel="1" x14ac:dyDescent="0.2">
      <c r="B65" s="79" t="s">
        <v>113</v>
      </c>
      <c r="C65" s="37"/>
      <c r="D65" s="37">
        <v>0</v>
      </c>
      <c r="E65" s="37">
        <v>0</v>
      </c>
      <c r="F65" s="37">
        <v>0</v>
      </c>
      <c r="G65" s="37">
        <v>0</v>
      </c>
      <c r="H65" s="37">
        <v>0</v>
      </c>
      <c r="I65" s="37">
        <v>0</v>
      </c>
      <c r="J65" s="37">
        <v>0</v>
      </c>
      <c r="K65" s="37">
        <v>0</v>
      </c>
      <c r="L65" s="37">
        <v>0</v>
      </c>
      <c r="M65" s="37">
        <v>0</v>
      </c>
      <c r="N65" s="37">
        <v>0</v>
      </c>
      <c r="O65" s="37">
        <v>0</v>
      </c>
      <c r="P65" s="37">
        <v>0</v>
      </c>
      <c r="Q65" s="37">
        <v>0</v>
      </c>
      <c r="R65" s="37">
        <v>0</v>
      </c>
      <c r="S65" s="37">
        <v>0</v>
      </c>
      <c r="T65" s="37">
        <v>0</v>
      </c>
      <c r="U65" s="37">
        <v>0</v>
      </c>
      <c r="V65" s="37">
        <v>0</v>
      </c>
      <c r="W65" s="37">
        <v>0</v>
      </c>
    </row>
    <row r="66" spans="2:23" outlineLevel="1" x14ac:dyDescent="0.2">
      <c r="B66" s="84" t="s">
        <v>114</v>
      </c>
      <c r="C66" s="48"/>
      <c r="D66" s="48">
        <f t="shared" ref="D66:T66" si="11">SUM(D67:D70)</f>
        <v>-4.0426919999999997</v>
      </c>
      <c r="E66" s="48">
        <f t="shared" si="11"/>
        <v>-1.511876</v>
      </c>
      <c r="F66" s="48">
        <f t="shared" si="11"/>
        <v>-0.13214980000000001</v>
      </c>
      <c r="G66" s="48">
        <f>SUM(G67:G70)</f>
        <v>-0.5515054110678177</v>
      </c>
      <c r="H66" s="48">
        <f>SUM(H67:H70)</f>
        <v>-0.58669873751930601</v>
      </c>
      <c r="I66" s="48">
        <f t="shared" si="11"/>
        <v>-0.54496189580112908</v>
      </c>
      <c r="J66" s="48">
        <f t="shared" si="11"/>
        <v>-0.61525939456530954</v>
      </c>
      <c r="K66" s="48">
        <f t="shared" si="11"/>
        <v>-0.58760320252470177</v>
      </c>
      <c r="L66" s="48">
        <f t="shared" si="11"/>
        <v>-0.57836203175545453</v>
      </c>
      <c r="M66" s="48">
        <f t="shared" si="11"/>
        <v>-0.59554677059365968</v>
      </c>
      <c r="N66" s="48">
        <f t="shared" si="11"/>
        <v>-1.3199982336497706</v>
      </c>
      <c r="O66" s="48">
        <f t="shared" si="11"/>
        <v>-1.1516303509061943</v>
      </c>
      <c r="P66" s="48">
        <f t="shared" si="11"/>
        <v>-0.99648195356581237</v>
      </c>
      <c r="Q66" s="48">
        <f t="shared" si="11"/>
        <v>-0.45179355343588296</v>
      </c>
      <c r="R66" s="48">
        <f t="shared" si="11"/>
        <v>-0.33953250590452544</v>
      </c>
      <c r="S66" s="48">
        <f t="shared" si="11"/>
        <v>-0.17759097205712315</v>
      </c>
      <c r="T66" s="48">
        <f t="shared" si="11"/>
        <v>-5.5516730434734835E-3</v>
      </c>
      <c r="U66" s="48">
        <f>SUM(U67:U70)</f>
        <v>4.2381499131482259E-2</v>
      </c>
      <c r="V66" s="48">
        <f>SUM(V67:V70)</f>
        <v>8.3379003343875657E-2</v>
      </c>
      <c r="W66" s="48">
        <f>SUM(W67:W70)</f>
        <v>9.3585994236238257E-2</v>
      </c>
    </row>
    <row r="67" spans="2:23" outlineLevel="1" x14ac:dyDescent="0.2">
      <c r="B67" s="79" t="s">
        <v>115</v>
      </c>
      <c r="C67" s="34"/>
      <c r="D67" s="34">
        <f>C56*D35/100*(1/(1+D32/100))</f>
        <v>0.57044236264340553</v>
      </c>
      <c r="E67" s="34">
        <f>D56*E35/100*(1/(1+E32/100))</f>
        <v>1.1202161973483911</v>
      </c>
      <c r="F67" s="34">
        <f>E56*F35/100*(1/(1+F32/100))</f>
        <v>1.237911894788841</v>
      </c>
      <c r="G67" s="34">
        <f>F56*G35/100*(1/(1+G32/100))</f>
        <v>1.4824281639669943</v>
      </c>
      <c r="H67" s="34">
        <f t="shared" ref="H67:W67" si="12">G56*H35/100*(1/(1+H32/100))</f>
        <v>1.5826151903610837</v>
      </c>
      <c r="I67" s="34">
        <f t="shared" si="12"/>
        <v>1.6394535303736939</v>
      </c>
      <c r="J67" s="34">
        <f t="shared" si="12"/>
        <v>1.6487502218464147</v>
      </c>
      <c r="K67" s="34">
        <f t="shared" si="12"/>
        <v>1.6105181552166117</v>
      </c>
      <c r="L67" s="34">
        <f t="shared" si="12"/>
        <v>1.5255914436275941</v>
      </c>
      <c r="M67" s="34">
        <f t="shared" si="12"/>
        <v>1.3931758053534387</v>
      </c>
      <c r="N67" s="34">
        <f t="shared" si="12"/>
        <v>1.2035425931591639</v>
      </c>
      <c r="O67" s="34">
        <f t="shared" si="12"/>
        <v>1.0202210481829008</v>
      </c>
      <c r="P67" s="34">
        <f t="shared" si="12"/>
        <v>0.82314862675723588</v>
      </c>
      <c r="Q67" s="34">
        <f t="shared" si="12"/>
        <v>0.62032081666676864</v>
      </c>
      <c r="R67" s="34">
        <f t="shared" si="12"/>
        <v>0.41629422928447468</v>
      </c>
      <c r="S67" s="34">
        <f t="shared" si="12"/>
        <v>0.21175996482059192</v>
      </c>
      <c r="T67" s="34">
        <f t="shared" si="12"/>
        <v>6.5369667168023136E-3</v>
      </c>
      <c r="U67" s="34">
        <f t="shared" si="12"/>
        <v>-0.3300727427321814</v>
      </c>
      <c r="V67" s="34">
        <f t="shared" si="12"/>
        <v>-0.68459031155042727</v>
      </c>
      <c r="W67" s="34">
        <f t="shared" si="12"/>
        <v>-1.054216595714252</v>
      </c>
    </row>
    <row r="68" spans="2:23" outlineLevel="1" x14ac:dyDescent="0.2">
      <c r="B68" s="79" t="s">
        <v>116</v>
      </c>
      <c r="C68" s="34"/>
      <c r="D68" s="34">
        <f t="shared" ref="D68:W68" si="13">-C56*(D23/100)*(1/(1+D32/100))</f>
        <v>-0.90770273794427436</v>
      </c>
      <c r="E68" s="34">
        <f t="shared" si="13"/>
        <v>0.7338761149895805</v>
      </c>
      <c r="F68" s="34">
        <f t="shared" si="13"/>
        <v>-2.9478581632550963E-2</v>
      </c>
      <c r="G68" s="34">
        <f t="shared" si="13"/>
        <v>-0.35934388324229338</v>
      </c>
      <c r="H68" s="34">
        <f>-G56*(H23/100)*(1/(1+H32/100))</f>
        <v>-0.41547945236949702</v>
      </c>
      <c r="I68" s="34">
        <f t="shared" si="13"/>
        <v>-0.38292418783782339</v>
      </c>
      <c r="J68" s="34">
        <f t="shared" si="13"/>
        <v>-0.4477927019649619</v>
      </c>
      <c r="K68" s="34">
        <f t="shared" si="13"/>
        <v>-0.40693376741276499</v>
      </c>
      <c r="L68" s="34">
        <f t="shared" si="13"/>
        <v>-0.37842981161990719</v>
      </c>
      <c r="M68" s="34">
        <f t="shared" si="13"/>
        <v>-0.37197353777828085</v>
      </c>
      <c r="N68" s="34">
        <f t="shared" si="13"/>
        <v>-1.0613618318676137</v>
      </c>
      <c r="O68" s="34">
        <f t="shared" si="13"/>
        <v>-0.90585795029703142</v>
      </c>
      <c r="P68" s="34">
        <f t="shared" si="13"/>
        <v>-0.80727301747289892</v>
      </c>
      <c r="Q68" s="34">
        <f t="shared" si="13"/>
        <v>-0.32460340027069917</v>
      </c>
      <c r="R68" s="34">
        <f t="shared" si="13"/>
        <v>-0.25869689186412531</v>
      </c>
      <c r="S68" s="34">
        <f t="shared" si="13"/>
        <v>-0.13910661741628663</v>
      </c>
      <c r="T68" s="34">
        <f t="shared" si="13"/>
        <v>-4.4470487495933842E-3</v>
      </c>
      <c r="U68" s="34">
        <f t="shared" si="13"/>
        <v>0.14168306642965756</v>
      </c>
      <c r="V68" s="34">
        <f t="shared" si="13"/>
        <v>0.29983258585021927</v>
      </c>
      <c r="W68" s="34">
        <f t="shared" si="13"/>
        <v>0.4433653520463019</v>
      </c>
    </row>
    <row r="69" spans="2:23" outlineLevel="1" x14ac:dyDescent="0.2">
      <c r="B69" s="79" t="s">
        <v>117</v>
      </c>
      <c r="C69" s="34"/>
      <c r="D69" s="34">
        <f t="shared" ref="D69:T69" si="14">-C56*D41/100*(1/(1+D41/100))</f>
        <v>-3.7081792093539843</v>
      </c>
      <c r="E69" s="34">
        <f t="shared" si="14"/>
        <v>-3.3653315689090335</v>
      </c>
      <c r="F69" s="34">
        <f t="shared" si="14"/>
        <v>-1.3408196277227631</v>
      </c>
      <c r="G69" s="34">
        <f t="shared" si="14"/>
        <v>-1.6747401746220421</v>
      </c>
      <c r="H69" s="34">
        <f>-G56*H41/100*(1/(1+H41/100))</f>
        <v>-1.7538344755108926</v>
      </c>
      <c r="I69" s="34">
        <f t="shared" si="14"/>
        <v>-1.8014912383369996</v>
      </c>
      <c r="J69" s="34">
        <f t="shared" si="14"/>
        <v>-1.8162169144467624</v>
      </c>
      <c r="K69" s="34">
        <f t="shared" si="14"/>
        <v>-1.7911875903285484</v>
      </c>
      <c r="L69" s="34">
        <f t="shared" si="14"/>
        <v>-1.7255236637631415</v>
      </c>
      <c r="M69" s="34">
        <f t="shared" si="14"/>
        <v>-1.6167490381688174</v>
      </c>
      <c r="N69" s="34">
        <f t="shared" si="14"/>
        <v>-1.4621789949413209</v>
      </c>
      <c r="O69" s="34">
        <f t="shared" si="14"/>
        <v>-1.2659934487920637</v>
      </c>
      <c r="P69" s="34">
        <f t="shared" si="14"/>
        <v>-1.0123575628501493</v>
      </c>
      <c r="Q69" s="34">
        <f t="shared" si="14"/>
        <v>-0.74751096983195242</v>
      </c>
      <c r="R69" s="34">
        <f t="shared" si="14"/>
        <v>-0.49712984332487481</v>
      </c>
      <c r="S69" s="34">
        <f>-R56*S41/100*(1/(1+S41/100))</f>
        <v>-0.25024431946142844</v>
      </c>
      <c r="T69" s="34">
        <f t="shared" si="14"/>
        <v>-7.6415910106824129E-3</v>
      </c>
      <c r="U69" s="34">
        <f>-T56*U41/100*(1/(1+U41/100))</f>
        <v>0.2307711754340061</v>
      </c>
      <c r="V69" s="34">
        <f>-U56*V41/100*(1/(1+V41/100))</f>
        <v>0.46813672904408365</v>
      </c>
      <c r="W69" s="34">
        <f>-V56*W41/100*(1/(1+W41/100))</f>
        <v>0.70443723790418833</v>
      </c>
    </row>
    <row r="70" spans="2:23" outlineLevel="1" x14ac:dyDescent="0.2">
      <c r="B70" s="79" t="s">
        <v>118</v>
      </c>
      <c r="C70" s="49"/>
      <c r="D70" s="49">
        <f>'Baseline NFPC'!D70</f>
        <v>2.7475846548536964E-3</v>
      </c>
      <c r="E70" s="49">
        <f>'Baseline NFPC'!E70</f>
        <v>-6.3674342893804692E-4</v>
      </c>
      <c r="F70" s="49">
        <f>'Baseline NFPC'!F70</f>
        <v>2.3651456647297286E-4</v>
      </c>
      <c r="G70" s="49">
        <f>'Baseline NFPC'!G70</f>
        <v>1.5048282952356828E-4</v>
      </c>
      <c r="H70" s="49">
        <f>'Baseline NFPC'!H70</f>
        <v>0</v>
      </c>
      <c r="I70" s="49">
        <f>'Baseline NFPC'!I70</f>
        <v>0</v>
      </c>
      <c r="J70" s="49">
        <f>'Baseline NFPC'!J70</f>
        <v>0</v>
      </c>
      <c r="K70" s="49">
        <f>'Baseline NFPC'!K70</f>
        <v>0</v>
      </c>
      <c r="L70" s="49">
        <f>'Baseline NFPC'!L70</f>
        <v>0</v>
      </c>
      <c r="M70" s="49">
        <f>'Baseline NFPC'!M70</f>
        <v>0</v>
      </c>
      <c r="N70" s="49">
        <f>'Baseline NFPC'!N70</f>
        <v>0</v>
      </c>
      <c r="O70" s="49">
        <f>'Baseline NFPC'!O70</f>
        <v>0</v>
      </c>
      <c r="P70" s="49">
        <f>'Baseline NFPC'!P70</f>
        <v>0</v>
      </c>
      <c r="Q70" s="49">
        <f>'Baseline NFPC'!Q70</f>
        <v>0</v>
      </c>
      <c r="R70" s="49">
        <f>'Baseline NFPC'!R70</f>
        <v>0</v>
      </c>
      <c r="S70" s="49">
        <f>'Baseline NFPC'!S70</f>
        <v>0</v>
      </c>
      <c r="T70" s="49">
        <f>'Baseline NFPC'!T70</f>
        <v>0</v>
      </c>
      <c r="U70" s="49">
        <f>'Baseline NFPC'!U70</f>
        <v>0</v>
      </c>
      <c r="V70" s="49">
        <f>'Baseline NFPC'!V70</f>
        <v>0</v>
      </c>
      <c r="W70" s="49">
        <f>'Baseline NFPC'!W70</f>
        <v>0</v>
      </c>
    </row>
    <row r="71" spans="2:23" outlineLevel="1" x14ac:dyDescent="0.2">
      <c r="B71" s="84" t="s">
        <v>119</v>
      </c>
      <c r="C71" s="50"/>
      <c r="D71" s="50">
        <f>'Input data'!D16</f>
        <v>5.1764349999999997</v>
      </c>
      <c r="E71" s="50">
        <f>'Input data'!E16</f>
        <v>2.2785220000000002</v>
      </c>
      <c r="F71" s="50">
        <f>'Input data'!F16</f>
        <v>2.6170640000000001</v>
      </c>
      <c r="G71" s="50">
        <f>'Input data'!G16</f>
        <v>1.6700109999999999</v>
      </c>
      <c r="H71" s="50">
        <f>'Input data'!H16</f>
        <v>1.6902729999999999</v>
      </c>
      <c r="I71" s="50">
        <f>'Input data'!I16</f>
        <v>1.702215</v>
      </c>
      <c r="J71" s="50">
        <f>'Input data'!J16</f>
        <v>1.648048</v>
      </c>
      <c r="K71" s="50">
        <f>'Input data'!K16</f>
        <v>1.5813470000000001</v>
      </c>
      <c r="L71" s="50">
        <f>'Input data'!L16</f>
        <v>1.5408029999999999</v>
      </c>
      <c r="M71" s="50">
        <f>'Input data'!M16</f>
        <v>1.5229809999999999</v>
      </c>
      <c r="N71" s="50">
        <f>'Input data'!N16</f>
        <v>1.526135</v>
      </c>
      <c r="O71" s="50">
        <f>'Input data'!O16</f>
        <v>1.3735219999999999</v>
      </c>
      <c r="P71" s="50">
        <f>'Input data'!P16</f>
        <v>1.2209080000000001</v>
      </c>
      <c r="Q71" s="50">
        <f>'Input data'!Q16</f>
        <v>1.068295</v>
      </c>
      <c r="R71" s="50">
        <f>'Input data'!R16</f>
        <v>0.91568099999999997</v>
      </c>
      <c r="S71" s="50">
        <f>'Input data'!S16</f>
        <v>0.76306750000000001</v>
      </c>
      <c r="T71" s="50">
        <f>'Input data'!T16</f>
        <v>0.61045400000000005</v>
      </c>
      <c r="U71" s="50">
        <f>'Input data'!U16</f>
        <v>0.45784049999999998</v>
      </c>
      <c r="V71" s="50">
        <f>'Input data'!V16</f>
        <v>0.30522700000000003</v>
      </c>
      <c r="W71" s="50">
        <f>'Input data'!W16</f>
        <v>0.15261350000000001</v>
      </c>
    </row>
    <row r="72" spans="2:23" outlineLevel="1" x14ac:dyDescent="0.2">
      <c r="B72" s="79" t="s">
        <v>120</v>
      </c>
      <c r="C72" s="34"/>
      <c r="D72" s="34">
        <f t="shared" ref="D72:W72" si="15">D14</f>
        <v>4.8490650000000004</v>
      </c>
      <c r="E72" s="34">
        <f t="shared" si="15"/>
        <v>2.318794</v>
      </c>
      <c r="F72" s="34">
        <f t="shared" si="15"/>
        <v>2.6028570000000002</v>
      </c>
      <c r="G72" s="34">
        <f t="shared" si="15"/>
        <v>1.6620999999999999</v>
      </c>
      <c r="H72" s="34">
        <f t="shared" si="15"/>
        <v>1.6902729999999999</v>
      </c>
      <c r="I72" s="34">
        <f t="shared" si="15"/>
        <v>1.702215</v>
      </c>
      <c r="J72" s="34">
        <f t="shared" si="15"/>
        <v>1.648048</v>
      </c>
      <c r="K72" s="34">
        <f t="shared" si="15"/>
        <v>1.5813470000000001</v>
      </c>
      <c r="L72" s="34">
        <f t="shared" si="15"/>
        <v>1.5408029999999999</v>
      </c>
      <c r="M72" s="34">
        <f t="shared" si="15"/>
        <v>1.5229809999999999</v>
      </c>
      <c r="N72" s="34">
        <f t="shared" si="15"/>
        <v>1.526135</v>
      </c>
      <c r="O72" s="34">
        <f t="shared" si="15"/>
        <v>1.3735219999999999</v>
      </c>
      <c r="P72" s="34">
        <f t="shared" si="15"/>
        <v>1.2209080000000001</v>
      </c>
      <c r="Q72" s="34">
        <f t="shared" si="15"/>
        <v>1.068295</v>
      </c>
      <c r="R72" s="34">
        <f t="shared" si="15"/>
        <v>0.91568099999999997</v>
      </c>
      <c r="S72" s="34">
        <f t="shared" si="15"/>
        <v>0.76306750000000001</v>
      </c>
      <c r="T72" s="34">
        <f t="shared" si="15"/>
        <v>0.61045400000000005</v>
      </c>
      <c r="U72" s="34">
        <f t="shared" si="15"/>
        <v>0.45784049999999998</v>
      </c>
      <c r="V72" s="34">
        <f t="shared" si="15"/>
        <v>0.30522700000000003</v>
      </c>
      <c r="W72" s="34">
        <f t="shared" si="15"/>
        <v>0.15261350000000001</v>
      </c>
    </row>
    <row r="73" spans="2:23" outlineLevel="1" x14ac:dyDescent="0.2">
      <c r="B73" s="89" t="s">
        <v>121</v>
      </c>
      <c r="C73" s="49"/>
      <c r="D73" s="49">
        <f>+D71-D72</f>
        <v>0.32736999999999927</v>
      </c>
      <c r="E73" s="49">
        <f t="shared" ref="E73:T73" si="16">+E71-E72</f>
        <v>-4.0271999999999863E-2</v>
      </c>
      <c r="F73" s="49">
        <f t="shared" si="16"/>
        <v>1.4206999999999859E-2</v>
      </c>
      <c r="G73" s="49">
        <f t="shared" si="16"/>
        <v>7.9110000000000014E-3</v>
      </c>
      <c r="H73" s="49">
        <f t="shared" si="16"/>
        <v>0</v>
      </c>
      <c r="I73" s="49">
        <f t="shared" si="16"/>
        <v>0</v>
      </c>
      <c r="J73" s="49">
        <f t="shared" si="16"/>
        <v>0</v>
      </c>
      <c r="K73" s="49">
        <f t="shared" si="16"/>
        <v>0</v>
      </c>
      <c r="L73" s="49">
        <f t="shared" si="16"/>
        <v>0</v>
      </c>
      <c r="M73" s="49">
        <f t="shared" si="16"/>
        <v>0</v>
      </c>
      <c r="N73" s="49">
        <f t="shared" si="16"/>
        <v>0</v>
      </c>
      <c r="O73" s="49">
        <f t="shared" si="16"/>
        <v>0</v>
      </c>
      <c r="P73" s="49">
        <f t="shared" si="16"/>
        <v>0</v>
      </c>
      <c r="Q73" s="49">
        <f t="shared" si="16"/>
        <v>0</v>
      </c>
      <c r="R73" s="49">
        <f t="shared" si="16"/>
        <v>0</v>
      </c>
      <c r="S73" s="49">
        <f t="shared" si="16"/>
        <v>0</v>
      </c>
      <c r="T73" s="49">
        <f t="shared" si="16"/>
        <v>0</v>
      </c>
      <c r="U73" s="49">
        <f>+U71-U72</f>
        <v>0</v>
      </c>
      <c r="V73" s="49">
        <f>+V71-V72</f>
        <v>0</v>
      </c>
      <c r="W73" s="49">
        <f>+W71-W72</f>
        <v>0</v>
      </c>
    </row>
    <row r="74" spans="2:23" outlineLevel="1" x14ac:dyDescent="0.2">
      <c r="B74" s="79"/>
      <c r="C74" s="34"/>
      <c r="D74" s="34"/>
      <c r="E74" s="34"/>
      <c r="F74" s="34"/>
      <c r="G74" s="34"/>
      <c r="H74" s="34"/>
      <c r="I74" s="34"/>
      <c r="J74" s="34"/>
      <c r="K74" s="34"/>
      <c r="L74" s="34"/>
      <c r="M74" s="34"/>
      <c r="N74" s="34"/>
      <c r="O74" s="34"/>
      <c r="P74" s="34"/>
      <c r="Q74" s="34"/>
      <c r="R74" s="34"/>
      <c r="S74" s="34"/>
      <c r="T74" s="34"/>
      <c r="U74" s="34"/>
      <c r="V74" s="34"/>
      <c r="W74" s="34"/>
    </row>
    <row r="75" spans="2:23" x14ac:dyDescent="0.2">
      <c r="B75" s="51" t="s">
        <v>187</v>
      </c>
      <c r="C75" s="51"/>
      <c r="D75" s="51"/>
      <c r="E75" s="51"/>
      <c r="F75" s="51"/>
      <c r="G75" s="51"/>
      <c r="H75" s="51"/>
      <c r="I75" s="51"/>
      <c r="J75" s="51"/>
      <c r="K75" s="51">
        <f t="shared" ref="K75:W75" si="17">IF(K56&lt;J56,0,1)</f>
        <v>0</v>
      </c>
      <c r="L75" s="51">
        <f t="shared" si="17"/>
        <v>0</v>
      </c>
      <c r="M75" s="51">
        <f t="shared" si="17"/>
        <v>0</v>
      </c>
      <c r="N75" s="51">
        <f t="shared" si="17"/>
        <v>0</v>
      </c>
      <c r="O75" s="51">
        <f t="shared" si="17"/>
        <v>0</v>
      </c>
      <c r="P75" s="51">
        <f t="shared" si="17"/>
        <v>0</v>
      </c>
      <c r="Q75" s="51">
        <f t="shared" si="17"/>
        <v>0</v>
      </c>
      <c r="R75" s="51">
        <f t="shared" si="17"/>
        <v>0</v>
      </c>
      <c r="S75" s="51">
        <f t="shared" si="17"/>
        <v>0</v>
      </c>
      <c r="T75" s="51">
        <f t="shared" si="17"/>
        <v>0</v>
      </c>
      <c r="U75" s="51">
        <f t="shared" si="17"/>
        <v>0</v>
      </c>
      <c r="V75" s="51">
        <f t="shared" si="17"/>
        <v>0</v>
      </c>
      <c r="W75" s="51">
        <f t="shared" si="17"/>
        <v>0</v>
      </c>
    </row>
    <row r="76" spans="2:23" x14ac:dyDescent="0.2">
      <c r="D76" s="53"/>
    </row>
    <row r="77" spans="2:23" s="93" customFormat="1" ht="12.75" outlineLevel="1" x14ac:dyDescent="0.2">
      <c r="B77" s="94" t="s">
        <v>124</v>
      </c>
      <c r="C77" s="95"/>
      <c r="E77" s="96"/>
      <c r="F77" s="95"/>
    </row>
    <row r="78" spans="2:23" x14ac:dyDescent="0.2">
      <c r="C78" s="34"/>
      <c r="D78" s="34"/>
      <c r="E78" s="34"/>
      <c r="F78" s="34"/>
      <c r="G78" s="34"/>
      <c r="H78" s="34"/>
      <c r="I78" s="34"/>
      <c r="J78" s="34"/>
      <c r="K78" s="34"/>
      <c r="L78" s="34"/>
      <c r="M78" s="34"/>
      <c r="N78" s="34"/>
      <c r="O78" s="34"/>
      <c r="P78" s="34"/>
      <c r="Q78" s="34"/>
      <c r="R78" s="34"/>
      <c r="S78" s="34"/>
      <c r="T78" s="34"/>
      <c r="U78" s="34"/>
      <c r="V78" s="34"/>
      <c r="W78" s="34"/>
    </row>
    <row r="79" spans="2:23" x14ac:dyDescent="0.2">
      <c r="B79" s="26" t="s">
        <v>125</v>
      </c>
      <c r="E79" s="111">
        <f>IF((E83-D83*E42/((1+E23/100)*(1+E41/100)))&gt;0,1,0)</f>
        <v>1</v>
      </c>
      <c r="F79" s="111">
        <f>IF((F83-E83*F42/((1+F23/100)*(1+F41/100)))&gt;0,1,0)</f>
        <v>1</v>
      </c>
      <c r="G79" s="111">
        <f>IF((G83-F83*G42/((1+G23/100)*(1+G41/100)))&gt;0,1,0)</f>
        <v>1</v>
      </c>
      <c r="H79" s="111">
        <f t="shared" ref="H79:W79" si="18">IF((H83-G83*H42/((1+H23/100)*(1+H41/100)))&gt;0,1,0)</f>
        <v>1</v>
      </c>
      <c r="I79" s="111">
        <f t="shared" si="18"/>
        <v>1</v>
      </c>
      <c r="J79" s="111">
        <f t="shared" si="18"/>
        <v>0</v>
      </c>
      <c r="K79" s="111">
        <f t="shared" si="18"/>
        <v>0</v>
      </c>
      <c r="L79" s="111">
        <f t="shared" si="18"/>
        <v>0</v>
      </c>
      <c r="M79" s="111">
        <f t="shared" si="18"/>
        <v>0</v>
      </c>
      <c r="N79" s="111">
        <f t="shared" si="18"/>
        <v>0</v>
      </c>
      <c r="O79" s="111">
        <f t="shared" si="18"/>
        <v>0</v>
      </c>
      <c r="P79" s="111">
        <f t="shared" si="18"/>
        <v>0</v>
      </c>
      <c r="Q79" s="111">
        <f t="shared" si="18"/>
        <v>0</v>
      </c>
      <c r="R79" s="111">
        <f t="shared" si="18"/>
        <v>0</v>
      </c>
      <c r="S79" s="111">
        <f t="shared" si="18"/>
        <v>0</v>
      </c>
      <c r="T79" s="111">
        <f t="shared" si="18"/>
        <v>0</v>
      </c>
      <c r="U79" s="111">
        <f t="shared" si="18"/>
        <v>0</v>
      </c>
      <c r="V79" s="111">
        <f t="shared" si="18"/>
        <v>0</v>
      </c>
      <c r="W79" s="111">
        <f t="shared" si="18"/>
        <v>0</v>
      </c>
    </row>
    <row r="80" spans="2:23" x14ac:dyDescent="0.2">
      <c r="B80" s="26" t="s">
        <v>126</v>
      </c>
      <c r="E80" s="111">
        <f>IF(AND(E79=0,ABS(E83-D83*E42/((1+E23/100)*(1+E41/100)))&lt;((D89*D83*E42/((1+E23/100)*(1+E41/100))+(E38*D83*D90*E42/((1+E23/100)*(1+E41/100)))))),1,0)</f>
        <v>0</v>
      </c>
      <c r="F80" s="111">
        <f>IF(AND(F79=0,ABS(F83-E83*F42/((1+F23/100)*(1+F41/100)))&lt;((E89*E83*F42/((1+F23/100)*(1+F41/100))+(F38*E83*E90*F42/((1+F23/100)*(1+F41/100)))))),1,0)</f>
        <v>0</v>
      </c>
      <c r="G80" s="111">
        <f>IF(AND(G79=0,ABS(G83-F83*G42/((1+G23/100)*(1+G41/100)))&lt;((F89*F83*G42/((1+G23/100)*(1+G41/100))+(G38*F83*F90*G42/((1+G23/100)*(1+G41/100)))))),1,0)</f>
        <v>0</v>
      </c>
      <c r="H80" s="111">
        <f t="shared" ref="H80:W80" si="19">IF(AND(H79=0,ABS(H83-G83*H42/((1+H23/100)*(1+H41/100)))&lt;((G89*G83*H42/((1+H23/100)*(1+H41/100))+(H38*G83*G90*H42/((1+H23/100)*(1+H41/100)))))),1,0)</f>
        <v>0</v>
      </c>
      <c r="I80" s="111">
        <f t="shared" si="19"/>
        <v>0</v>
      </c>
      <c r="J80" s="111">
        <f t="shared" si="19"/>
        <v>1</v>
      </c>
      <c r="K80" s="111">
        <f t="shared" si="19"/>
        <v>1</v>
      </c>
      <c r="L80" s="111">
        <f t="shared" si="19"/>
        <v>1</v>
      </c>
      <c r="M80" s="111">
        <f t="shared" si="19"/>
        <v>0</v>
      </c>
      <c r="N80" s="111">
        <f t="shared" si="19"/>
        <v>0</v>
      </c>
      <c r="O80" s="111">
        <f t="shared" si="19"/>
        <v>0</v>
      </c>
      <c r="P80" s="111">
        <f t="shared" si="19"/>
        <v>0</v>
      </c>
      <c r="Q80" s="111">
        <f t="shared" si="19"/>
        <v>0</v>
      </c>
      <c r="R80" s="111">
        <f t="shared" si="19"/>
        <v>0</v>
      </c>
      <c r="S80" s="111">
        <f t="shared" si="19"/>
        <v>0</v>
      </c>
      <c r="T80" s="111">
        <f t="shared" si="19"/>
        <v>0</v>
      </c>
      <c r="U80" s="111">
        <f t="shared" si="19"/>
        <v>0</v>
      </c>
      <c r="V80" s="111">
        <f t="shared" si="19"/>
        <v>0</v>
      </c>
      <c r="W80" s="111">
        <f t="shared" si="19"/>
        <v>0</v>
      </c>
    </row>
    <row r="82" spans="2:23" x14ac:dyDescent="0.2">
      <c r="B82" s="51"/>
      <c r="C82" s="86">
        <v>2021</v>
      </c>
      <c r="D82" s="86">
        <v>2022</v>
      </c>
      <c r="E82" s="86">
        <v>2023</v>
      </c>
      <c r="F82" s="86">
        <v>2024</v>
      </c>
      <c r="G82" s="86">
        <v>2025</v>
      </c>
      <c r="H82" s="86">
        <v>2026</v>
      </c>
      <c r="I82" s="86">
        <v>2027</v>
      </c>
      <c r="J82" s="86">
        <v>2028</v>
      </c>
      <c r="K82" s="86">
        <v>2029</v>
      </c>
      <c r="L82" s="86">
        <v>2030</v>
      </c>
      <c r="M82" s="86">
        <v>2031</v>
      </c>
      <c r="N82" s="86">
        <v>2032</v>
      </c>
      <c r="O82" s="86">
        <v>2033</v>
      </c>
      <c r="P82" s="86">
        <v>2034</v>
      </c>
      <c r="Q82" s="86">
        <v>2035</v>
      </c>
      <c r="R82" s="86">
        <v>2036</v>
      </c>
      <c r="S82" s="86">
        <v>2037</v>
      </c>
      <c r="T82" s="86">
        <v>2038</v>
      </c>
      <c r="U82" s="86">
        <v>2039</v>
      </c>
      <c r="V82" s="86">
        <v>2040</v>
      </c>
      <c r="W82" s="86">
        <v>2041</v>
      </c>
    </row>
    <row r="83" spans="2:23" x14ac:dyDescent="0.2">
      <c r="B83" s="106" t="s">
        <v>104</v>
      </c>
      <c r="C83" s="110">
        <f>C56</f>
        <v>72.584819999999993</v>
      </c>
      <c r="D83" s="110">
        <f>D56</f>
        <v>73.511610584961744</v>
      </c>
      <c r="E83" s="110">
        <f>E56</f>
        <v>75.830716179102311</v>
      </c>
      <c r="F83" s="110">
        <f>F56</f>
        <v>80.48745186650369</v>
      </c>
      <c r="G83" s="110">
        <f>G56</f>
        <v>82.275441313739478</v>
      </c>
      <c r="H83" s="110">
        <f>G83*(1+H97/100)*H42-H59-H60+H61+H62+H63+H64+H65+H71</f>
        <v>82.541625659639365</v>
      </c>
      <c r="I83" s="110">
        <f t="shared" ref="I83:T83" si="20">H83*(1+I97/100)*I42-I59-I60+I61+I62+I63+I64+I65+I71</f>
        <v>81.323119123411431</v>
      </c>
      <c r="J83" s="110">
        <f t="shared" si="20"/>
        <v>78.420156567126568</v>
      </c>
      <c r="K83" s="110">
        <f t="shared" si="20"/>
        <v>73.904721542930247</v>
      </c>
      <c r="L83" s="110">
        <f t="shared" si="20"/>
        <v>67.775534644448086</v>
      </c>
      <c r="M83" s="110">
        <f t="shared" si="20"/>
        <v>60.022650647055414</v>
      </c>
      <c r="N83" s="110">
        <f t="shared" si="20"/>
        <v>50.912795362206325</v>
      </c>
      <c r="O83" s="110">
        <f t="shared" si="20"/>
        <v>41.145462135700463</v>
      </c>
      <c r="P83" s="110">
        <f t="shared" si="20"/>
        <v>30.707870482134652</v>
      </c>
      <c r="Q83" s="110">
        <f t="shared" si="20"/>
        <v>20.644235955781799</v>
      </c>
      <c r="R83" s="110">
        <f t="shared" si="20"/>
        <v>10.506159051487181</v>
      </c>
      <c r="S83" s="110">
        <f t="shared" si="20"/>
        <v>0.32439147746383745</v>
      </c>
      <c r="T83" s="110">
        <f t="shared" si="20"/>
        <v>-9.9067114452036567</v>
      </c>
      <c r="U83" s="110">
        <f>T83*(1+U97/100)*U42-U59-U60+U61+U62+U63+U64+U65+U71</f>
        <v>-20.325474122218367</v>
      </c>
      <c r="V83" s="110">
        <f>U83*(1+V97/100)*V42-V59-V60+V61+V62+V63+V64+V65+V71</f>
        <v>-30.937795087869361</v>
      </c>
      <c r="W83" s="110">
        <f>V83*(1+W97/100)*W42-W59-W60+W61+W62+W63+W64+W65+W71</f>
        <v>-41.757753136093065</v>
      </c>
    </row>
    <row r="84" spans="2:23" x14ac:dyDescent="0.2">
      <c r="B84" s="26" t="s">
        <v>127</v>
      </c>
      <c r="C84" s="34"/>
      <c r="D84" s="253">
        <f>'Input data'!C66*$D$83</f>
        <v>59.051128502792025</v>
      </c>
      <c r="E84" s="34">
        <f>IF(E83=0,0,IF(E79=1,D83*E42/((1+E23/100)*(1+E41/100))-E85-E86,IF(AND(E79=0,E80=1),(1-D89-E38*D90)*D83*E42/((1+E23/100)*(1+E41/100)),E83)))</f>
        <v>61.391972720723572</v>
      </c>
      <c r="F84" s="34">
        <f>IF(F83=0,0,IF(F79=1,E83*F42/((1+F23/100)*(1+F41/100))-F85-F86,IF(AND(F79=0,F80=1),(1-E89-F38*E90)*E83*F42/((1+F23/100)*(1+F41/100)),F83)))</f>
        <v>65.006446801647428</v>
      </c>
      <c r="G84" s="34">
        <f>IF(G83=0,0,IF(G79=1,F83*G42/((1+G23/100)*(1+G41/100))-G85-G86,IF(AND(G79=0,G80=1),(1-F89-G38*F90)*F83*G42/((1+G23/100)*(1+G41/100)),G83)))</f>
        <v>68.382981616343159</v>
      </c>
      <c r="H84" s="34">
        <f t="shared" ref="H84:W84" si="21">IF(H83=0,0,IF(H79=1,G83*H42/((1+H23/100)*(1+H41/100))-H85-H86,IF(AND(H79=0,H80=1),(1-G89-H38*G90)*G83*H42/((1+H23/100)*(1+H41/100)),H83)))</f>
        <v>69.735193108758978</v>
      </c>
      <c r="I84" s="34">
        <f t="shared" si="21"/>
        <v>69.885119239163345</v>
      </c>
      <c r="J84" s="34">
        <f t="shared" si="21"/>
        <v>68.700547662749415</v>
      </c>
      <c r="K84" s="34">
        <f t="shared" si="21"/>
        <v>66.586293787974341</v>
      </c>
      <c r="L84" s="34">
        <f t="shared" si="21"/>
        <v>64.09897212679256</v>
      </c>
      <c r="M84" s="34">
        <f t="shared" si="21"/>
        <v>60.022650647055414</v>
      </c>
      <c r="N84" s="34">
        <f t="shared" si="21"/>
        <v>50.912795362206325</v>
      </c>
      <c r="O84" s="34">
        <f t="shared" si="21"/>
        <v>41.145462135700463</v>
      </c>
      <c r="P84" s="34">
        <f t="shared" si="21"/>
        <v>30.707870482134652</v>
      </c>
      <c r="Q84" s="34">
        <f t="shared" si="21"/>
        <v>20.644235955781799</v>
      </c>
      <c r="R84" s="34">
        <f t="shared" si="21"/>
        <v>10.506159051487181</v>
      </c>
      <c r="S84" s="34">
        <f t="shared" si="21"/>
        <v>0.32439147746383745</v>
      </c>
      <c r="T84" s="34">
        <f t="shared" si="21"/>
        <v>-9.9067114452036567</v>
      </c>
      <c r="U84" s="34">
        <f t="shared" si="21"/>
        <v>-20.325474122218367</v>
      </c>
      <c r="V84" s="34">
        <f t="shared" si="21"/>
        <v>-30.937795087869361</v>
      </c>
      <c r="W84" s="34">
        <f t="shared" si="21"/>
        <v>-41.757753136093065</v>
      </c>
    </row>
    <row r="85" spans="2:23" x14ac:dyDescent="0.2">
      <c r="B85" s="105" t="s">
        <v>128</v>
      </c>
      <c r="C85" s="34"/>
      <c r="D85" s="253">
        <f>'Input data'!C67*$D$83</f>
        <v>2.5660693694891989</v>
      </c>
      <c r="E85" s="34">
        <f>IF(E83=0,0,IF(E79=1,E38*D83*D90*E42/((1+E23/100)*(1+E41/100)),IF(AND(E79=0,E80=1),(E38*D83*D90*E42/((1+E23/100)*(1+E41/100)))*(1-ABS(E83-D83*E42/((1+E23/100)*(1+E41/100)))/((E38*D83*D90*E42/((1+E23/100)*(1+E41/100)))+(D89*D83*E42/((1+E23/100)*(1+E41/100))))),0)))</f>
        <v>2.5200411188940466</v>
      </c>
      <c r="F85" s="34">
        <f>IF(F83=0,0,IF(F79=1,F38*E83*E90*F42/((1+F23/100)*(1+F41/100)),IF(AND(F79=0,F80=1),(F38*E83*E90*F42/((1+F23/100)*(1+F41/100)))*(1-ABS(F83-E83*F42/((1+F23/100)*(1+F41/100)))/((F38*E83*E90*F42/((1+F23/100)*(1+F41/100)))+(E89*E83*F42/((1+F23/100)*(1+F41/100))))),0)))</f>
        <v>2.1334078217749264</v>
      </c>
      <c r="G85" s="34">
        <f>IF(G83=0,0,IF(G79=1,G38*F83*F90*G42/((1+G23/100)*(1+G41/100)),IF(AND(G79=0,G80=1),(G38*F83*F90*G42/((1+G23/100)*(1+G41/100)))*(1-ABS(G83-F83*G42/((1+G23/100)*(1+G41/100)))/((G38*F83*F90*G42/((1+G23/100)*(1+G41/100)))+(F89*F83*G42/((1+G23/100)*(1+G41/100))))),0)))</f>
        <v>2.2934829216067047</v>
      </c>
      <c r="H85" s="34">
        <f t="shared" ref="H85:W85" si="22">IF(H83=0,0,IF(H79=1,H38*G83*G90*H42/((1+H23/100)*(1+H41/100)),IF(AND(H79=0,H80=1),(H38*G83*G90*H42/((1+H23/100)*(1+H41/100)))*(1-ABS(H83-G83*H42/((1+H23/100)*(1+H41/100)))/((H38*G83*G90*H42/((1+H23/100)*(1+H41/100)))+(G89*G83*H42/((1+H23/100)*(1+H41/100))))),0)))</f>
        <v>2.3891413377758934</v>
      </c>
      <c r="I85" s="34">
        <f t="shared" si="22"/>
        <v>2.4447632899629315</v>
      </c>
      <c r="J85" s="34">
        <f t="shared" si="22"/>
        <v>2.3017118017268086</v>
      </c>
      <c r="K85" s="34">
        <f t="shared" si="22"/>
        <v>1.8423917704118129</v>
      </c>
      <c r="L85" s="34">
        <f t="shared" si="22"/>
        <v>1.1369167452885689</v>
      </c>
      <c r="M85" s="34">
        <f t="shared" si="22"/>
        <v>0</v>
      </c>
      <c r="N85" s="34">
        <f t="shared" si="22"/>
        <v>0</v>
      </c>
      <c r="O85" s="34">
        <f t="shared" si="22"/>
        <v>0</v>
      </c>
      <c r="P85" s="34">
        <f t="shared" si="22"/>
        <v>0</v>
      </c>
      <c r="Q85" s="34">
        <f t="shared" si="22"/>
        <v>0</v>
      </c>
      <c r="R85" s="34">
        <f t="shared" si="22"/>
        <v>0</v>
      </c>
      <c r="S85" s="34">
        <f t="shared" si="22"/>
        <v>0</v>
      </c>
      <c r="T85" s="34">
        <f t="shared" si="22"/>
        <v>0</v>
      </c>
      <c r="U85" s="34">
        <f t="shared" si="22"/>
        <v>0</v>
      </c>
      <c r="V85" s="34">
        <f t="shared" si="22"/>
        <v>0</v>
      </c>
      <c r="W85" s="34">
        <f t="shared" si="22"/>
        <v>0</v>
      </c>
    </row>
    <row r="86" spans="2:23" x14ac:dyDescent="0.2">
      <c r="B86" s="105" t="s">
        <v>129</v>
      </c>
      <c r="C86" s="34"/>
      <c r="D86" s="253">
        <f>'Input data'!C68*$D$83</f>
        <v>6.679115961728173</v>
      </c>
      <c r="E86" s="34">
        <f>IF(E83=0,0,IF(E79=1,(1-D90)*D83*E42/((1+E23/100)*(1+E41/100)),IF(AND(E79=0,E80=1),(D89*D83*E42/((1+E23/100)*(1+E41/100)))*(1-ABS(E83-D83*E42/((1+E23/100)*(1+E41/100)))/((E38*D83*D90*E42/((1+E23/100)*(1+E41/100)))+(D89*D83*E42/((1+E23/100)*(1+E41/100))))),0)))</f>
        <v>6.9278671872792303</v>
      </c>
      <c r="F86" s="34">
        <f>IF(F83=0,0,IF(F79=1,(1-E90)*E83*F42/((1+F23/100)*(1+F41/100)),IF(AND(F79=0,F80=1),(E89*E83*F42/((1+F23/100)*(1+F41/100)))*(1-ABS(F83-E83*F42/((1+F23/100)*(1+F41/100)))/((F38*E83*E90*F42/((1+F23/100)*(1+F41/100)))+(E89*E83*F42/((1+F23/100)*(1+F41/100))))),0)))</f>
        <v>7.3347852861568796</v>
      </c>
      <c r="G86" s="34">
        <f>IF(G83=0,0,IF(G79=1,(1-F90)*F83*G42/((1+G23/100)*(1+G41/100)),IF(AND(G79=0,G80=1),(F89*F83*G42/((1+G23/100)*(1+G41/100)))*(1-ABS(G83-F83*G42/((1+G23/100)*(1+G41/100)))/((G38*F83*F90*G42/((1+G23/100)*(1+G41/100)))+(F89*F83*G42/((1+G23/100)*(1+G41/100))))),0)))</f>
        <v>7.7849055142059802</v>
      </c>
      <c r="H86" s="34">
        <f t="shared" ref="H86:W86" si="23">IF(H83=0,0,IF(H79=1,(1-G90)*G83*H42/((1+H23/100)*(1+H41/100)),IF(AND(H79=0,H80=1),(G89*G83*H42/((1+H23/100)*(1+H41/100)))*(1-ABS(H83-G83*H42/((1+H23/100)*(1+H41/100)))/((H38*G83*G90*H42/((1+H23/100)*(1+H41/100)))+(G89*G83*H42/((1+H23/100)*(1+H41/100))))),0)))</f>
        <v>7.9817929393241895</v>
      </c>
      <c r="I86" s="34">
        <f t="shared" si="23"/>
        <v>8.0273277043382762</v>
      </c>
      <c r="J86" s="34">
        <f t="shared" si="23"/>
        <v>7.4178971026503531</v>
      </c>
      <c r="K86" s="34">
        <f t="shared" si="23"/>
        <v>5.4760359845440965</v>
      </c>
      <c r="L86" s="34">
        <f t="shared" si="23"/>
        <v>2.5396457723669461</v>
      </c>
      <c r="M86" s="34">
        <f t="shared" si="23"/>
        <v>0</v>
      </c>
      <c r="N86" s="34">
        <f t="shared" si="23"/>
        <v>0</v>
      </c>
      <c r="O86" s="34">
        <f t="shared" si="23"/>
        <v>0</v>
      </c>
      <c r="P86" s="34">
        <f t="shared" si="23"/>
        <v>0</v>
      </c>
      <c r="Q86" s="34">
        <f t="shared" si="23"/>
        <v>0</v>
      </c>
      <c r="R86" s="34">
        <f t="shared" si="23"/>
        <v>0</v>
      </c>
      <c r="S86" s="34">
        <f t="shared" si="23"/>
        <v>0</v>
      </c>
      <c r="T86" s="34">
        <f t="shared" si="23"/>
        <v>0</v>
      </c>
      <c r="U86" s="34">
        <f t="shared" si="23"/>
        <v>0</v>
      </c>
      <c r="V86" s="34">
        <f t="shared" si="23"/>
        <v>0</v>
      </c>
      <c r="W86" s="34">
        <f t="shared" si="23"/>
        <v>0</v>
      </c>
    </row>
    <row r="87" spans="2:23" x14ac:dyDescent="0.2">
      <c r="B87" s="105" t="s">
        <v>130</v>
      </c>
      <c r="C87" s="34"/>
      <c r="D87" s="253">
        <f>'Input data'!C69*$D$83</f>
        <v>4.7052606775120811</v>
      </c>
      <c r="E87" s="34">
        <f>IF(E83=0,0,IF(E79=1,'Input data'!$C$58*(E83-D83*E42/((1+E23/100)*(1+E41/100))),0))</f>
        <v>4.4503611438171307</v>
      </c>
      <c r="F87" s="34">
        <f>IF(F83=0,0,IF(F79=1,'Input data'!$C$58*(F83-E83*F42/((1+F23/100)*(1+F41/100))),0))</f>
        <v>5.3616647078296573</v>
      </c>
      <c r="G87" s="34">
        <f>IF(G83=0,0,IF(G79=1,'Input data'!$C$58*(G83-F83*G42/((1+G23/100)*(1+G41/100))),0))</f>
        <v>3.4010328982315796</v>
      </c>
      <c r="H87" s="34">
        <f>IF(H83=0,0,IF(H79=1,'Input data'!$C$58*(H83-G83*H42/((1+H23/100)*(1+H41/100))),0))</f>
        <v>2.1717501285683252</v>
      </c>
      <c r="I87" s="34">
        <f>IF(I83=0,0,IF(I79=1,'Input data'!$C$58*(I83-H83*I42/((1+I23/100)*(1+I41/100))),0))</f>
        <v>0.86130742875519029</v>
      </c>
      <c r="J87" s="34">
        <f>IF(J83=0,0,IF(J79=1,'Input data'!$C$58*(J83-I83*J42/((1+J23/100)*(1+J41/100))),0))</f>
        <v>0</v>
      </c>
      <c r="K87" s="34">
        <f>IF(K83=0,0,IF(K79=1,'Input data'!$C$58*(K83-J83*K42/((1+K23/100)*(1+K41/100))),0))</f>
        <v>0</v>
      </c>
      <c r="L87" s="34">
        <f>IF(L83=0,0,IF(L79=1,'Input data'!$C$58*(L83-K83*L42/((1+L23/100)*(1+L41/100))),0))</f>
        <v>0</v>
      </c>
      <c r="M87" s="34">
        <f>IF(M83=0,0,IF(M79=1,'Input data'!$C$58*(M83-L83*M42/((1+M23/100)*(1+M41/100))),0))</f>
        <v>0</v>
      </c>
      <c r="N87" s="34">
        <f>IF(N83=0,0,IF(N79=1,'Input data'!$C$58*(N83-M83*N42/((1+N23/100)*(1+N41/100))),0))</f>
        <v>0</v>
      </c>
      <c r="O87" s="34">
        <f>IF(O83=0,0,IF(O79=1,'Input data'!$C$58*(O83-N83*O42/((1+O23/100)*(1+O41/100))),0))</f>
        <v>0</v>
      </c>
      <c r="P87" s="34">
        <f>IF(P83=0,0,IF(P79=1,'Input data'!$C$58*(P83-O83*P42/((1+P23/100)*(1+P41/100))),0))</f>
        <v>0</v>
      </c>
      <c r="Q87" s="34">
        <f>IF(Q83=0,0,IF(Q79=1,'Input data'!$C$58*(Q83-P83*Q42/((1+Q23/100)*(1+Q41/100))),0))</f>
        <v>0</v>
      </c>
      <c r="R87" s="34">
        <f>IF(R83=0,0,IF(R79=1,'Input data'!$C$58*(R83-Q83*R42/((1+R23/100)*(1+R41/100))),0))</f>
        <v>0</v>
      </c>
      <c r="S87" s="34">
        <f>IF(S83=0,0,IF(S79=1,'Input data'!$C$58*(S83-R83*S42/((1+S23/100)*(1+S41/100))),0))</f>
        <v>0</v>
      </c>
      <c r="T87" s="34">
        <f>IF(T83=0,0,IF(T79=1,'Input data'!$C$58*(T83-S83*T42/((1+T23/100)*(1+T41/100))),0))</f>
        <v>0</v>
      </c>
      <c r="U87" s="34">
        <f>IF(U83=0,0,IF(U79=1,'Input data'!$C$58*(U83-T83*U42/((1+U23/100)*(1+U41/100))),0))</f>
        <v>0</v>
      </c>
      <c r="V87" s="34">
        <f>IF(V83=0,0,IF(V79=1,'Input data'!$C$58*(V83-U83*V42/((1+V23/100)*(1+V41/100))),0))</f>
        <v>0</v>
      </c>
      <c r="W87" s="34">
        <f>IF(W83=0,0,IF(W79=1,'Input data'!$C$58*(W83-V83*W42/((1+W23/100)*(1+W41/100))),0))</f>
        <v>0</v>
      </c>
    </row>
    <row r="88" spans="2:23" x14ac:dyDescent="0.2">
      <c r="B88" s="107" t="s">
        <v>131</v>
      </c>
      <c r="C88" s="49"/>
      <c r="D88" s="254">
        <f>'Input data'!C70*$D$83</f>
        <v>0.51003587344023849</v>
      </c>
      <c r="E88" s="49">
        <f>IF(E83=0,0,IF(E79=1,'Input data'!$C$57*(E83-D83*E42/((1+E23/100)*(1+E41/100))),0))</f>
        <v>0.54047400838833182</v>
      </c>
      <c r="F88" s="49">
        <f>IF(F83=0,0,IF(F79=1,'Input data'!$C$57*(F83-E83*F42/((1+F23/100)*(1+F41/100))),0))</f>
        <v>0.65114724909480826</v>
      </c>
      <c r="G88" s="49">
        <f>IF(G83=0,0,IF(G79=1,'Input data'!$C$57*(G83-F83*G42/((1+G23/100)*(1+G41/100))),0))</f>
        <v>0.41303836335205502</v>
      </c>
      <c r="H88" s="49">
        <f>IF(H83=0,0,IF(H79=1,'Input data'!$C$57*(H83-G83*H42/((1+H23/100)*(1+H41/100))),0))</f>
        <v>0.26374814521197182</v>
      </c>
      <c r="I88" s="49">
        <f>IF(I83=0,0,IF(I79=1,'Input data'!$C$57*(I83-H83*I42/((1+I23/100)*(1+I41/100))),0))</f>
        <v>0.10460146119168383</v>
      </c>
      <c r="J88" s="49">
        <f>IF(J83=0,0,IF(J79=1,'Input data'!$C$57*(J83-I83*J42/((1+J23/100)*(1+J41/100))),0))</f>
        <v>0</v>
      </c>
      <c r="K88" s="49">
        <f>IF(K83=0,0,IF(K79=1,'Input data'!$C$57*(K83-J83*K42/((1+K23/100)*(1+K41/100))),0))</f>
        <v>0</v>
      </c>
      <c r="L88" s="49">
        <f>IF(L83=0,0,IF(L79=1,'Input data'!$C$57*(L83-K83*L42/((1+L23/100)*(1+L41/100))),0))</f>
        <v>0</v>
      </c>
      <c r="M88" s="49">
        <f>IF(M83=0,0,IF(M79=1,'Input data'!$C$57*(M83-L83*M42/((1+M23/100)*(1+M41/100))),0))</f>
        <v>0</v>
      </c>
      <c r="N88" s="49">
        <f>IF(N83=0,0,IF(N79=1,'Input data'!$C$57*(N83-M83*N42/((1+N23/100)*(1+N41/100))),0))</f>
        <v>0</v>
      </c>
      <c r="O88" s="49">
        <f>IF(O83=0,0,IF(O79=1,'Input data'!$C$57*(O83-N83*O42/((1+O23/100)*(1+O41/100))),0))</f>
        <v>0</v>
      </c>
      <c r="P88" s="49">
        <f>IF(P83=0,0,IF(P79=1,'Input data'!$C$57*(P83-O83*P42/((1+P23/100)*(1+P41/100))),0))</f>
        <v>0</v>
      </c>
      <c r="Q88" s="49">
        <f>IF(Q83=0,0,IF(Q79=1,'Input data'!$C$57*(Q83-P83*Q42/((1+Q23/100)*(1+Q41/100))),0))</f>
        <v>0</v>
      </c>
      <c r="R88" s="49">
        <f>IF(R83=0,0,IF(R79=1,'Input data'!$C$57*(R83-Q83*R42/((1+R23/100)*(1+R41/100))),0))</f>
        <v>0</v>
      </c>
      <c r="S88" s="49">
        <f>IF(S83=0,0,IF(S79=1,'Input data'!$C$57*(S83-R83*S42/((1+S23/100)*(1+S41/100))),0))</f>
        <v>0</v>
      </c>
      <c r="T88" s="49">
        <f>IF(T83=0,0,IF(T79=1,'Input data'!$C$57*(T83-S83*T42/((1+T23/100)*(1+T41/100))),0))</f>
        <v>0</v>
      </c>
      <c r="U88" s="49">
        <f>IF(U83=0,0,IF(U79=1,'Input data'!$C$57*(U83-T83*U42/((1+U23/100)*(1+U41/100))),0))</f>
        <v>0</v>
      </c>
      <c r="V88" s="49">
        <f>IF(V83=0,0,IF(V79=1,'Input data'!$C$57*(V83-U83*V42/((1+V23/100)*(1+V41/100))),0))</f>
        <v>0</v>
      </c>
      <c r="W88" s="49">
        <f>IF(W83=0,0,IF(W79=1,'Input data'!$C$57*(W83-V83*W42/((1+W23/100)*(1+W41/100))),0))</f>
        <v>0</v>
      </c>
    </row>
    <row r="89" spans="2:23" x14ac:dyDescent="0.2">
      <c r="B89" s="26" t="s">
        <v>73</v>
      </c>
      <c r="C89" s="36"/>
      <c r="D89" s="259">
        <f>'Baseline NFPC'!$D$93</f>
        <v>9.7796143737858943E-2</v>
      </c>
      <c r="E89" s="36">
        <f>IF(E83&lt;&gt;0,(E86+E88)/(E84+E85+E86+E87+E88),0)</f>
        <v>9.8487019139161358E-2</v>
      </c>
      <c r="F89" s="36">
        <f>IF(F83&lt;&gt;0,(F86+F88)/(F84+F85+F86+F87+F88),0)</f>
        <v>9.9219596968942919E-2</v>
      </c>
      <c r="G89" s="36">
        <f>IF(G83&lt;&gt;0,(G86+G88)/(G84+G85+G86+G87+G88),0)</f>
        <v>9.9640229777643627E-2</v>
      </c>
      <c r="H89" s="36">
        <f>IF(H83&lt;&gt;0,(H86+H88)/(H84+H85+H86+H87+H88),0)</f>
        <v>9.9895549895475444E-2</v>
      </c>
      <c r="I89" s="36">
        <f t="shared" ref="I89:W89" si="24">IF(I83&lt;&gt;0,(I86+I88)/(I84+I85+I86+I87+I88),0)</f>
        <v>9.9995293505520846E-2</v>
      </c>
      <c r="J89" s="36">
        <f t="shared" si="24"/>
        <v>9.4591715030570414E-2</v>
      </c>
      <c r="K89" s="36">
        <f t="shared" si="24"/>
        <v>7.4095888195223655E-2</v>
      </c>
      <c r="L89" s="36">
        <f t="shared" si="24"/>
        <v>3.747142365884655E-2</v>
      </c>
      <c r="M89" s="36">
        <f t="shared" si="24"/>
        <v>0</v>
      </c>
      <c r="N89" s="36">
        <f t="shared" si="24"/>
        <v>0</v>
      </c>
      <c r="O89" s="36">
        <f t="shared" si="24"/>
        <v>0</v>
      </c>
      <c r="P89" s="36">
        <f t="shared" si="24"/>
        <v>0</v>
      </c>
      <c r="Q89" s="36">
        <f t="shared" si="24"/>
        <v>0</v>
      </c>
      <c r="R89" s="36">
        <f t="shared" si="24"/>
        <v>0</v>
      </c>
      <c r="S89" s="36">
        <f t="shared" si="24"/>
        <v>0</v>
      </c>
      <c r="T89" s="36">
        <f t="shared" si="24"/>
        <v>0</v>
      </c>
      <c r="U89" s="36">
        <f t="shared" si="24"/>
        <v>0</v>
      </c>
      <c r="V89" s="36">
        <f t="shared" si="24"/>
        <v>0</v>
      </c>
      <c r="W89" s="36">
        <f t="shared" si="24"/>
        <v>0</v>
      </c>
    </row>
    <row r="90" spans="2:23" x14ac:dyDescent="0.2">
      <c r="B90" s="35" t="s">
        <v>74</v>
      </c>
      <c r="C90" s="108"/>
      <c r="D90" s="260">
        <f>'Baseline NFPC'!$D$94</f>
        <v>0.90220385626214106</v>
      </c>
      <c r="E90" s="108">
        <f>IF(E83&lt;&gt;0,(E84+E85+E87)/(E84+E85+E86+E87+E88),1)</f>
        <v>0.90151298086083864</v>
      </c>
      <c r="F90" s="108">
        <f>IF(F83&lt;&gt;0,(F84+F85+F87)/(F84+F85+F86+F87+F88),1)</f>
        <v>0.90078040303105722</v>
      </c>
      <c r="G90" s="108">
        <f>IF(G83&lt;&gt;0,(G84+G85+G87)/(G84+G85+G86+G87+G88),1)</f>
        <v>0.90035977022235636</v>
      </c>
      <c r="H90" s="108">
        <f>IF(H83&lt;&gt;0,(H84+H85+H87)/(H84+H85+H86+H87+H88),1)</f>
        <v>0.90010445010452445</v>
      </c>
      <c r="I90" s="108">
        <f t="shared" ref="I90:W90" si="25">IF(I83&lt;&gt;0,(I84+I85+I87)/(I84+I85+I86+I87+I88),1)</f>
        <v>0.90000470649447928</v>
      </c>
      <c r="J90" s="108">
        <f t="shared" si="25"/>
        <v>0.90540828496942949</v>
      </c>
      <c r="K90" s="108">
        <f t="shared" si="25"/>
        <v>0.92590411180477639</v>
      </c>
      <c r="L90" s="108">
        <f t="shared" si="25"/>
        <v>0.9625285763411533</v>
      </c>
      <c r="M90" s="108">
        <f t="shared" si="25"/>
        <v>1</v>
      </c>
      <c r="N90" s="108">
        <f t="shared" si="25"/>
        <v>1</v>
      </c>
      <c r="O90" s="108">
        <f t="shared" si="25"/>
        <v>1</v>
      </c>
      <c r="P90" s="108">
        <f t="shared" si="25"/>
        <v>1</v>
      </c>
      <c r="Q90" s="108">
        <f t="shared" si="25"/>
        <v>1</v>
      </c>
      <c r="R90" s="108">
        <f t="shared" si="25"/>
        <v>1</v>
      </c>
      <c r="S90" s="108">
        <f t="shared" si="25"/>
        <v>1</v>
      </c>
      <c r="T90" s="108">
        <f t="shared" si="25"/>
        <v>1</v>
      </c>
      <c r="U90" s="108">
        <f t="shared" si="25"/>
        <v>1</v>
      </c>
      <c r="V90" s="108">
        <f t="shared" si="25"/>
        <v>1</v>
      </c>
      <c r="W90" s="108">
        <f t="shared" si="25"/>
        <v>1</v>
      </c>
    </row>
    <row r="92" spans="2:23" x14ac:dyDescent="0.2">
      <c r="B92" s="113" t="s">
        <v>132</v>
      </c>
      <c r="C92" s="113"/>
      <c r="D92" s="113"/>
      <c r="E92" s="115">
        <f>E94+E95</f>
        <v>1.5804370000000001</v>
      </c>
      <c r="F92" s="115">
        <f>F94+F95</f>
        <v>1.6625099999999999</v>
      </c>
      <c r="G92" s="115">
        <f>G94+G95</f>
        <v>1.8895660000000001</v>
      </c>
      <c r="H92" s="115">
        <f t="shared" ref="H92:W92" si="26">H94+H95</f>
        <v>1.9756481083374138</v>
      </c>
      <c r="I92" s="115">
        <f t="shared" si="26"/>
        <v>2.0402071271644862</v>
      </c>
      <c r="J92" s="115">
        <f>J94+J95</f>
        <v>2.0854652071440776</v>
      </c>
      <c r="K92" s="115">
        <f t="shared" si="26"/>
        <v>2.1129298775510885</v>
      </c>
      <c r="L92" s="115">
        <f t="shared" si="26"/>
        <v>2.124756440199052</v>
      </c>
      <c r="M92" s="115">
        <f t="shared" si="26"/>
        <v>2.1177128995136347</v>
      </c>
      <c r="N92" s="115">
        <f t="shared" si="26"/>
        <v>2.0931499581848727</v>
      </c>
      <c r="O92" s="115">
        <f t="shared" si="26"/>
        <v>2.0931499581848727</v>
      </c>
      <c r="P92" s="115">
        <f t="shared" si="26"/>
        <v>2.0931499581848727</v>
      </c>
      <c r="Q92" s="115">
        <f t="shared" si="26"/>
        <v>2.0931499581848727</v>
      </c>
      <c r="R92" s="115">
        <f t="shared" si="26"/>
        <v>2.0931499581848727</v>
      </c>
      <c r="S92" s="115">
        <f t="shared" si="26"/>
        <v>2.0931499581848727</v>
      </c>
      <c r="T92" s="115">
        <f t="shared" si="26"/>
        <v>2.0931499581848727</v>
      </c>
      <c r="U92" s="115">
        <f t="shared" si="26"/>
        <v>3.4619660000000003</v>
      </c>
      <c r="V92" s="115">
        <f t="shared" si="26"/>
        <v>3.500397</v>
      </c>
      <c r="W92" s="115">
        <f t="shared" si="26"/>
        <v>3.5388280000000001</v>
      </c>
    </row>
    <row r="93" spans="2:23" x14ac:dyDescent="0.2">
      <c r="B93" s="33" t="s">
        <v>133</v>
      </c>
      <c r="C93" s="97"/>
      <c r="D93" s="97"/>
      <c r="E93" s="265">
        <f>((E35*D83)-(E37*(D86+D88)))/(D84+D85+D87)</f>
        <v>1.3799500275570342</v>
      </c>
      <c r="F93" s="265">
        <f>((F35*E83)-(F37*(E86+E88)))/(E84+E85+E87)</f>
        <v>1.4547563998864859</v>
      </c>
      <c r="G93" s="265">
        <f>((G35*F83)-(G37*(F86+F88)))/(F84+F85+F87)</f>
        <v>1.787479392500815</v>
      </c>
      <c r="H93" s="34">
        <f t="shared" ref="H93:W93" si="27">IF(G83&gt;0,(G93*G84+H36*(G87+G85))/(G84+G85+G87),H36)</f>
        <v>1.8838562256582159</v>
      </c>
      <c r="I93" s="34">
        <f t="shared" si="27"/>
        <v>1.95657133464198</v>
      </c>
      <c r="J93" s="34">
        <f t="shared" si="27"/>
        <v>2.0080189331336089</v>
      </c>
      <c r="K93" s="34">
        <f t="shared" si="27"/>
        <v>2.0441543040332615</v>
      </c>
      <c r="L93" s="34">
        <f t="shared" si="27"/>
        <v>2.0739250432545595</v>
      </c>
      <c r="M93" s="34">
        <f t="shared" si="27"/>
        <v>2.0931499581848727</v>
      </c>
      <c r="N93" s="34">
        <f t="shared" si="27"/>
        <v>2.0931499581848727</v>
      </c>
      <c r="O93" s="34">
        <f t="shared" si="27"/>
        <v>2.0931499581848727</v>
      </c>
      <c r="P93" s="34">
        <f t="shared" si="27"/>
        <v>2.0931499581848727</v>
      </c>
      <c r="Q93" s="34">
        <f t="shared" si="27"/>
        <v>2.0931499581848727</v>
      </c>
      <c r="R93" s="34">
        <f t="shared" si="27"/>
        <v>2.0931499581848727</v>
      </c>
      <c r="S93" s="34">
        <f t="shared" si="27"/>
        <v>2.0931499581848727</v>
      </c>
      <c r="T93" s="34">
        <f t="shared" si="27"/>
        <v>2.0931499581848727</v>
      </c>
      <c r="U93" s="34">
        <f t="shared" si="27"/>
        <v>3.4619660000000003</v>
      </c>
      <c r="V93" s="34">
        <f t="shared" si="27"/>
        <v>3.500397</v>
      </c>
      <c r="W93" s="34">
        <f t="shared" si="27"/>
        <v>3.5388280000000001</v>
      </c>
    </row>
    <row r="94" spans="2:23" x14ac:dyDescent="0.2">
      <c r="B94" s="26" t="s">
        <v>134</v>
      </c>
      <c r="C94" s="97"/>
      <c r="D94" s="97"/>
      <c r="E94" s="34">
        <f>(E93*(D84+D85+D87)+E37*(D86+D88))/D83</f>
        <v>1.5804370000000001</v>
      </c>
      <c r="F94" s="34">
        <f>(F93*(E84+E85+E87)+F37*(E86+E88))/E83</f>
        <v>1.6625099999999999</v>
      </c>
      <c r="G94" s="34">
        <f>(G93*(F84+F85+F87)+G37*(F86+F88))/F83</f>
        <v>1.8895660000000001</v>
      </c>
      <c r="H94" s="34">
        <f t="shared" ref="H94:W94" si="28">(H93*(G84+G85+G87)+H37*(G86+G88))/G83</f>
        <v>1.9756481083374138</v>
      </c>
      <c r="I94" s="34">
        <f t="shared" si="28"/>
        <v>2.0402071271644862</v>
      </c>
      <c r="J94" s="34">
        <f>(J93*(I84+I85+I87)+J37*(I86+I88))/I83</f>
        <v>2.0854652071440776</v>
      </c>
      <c r="K94" s="34">
        <f>(K93*(J84+J85+J87)+K37*(J86+J88))/J83</f>
        <v>2.1129298775510885</v>
      </c>
      <c r="L94" s="34">
        <f t="shared" si="28"/>
        <v>2.124756440199052</v>
      </c>
      <c r="M94" s="34">
        <f t="shared" si="28"/>
        <v>2.1177128995136347</v>
      </c>
      <c r="N94" s="34">
        <f t="shared" si="28"/>
        <v>2.0931499581848727</v>
      </c>
      <c r="O94" s="34">
        <f t="shared" si="28"/>
        <v>2.0931499581848727</v>
      </c>
      <c r="P94" s="34">
        <f t="shared" si="28"/>
        <v>2.0931499581848727</v>
      </c>
      <c r="Q94" s="34">
        <f t="shared" si="28"/>
        <v>2.0931499581848727</v>
      </c>
      <c r="R94" s="34">
        <f t="shared" si="28"/>
        <v>2.0931499581848727</v>
      </c>
      <c r="S94" s="34">
        <f t="shared" si="28"/>
        <v>2.0931499581848727</v>
      </c>
      <c r="T94" s="34">
        <f t="shared" si="28"/>
        <v>2.0931499581848727</v>
      </c>
      <c r="U94" s="97">
        <f t="shared" si="28"/>
        <v>3.4619660000000003</v>
      </c>
      <c r="V94" s="97">
        <f t="shared" si="28"/>
        <v>3.500397</v>
      </c>
      <c r="W94" s="97">
        <f t="shared" si="28"/>
        <v>3.5388280000000001</v>
      </c>
    </row>
    <row r="95" spans="2:23" x14ac:dyDescent="0.2">
      <c r="B95" s="35" t="s">
        <v>135</v>
      </c>
      <c r="C95" s="35"/>
      <c r="D95" s="35"/>
      <c r="E95" s="49">
        <f>IF('Criteria results'!$F$5=4,E104,E109)</f>
        <v>0</v>
      </c>
      <c r="F95" s="49">
        <f>IF('Criteria results'!$F$5=4,F104,F109)</f>
        <v>0</v>
      </c>
      <c r="G95" s="49">
        <f>IF('Criteria results'!$F$5=4,G104,G109)</f>
        <v>0</v>
      </c>
      <c r="H95" s="49">
        <f>IF('Criteria results'!$F$5=4,H104,H109)</f>
        <v>0</v>
      </c>
      <c r="I95" s="49">
        <f>IF('Criteria results'!$F$5=4,I104,I109)</f>
        <v>0</v>
      </c>
      <c r="J95" s="49">
        <f>IF('Criteria results'!$F$5=4,J104,J109)</f>
        <v>0</v>
      </c>
      <c r="K95" s="49">
        <f>IF('Criteria results'!$F$5=4,K104,K109)</f>
        <v>0</v>
      </c>
      <c r="L95" s="49">
        <f>IF('Criteria results'!$F$5=4,L104,L109)</f>
        <v>0</v>
      </c>
      <c r="M95" s="49">
        <f>IF('Criteria results'!$F$5=4,M104,M109)</f>
        <v>0</v>
      </c>
      <c r="N95" s="49">
        <f>IF('Criteria results'!$F$5=4,N104,N109)</f>
        <v>0</v>
      </c>
      <c r="O95" s="49">
        <f>IF('Criteria results'!$F$5=4,O104,O109)</f>
        <v>0</v>
      </c>
      <c r="P95" s="49">
        <f>IF('Criteria results'!$F$5=4,P104,P109)</f>
        <v>0</v>
      </c>
      <c r="Q95" s="49">
        <f>IF('Criteria results'!$F$5=4,Q104,Q109)</f>
        <v>0</v>
      </c>
      <c r="R95" s="49">
        <f>IF('Criteria results'!$F$5=4,R104,R109)</f>
        <v>0</v>
      </c>
      <c r="S95" s="49">
        <f>IF('Criteria results'!$F$5=4,S104,S109)</f>
        <v>0</v>
      </c>
      <c r="T95" s="49">
        <f>IF('Criteria results'!$F$5=4,T104,T109)</f>
        <v>0</v>
      </c>
      <c r="U95" s="49">
        <f>IF('Criteria results'!$F$5=4,U104,U109)</f>
        <v>0</v>
      </c>
      <c r="V95" s="49">
        <f>IF('Criteria results'!$F$5=4,V104,V109)</f>
        <v>0</v>
      </c>
      <c r="W95" s="49">
        <f>IF('Criteria results'!$F$5=4,W104,W109)</f>
        <v>0</v>
      </c>
    </row>
    <row r="97" spans="1:54" x14ac:dyDescent="0.2">
      <c r="B97" s="113" t="s">
        <v>186</v>
      </c>
      <c r="C97" s="115">
        <f t="shared" ref="C97:T97" si="29">((1+C92/100)/((1+C23/100)*(1+C41/100))-1)*100</f>
        <v>-5.0370227849337539</v>
      </c>
      <c r="D97" s="115">
        <f t="shared" si="29"/>
        <v>-6.3592937852546161</v>
      </c>
      <c r="E97" s="115">
        <f>((1+E92/100)/((1+E23/100)*(1+E41/100))-1)*100</f>
        <v>-2.0557830858901172</v>
      </c>
      <c r="F97" s="115">
        <f t="shared" si="29"/>
        <v>-0.1745813850073441</v>
      </c>
      <c r="G97" s="115">
        <f t="shared" si="29"/>
        <v>-0.68539366212302388</v>
      </c>
      <c r="H97" s="115">
        <f t="shared" si="29"/>
        <v>-0.7130909639026739</v>
      </c>
      <c r="I97" s="115">
        <f t="shared" si="29"/>
        <v>-0.66022675401169462</v>
      </c>
      <c r="J97" s="115">
        <f t="shared" si="29"/>
        <v>-0.7565614811596455</v>
      </c>
      <c r="K97" s="115">
        <f t="shared" si="29"/>
        <v>-0.74930123611997024</v>
      </c>
      <c r="L97" s="115">
        <f t="shared" si="29"/>
        <v>-0.78257791881333194</v>
      </c>
      <c r="M97" s="115">
        <f t="shared" si="29"/>
        <v>-0.87870464426126338</v>
      </c>
      <c r="N97" s="115">
        <f t="shared" si="29"/>
        <v>-2.1991668468818615</v>
      </c>
      <c r="O97" s="115">
        <f t="shared" si="29"/>
        <v>-2.2619664520739935</v>
      </c>
      <c r="P97" s="115">
        <f t="shared" si="29"/>
        <v>-2.4218514067951169</v>
      </c>
      <c r="Q97" s="115">
        <f t="shared" si="29"/>
        <v>-1.4712630551790618</v>
      </c>
      <c r="R97" s="115">
        <f t="shared" si="29"/>
        <v>-1.6446842916917448</v>
      </c>
      <c r="S97" s="115">
        <f t="shared" si="29"/>
        <v>-1.6903510710889358</v>
      </c>
      <c r="T97" s="115">
        <f t="shared" si="29"/>
        <v>-1.711411497884463</v>
      </c>
      <c r="U97" s="115">
        <f>((1+U92/100)/((1+U23/100)*(1+U41/100))-1)*100</f>
        <v>-0.42780593101860998</v>
      </c>
      <c r="V97" s="115">
        <f>((1+V92/100)/((1+V23/100)*(1+V41/100))-1)*100</f>
        <v>-0.41021922953683454</v>
      </c>
      <c r="W97" s="115">
        <f>((1+W92/100)/((1+W23/100)*(1+W41/100))-1)*100</f>
        <v>-0.30249729811202553</v>
      </c>
    </row>
    <row r="98" spans="1:54" ht="15" x14ac:dyDescent="0.2">
      <c r="A98" s="223"/>
      <c r="F98" s="222"/>
      <c r="G98" s="222"/>
      <c r="H98" s="222"/>
      <c r="I98" s="222"/>
      <c r="J98" s="222"/>
      <c r="K98" s="222"/>
      <c r="L98" s="222"/>
      <c r="M98" s="222"/>
      <c r="N98" s="222"/>
      <c r="O98" s="222"/>
      <c r="P98" s="222"/>
      <c r="Q98" s="222"/>
      <c r="R98" s="222"/>
      <c r="S98" s="222"/>
      <c r="T98" s="222"/>
      <c r="U98" s="77"/>
      <c r="V98" s="77"/>
      <c r="W98" s="77"/>
    </row>
    <row r="99" spans="1:54" s="25" customFormat="1" ht="12.75" outlineLevel="1" x14ac:dyDescent="0.2">
      <c r="B99" s="25" t="s">
        <v>136</v>
      </c>
      <c r="C99" s="112"/>
      <c r="D99" s="112"/>
      <c r="E99" s="112"/>
      <c r="F99" s="112"/>
      <c r="G99" s="112"/>
      <c r="H99" s="112"/>
      <c r="I99" s="112"/>
      <c r="J99" s="112"/>
      <c r="K99" s="112"/>
      <c r="L99" s="112"/>
      <c r="M99" s="112"/>
      <c r="N99" s="112"/>
      <c r="O99" s="112"/>
      <c r="P99" s="112"/>
      <c r="Q99" s="112"/>
      <c r="R99" s="112"/>
      <c r="S99" s="112"/>
      <c r="T99" s="112"/>
      <c r="U99" s="112"/>
      <c r="V99" s="112"/>
      <c r="W99" s="112"/>
    </row>
    <row r="100" spans="1:54" s="127" customFormat="1" ht="12.75" outlineLevel="1" x14ac:dyDescent="0.2">
      <c r="C100" s="128"/>
      <c r="D100" s="128"/>
      <c r="E100" s="128"/>
      <c r="F100" s="128"/>
      <c r="G100" s="128"/>
      <c r="H100" s="128"/>
      <c r="I100" s="128"/>
      <c r="J100" s="128"/>
      <c r="K100" s="128"/>
      <c r="L100" s="128"/>
      <c r="M100" s="128"/>
      <c r="N100" s="128"/>
      <c r="O100" s="128"/>
      <c r="P100" s="128"/>
      <c r="Q100" s="128"/>
      <c r="R100" s="128"/>
      <c r="S100" s="128"/>
      <c r="T100" s="128"/>
      <c r="U100" s="128"/>
      <c r="V100" s="128"/>
      <c r="W100" s="128"/>
    </row>
    <row r="101" spans="1:54" s="127" customFormat="1" ht="12.75" outlineLevel="1" x14ac:dyDescent="0.2">
      <c r="B101" s="106" t="s">
        <v>293</v>
      </c>
      <c r="C101" s="129"/>
      <c r="D101" s="129"/>
      <c r="E101" s="129"/>
      <c r="F101" s="129"/>
      <c r="G101" s="129"/>
      <c r="H101" s="129"/>
      <c r="I101" s="129"/>
      <c r="J101" s="129"/>
      <c r="K101" s="129"/>
      <c r="L101" s="129"/>
      <c r="M101" s="129"/>
      <c r="N101" s="129"/>
      <c r="O101" s="129"/>
      <c r="P101" s="129"/>
      <c r="Q101" s="129"/>
      <c r="R101" s="129"/>
      <c r="S101" s="129"/>
      <c r="T101" s="129"/>
      <c r="U101" s="129"/>
      <c r="V101" s="129"/>
      <c r="W101" s="129"/>
    </row>
    <row r="102" spans="1:54" outlineLevel="1" x14ac:dyDescent="0.2">
      <c r="B102" s="120" t="s">
        <v>43</v>
      </c>
      <c r="C102" s="34">
        <v>72.584815979003906</v>
      </c>
      <c r="D102" s="34">
        <v>73.511604309082031</v>
      </c>
      <c r="E102" s="34">
        <v>75.830703735351563</v>
      </c>
      <c r="F102" s="34">
        <v>80.487434387207031</v>
      </c>
      <c r="G102" s="34">
        <v>82.262153625488281</v>
      </c>
      <c r="H102" s="34">
        <v>83.381324768066406</v>
      </c>
      <c r="I102" s="34">
        <v>83.9129638671875</v>
      </c>
      <c r="J102" s="34">
        <v>83.675552368164063</v>
      </c>
      <c r="K102" s="34">
        <v>82.955322265625</v>
      </c>
      <c r="L102" s="34">
        <v>81.877853393554688</v>
      </c>
      <c r="M102" s="34">
        <v>80.490516662597656</v>
      </c>
      <c r="N102" s="34">
        <v>79.539299011230469</v>
      </c>
      <c r="O102" s="34">
        <v>78.404678344726563</v>
      </c>
      <c r="P102" s="34">
        <v>77.009315490722656</v>
      </c>
      <c r="Q102" s="34">
        <v>75.349700927734375</v>
      </c>
      <c r="R102" s="34">
        <v>73.416038513183594</v>
      </c>
      <c r="S102" s="34">
        <v>71.290458679199219</v>
      </c>
      <c r="T102" s="34">
        <v>68.976165771484375</v>
      </c>
      <c r="U102" s="34">
        <v>66.450340270996094</v>
      </c>
      <c r="V102" s="34">
        <v>63.724891662597656</v>
      </c>
      <c r="W102" s="34">
        <v>60.875217437744141</v>
      </c>
      <c r="X102" s="34"/>
      <c r="Y102" s="34"/>
      <c r="Z102" s="34"/>
    </row>
    <row r="103" spans="1:54" s="5" customFormat="1" ht="12.75" x14ac:dyDescent="0.2">
      <c r="A103" s="26"/>
      <c r="B103" s="26" t="s">
        <v>132</v>
      </c>
      <c r="C103" s="1">
        <v>0.73297137022018433</v>
      </c>
      <c r="D103" s="1">
        <v>0.83926922082901001</v>
      </c>
      <c r="E103" s="1">
        <v>1.580437183380127</v>
      </c>
      <c r="F103" s="1">
        <v>1.6625103950500488</v>
      </c>
      <c r="G103" s="1">
        <v>1.88956618309021</v>
      </c>
      <c r="H103" s="1">
        <v>1.9827291965484619</v>
      </c>
      <c r="I103" s="1">
        <v>2.0615065097808838</v>
      </c>
      <c r="J103" s="1">
        <v>2.1287131309509277</v>
      </c>
      <c r="K103" s="1">
        <v>2.3405036926269531</v>
      </c>
      <c r="L103" s="1">
        <v>2.29095458984375</v>
      </c>
      <c r="M103" s="1">
        <v>2.3375670909881592</v>
      </c>
      <c r="N103" s="1">
        <v>2.3808760643005371</v>
      </c>
      <c r="O103" s="1">
        <v>2.4241867065429688</v>
      </c>
      <c r="P103" s="1">
        <v>2.4636597633361816</v>
      </c>
      <c r="Q103" s="1">
        <v>2.5013077259063721</v>
      </c>
      <c r="R103" s="1">
        <v>2.5370752811431885</v>
      </c>
      <c r="S103" s="1">
        <v>2.5707998275756836</v>
      </c>
      <c r="T103" s="1">
        <v>2.6022579669952393</v>
      </c>
      <c r="U103" s="99">
        <v>2.6312050819396973</v>
      </c>
      <c r="V103" s="99">
        <v>2.6573348045349121</v>
      </c>
      <c r="W103" s="99">
        <v>2.6828005313873291</v>
      </c>
      <c r="X103" s="1"/>
      <c r="Y103" s="1"/>
      <c r="Z103" s="1"/>
      <c r="AA103" s="1"/>
      <c r="AB103" s="1"/>
      <c r="AC103" s="1"/>
      <c r="AD103" s="1"/>
      <c r="AE103" s="1"/>
      <c r="AF103" s="1"/>
      <c r="AG103" s="1"/>
      <c r="AH103" s="1"/>
      <c r="AI103" s="1"/>
      <c r="AJ103" s="1"/>
      <c r="AK103" s="1"/>
      <c r="AL103" s="1"/>
      <c r="AM103" s="1"/>
      <c r="AN103" s="1"/>
      <c r="AO103" s="1"/>
      <c r="AP103" s="1"/>
      <c r="AQ103" s="1"/>
      <c r="AR103" s="1"/>
      <c r="AS103" s="1"/>
      <c r="AT103" s="1"/>
      <c r="AU103" s="1"/>
      <c r="AV103" s="1"/>
      <c r="AW103" s="1"/>
      <c r="AX103" s="1"/>
      <c r="AY103" s="1"/>
      <c r="AZ103" s="1"/>
      <c r="BA103" s="1"/>
      <c r="BB103" s="1"/>
    </row>
    <row r="104" spans="1:54" s="5" customFormat="1" ht="12.75" x14ac:dyDescent="0.2">
      <c r="B104" s="26" t="s">
        <v>185</v>
      </c>
      <c r="C104" s="1"/>
      <c r="D104" s="1"/>
      <c r="E104" s="1"/>
      <c r="F104" s="1"/>
      <c r="G104" s="1">
        <v>0</v>
      </c>
      <c r="H104" s="1">
        <v>0</v>
      </c>
      <c r="I104" s="1">
        <v>0</v>
      </c>
      <c r="J104" s="1">
        <v>0</v>
      </c>
      <c r="K104" s="1">
        <v>0</v>
      </c>
      <c r="L104" s="1">
        <v>0</v>
      </c>
      <c r="M104" s="1">
        <v>0</v>
      </c>
      <c r="N104" s="1">
        <v>0</v>
      </c>
      <c r="O104" s="1">
        <v>0</v>
      </c>
      <c r="P104" s="1">
        <v>0</v>
      </c>
      <c r="Q104" s="1">
        <v>0</v>
      </c>
      <c r="R104" s="1">
        <v>0</v>
      </c>
      <c r="S104" s="1">
        <v>0</v>
      </c>
      <c r="T104" s="1">
        <v>0</v>
      </c>
      <c r="U104" s="1">
        <v>0</v>
      </c>
      <c r="V104" s="1">
        <v>0</v>
      </c>
      <c r="W104" s="1">
        <v>0</v>
      </c>
      <c r="X104" s="1"/>
      <c r="Y104" s="1"/>
      <c r="Z104" s="1"/>
      <c r="AA104" s="1"/>
      <c r="AB104" s="1"/>
      <c r="AC104" s="1"/>
      <c r="AD104" s="1"/>
      <c r="AE104" s="1"/>
      <c r="AF104" s="1"/>
      <c r="AG104" s="1"/>
      <c r="AH104" s="1"/>
      <c r="AI104" s="1"/>
      <c r="AJ104" s="1"/>
      <c r="AK104" s="1"/>
      <c r="AL104" s="1"/>
      <c r="AM104" s="1"/>
      <c r="AN104" s="1"/>
      <c r="AO104" s="1"/>
      <c r="AP104" s="1"/>
      <c r="AQ104" s="1"/>
      <c r="AR104" s="1"/>
      <c r="AS104" s="1"/>
      <c r="AT104" s="1"/>
      <c r="AU104" s="1"/>
      <c r="AV104" s="1"/>
      <c r="AW104" s="1"/>
      <c r="AX104" s="1"/>
      <c r="AY104" s="1"/>
      <c r="AZ104" s="1"/>
      <c r="BA104" s="1"/>
      <c r="BB104" s="1"/>
    </row>
    <row r="105" spans="1:54" s="5" customFormat="1" ht="12.75" x14ac:dyDescent="0.2">
      <c r="B105" s="26"/>
      <c r="C105" s="1"/>
      <c r="D105" s="1"/>
      <c r="E105" s="1"/>
      <c r="F105" s="1"/>
      <c r="G105" s="221"/>
      <c r="H105" s="221"/>
      <c r="I105" s="221"/>
      <c r="J105" s="221"/>
      <c r="K105" s="221"/>
      <c r="L105" s="221"/>
      <c r="M105" s="221"/>
      <c r="N105" s="221"/>
      <c r="O105" s="221"/>
      <c r="P105" s="221"/>
      <c r="Q105" s="221"/>
      <c r="R105" s="221"/>
      <c r="S105" s="221"/>
      <c r="T105" s="221"/>
      <c r="U105" s="221"/>
      <c r="V105" s="221"/>
      <c r="W105" s="221"/>
      <c r="X105" s="1"/>
      <c r="Y105" s="1"/>
      <c r="Z105" s="1"/>
      <c r="AA105" s="1"/>
      <c r="AB105" s="1"/>
      <c r="AC105" s="1"/>
      <c r="AD105" s="1"/>
      <c r="AE105" s="1"/>
      <c r="AF105" s="1"/>
      <c r="AG105" s="1"/>
      <c r="AH105" s="1"/>
      <c r="AI105" s="1"/>
      <c r="AJ105" s="1"/>
      <c r="AK105" s="1"/>
      <c r="AL105" s="1"/>
      <c r="AM105" s="1"/>
      <c r="AN105" s="1"/>
      <c r="AO105" s="1"/>
      <c r="AP105" s="1"/>
      <c r="AQ105" s="1"/>
      <c r="AR105" s="1"/>
      <c r="AS105" s="1"/>
      <c r="AT105" s="1"/>
      <c r="AU105" s="1"/>
      <c r="AV105" s="1"/>
      <c r="AW105" s="1"/>
      <c r="AX105" s="1"/>
      <c r="AY105" s="1"/>
      <c r="AZ105" s="1"/>
      <c r="BA105" s="1"/>
      <c r="BB105" s="1"/>
    </row>
    <row r="106" spans="1:54" s="5" customFormat="1" ht="12.75" x14ac:dyDescent="0.2">
      <c r="B106" s="106" t="s">
        <v>294</v>
      </c>
      <c r="C106" s="37"/>
      <c r="D106" s="37"/>
      <c r="E106" s="37"/>
      <c r="F106" s="37"/>
      <c r="G106" s="224"/>
      <c r="H106" s="224"/>
      <c r="I106" s="224"/>
      <c r="J106" s="224"/>
      <c r="K106" s="224"/>
      <c r="L106" s="224"/>
      <c r="M106" s="224"/>
      <c r="N106" s="224"/>
      <c r="O106" s="224"/>
      <c r="P106" s="224"/>
      <c r="Q106" s="224"/>
      <c r="R106" s="224"/>
      <c r="S106" s="224"/>
      <c r="T106" s="224"/>
      <c r="U106" s="37"/>
      <c r="V106" s="37"/>
      <c r="W106" s="37"/>
      <c r="X106" s="1"/>
      <c r="Y106" s="1"/>
      <c r="Z106" s="1"/>
      <c r="AA106" s="1"/>
      <c r="AB106" s="1"/>
      <c r="AC106" s="1"/>
      <c r="AD106" s="1"/>
      <c r="AE106" s="1"/>
      <c r="AF106" s="1"/>
      <c r="AG106" s="1"/>
      <c r="AH106" s="1"/>
      <c r="AI106" s="1"/>
      <c r="AJ106" s="1"/>
      <c r="AK106" s="1"/>
      <c r="AL106" s="1"/>
      <c r="AM106" s="1"/>
      <c r="AN106" s="1"/>
      <c r="AO106" s="1"/>
      <c r="AP106" s="1"/>
      <c r="AQ106" s="1"/>
      <c r="AR106" s="1"/>
      <c r="AS106" s="1"/>
      <c r="AT106" s="1"/>
      <c r="AU106" s="1"/>
      <c r="AV106" s="1"/>
      <c r="AW106" s="1"/>
      <c r="AX106" s="1"/>
      <c r="AY106" s="1"/>
      <c r="AZ106" s="1"/>
      <c r="BA106" s="1"/>
      <c r="BB106" s="1"/>
    </row>
    <row r="107" spans="1:54" outlineLevel="1" x14ac:dyDescent="0.2">
      <c r="B107" s="120" t="s">
        <v>43</v>
      </c>
      <c r="C107" s="34">
        <v>72.584815979003906</v>
      </c>
      <c r="D107" s="34">
        <v>73.511604309082031</v>
      </c>
      <c r="E107" s="34">
        <v>75.830703735351563</v>
      </c>
      <c r="F107" s="34">
        <v>80.487434387207031</v>
      </c>
      <c r="G107" s="34">
        <v>82.259086608886719</v>
      </c>
      <c r="H107" s="34">
        <v>83.703659057617188</v>
      </c>
      <c r="I107" s="34">
        <v>84.899864196777344</v>
      </c>
      <c r="J107" s="34">
        <v>85.673782348632813</v>
      </c>
      <c r="K107" s="34">
        <v>86.113090515136719</v>
      </c>
      <c r="L107" s="34">
        <v>86.220924377441406</v>
      </c>
      <c r="M107" s="34">
        <v>85.980087280273438</v>
      </c>
      <c r="N107" s="34">
        <v>85.514350891113281</v>
      </c>
      <c r="O107" s="34">
        <v>84.62701416015625</v>
      </c>
      <c r="P107" s="34">
        <v>83.319770812988281</v>
      </c>
      <c r="Q107" s="34">
        <v>81.957695007324219</v>
      </c>
      <c r="R107" s="34">
        <v>80.308700561523438</v>
      </c>
      <c r="S107" s="34">
        <v>78.463096618652344</v>
      </c>
      <c r="T107" s="34">
        <v>76.425872802734375</v>
      </c>
      <c r="U107" s="34">
        <v>74.173370361328125</v>
      </c>
      <c r="V107" s="34">
        <v>71.718696594238281</v>
      </c>
      <c r="W107" s="34">
        <v>69.143104553222656</v>
      </c>
      <c r="X107" s="34"/>
      <c r="Y107" s="34"/>
      <c r="Z107" s="34"/>
    </row>
    <row r="108" spans="1:54" x14ac:dyDescent="0.2">
      <c r="B108" s="26" t="s">
        <v>132</v>
      </c>
      <c r="C108" s="1">
        <v>0.73297137022018433</v>
      </c>
      <c r="D108" s="1">
        <v>0.83926922082901001</v>
      </c>
      <c r="E108" s="1">
        <v>1.580437183380127</v>
      </c>
      <c r="F108" s="1">
        <v>1.6625103950500488</v>
      </c>
      <c r="G108" s="1">
        <v>1.88956618309021</v>
      </c>
      <c r="H108" s="1">
        <v>1.9854403734207153</v>
      </c>
      <c r="I108" s="1">
        <v>2.0695152282714844</v>
      </c>
      <c r="J108" s="1">
        <v>2.1444764137268066</v>
      </c>
      <c r="K108" s="1">
        <v>2.2115991115570068</v>
      </c>
      <c r="L108" s="1">
        <v>2.27219557762146</v>
      </c>
      <c r="M108" s="1">
        <v>2.3275411128997803</v>
      </c>
      <c r="N108" s="1">
        <v>2.5363829135894775</v>
      </c>
      <c r="O108" s="1">
        <v>2.4815411567687988</v>
      </c>
      <c r="P108" s="1">
        <v>2.522362232208252</v>
      </c>
      <c r="Q108" s="1">
        <v>2.5602743625640869</v>
      </c>
      <c r="R108" s="1">
        <v>2.5965721607208252</v>
      </c>
      <c r="S108" s="1">
        <v>2.631159782409668</v>
      </c>
      <c r="T108" s="1">
        <v>2.6638956069946289</v>
      </c>
      <c r="U108" s="1">
        <v>2.6946325302124023</v>
      </c>
      <c r="V108" s="1">
        <v>2.7231910228729248</v>
      </c>
      <c r="W108" s="1">
        <v>2.7494747638702393</v>
      </c>
      <c r="X108" s="1"/>
      <c r="Y108" s="1"/>
      <c r="Z108" s="1"/>
      <c r="AA108" s="59"/>
      <c r="AB108" s="59"/>
      <c r="AC108" s="59"/>
      <c r="AD108" s="59"/>
      <c r="AE108" s="59"/>
      <c r="AF108" s="59"/>
      <c r="AG108" s="59"/>
      <c r="AH108" s="59"/>
      <c r="AI108" s="59"/>
      <c r="AJ108" s="59"/>
      <c r="AK108" s="59"/>
      <c r="AL108" s="59"/>
      <c r="AM108" s="59"/>
      <c r="AN108" s="59"/>
      <c r="AO108" s="59"/>
      <c r="AP108" s="59"/>
      <c r="AQ108" s="59"/>
      <c r="AR108" s="59"/>
      <c r="AS108" s="59"/>
      <c r="AT108" s="59"/>
      <c r="AU108" s="59"/>
      <c r="AV108" s="59"/>
      <c r="AW108" s="59"/>
      <c r="AX108" s="59"/>
      <c r="AY108" s="60"/>
    </row>
    <row r="109" spans="1:54" x14ac:dyDescent="0.2">
      <c r="B109" s="26" t="s">
        <v>185</v>
      </c>
      <c r="C109" s="34"/>
      <c r="D109" s="34"/>
      <c r="E109" s="34"/>
      <c r="F109" s="34"/>
      <c r="G109" s="34">
        <v>0</v>
      </c>
      <c r="H109" s="34">
        <v>0</v>
      </c>
      <c r="I109" s="34">
        <v>0</v>
      </c>
      <c r="J109" s="34">
        <v>0</v>
      </c>
      <c r="K109" s="34">
        <v>0</v>
      </c>
      <c r="L109" s="34">
        <v>0</v>
      </c>
      <c r="M109" s="34">
        <v>0</v>
      </c>
      <c r="N109" s="34">
        <v>0</v>
      </c>
      <c r="O109" s="34">
        <v>0</v>
      </c>
      <c r="P109" s="34">
        <v>0</v>
      </c>
      <c r="Q109" s="34">
        <v>0</v>
      </c>
      <c r="R109" s="34">
        <v>0</v>
      </c>
      <c r="S109" s="34">
        <v>0</v>
      </c>
      <c r="T109" s="34">
        <v>0</v>
      </c>
      <c r="U109" s="34">
        <v>0</v>
      </c>
      <c r="V109" s="34">
        <v>0</v>
      </c>
      <c r="W109" s="34">
        <v>0</v>
      </c>
    </row>
    <row r="112" spans="1:54" x14ac:dyDescent="0.2">
      <c r="E112" s="34"/>
      <c r="F112" s="34"/>
      <c r="G112" s="121"/>
      <c r="H112" s="121"/>
      <c r="I112" s="121"/>
      <c r="J112" s="121"/>
      <c r="K112" s="121"/>
      <c r="L112" s="121"/>
      <c r="M112" s="121"/>
      <c r="N112" s="121"/>
      <c r="O112" s="121"/>
      <c r="P112" s="121"/>
      <c r="Q112" s="121"/>
      <c r="R112" s="121"/>
      <c r="S112" s="121"/>
      <c r="T112" s="121"/>
      <c r="U112" s="121"/>
      <c r="V112" s="121"/>
      <c r="W112" s="121"/>
    </row>
    <row r="113" spans="5:23" x14ac:dyDescent="0.2">
      <c r="E113" s="34"/>
      <c r="F113" s="34"/>
      <c r="G113" s="121"/>
      <c r="H113" s="121"/>
      <c r="I113" s="121"/>
      <c r="J113" s="121"/>
      <c r="K113" s="121"/>
      <c r="L113" s="121"/>
      <c r="M113" s="121"/>
      <c r="N113" s="121"/>
      <c r="O113" s="121"/>
      <c r="P113" s="121"/>
      <c r="Q113" s="121"/>
      <c r="R113" s="121"/>
      <c r="S113" s="121"/>
      <c r="T113" s="121"/>
      <c r="U113" s="121"/>
      <c r="V113" s="121"/>
      <c r="W113" s="121"/>
    </row>
    <row r="115" spans="5:23" x14ac:dyDescent="0.2">
      <c r="E115" s="34"/>
      <c r="F115" s="34"/>
      <c r="G115" s="121"/>
      <c r="H115" s="121"/>
      <c r="I115" s="121"/>
      <c r="J115" s="121"/>
      <c r="K115" s="121"/>
      <c r="L115" s="121"/>
      <c r="M115" s="121"/>
      <c r="N115" s="121"/>
      <c r="O115" s="121"/>
      <c r="P115" s="121"/>
      <c r="Q115" s="121"/>
      <c r="R115" s="121"/>
      <c r="S115" s="121"/>
      <c r="T115" s="121"/>
      <c r="U115" s="121"/>
      <c r="V115" s="121"/>
      <c r="W115" s="121"/>
    </row>
    <row r="116" spans="5:23" x14ac:dyDescent="0.2">
      <c r="E116" s="34"/>
      <c r="F116" s="34"/>
      <c r="G116" s="121"/>
      <c r="H116" s="121"/>
      <c r="I116" s="121"/>
      <c r="J116" s="121"/>
      <c r="K116" s="121"/>
      <c r="L116" s="121"/>
      <c r="M116" s="121"/>
      <c r="N116" s="121"/>
      <c r="O116" s="121"/>
      <c r="P116" s="121"/>
      <c r="Q116" s="121"/>
      <c r="R116" s="121"/>
      <c r="S116" s="121"/>
      <c r="T116" s="121"/>
      <c r="U116" s="121"/>
      <c r="V116" s="121"/>
      <c r="W116" s="121"/>
    </row>
    <row r="117" spans="5:23" x14ac:dyDescent="0.2">
      <c r="G117" s="53"/>
      <c r="H117" s="53"/>
      <c r="I117" s="53"/>
      <c r="J117" s="53"/>
      <c r="K117" s="53"/>
      <c r="L117" s="53"/>
      <c r="M117" s="53"/>
      <c r="N117" s="53"/>
      <c r="O117" s="53"/>
      <c r="P117" s="53"/>
      <c r="Q117" s="53"/>
      <c r="R117" s="53"/>
      <c r="S117" s="53"/>
      <c r="T117" s="53"/>
      <c r="U117" s="53"/>
      <c r="V117" s="53"/>
      <c r="W117" s="53"/>
    </row>
    <row r="118" spans="5:23" x14ac:dyDescent="0.2">
      <c r="E118" s="34"/>
      <c r="F118" s="34"/>
      <c r="G118" s="121"/>
      <c r="H118" s="121"/>
      <c r="I118" s="121"/>
      <c r="J118" s="121"/>
      <c r="K118" s="121"/>
      <c r="L118" s="121"/>
      <c r="M118" s="121"/>
      <c r="N118" s="121"/>
      <c r="O118" s="121"/>
      <c r="P118" s="121"/>
      <c r="Q118" s="121"/>
      <c r="R118" s="121"/>
      <c r="S118" s="121"/>
      <c r="T118" s="121"/>
      <c r="U118" s="121"/>
      <c r="V118" s="121"/>
      <c r="W118" s="121"/>
    </row>
    <row r="119" spans="5:23" x14ac:dyDescent="0.2">
      <c r="E119" s="34"/>
      <c r="F119" s="34"/>
      <c r="G119" s="121"/>
      <c r="H119" s="121"/>
      <c r="I119" s="121"/>
      <c r="J119" s="121"/>
      <c r="K119" s="121"/>
      <c r="L119" s="121"/>
      <c r="M119" s="121"/>
      <c r="N119" s="121"/>
      <c r="O119" s="121"/>
      <c r="P119" s="121"/>
      <c r="Q119" s="121"/>
      <c r="R119" s="121"/>
      <c r="S119" s="121"/>
      <c r="T119" s="121"/>
      <c r="U119" s="121"/>
      <c r="V119" s="121"/>
      <c r="W119" s="121"/>
    </row>
    <row r="120" spans="5:23" x14ac:dyDescent="0.2">
      <c r="G120" s="53"/>
      <c r="H120" s="53"/>
      <c r="I120" s="53"/>
      <c r="J120" s="53"/>
      <c r="K120" s="53"/>
      <c r="L120" s="53"/>
      <c r="M120" s="53"/>
      <c r="N120" s="53"/>
      <c r="O120" s="53"/>
      <c r="P120" s="53"/>
      <c r="Q120" s="53"/>
      <c r="R120" s="53"/>
      <c r="S120" s="53"/>
      <c r="T120" s="53"/>
      <c r="U120" s="53"/>
      <c r="V120" s="53"/>
      <c r="W120" s="53"/>
    </row>
    <row r="121" spans="5:23" x14ac:dyDescent="0.2">
      <c r="E121" s="34"/>
      <c r="F121" s="34"/>
      <c r="G121" s="121"/>
      <c r="H121" s="121"/>
      <c r="I121" s="121"/>
      <c r="J121" s="121"/>
      <c r="K121" s="121"/>
      <c r="L121" s="121"/>
      <c r="M121" s="121"/>
      <c r="N121" s="121"/>
      <c r="O121" s="121"/>
      <c r="P121" s="121"/>
      <c r="Q121" s="121"/>
      <c r="R121" s="121"/>
      <c r="S121" s="121"/>
      <c r="T121" s="121"/>
      <c r="U121" s="121"/>
      <c r="V121" s="121"/>
      <c r="W121" s="121"/>
    </row>
    <row r="122" spans="5:23" x14ac:dyDescent="0.2">
      <c r="E122" s="34"/>
      <c r="F122" s="34"/>
      <c r="G122" s="121"/>
      <c r="H122" s="121"/>
      <c r="I122" s="121"/>
      <c r="J122" s="121"/>
      <c r="K122" s="121"/>
      <c r="L122" s="121"/>
      <c r="M122" s="121"/>
      <c r="N122" s="121"/>
      <c r="O122" s="121"/>
      <c r="P122" s="121"/>
      <c r="Q122" s="121"/>
      <c r="R122" s="121"/>
      <c r="S122" s="121"/>
      <c r="T122" s="121"/>
      <c r="U122" s="121"/>
      <c r="V122" s="121"/>
      <c r="W122" s="121"/>
    </row>
    <row r="123" spans="5:23" x14ac:dyDescent="0.2">
      <c r="G123" s="121"/>
      <c r="H123" s="121"/>
      <c r="I123" s="121"/>
      <c r="J123" s="121"/>
      <c r="K123" s="121"/>
      <c r="L123" s="121"/>
      <c r="M123" s="121"/>
      <c r="N123" s="121"/>
      <c r="O123" s="121"/>
      <c r="P123" s="121"/>
      <c r="Q123" s="121"/>
      <c r="R123" s="121"/>
      <c r="S123" s="121"/>
      <c r="T123" s="121"/>
      <c r="U123" s="121"/>
      <c r="V123" s="121"/>
      <c r="W123" s="121"/>
    </row>
    <row r="124" spans="5:23" x14ac:dyDescent="0.2">
      <c r="E124" s="34"/>
      <c r="F124" s="34"/>
      <c r="G124" s="121"/>
      <c r="H124" s="121"/>
      <c r="I124" s="121"/>
      <c r="J124" s="121"/>
      <c r="K124" s="121"/>
      <c r="L124" s="121"/>
      <c r="M124" s="121"/>
      <c r="N124" s="121"/>
      <c r="O124" s="121"/>
      <c r="P124" s="121"/>
      <c r="Q124" s="121"/>
      <c r="R124" s="121"/>
      <c r="S124" s="121"/>
      <c r="T124" s="121"/>
      <c r="U124" s="121"/>
      <c r="V124" s="121"/>
      <c r="W124" s="121"/>
    </row>
    <row r="125" spans="5:23" x14ac:dyDescent="0.2">
      <c r="E125" s="34"/>
      <c r="F125" s="34"/>
      <c r="G125" s="121"/>
      <c r="H125" s="121"/>
      <c r="I125" s="121"/>
      <c r="J125" s="121"/>
      <c r="K125" s="121"/>
      <c r="L125" s="121"/>
      <c r="M125" s="121"/>
      <c r="N125" s="121"/>
      <c r="O125" s="121"/>
      <c r="P125" s="121"/>
      <c r="Q125" s="121"/>
      <c r="R125" s="121"/>
      <c r="S125" s="121"/>
      <c r="T125" s="121"/>
      <c r="U125" s="121"/>
      <c r="V125" s="121"/>
      <c r="W125" s="121"/>
    </row>
    <row r="126" spans="5:23" x14ac:dyDescent="0.2">
      <c r="G126" s="121"/>
      <c r="H126" s="121"/>
      <c r="I126" s="121"/>
      <c r="J126" s="121"/>
      <c r="K126" s="121"/>
      <c r="L126" s="121"/>
      <c r="M126" s="121"/>
      <c r="N126" s="121"/>
      <c r="O126" s="121"/>
      <c r="P126" s="121"/>
      <c r="Q126" s="121"/>
      <c r="R126" s="121"/>
      <c r="S126" s="121"/>
      <c r="T126" s="121"/>
      <c r="U126" s="121"/>
      <c r="V126" s="121"/>
      <c r="W126" s="121"/>
    </row>
    <row r="127" spans="5:23" x14ac:dyDescent="0.2">
      <c r="G127" s="121"/>
      <c r="H127" s="121"/>
      <c r="I127" s="121"/>
      <c r="J127" s="121"/>
      <c r="K127" s="121"/>
      <c r="L127" s="121"/>
      <c r="M127" s="121"/>
      <c r="N127" s="121"/>
      <c r="O127" s="121"/>
      <c r="P127" s="121"/>
      <c r="Q127" s="121"/>
      <c r="R127" s="121"/>
      <c r="S127" s="121"/>
      <c r="T127" s="121"/>
      <c r="U127" s="121"/>
      <c r="V127" s="121"/>
      <c r="W127" s="121"/>
    </row>
    <row r="128" spans="5:23" x14ac:dyDescent="0.2">
      <c r="G128" s="121"/>
      <c r="H128" s="121"/>
      <c r="I128" s="121"/>
      <c r="J128" s="121"/>
      <c r="K128" s="121"/>
      <c r="L128" s="121"/>
      <c r="M128" s="121"/>
      <c r="N128" s="121"/>
      <c r="O128" s="121"/>
      <c r="P128" s="121"/>
      <c r="Q128" s="121"/>
      <c r="R128" s="121"/>
      <c r="S128" s="121"/>
      <c r="T128" s="121"/>
      <c r="U128" s="121"/>
      <c r="V128" s="121"/>
      <c r="W128" s="121"/>
    </row>
    <row r="129" spans="7:23" x14ac:dyDescent="0.2">
      <c r="G129" s="121"/>
      <c r="H129" s="121"/>
      <c r="I129" s="121"/>
      <c r="J129" s="121"/>
      <c r="K129" s="121"/>
      <c r="L129" s="121"/>
      <c r="M129" s="121"/>
      <c r="N129" s="121"/>
      <c r="O129" s="121"/>
      <c r="P129" s="121"/>
      <c r="Q129" s="121"/>
      <c r="R129" s="121"/>
      <c r="S129" s="121"/>
      <c r="T129" s="121"/>
      <c r="U129" s="121"/>
      <c r="V129" s="121"/>
      <c r="W129" s="121"/>
    </row>
  </sheetData>
  <conditionalFormatting sqref="G12:M12">
    <cfRule type="expression" dxfId="28" priority="50">
      <formula>AND(G10&gt;$C$5,G10&lt;=$C$6)</formula>
    </cfRule>
  </conditionalFormatting>
  <conditionalFormatting sqref="K36:N36">
    <cfRule type="expression" dxfId="25" priority="8">
      <formula>K10=$C$6+1</formula>
    </cfRule>
  </conditionalFormatting>
  <conditionalFormatting sqref="K37:N37">
    <cfRule type="expression" dxfId="24" priority="9">
      <formula>K10=$C$6+1</formula>
    </cfRule>
  </conditionalFormatting>
  <conditionalFormatting sqref="U10:W43 U45:W52 U54:W76 U78:W98 U100:W130">
    <cfRule type="expression" dxfId="18" priority="3">
      <formula>U$10&gt;$C$7</formula>
    </cfRule>
  </conditionalFormatting>
  <pageMargins left="0.7" right="0.7" top="0.75" bottom="0.75" header="0.3" footer="0.3"/>
  <pageSetup paperSize="9" orientation="portrait" r:id="rId1"/>
  <ignoredErrors>
    <ignoredError sqref="C5 C46:C47" unlockedFormula="1"/>
  </ignoredErrors>
  <extLst>
    <ext xmlns:x14="http://schemas.microsoft.com/office/spreadsheetml/2009/9/main" uri="{78C0D931-6437-407d-A8EE-F0AAD7539E65}">
      <x14:conditionalFormattings>
        <x14:conditionalFormatting xmlns:xm="http://schemas.microsoft.com/office/excel/2006/main">
          <x14:cfRule type="expression" priority="5" id="{47F7DBED-0C23-454F-801E-ED2E3DAA754C}">
            <xm:f>'Criteria results'!$F$5=7</xm:f>
            <x14:dxf>
              <fill>
                <patternFill>
                  <bgColor theme="0"/>
                </patternFill>
              </fill>
            </x14:dxf>
          </x14:cfRule>
          <xm:sqref>K35:M35</xm:sqref>
        </x14:conditionalFormatting>
        <x14:conditionalFormatting xmlns:xm="http://schemas.microsoft.com/office/excel/2006/main">
          <x14:cfRule type="expression" priority="55" id="{8951C7CF-B485-425C-9942-73B06456B0B5}">
            <xm:f>OR('Criteria results'!#REF!=7,'Criteria results'!#REF!=10)</xm:f>
            <x14:dxf>
              <font>
                <color theme="0"/>
              </font>
            </x14:dxf>
          </x14:cfRule>
          <xm:sqref>K75:M75</xm:sqref>
        </x14:conditionalFormatting>
        <x14:conditionalFormatting xmlns:xm="http://schemas.microsoft.com/office/excel/2006/main">
          <x14:cfRule type="expression" priority="52" id="{6869C80F-226A-4E6B-8E82-1C590454F27E}">
            <xm:f>AND($N$10&gt;2024,$N$10&lt;=2024+'Criteria results'!$F$5)</xm:f>
            <x14:dxf>
              <fill>
                <patternFill>
                  <bgColor theme="0" tint="-0.14996795556505021"/>
                </patternFill>
              </fill>
            </x14:dxf>
          </x14:cfRule>
          <xm:sqref>N12</xm:sqref>
        </x14:conditionalFormatting>
        <x14:conditionalFormatting xmlns:xm="http://schemas.microsoft.com/office/excel/2006/main">
          <x14:cfRule type="expression" priority="7" id="{61052BD5-AD8A-4BB2-862D-CE762EAD4EEA}">
            <xm:f>'Criteria results'!$F$5=7</xm:f>
            <x14:dxf>
              <fill>
                <patternFill>
                  <bgColor theme="0" tint="-0.34998626667073579"/>
                </patternFill>
              </fill>
            </x14:dxf>
          </x14:cfRule>
          <xm:sqref>N36:N37</xm:sqref>
        </x14:conditionalFormatting>
        <x14:conditionalFormatting xmlns:xm="http://schemas.microsoft.com/office/excel/2006/main">
          <x14:cfRule type="expression" priority="56" id="{116E26F3-65D6-4A9D-BBEB-1F21709D15A5}">
            <xm:f>OR('Criteria results'!#REF!=10)</xm:f>
            <x14:dxf>
              <font>
                <color theme="0"/>
              </font>
            </x14:dxf>
          </x14:cfRule>
          <xm:sqref>N75:P75</xm:sqref>
        </x14:conditionalFormatting>
        <x14:conditionalFormatting xmlns:xm="http://schemas.microsoft.com/office/excel/2006/main">
          <x14:cfRule type="expression" priority="53" id="{EF89FFEC-805B-44CB-80CA-34B558135CB5}">
            <xm:f>AND($O$10&gt;2024,$O$10&lt;=2024+'Criteria results'!#REF!)</xm:f>
            <x14:dxf>
              <fill>
                <patternFill>
                  <bgColor theme="0" tint="-0.14996795556505021"/>
                </patternFill>
              </fill>
            </x14:dxf>
          </x14:cfRule>
          <xm:sqref>O12</xm:sqref>
        </x14:conditionalFormatting>
        <x14:conditionalFormatting xmlns:xm="http://schemas.microsoft.com/office/excel/2006/main">
          <x14:cfRule type="expression" priority="54" id="{FBE5528E-1123-4677-9DE6-5E90CA8A7C56}">
            <xm:f>AND($P$10&gt;2024,$P$10&lt;=2024+'Criteria results'!#REF!)</xm:f>
            <x14:dxf>
              <fill>
                <patternFill>
                  <bgColor theme="0" tint="-0.14996795556505021"/>
                </patternFill>
              </fill>
            </x14:dxf>
          </x14:cfRule>
          <xm:sqref>P12</xm:sqref>
        </x14:conditionalFormatting>
      </x14:conditionalFormattings>
    </ext>
  </extLst>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600-000000000000}">
  <sheetPr codeName="Sheet9">
    <tabColor rgb="FF92D050"/>
  </sheetPr>
  <dimension ref="A1:BB129"/>
  <sheetViews>
    <sheetView zoomScaleNormal="100" workbookViewId="0"/>
  </sheetViews>
  <sheetFormatPr defaultColWidth="9.28515625" defaultRowHeight="11.25" outlineLevelRow="1" x14ac:dyDescent="0.2"/>
  <cols>
    <col min="1" max="1" width="9.28515625" style="26" customWidth="1"/>
    <col min="2" max="2" width="57.42578125" style="26" customWidth="1"/>
    <col min="3" max="38" width="9.28515625" style="26" customWidth="1"/>
    <col min="39" max="48" width="11.42578125" style="26" bestFit="1" customWidth="1"/>
    <col min="49" max="16384" width="9.28515625" style="26"/>
  </cols>
  <sheetData>
    <row r="1" spans="1:51" ht="24.75" customHeight="1" x14ac:dyDescent="0.2">
      <c r="B1" s="39"/>
    </row>
    <row r="2" spans="1:51" ht="11.25" customHeight="1" x14ac:dyDescent="0.2">
      <c r="B2" s="27"/>
    </row>
    <row r="3" spans="1:51" ht="11.25" customHeight="1" x14ac:dyDescent="0.2">
      <c r="B3" s="19" t="s">
        <v>15</v>
      </c>
      <c r="C3" s="20" t="str">
        <f>'Input data'!C3</f>
        <v>FI</v>
      </c>
    </row>
    <row r="4" spans="1:51" x14ac:dyDescent="0.2">
      <c r="B4" s="64" t="s">
        <v>38</v>
      </c>
      <c r="C4" s="21"/>
    </row>
    <row r="5" spans="1:51" x14ac:dyDescent="0.2">
      <c r="A5" s="29"/>
      <c r="B5" s="22" t="str">
        <f>'Input data'!B5</f>
        <v>Last year before the adjustment</v>
      </c>
      <c r="C5" s="23">
        <f>+'Input data'!C5</f>
        <v>2024</v>
      </c>
      <c r="K5" s="80"/>
    </row>
    <row r="6" spans="1:51" x14ac:dyDescent="0.2">
      <c r="A6" s="29"/>
      <c r="B6" s="65" t="s">
        <v>44</v>
      </c>
      <c r="C6" s="23">
        <f>+C5+'Criteria results'!F5</f>
        <v>2031</v>
      </c>
      <c r="E6" s="43"/>
      <c r="F6" s="29"/>
    </row>
    <row r="7" spans="1:51" x14ac:dyDescent="0.2">
      <c r="A7" s="29"/>
      <c r="B7" s="24" t="s">
        <v>39</v>
      </c>
      <c r="C7" s="66">
        <f>C5+'Criteria results'!F5+10</f>
        <v>2041</v>
      </c>
      <c r="E7" s="43"/>
      <c r="F7" s="29"/>
    </row>
    <row r="8" spans="1:51" x14ac:dyDescent="0.2">
      <c r="A8" s="29"/>
      <c r="C8" s="29"/>
      <c r="E8" s="43"/>
      <c r="F8" s="29"/>
    </row>
    <row r="9" spans="1:51" s="67" customFormat="1" ht="12.75" x14ac:dyDescent="0.2">
      <c r="B9" s="25" t="s">
        <v>45</v>
      </c>
    </row>
    <row r="10" spans="1:51" x14ac:dyDescent="0.2">
      <c r="C10" s="31">
        <v>2021</v>
      </c>
      <c r="D10" s="31">
        <v>2022</v>
      </c>
      <c r="E10" s="31">
        <v>2023</v>
      </c>
      <c r="F10" s="31">
        <v>2024</v>
      </c>
      <c r="G10" s="31">
        <v>2025</v>
      </c>
      <c r="H10" s="31">
        <v>2026</v>
      </c>
      <c r="I10" s="31">
        <v>2027</v>
      </c>
      <c r="J10" s="31">
        <v>2028</v>
      </c>
      <c r="K10" s="31">
        <v>2029</v>
      </c>
      <c r="L10" s="31">
        <v>2030</v>
      </c>
      <c r="M10" s="31">
        <v>2031</v>
      </c>
      <c r="N10" s="31">
        <v>2032</v>
      </c>
      <c r="O10" s="31">
        <v>2033</v>
      </c>
      <c r="P10" s="31">
        <v>2034</v>
      </c>
      <c r="Q10" s="31">
        <v>2035</v>
      </c>
      <c r="R10" s="31">
        <v>2036</v>
      </c>
      <c r="S10" s="31">
        <v>2037</v>
      </c>
      <c r="T10" s="31">
        <v>2038</v>
      </c>
      <c r="U10" s="31">
        <v>2039</v>
      </c>
      <c r="V10" s="31">
        <v>2040</v>
      </c>
      <c r="W10" s="31">
        <v>2041</v>
      </c>
      <c r="X10" s="29"/>
      <c r="Y10" s="29"/>
      <c r="Z10" s="29"/>
      <c r="AA10" s="29"/>
      <c r="AB10" s="29"/>
      <c r="AC10" s="29"/>
      <c r="AD10" s="29"/>
      <c r="AE10" s="29"/>
      <c r="AF10" s="29"/>
      <c r="AG10" s="29"/>
      <c r="AH10" s="29"/>
      <c r="AI10" s="29"/>
      <c r="AJ10" s="29"/>
      <c r="AK10" s="29"/>
      <c r="AL10" s="29"/>
      <c r="AM10" s="29"/>
      <c r="AN10" s="29"/>
      <c r="AO10" s="29"/>
      <c r="AP10" s="29"/>
      <c r="AQ10" s="29"/>
      <c r="AR10" s="29"/>
      <c r="AS10" s="29"/>
      <c r="AT10" s="29"/>
      <c r="AU10" s="29"/>
      <c r="AV10" s="29"/>
      <c r="AW10" s="29"/>
      <c r="AX10" s="29"/>
    </row>
    <row r="11" spans="1:51" x14ac:dyDescent="0.2">
      <c r="B11" s="28" t="s">
        <v>46</v>
      </c>
      <c r="C11" s="29"/>
      <c r="D11" s="29"/>
      <c r="E11" s="29"/>
      <c r="F11" s="29"/>
      <c r="G11" s="29"/>
      <c r="H11" s="29"/>
      <c r="I11" s="29"/>
      <c r="J11" s="29"/>
      <c r="K11" s="29"/>
      <c r="L11" s="29"/>
      <c r="M11" s="29"/>
      <c r="N11" s="29"/>
      <c r="O11" s="29"/>
      <c r="P11" s="29"/>
      <c r="Q11" s="29"/>
      <c r="R11" s="29"/>
      <c r="S11" s="29"/>
      <c r="T11" s="29"/>
      <c r="U11" s="29"/>
      <c r="V11" s="29"/>
      <c r="W11" s="29"/>
      <c r="X11" s="29"/>
      <c r="Y11" s="29"/>
      <c r="Z11" s="29"/>
      <c r="AA11" s="29"/>
      <c r="AB11" s="29"/>
      <c r="AC11" s="29"/>
      <c r="AD11" s="29"/>
      <c r="AE11" s="29"/>
      <c r="AF11" s="29"/>
      <c r="AG11" s="29"/>
      <c r="AH11" s="29"/>
      <c r="AI11" s="29"/>
      <c r="AJ11" s="29"/>
      <c r="AK11" s="29"/>
      <c r="AL11" s="29"/>
      <c r="AM11" s="29"/>
      <c r="AN11" s="29"/>
      <c r="AO11" s="29"/>
      <c r="AP11" s="29"/>
      <c r="AQ11" s="29"/>
      <c r="AR11" s="29"/>
      <c r="AS11" s="29"/>
      <c r="AT11" s="29"/>
      <c r="AU11" s="29"/>
      <c r="AV11" s="29"/>
      <c r="AW11" s="29"/>
      <c r="AX11" s="29"/>
    </row>
    <row r="12" spans="1:51" x14ac:dyDescent="0.2">
      <c r="B12" s="26" t="s">
        <v>48</v>
      </c>
      <c r="C12" s="1">
        <f>'Adjustment scenario'!C12</f>
        <v>-2.1345519999999998</v>
      </c>
      <c r="D12" s="2">
        <f>'Adjustment scenario'!D12</f>
        <v>0.29205680000000001</v>
      </c>
      <c r="E12" s="2">
        <f>'Adjustment scenario'!E12</f>
        <v>-0.2445959</v>
      </c>
      <c r="F12" s="2">
        <f>'Adjust. no safeguard'!F12</f>
        <v>-0.53010330000000006</v>
      </c>
      <c r="G12" s="3">
        <f>'Adjust. no safeguard'!G12</f>
        <v>1.0698967000000001</v>
      </c>
      <c r="H12" s="3">
        <f>'Adjust. no safeguard'!H12</f>
        <v>2.6698967000000002</v>
      </c>
      <c r="I12" s="3">
        <f>'Adjust. no safeguard'!I12</f>
        <v>4.2698967000000003</v>
      </c>
      <c r="J12" s="3">
        <f>'Adjust. no safeguard'!J12</f>
        <v>5.8698967</v>
      </c>
      <c r="K12" s="3">
        <f>IF(AND('Criteria results'!$F$5=4,'Criteria results'!$F$5=4),'Adjust. no safeguard'!K12-0.25,IF(AND('Criteria results'!$F$5=4,'Criteria results'!$F$5=7),'Adjust. no safeguard'!K12-0.5/3,IF(AND('Criteria results'!$F$5=7,'Criteria results'!$F$5=7),'Adjust. no safeguard'!K12,'Adjust. no safeguard'!K12)))</f>
        <v>7.4698966999999996</v>
      </c>
      <c r="L12" s="3">
        <f>IF(AND('Criteria results'!$F$5=4,'Criteria results'!$F$5=4),'Adjust. no safeguard'!L12-0.5,IF(AND('Criteria results'!$F$5=4,'Criteria results'!$F$5=7),'Adjust. no safeguard'!L12-0.5*2/3,IF(AND('Criteria results'!$F$5=7,'Criteria results'!$F$5=7),'Adjust. no safeguard'!L12,'Adjust. no safeguard'!L12)))</f>
        <v>9.0698966999999993</v>
      </c>
      <c r="M12" s="3">
        <f>IF('Criteria results'!$F$5=4,'Adjust. no safeguard'!M12-0.5,'Adjust. no safeguard'!M12)</f>
        <v>10.669896699999999</v>
      </c>
      <c r="N12" s="3">
        <f>IF('Criteria results'!$F$5=4,'Adjust. no safeguard'!N12-0.5,IF(AND('Criteria results'!$F$5=7,'Criteria results'!$F$5=7),'Adjust. no safeguard'!N12-0.25,'Adjust. no safeguard'!N12-1/3*0.5))</f>
        <v>10.419896699999999</v>
      </c>
      <c r="O12" s="3">
        <f>IF('Criteria results'!$F$5=4,'Adjust. no safeguard'!N12-0.5,IF(AND('Criteria results'!$F$5=7,'Criteria results'!$F$5=7),'Adjust. no safeguard'!O12-0.5,'Adjust. no safeguard'!O12-2/3*0.5))</f>
        <v>10.169896699999999</v>
      </c>
      <c r="P12" s="3">
        <f>'Adjust. no safeguard'!P12-0.5</f>
        <v>10.169896699999999</v>
      </c>
      <c r="Q12" s="3">
        <f>'Adjust. no safeguard'!Q12-0.5</f>
        <v>10.169896699999999</v>
      </c>
      <c r="R12" s="3">
        <f>'Adjust. no safeguard'!R12-0.5</f>
        <v>10.169896699999999</v>
      </c>
      <c r="S12" s="3">
        <f>'Adjust. no safeguard'!S12-0.5</f>
        <v>10.169896699999999</v>
      </c>
      <c r="T12" s="3">
        <f>'Adjust. no safeguard'!T12-0.5</f>
        <v>10.169896699999999</v>
      </c>
      <c r="U12" s="3">
        <f>'Adjust. no safeguard'!U12-0.5</f>
        <v>10.169896699999999</v>
      </c>
      <c r="V12" s="3">
        <f>'Adjust. no safeguard'!V12-0.5</f>
        <v>10.169896699999999</v>
      </c>
      <c r="W12" s="3">
        <f>'Adjust. no safeguard'!W12-0.5</f>
        <v>10.169896699999999</v>
      </c>
      <c r="X12" s="59"/>
      <c r="Y12" s="59"/>
      <c r="Z12" s="59"/>
      <c r="AA12" s="59"/>
      <c r="AB12" s="59"/>
      <c r="AC12" s="59"/>
      <c r="AD12" s="59"/>
      <c r="AE12" s="59"/>
      <c r="AF12" s="59"/>
      <c r="AG12" s="59"/>
      <c r="AH12" s="59"/>
      <c r="AI12" s="59"/>
      <c r="AJ12" s="59"/>
      <c r="AK12" s="59"/>
      <c r="AL12" s="59"/>
      <c r="AM12" s="59"/>
      <c r="AN12" s="59"/>
      <c r="AO12" s="59"/>
      <c r="AP12" s="59"/>
      <c r="AQ12" s="59"/>
      <c r="AR12" s="59"/>
      <c r="AS12" s="59"/>
      <c r="AT12" s="59"/>
      <c r="AU12" s="59"/>
      <c r="AV12" s="59"/>
      <c r="AW12" s="59"/>
      <c r="AX12" s="59"/>
      <c r="AY12" s="60"/>
    </row>
    <row r="13" spans="1:51" x14ac:dyDescent="0.2">
      <c r="B13" s="26" t="s">
        <v>49</v>
      </c>
      <c r="C13" s="1">
        <f>'Input data'!C14</f>
        <v>0</v>
      </c>
      <c r="D13" s="2">
        <f>'Input data'!D14</f>
        <v>0</v>
      </c>
      <c r="E13" s="2">
        <f>'Input data'!E14</f>
        <v>0</v>
      </c>
      <c r="F13" s="2">
        <f>'Input data'!F14</f>
        <v>0</v>
      </c>
      <c r="G13" s="2">
        <f>'Input data'!G14</f>
        <v>0</v>
      </c>
      <c r="H13" s="2">
        <f>0</f>
        <v>0</v>
      </c>
      <c r="I13" s="2">
        <f>0</f>
        <v>0</v>
      </c>
      <c r="J13" s="2">
        <f>0</f>
        <v>0</v>
      </c>
      <c r="K13" s="2">
        <f>0</f>
        <v>0</v>
      </c>
      <c r="L13" s="2">
        <f>0</f>
        <v>0</v>
      </c>
      <c r="M13" s="2">
        <f>0</f>
        <v>0</v>
      </c>
      <c r="N13" s="2">
        <f>0</f>
        <v>0</v>
      </c>
      <c r="O13" s="2">
        <f>0</f>
        <v>0</v>
      </c>
      <c r="P13" s="2">
        <f>0</f>
        <v>0</v>
      </c>
      <c r="Q13" s="2">
        <f>0</f>
        <v>0</v>
      </c>
      <c r="R13" s="2">
        <f>0</f>
        <v>0</v>
      </c>
      <c r="S13" s="2">
        <f>0</f>
        <v>0</v>
      </c>
      <c r="T13" s="2">
        <f>0</f>
        <v>0</v>
      </c>
      <c r="U13" s="2">
        <f>0</f>
        <v>0</v>
      </c>
      <c r="V13" s="2">
        <f>0</f>
        <v>0</v>
      </c>
      <c r="W13" s="2">
        <f>0</f>
        <v>0</v>
      </c>
      <c r="X13" s="59"/>
      <c r="Y13" s="59"/>
      <c r="Z13" s="59"/>
      <c r="AA13" s="59"/>
      <c r="AB13" s="59"/>
      <c r="AC13" s="59"/>
      <c r="AD13" s="59"/>
      <c r="AE13" s="59"/>
      <c r="AF13" s="59"/>
      <c r="AG13" s="59"/>
      <c r="AH13" s="59"/>
      <c r="AI13" s="59"/>
      <c r="AJ13" s="59"/>
      <c r="AK13" s="59"/>
      <c r="AL13" s="59"/>
      <c r="AM13" s="59"/>
      <c r="AN13" s="59"/>
      <c r="AO13" s="59"/>
      <c r="AP13" s="59"/>
      <c r="AQ13" s="59"/>
      <c r="AR13" s="59"/>
      <c r="AS13" s="59"/>
      <c r="AT13" s="59"/>
      <c r="AU13" s="59"/>
      <c r="AV13" s="59"/>
      <c r="AW13" s="59"/>
      <c r="AX13" s="59"/>
      <c r="AY13" s="60"/>
    </row>
    <row r="14" spans="1:51" x14ac:dyDescent="0.2">
      <c r="B14" s="26" t="s">
        <v>87</v>
      </c>
      <c r="C14" s="1">
        <f>'Input data'!C15</f>
        <v>-1.1351690000000001</v>
      </c>
      <c r="D14" s="2">
        <f>'Input data'!D15</f>
        <v>4.8490650000000004</v>
      </c>
      <c r="E14" s="2">
        <f>'Input data'!E15</f>
        <v>2.318794</v>
      </c>
      <c r="F14" s="2">
        <f>'Input data'!F15</f>
        <v>2.6028570000000002</v>
      </c>
      <c r="G14" s="2">
        <f>'Input data'!G15</f>
        <v>1.6620999999999999</v>
      </c>
      <c r="H14" s="2">
        <f>'Input data'!H15</f>
        <v>1.6902729999999999</v>
      </c>
      <c r="I14" s="2">
        <f>'Input data'!I15</f>
        <v>1.702215</v>
      </c>
      <c r="J14" s="2">
        <f>'Input data'!J15</f>
        <v>1.648048</v>
      </c>
      <c r="K14" s="2">
        <f>'Input data'!K15</f>
        <v>1.5813470000000001</v>
      </c>
      <c r="L14" s="2">
        <f>'Input data'!L15</f>
        <v>1.5408029999999999</v>
      </c>
      <c r="M14" s="2">
        <f>'Input data'!M15</f>
        <v>1.5229809999999999</v>
      </c>
      <c r="N14" s="2">
        <f>'Input data'!N15</f>
        <v>1.526135</v>
      </c>
      <c r="O14" s="2">
        <f>'Input data'!O15</f>
        <v>1.3735219999999999</v>
      </c>
      <c r="P14" s="2">
        <f>'Input data'!P15</f>
        <v>1.2209080000000001</v>
      </c>
      <c r="Q14" s="2">
        <f>'Input data'!Q15</f>
        <v>1.068295</v>
      </c>
      <c r="R14" s="2">
        <f>'Input data'!R15</f>
        <v>0.91568099999999997</v>
      </c>
      <c r="S14" s="2">
        <f>'Input data'!S15</f>
        <v>0.76306750000000001</v>
      </c>
      <c r="T14" s="2">
        <f>'Input data'!T15</f>
        <v>0.61045400000000005</v>
      </c>
      <c r="U14" s="2">
        <f>'Input data'!U15</f>
        <v>0.45784049999999998</v>
      </c>
      <c r="V14" s="2">
        <f>'Input data'!V15</f>
        <v>0.30522700000000003</v>
      </c>
      <c r="W14" s="2">
        <f>'Input data'!W15</f>
        <v>0.15261350000000001</v>
      </c>
      <c r="X14" s="59"/>
      <c r="Y14" s="59"/>
      <c r="Z14" s="59"/>
      <c r="AA14" s="59"/>
      <c r="AB14" s="59"/>
      <c r="AC14" s="59"/>
      <c r="AD14" s="59"/>
      <c r="AE14" s="59"/>
      <c r="AF14" s="59"/>
      <c r="AG14" s="59"/>
      <c r="AH14" s="59"/>
      <c r="AI14" s="59"/>
      <c r="AJ14" s="59"/>
      <c r="AK14" s="59"/>
      <c r="AL14" s="59"/>
      <c r="AM14" s="59"/>
      <c r="AN14" s="59"/>
      <c r="AO14" s="59"/>
      <c r="AP14" s="59"/>
      <c r="AQ14" s="59"/>
      <c r="AR14" s="59"/>
      <c r="AS14" s="59"/>
      <c r="AT14" s="59"/>
      <c r="AU14" s="59"/>
      <c r="AV14" s="59"/>
      <c r="AW14" s="59"/>
      <c r="AX14" s="59"/>
      <c r="AY14" s="60"/>
    </row>
    <row r="15" spans="1:51" ht="5.65" customHeight="1" x14ac:dyDescent="0.2">
      <c r="C15" s="1"/>
      <c r="D15" s="1"/>
      <c r="E15" s="1"/>
      <c r="F15" s="1"/>
      <c r="G15" s="1"/>
      <c r="H15" s="1"/>
      <c r="I15" s="1"/>
      <c r="J15" s="1"/>
      <c r="K15" s="1"/>
      <c r="L15" s="1"/>
      <c r="M15" s="1"/>
      <c r="N15" s="1"/>
      <c r="O15" s="1"/>
      <c r="P15" s="1"/>
      <c r="Q15" s="1"/>
      <c r="R15" s="1"/>
      <c r="S15" s="1"/>
      <c r="T15" s="1"/>
      <c r="U15" s="1"/>
      <c r="V15" s="1"/>
      <c r="W15" s="1"/>
      <c r="X15" s="1"/>
      <c r="Y15" s="1"/>
      <c r="Z15" s="1"/>
      <c r="AA15" s="1"/>
      <c r="AB15" s="1"/>
      <c r="AC15" s="1"/>
      <c r="AD15" s="1"/>
      <c r="AE15" s="1"/>
      <c r="AF15" s="1"/>
      <c r="AG15" s="1"/>
      <c r="AH15" s="1"/>
      <c r="AI15" s="1"/>
      <c r="AJ15" s="1"/>
      <c r="AK15" s="1"/>
      <c r="AL15" s="1"/>
      <c r="AM15" s="1"/>
      <c r="AN15" s="1"/>
      <c r="AO15" s="1"/>
      <c r="AP15" s="1"/>
      <c r="AQ15" s="1"/>
      <c r="AR15" s="1"/>
      <c r="AS15" s="1"/>
      <c r="AT15" s="1"/>
      <c r="AU15" s="1"/>
      <c r="AV15" s="1"/>
      <c r="AW15" s="1"/>
      <c r="AX15" s="1"/>
    </row>
    <row r="16" spans="1:51" ht="11.25" customHeight="1" x14ac:dyDescent="0.2">
      <c r="B16" s="30" t="str">
        <f>'Input data'!B19</f>
        <v>Cost of ageing and selected public revenue (based on the Commission-Council 2024 Ageing Report ("AR 2024"))</v>
      </c>
      <c r="C16" s="1"/>
      <c r="D16" s="1"/>
      <c r="E16" s="1"/>
      <c r="F16" s="1"/>
      <c r="G16" s="1"/>
      <c r="H16" s="1"/>
      <c r="I16" s="1"/>
      <c r="J16" s="1"/>
      <c r="K16" s="1"/>
      <c r="L16" s="1"/>
      <c r="M16" s="1"/>
      <c r="N16" s="1"/>
      <c r="O16" s="1"/>
      <c r="P16" s="1"/>
      <c r="Q16" s="1"/>
      <c r="R16" s="1"/>
      <c r="S16" s="1"/>
      <c r="T16" s="1"/>
      <c r="U16" s="1"/>
      <c r="V16" s="1"/>
      <c r="W16" s="1"/>
      <c r="X16" s="1"/>
      <c r="Y16" s="1"/>
      <c r="Z16" s="1"/>
      <c r="AA16" s="1"/>
      <c r="AB16" s="1"/>
      <c r="AC16" s="1"/>
      <c r="AD16" s="1"/>
      <c r="AE16" s="1"/>
      <c r="AF16" s="1"/>
      <c r="AG16" s="1"/>
      <c r="AH16" s="1"/>
      <c r="AI16" s="1"/>
      <c r="AJ16" s="1"/>
      <c r="AK16" s="1"/>
      <c r="AL16" s="1"/>
      <c r="AM16" s="1"/>
      <c r="AN16" s="1"/>
      <c r="AO16" s="1"/>
      <c r="AP16" s="1"/>
      <c r="AQ16" s="1"/>
      <c r="AR16" s="1"/>
      <c r="AS16" s="1"/>
      <c r="AT16" s="1"/>
      <c r="AU16" s="1"/>
      <c r="AV16" s="1"/>
      <c r="AW16" s="1"/>
      <c r="AX16" s="1"/>
    </row>
    <row r="17" spans="1:50" x14ac:dyDescent="0.2">
      <c r="A17" s="61"/>
      <c r="B17" s="26" t="s">
        <v>52</v>
      </c>
      <c r="C17" s="1">
        <f>'Input data'!C20</f>
        <v>0</v>
      </c>
      <c r="D17" s="101">
        <f>'Input data'!D20</f>
        <v>23.655849999999997</v>
      </c>
      <c r="E17" s="101">
        <f>'Input data'!E20</f>
        <v>23.83699</v>
      </c>
      <c r="F17" s="101">
        <f>'Input data'!F20</f>
        <v>23.96105</v>
      </c>
      <c r="G17" s="101">
        <f>'Input data'!G20</f>
        <v>23.911249999999999</v>
      </c>
      <c r="H17" s="101">
        <f>'Input data'!H20</f>
        <v>23.909049999999997</v>
      </c>
      <c r="I17" s="101">
        <f>'Input data'!I20</f>
        <v>23.948919999999998</v>
      </c>
      <c r="J17" s="101">
        <f>'Input data'!J20</f>
        <v>24.046380000000003</v>
      </c>
      <c r="K17" s="101">
        <f>'Input data'!K20</f>
        <v>24.15964</v>
      </c>
      <c r="L17" s="101">
        <f>'Input data'!L20</f>
        <v>24.232299999999999</v>
      </c>
      <c r="M17" s="101">
        <f>'Input data'!M20</f>
        <v>24.288240000000002</v>
      </c>
      <c r="N17" s="101">
        <f>'Input data'!N20</f>
        <v>24.322410000000001</v>
      </c>
      <c r="O17" s="101">
        <f>'Input data'!O20</f>
        <v>24.319019999999998</v>
      </c>
      <c r="P17" s="101">
        <f>'Input data'!P20</f>
        <v>24.31607</v>
      </c>
      <c r="Q17" s="101">
        <f>'Input data'!Q20</f>
        <v>24.304599999999997</v>
      </c>
      <c r="R17" s="101">
        <f>'Input data'!R20</f>
        <v>24.277160000000002</v>
      </c>
      <c r="S17" s="101">
        <f>'Input data'!S20</f>
        <v>24.230790000000002</v>
      </c>
      <c r="T17" s="101">
        <f>'Input data'!T20</f>
        <v>24.168680000000002</v>
      </c>
      <c r="U17" s="101">
        <f>'Input data'!U20</f>
        <v>24.092350000000003</v>
      </c>
      <c r="V17" s="101">
        <f>'Input data'!V20</f>
        <v>24.017060000000001</v>
      </c>
      <c r="W17" s="101">
        <f>'Input data'!W20</f>
        <v>23.958480000000002</v>
      </c>
      <c r="X17" s="1"/>
      <c r="Y17" s="1"/>
      <c r="Z17" s="1"/>
      <c r="AA17" s="1"/>
      <c r="AB17" s="1"/>
      <c r="AC17" s="1"/>
      <c r="AD17" s="1"/>
      <c r="AE17" s="1"/>
      <c r="AF17" s="1"/>
      <c r="AG17" s="1"/>
      <c r="AH17" s="1"/>
      <c r="AI17" s="1"/>
      <c r="AJ17" s="1"/>
      <c r="AK17" s="1"/>
      <c r="AL17" s="1"/>
      <c r="AM17" s="1"/>
      <c r="AN17" s="1"/>
      <c r="AO17" s="1"/>
      <c r="AP17" s="1"/>
      <c r="AQ17" s="1"/>
      <c r="AR17" s="1"/>
      <c r="AS17" s="1"/>
      <c r="AT17" s="1"/>
      <c r="AU17" s="1"/>
      <c r="AV17" s="1"/>
      <c r="AW17" s="1"/>
      <c r="AX17" s="1"/>
    </row>
    <row r="18" spans="1:50" x14ac:dyDescent="0.2">
      <c r="A18" s="61"/>
      <c r="B18" s="26" t="s">
        <v>58</v>
      </c>
      <c r="C18" s="1">
        <f>'Input data'!C26</f>
        <v>2.0641180000000001</v>
      </c>
      <c r="D18" s="101">
        <f>'Input data'!D26</f>
        <v>2.1110479999999998</v>
      </c>
      <c r="E18" s="101">
        <f>'Input data'!E26</f>
        <v>2.1176979999999999</v>
      </c>
      <c r="F18" s="101">
        <f>'Input data'!F26</f>
        <v>2.1243479999999999</v>
      </c>
      <c r="G18" s="101">
        <f>'Input data'!G26</f>
        <v>2.1309979999999999</v>
      </c>
      <c r="H18" s="101">
        <f>'Input data'!H26</f>
        <v>2.137648</v>
      </c>
      <c r="I18" s="101">
        <f>'Input data'!I26</f>
        <v>2.1442990000000002</v>
      </c>
      <c r="J18" s="101">
        <f>'Input data'!J26</f>
        <v>2.1509490000000002</v>
      </c>
      <c r="K18" s="101">
        <f>'Input data'!K26</f>
        <v>2.1575989999999998</v>
      </c>
      <c r="L18" s="101">
        <f>'Input data'!L26</f>
        <v>2.1642489999999999</v>
      </c>
      <c r="M18" s="101">
        <f>'Input data'!M26</f>
        <v>2.1708989999999999</v>
      </c>
      <c r="N18" s="101">
        <f>'Input data'!N26</f>
        <v>2.1775500000000001</v>
      </c>
      <c r="O18" s="101">
        <f>'Input data'!O26</f>
        <v>2.1842000000000001</v>
      </c>
      <c r="P18" s="101">
        <f>'Input data'!P26</f>
        <v>2.1908500000000002</v>
      </c>
      <c r="Q18" s="101">
        <f>'Input data'!Q26</f>
        <v>2.1974999999999998</v>
      </c>
      <c r="R18" s="101">
        <f>'Input data'!R26</f>
        <v>2.2041499999999998</v>
      </c>
      <c r="S18" s="101">
        <f>'Input data'!S26</f>
        <v>2.210801</v>
      </c>
      <c r="T18" s="101">
        <f>'Input data'!T26</f>
        <v>2.2174510000000001</v>
      </c>
      <c r="U18" s="101">
        <f>'Input data'!U26</f>
        <v>2.2241010000000001</v>
      </c>
      <c r="V18" s="101">
        <f>'Input data'!V26</f>
        <v>2.2307510000000002</v>
      </c>
      <c r="W18" s="101">
        <f>'Input data'!W26</f>
        <v>2.2374010000000002</v>
      </c>
      <c r="X18" s="1"/>
      <c r="Y18" s="1"/>
      <c r="Z18" s="1"/>
      <c r="AA18" s="1"/>
      <c r="AB18" s="1"/>
      <c r="AC18" s="1"/>
      <c r="AD18" s="1"/>
      <c r="AE18" s="1"/>
      <c r="AF18" s="1"/>
      <c r="AG18" s="1"/>
      <c r="AH18" s="1"/>
      <c r="AI18" s="1"/>
      <c r="AJ18" s="1"/>
      <c r="AK18" s="1"/>
      <c r="AL18" s="1"/>
      <c r="AM18" s="1"/>
      <c r="AN18" s="1"/>
      <c r="AO18" s="1"/>
      <c r="AP18" s="1"/>
      <c r="AQ18" s="1"/>
      <c r="AR18" s="1"/>
      <c r="AS18" s="1"/>
      <c r="AT18" s="1"/>
      <c r="AU18" s="1"/>
      <c r="AV18" s="1"/>
      <c r="AW18" s="1"/>
      <c r="AX18" s="1"/>
    </row>
    <row r="20" spans="1:50" x14ac:dyDescent="0.2">
      <c r="B20" s="28" t="s">
        <v>88</v>
      </c>
    </row>
    <row r="21" spans="1:50" ht="10.5" customHeight="1" x14ac:dyDescent="0.2">
      <c r="B21" s="30" t="s">
        <v>89</v>
      </c>
    </row>
    <row r="22" spans="1:50" x14ac:dyDescent="0.2">
      <c r="B22" s="26" t="s">
        <v>61</v>
      </c>
      <c r="C22" s="34">
        <f>'Input data'!C31</f>
        <v>230.55600000000001</v>
      </c>
      <c r="D22" s="100">
        <f>IF(AND(D49&gt;1,C49&gt;1),IF(AND(D49&gt;0,C49&gt;0),D26*(D50/100+1),0)+IF(D49&gt;0,C22*(1+D51/100),0)-C22*(1+'Input data'!D30/100),IF(D49=1,D26,C22*(1+D51/100)))</f>
        <v>233.63499929652002</v>
      </c>
      <c r="E22" s="100">
        <f>IF(AND(E49&gt;1,D49&gt;1),IF(AND(E49&gt;0,D49&gt;0),E26*(E50/100+1),0)+IF(E49&gt;0,D22*(1+E51/100),0)-D22*(1+'Input data'!E30/100),IF(E49=1,E26,D22*(1+E51/100)))</f>
        <v>231.21599858620368</v>
      </c>
      <c r="F22" s="100">
        <f>IF(AND(F49&gt;1,E49&gt;1),IF(AND(F49&gt;0,E49&gt;0),F26*(F50/100+1),0)+IF(F49&gt;0,E22*(1+F51/100),0)-E22*(1+'Input data'!F30/100),IF(F49=1,F26,E22*(1+F51/100)))</f>
        <v>231.30753607517994</v>
      </c>
      <c r="G22" s="34">
        <f>IF(AND(G49&gt;1,F49&gt;1),IF(AND(G49&gt;0,F49&gt;0),G26*(G50/100+1),0)+IF(G49&gt;0,F22*(1+G51/100),0)-F22*(1+'Input data'!G30/100),IF(G49=1,G26,F22*(1+G51/100)))</f>
        <v>232.36700554804187</v>
      </c>
      <c r="H22" s="34">
        <f>IF(AND(H49&gt;1,G49&gt;1),IF(AND(H49&gt;0,G49&gt;0),H26*(H50/100+1),0)+IF(H49&gt;0,G22*(1+H51/100),0)-G22*(1+'Input data'!H30/100),IF(H49=1,H26,G22*(1+H51/100)))</f>
        <v>233.57220319476875</v>
      </c>
      <c r="I22" s="34">
        <f>IF(AND(I49&gt;1,H49&gt;1),IF(AND(I49&gt;0,H49&gt;0),I26*(I50/100+1),0)+IF(I49&gt;0,H22*(1+I51/100),0)-H22*(1+'Input data'!I30/100),IF(I49=1,I26,H22*(1+I51/100)))</f>
        <v>234.68523892547657</v>
      </c>
      <c r="J22" s="34">
        <f>IF(AND(J49&gt;1,I49&gt;1),IF(AND(J49&gt;0,I49&gt;0),J26*(J50/100+1),0)+IF(J49&gt;0,I22*(1+J51/100),0)-I22*(1+'Input data'!J30/100),IF(J49=1,J26,I22*(1+J51/100)))</f>
        <v>236.01450177583067</v>
      </c>
      <c r="K22" s="34">
        <f>IF(AND(K49&gt;1,J49&gt;1),IF(AND(K49&gt;0,J49&gt;0),K26*(K50/100+1),0)+IF(K49&gt;0,J22*(1+K51/100),0)-J22*(1+'Input data'!K30/100),IF(K49=1,K26,J22*(1+K51/100)))</f>
        <v>237.27453465356547</v>
      </c>
      <c r="L22" s="34">
        <f>IF(AND(L49&gt;1,K49&gt;1),IF(AND(L49&gt;0,K49&gt;0),L26*(L50/100+1),0)+IF(L49&gt;0,K22*(1+L51/100),0)-K22*(1+'Input data'!L30/100),IF(L49=1,L26,K22*(1+L51/100)))</f>
        <v>238.52510285593732</v>
      </c>
      <c r="M22" s="34">
        <f>IF(AND(M49&gt;1,L49&gt;1),IF(AND(M49&gt;0,L49&gt;0),M26*(M50/100+1),0)+IF(M49&gt;0,L22*(1+M51/100),0)-L22*(1+'Input data'!M30/100),IF(M49=1,M26,L22*(1+M51/100)))</f>
        <v>239.87377781933066</v>
      </c>
      <c r="N22" s="34">
        <f>IF(AND(N49&gt;1,M49&gt;1),IF(AND(N49&gt;0,M49&gt;0),N26*(N50/100+1),0)+IF(N49&gt;0,M22*(1+N51/100),0)-M22*(1+'Input data'!N30/100),IF(N49=1,N26,M22*(1+N51/100)))</f>
        <v>244.75131182674431</v>
      </c>
      <c r="O22" s="34">
        <f>IF(AND(O49&gt;1,N49&gt;1),IF(AND(O49&gt;0,N49&gt;0),O26*(O50/100+1),0)+IF(O49&gt;0,N22*(1+O51/100),0)-N22*(1+'Input data'!O30/100),IF(O49=1,O26,N22*(1+O51/100)))</f>
        <v>248.64664890945585</v>
      </c>
      <c r="P22" s="34">
        <f>IF(AND(P49&gt;1,O49&gt;1),IF(AND(P49&gt;0,O49&gt;0),P26*(P50/100+1),0)+IF(P49&gt;0,O22*(1+P51/100),0)-O22*(1+'Input data'!P30/100),IF(P49=1,P26,O22*(1+P51/100)))</f>
        <v>251.88957749118728</v>
      </c>
      <c r="Q22" s="34">
        <f>IF(AND(Q49&gt;1,P49&gt;1),IF(AND(Q49&gt;0,P49&gt;0),Q26*(Q50/100+1),0)+IF(Q49&gt;0,P22*(1+Q51/100),0)-P22*(1+'Input data'!Q30/100),IF(Q49=1,Q26,P22*(1+Q51/100)))</f>
        <v>255.69010722939493</v>
      </c>
      <c r="R22" s="34">
        <f>IF(AND(R49&gt;1,Q49&gt;1),IF(AND(R49&gt;0,Q49&gt;0),R26*(R50/100+1),0)+IF(R49&gt;0,Q22*(1+R51/100),0)-Q22*(1+'Input data'!R30/100),IF(R49=1,R26,Q22*(1+R51/100)))</f>
        <v>260.07107674574905</v>
      </c>
      <c r="S22" s="34">
        <f>IF(AND(S49&gt;1,R49&gt;1),IF(AND(S49&gt;0,R49&gt;0),S26*(S50/100+1),0)+IF(S49&gt;0,R22*(1+S51/100),0)-R22*(1+'Input data'!S30/100),IF(S49=1,S26,R22*(1+S51/100)))</f>
        <v>263.64706705455694</v>
      </c>
      <c r="T22" s="34">
        <f>IF(AND(T49&gt;1,S49&gt;1),IF(AND(T49&gt;0,S49&gt;0),T26*(T50/100+1),0)+IF(T49&gt;0,S22*(1+T51/100),0)-S22*(1+'Input data'!T30/100),IF(T49=1,T26,S22*(1+T51/100)))</f>
        <v>267.40128001176299</v>
      </c>
      <c r="U22" s="34">
        <f>IF(AND(U49&gt;1,T49&gt;1),IF(AND(U49&gt;0,T49&gt;0),U26*(U50/100+1),0)+IF(U49&gt;0,T22*(1+U51/100),0)-T22*(1+'Input data'!U30/100),IF(U49=1,U26,T22*(1+U51/100)))</f>
        <v>271.37497534127539</v>
      </c>
      <c r="V22" s="34">
        <f>IF(AND(V49&gt;1,U49&gt;1),IF(AND(V49&gt;0,U49&gt;0),V26*(V50/100+1),0)+IF(V49&gt;0,U22*(1+V51/100),0)-U22*(1+'Input data'!V30/100),IF(V49=1,V26,U22*(1+V51/100)))</f>
        <v>275.53537624073692</v>
      </c>
      <c r="W22" s="34">
        <f>IF(AND(W49&gt;1,V49&gt;1),IF(AND(W49&gt;0,V49&gt;0),W26*(W50/100+1),0)+IF(W49&gt;0,V22*(1+W51/100),0)-V22*(1+'Input data'!W30/100),IF(W49=1,W26,V22*(1+W51/100)))</f>
        <v>279.63617751138912</v>
      </c>
      <c r="X22" s="34"/>
      <c r="Y22" s="34"/>
      <c r="Z22" s="34"/>
      <c r="AA22" s="34"/>
      <c r="AB22" s="34"/>
      <c r="AC22" s="34"/>
      <c r="AD22" s="34"/>
      <c r="AE22" s="34"/>
      <c r="AF22" s="34"/>
      <c r="AG22" s="34"/>
      <c r="AH22" s="34"/>
      <c r="AI22" s="34"/>
      <c r="AJ22" s="34"/>
      <c r="AK22" s="34"/>
      <c r="AL22" s="34"/>
      <c r="AM22" s="34"/>
      <c r="AN22" s="34"/>
      <c r="AO22" s="34"/>
      <c r="AP22" s="34"/>
      <c r="AQ22" s="34"/>
      <c r="AR22" s="34"/>
      <c r="AS22" s="34"/>
      <c r="AT22" s="34"/>
      <c r="AU22" s="34"/>
      <c r="AV22" s="34"/>
    </row>
    <row r="23" spans="1:50" x14ac:dyDescent="0.2">
      <c r="A23" s="61"/>
      <c r="B23" s="62" t="s">
        <v>60</v>
      </c>
      <c r="C23" s="34">
        <f>+'Input data'!C30</f>
        <v>2.8381799999999999</v>
      </c>
      <c r="D23" s="100">
        <f t="shared" ref="D23:T23" si="0">100*(D22/C22-1)</f>
        <v>1.3354670000000013</v>
      </c>
      <c r="E23" s="100">
        <f t="shared" si="0"/>
        <v>-1.035375999999999</v>
      </c>
      <c r="F23" s="100">
        <f t="shared" si="0"/>
        <v>3.9589599999989566E-2</v>
      </c>
      <c r="G23" s="34">
        <f t="shared" si="0"/>
        <v>0.45803499999998998</v>
      </c>
      <c r="H23" s="34">
        <f t="shared" si="0"/>
        <v>0.51866126341146845</v>
      </c>
      <c r="I23" s="34">
        <f t="shared" si="0"/>
        <v>0.47652747864852518</v>
      </c>
      <c r="J23" s="34">
        <f t="shared" si="0"/>
        <v>0.5664024104968135</v>
      </c>
      <c r="K23" s="34">
        <f t="shared" si="0"/>
        <v>0.53387943039686636</v>
      </c>
      <c r="L23" s="34">
        <f t="shared" si="0"/>
        <v>0.52705538088937409</v>
      </c>
      <c r="M23" s="34">
        <f t="shared" si="0"/>
        <v>0.56542265247776502</v>
      </c>
      <c r="N23" s="34">
        <f>100*(N22/M22-1)</f>
        <v>2.0333752408265848</v>
      </c>
      <c r="O23" s="34">
        <f t="shared" si="0"/>
        <v>1.591549010968718</v>
      </c>
      <c r="P23" s="34">
        <f t="shared" si="0"/>
        <v>1.3042317666273284</v>
      </c>
      <c r="Q23" s="34">
        <f t="shared" si="0"/>
        <v>1.508807857816441</v>
      </c>
      <c r="R23" s="34">
        <f t="shared" si="0"/>
        <v>1.7133903082232615</v>
      </c>
      <c r="S23" s="34">
        <f t="shared" si="0"/>
        <v>1.3750050000000069</v>
      </c>
      <c r="T23" s="34">
        <f t="shared" si="0"/>
        <v>1.4239539999999939</v>
      </c>
      <c r="U23" s="34">
        <f>100*(U22/T22-1)</f>
        <v>1.4860419999999985</v>
      </c>
      <c r="V23" s="34">
        <f>100*(V22/U22-1)</f>
        <v>1.5330819999999967</v>
      </c>
      <c r="W23" s="34">
        <f>100*(W22/V22-1)</f>
        <v>1.4883030000000019</v>
      </c>
      <c r="X23" s="1"/>
      <c r="Y23" s="1"/>
      <c r="Z23" s="1"/>
      <c r="AA23" s="1"/>
      <c r="AB23" s="1"/>
      <c r="AC23" s="1"/>
      <c r="AD23" s="1"/>
      <c r="AE23" s="1"/>
      <c r="AF23" s="1"/>
      <c r="AG23" s="1"/>
      <c r="AH23" s="1"/>
      <c r="AI23" s="1"/>
      <c r="AJ23" s="1"/>
      <c r="AK23" s="1"/>
      <c r="AL23" s="1"/>
      <c r="AM23" s="1"/>
      <c r="AN23" s="1"/>
      <c r="AO23" s="1"/>
      <c r="AP23" s="1"/>
      <c r="AQ23" s="1"/>
      <c r="AR23" s="1"/>
      <c r="AS23" s="1"/>
      <c r="AT23" s="1"/>
      <c r="AU23" s="1"/>
      <c r="AV23" s="1"/>
      <c r="AW23" s="1"/>
      <c r="AX23" s="1"/>
    </row>
    <row r="24" spans="1:50" ht="5.25" customHeight="1" x14ac:dyDescent="0.2">
      <c r="C24" s="34"/>
      <c r="D24" s="34"/>
      <c r="E24" s="34"/>
      <c r="F24" s="34"/>
      <c r="G24" s="34"/>
      <c r="H24" s="34"/>
      <c r="I24" s="34"/>
      <c r="J24" s="34"/>
      <c r="K24" s="34"/>
      <c r="L24" s="34"/>
      <c r="M24" s="34"/>
      <c r="N24" s="34"/>
      <c r="O24" s="34"/>
      <c r="P24" s="34"/>
      <c r="Q24" s="34"/>
      <c r="R24" s="34"/>
      <c r="S24" s="34"/>
      <c r="T24" s="34"/>
      <c r="U24" s="34"/>
      <c r="V24" s="34"/>
      <c r="W24" s="34"/>
      <c r="X24" s="34"/>
      <c r="Y24" s="34"/>
      <c r="Z24" s="34"/>
      <c r="AA24" s="34"/>
      <c r="AB24" s="34"/>
      <c r="AC24" s="34"/>
      <c r="AD24" s="34"/>
      <c r="AE24" s="34"/>
      <c r="AF24" s="34"/>
      <c r="AG24" s="34"/>
      <c r="AH24" s="34"/>
      <c r="AI24" s="34"/>
      <c r="AJ24" s="34"/>
      <c r="AK24" s="34"/>
      <c r="AL24" s="34"/>
      <c r="AM24" s="34"/>
      <c r="AN24" s="34"/>
      <c r="AO24" s="34"/>
      <c r="AP24" s="34"/>
      <c r="AQ24" s="34"/>
      <c r="AR24" s="34"/>
      <c r="AS24" s="34"/>
      <c r="AT24" s="34"/>
      <c r="AU24" s="34"/>
      <c r="AV24" s="34"/>
    </row>
    <row r="25" spans="1:50" x14ac:dyDescent="0.2">
      <c r="B25" s="30" t="s">
        <v>90</v>
      </c>
    </row>
    <row r="26" spans="1:50" x14ac:dyDescent="0.2">
      <c r="B26" s="26" t="s">
        <v>61</v>
      </c>
      <c r="C26" s="34">
        <f>'Input data'!C34</f>
        <v>231.15090000000001</v>
      </c>
      <c r="D26" s="100">
        <f>+C26*(1+'Input data'!D33/100)</f>
        <v>233.97713813562902</v>
      </c>
      <c r="E26" s="100">
        <f>+D26*(1+'Input data'!E33/100)</f>
        <v>236.531302768659</v>
      </c>
      <c r="F26" s="100">
        <f>+E26*(1+'Input data'!F33/100)</f>
        <v>238.0217037741894</v>
      </c>
      <c r="G26" s="34">
        <f>+F26*(1+'Input data'!G33/100)</f>
        <v>239.52552870698202</v>
      </c>
      <c r="H26" s="34">
        <f>+G26*(1+'Input data'!H33/100)</f>
        <v>241.16563377590157</v>
      </c>
      <c r="I26" s="34">
        <f>+H26*(1+'Input data'!I33/100)</f>
        <v>242.58008299977581</v>
      </c>
      <c r="J26" s="34">
        <f>+I26*(1+'Input data'!J33/100)</f>
        <v>244.12752876078073</v>
      </c>
      <c r="K26" s="34">
        <f>+J26*(1+'Input data'!K33/100)</f>
        <v>245.54683836400028</v>
      </c>
      <c r="L26" s="34">
        <f>+K26*(1+'Input data'!L33/100)</f>
        <v>246.91806349839558</v>
      </c>
      <c r="M26" s="34">
        <f>+L26*(1+'Input data'!M33/100)</f>
        <v>248.36415543386613</v>
      </c>
      <c r="N26" s="34">
        <f>+M26*(1+'Input data'!N33/100)</f>
        <v>249.99905992456323</v>
      </c>
      <c r="O26" s="34">
        <f>+N26*(1+'Input data'!O33/100)</f>
        <v>251.71018449019431</v>
      </c>
      <c r="P26" s="34">
        <f>+O26*(1+'Input data'!P33/100)</f>
        <v>253.9501091209801</v>
      </c>
      <c r="Q26" s="34">
        <f>+P26*(1+'Input data'!Q33/100)</f>
        <v>256.73165767969641</v>
      </c>
      <c r="R26" s="34">
        <f>+Q26*(1+'Input data'!R33/100)</f>
        <v>260.07107674574905</v>
      </c>
      <c r="S26" s="34">
        <f>+R26*(1+'Input data'!S33/100)</f>
        <v>263.64707745740003</v>
      </c>
      <c r="T26" s="34">
        <f>+S26*(1+'Input data'!T33/100)</f>
        <v>267.40128528979625</v>
      </c>
      <c r="U26" s="34">
        <f>+T26*(1+'Input data'!U33/100)</f>
        <v>271.37498337175526</v>
      </c>
      <c r="V26" s="34">
        <f>+U26*(1+'Input data'!V33/100)</f>
        <v>275.53537353933132</v>
      </c>
      <c r="W26" s="34">
        <f>+V26*(1+'Input data'!W33/100)</f>
        <v>279.63617201442469</v>
      </c>
      <c r="X26" s="34"/>
      <c r="Y26" s="34"/>
      <c r="Z26" s="34"/>
      <c r="AA26" s="34"/>
      <c r="AB26" s="34"/>
      <c r="AC26" s="34"/>
      <c r="AD26" s="34"/>
      <c r="AE26" s="34"/>
      <c r="AF26" s="34"/>
      <c r="AG26" s="34"/>
      <c r="AH26" s="34"/>
      <c r="AI26" s="34"/>
      <c r="AJ26" s="34"/>
      <c r="AK26" s="34"/>
      <c r="AL26" s="34"/>
      <c r="AM26" s="34"/>
      <c r="AN26" s="34"/>
      <c r="AO26" s="34"/>
      <c r="AP26" s="34"/>
      <c r="AQ26" s="34"/>
      <c r="AR26" s="34"/>
      <c r="AS26" s="34"/>
      <c r="AT26" s="34"/>
      <c r="AU26" s="34"/>
      <c r="AV26" s="34"/>
    </row>
    <row r="27" spans="1:50" ht="5.25" customHeight="1" x14ac:dyDescent="0.2">
      <c r="C27" s="34"/>
      <c r="D27" s="34"/>
      <c r="E27" s="34"/>
      <c r="F27" s="34"/>
      <c r="G27" s="34"/>
      <c r="H27" s="34"/>
      <c r="I27" s="34"/>
      <c r="J27" s="34"/>
      <c r="K27" s="34"/>
      <c r="L27" s="34"/>
      <c r="M27" s="34"/>
      <c r="N27" s="34"/>
      <c r="O27" s="34"/>
      <c r="P27" s="34"/>
      <c r="Q27" s="34"/>
      <c r="R27" s="34"/>
      <c r="S27" s="34"/>
      <c r="T27" s="34"/>
      <c r="U27" s="34"/>
      <c r="V27" s="34"/>
      <c r="W27" s="34"/>
      <c r="X27" s="34"/>
      <c r="Y27" s="34"/>
      <c r="Z27" s="34"/>
      <c r="AA27" s="34"/>
      <c r="AB27" s="34"/>
      <c r="AC27" s="34"/>
      <c r="AD27" s="34"/>
      <c r="AE27" s="34"/>
      <c r="AF27" s="34"/>
      <c r="AG27" s="34"/>
      <c r="AH27" s="34"/>
      <c r="AI27" s="34"/>
      <c r="AJ27" s="34"/>
      <c r="AK27" s="34"/>
      <c r="AL27" s="34"/>
      <c r="AM27" s="34"/>
      <c r="AN27" s="34"/>
      <c r="AO27" s="34"/>
      <c r="AP27" s="34"/>
      <c r="AQ27" s="34"/>
      <c r="AR27" s="34"/>
      <c r="AS27" s="34"/>
      <c r="AT27" s="34"/>
      <c r="AU27" s="34"/>
      <c r="AV27" s="34"/>
    </row>
    <row r="28" spans="1:50" x14ac:dyDescent="0.2">
      <c r="B28" s="30" t="s">
        <v>91</v>
      </c>
      <c r="C28" s="34"/>
      <c r="D28" s="34"/>
      <c r="E28" s="34"/>
      <c r="F28" s="34"/>
      <c r="G28" s="34"/>
      <c r="H28" s="34"/>
      <c r="I28" s="34"/>
      <c r="J28" s="34"/>
      <c r="K28" s="34"/>
      <c r="L28" s="34"/>
      <c r="M28" s="34"/>
      <c r="N28" s="34"/>
      <c r="O28" s="34"/>
      <c r="P28" s="34"/>
      <c r="Q28" s="34"/>
      <c r="R28" s="34"/>
      <c r="S28" s="34"/>
      <c r="T28" s="34"/>
      <c r="U28" s="34"/>
      <c r="V28" s="34"/>
      <c r="W28" s="34"/>
      <c r="X28" s="34"/>
      <c r="Y28" s="34"/>
      <c r="Z28" s="34"/>
      <c r="AA28" s="34"/>
      <c r="AB28" s="34"/>
      <c r="AC28" s="34"/>
      <c r="AD28" s="34"/>
      <c r="AE28" s="34"/>
      <c r="AF28" s="34"/>
      <c r="AG28" s="34"/>
      <c r="AH28" s="34"/>
      <c r="AI28" s="34"/>
      <c r="AJ28" s="34"/>
      <c r="AK28" s="34"/>
      <c r="AL28" s="34"/>
      <c r="AM28" s="34"/>
      <c r="AN28" s="34"/>
      <c r="AO28" s="34"/>
      <c r="AP28" s="34"/>
      <c r="AQ28" s="34"/>
      <c r="AR28" s="34"/>
      <c r="AS28" s="34"/>
      <c r="AT28" s="34"/>
      <c r="AU28" s="34"/>
      <c r="AV28" s="34"/>
    </row>
    <row r="29" spans="1:50" x14ac:dyDescent="0.2">
      <c r="B29" s="26" t="s">
        <v>91</v>
      </c>
      <c r="C29" s="34">
        <f t="shared" ref="C29:T29" si="1">100*(C22/C26-1)</f>
        <v>-0.25736434510962303</v>
      </c>
      <c r="D29" s="100">
        <f t="shared" si="1"/>
        <v>-0.14622746557002575</v>
      </c>
      <c r="E29" s="100">
        <f t="shared" si="1"/>
        <v>-2.2471884779047602</v>
      </c>
      <c r="F29" s="100">
        <f t="shared" si="1"/>
        <v>-2.8208216278374221</v>
      </c>
      <c r="G29" s="34">
        <f t="shared" si="1"/>
        <v>-2.9886263888378117</v>
      </c>
      <c r="H29" s="34">
        <f t="shared" si="1"/>
        <v>-3.1486370849127199</v>
      </c>
      <c r="I29" s="34">
        <f t="shared" si="1"/>
        <v>-3.2545310301944852</v>
      </c>
      <c r="J29" s="34">
        <f t="shared" si="1"/>
        <v>-3.3232741207567695</v>
      </c>
      <c r="K29" s="34">
        <f t="shared" si="1"/>
        <v>-3.3689310624199109</v>
      </c>
      <c r="L29" s="34">
        <f t="shared" si="1"/>
        <v>-3.3990873423939694</v>
      </c>
      <c r="M29" s="34">
        <f t="shared" si="1"/>
        <v>-3.418519713403767</v>
      </c>
      <c r="N29" s="34">
        <f t="shared" si="1"/>
        <v>-2.099107132403788</v>
      </c>
      <c r="O29" s="34">
        <f t="shared" si="1"/>
        <v>-1.2170884491397249</v>
      </c>
      <c r="P29" s="34">
        <f t="shared" si="1"/>
        <v>-0.81139229942649438</v>
      </c>
      <c r="Q29" s="34">
        <f t="shared" si="1"/>
        <v>-0.40569614971323054</v>
      </c>
      <c r="R29" s="34">
        <f t="shared" si="1"/>
        <v>0</v>
      </c>
      <c r="S29" s="34">
        <f t="shared" si="1"/>
        <v>-3.9457456524338852E-6</v>
      </c>
      <c r="T29" s="34">
        <f t="shared" si="1"/>
        <v>-1.9738249368295158E-6</v>
      </c>
      <c r="U29" s="34">
        <f>100*(U22/U26-1)</f>
        <v>-2.9591820771557309E-6</v>
      </c>
      <c r="V29" s="34">
        <f>100*(V22/V26-1)</f>
        <v>9.804206113628311E-7</v>
      </c>
      <c r="W29" s="34">
        <f>100*(W22/W26-1)</f>
        <v>1.9657558691932309E-6</v>
      </c>
      <c r="X29" s="34"/>
      <c r="Y29" s="34"/>
      <c r="Z29" s="34"/>
      <c r="AA29" s="34"/>
      <c r="AB29" s="34"/>
      <c r="AC29" s="34"/>
      <c r="AD29" s="34"/>
      <c r="AE29" s="34"/>
      <c r="AF29" s="34"/>
      <c r="AG29" s="34"/>
      <c r="AH29" s="34"/>
      <c r="AI29" s="34"/>
      <c r="AJ29" s="34"/>
      <c r="AK29" s="34"/>
      <c r="AL29" s="34"/>
      <c r="AM29" s="34"/>
      <c r="AN29" s="34"/>
      <c r="AO29" s="34"/>
      <c r="AP29" s="34"/>
      <c r="AQ29" s="34"/>
      <c r="AR29" s="34"/>
      <c r="AS29" s="34"/>
      <c r="AT29" s="34"/>
      <c r="AU29" s="34"/>
      <c r="AV29" s="34"/>
    </row>
    <row r="30" spans="1:50" ht="5.25" customHeight="1" x14ac:dyDescent="0.2">
      <c r="C30" s="34"/>
      <c r="D30" s="34"/>
      <c r="E30" s="34"/>
      <c r="F30" s="34"/>
      <c r="G30" s="34"/>
      <c r="H30" s="34"/>
      <c r="I30" s="34"/>
      <c r="J30" s="34"/>
      <c r="K30" s="34"/>
      <c r="L30" s="34"/>
      <c r="M30" s="34"/>
      <c r="N30" s="34"/>
      <c r="O30" s="34"/>
      <c r="P30" s="34"/>
      <c r="Q30" s="34"/>
      <c r="R30" s="34"/>
      <c r="S30" s="34"/>
      <c r="T30" s="34"/>
      <c r="U30" s="34"/>
      <c r="V30" s="34"/>
      <c r="W30" s="34"/>
      <c r="X30" s="34"/>
      <c r="Y30" s="34"/>
      <c r="Z30" s="34"/>
      <c r="AA30" s="34"/>
      <c r="AB30" s="34"/>
      <c r="AC30" s="34"/>
      <c r="AD30" s="34"/>
      <c r="AE30" s="34"/>
      <c r="AF30" s="34"/>
      <c r="AG30" s="34"/>
      <c r="AH30" s="34"/>
      <c r="AI30" s="34"/>
      <c r="AJ30" s="34"/>
      <c r="AK30" s="34"/>
      <c r="AL30" s="34"/>
      <c r="AM30" s="34"/>
      <c r="AN30" s="34"/>
      <c r="AO30" s="34"/>
      <c r="AP30" s="34"/>
      <c r="AQ30" s="34"/>
      <c r="AR30" s="34"/>
      <c r="AS30" s="34"/>
      <c r="AT30" s="34"/>
      <c r="AU30" s="34"/>
      <c r="AV30" s="34"/>
    </row>
    <row r="31" spans="1:50" x14ac:dyDescent="0.2">
      <c r="B31" s="30" t="s">
        <v>92</v>
      </c>
      <c r="C31" s="34"/>
      <c r="D31" s="34"/>
      <c r="E31" s="34"/>
      <c r="F31" s="34"/>
      <c r="G31" s="34"/>
      <c r="H31" s="34"/>
      <c r="I31" s="34"/>
      <c r="J31" s="34"/>
      <c r="K31" s="34"/>
      <c r="L31" s="34"/>
      <c r="M31" s="34"/>
      <c r="N31" s="34"/>
      <c r="O31" s="34"/>
      <c r="P31" s="34"/>
      <c r="Q31" s="34"/>
      <c r="R31" s="34"/>
      <c r="S31" s="34"/>
      <c r="T31" s="34"/>
      <c r="U31" s="34"/>
      <c r="V31" s="34"/>
      <c r="W31" s="34"/>
      <c r="X31" s="34"/>
      <c r="Y31" s="34"/>
      <c r="Z31" s="34"/>
      <c r="AA31" s="34"/>
      <c r="AB31" s="34"/>
      <c r="AC31" s="34"/>
      <c r="AD31" s="34"/>
      <c r="AE31" s="34"/>
      <c r="AF31" s="34"/>
      <c r="AG31" s="34"/>
      <c r="AH31" s="34"/>
      <c r="AI31" s="34"/>
      <c r="AJ31" s="34"/>
      <c r="AK31" s="34"/>
      <c r="AL31" s="34"/>
      <c r="AM31" s="34"/>
      <c r="AN31" s="34"/>
      <c r="AO31" s="34"/>
      <c r="AP31" s="34"/>
      <c r="AQ31" s="34"/>
      <c r="AR31" s="34"/>
      <c r="AS31" s="34"/>
      <c r="AT31" s="34"/>
      <c r="AU31" s="34"/>
      <c r="AV31" s="34"/>
    </row>
    <row r="32" spans="1:50" x14ac:dyDescent="0.2">
      <c r="B32" s="26" t="s">
        <v>60</v>
      </c>
      <c r="C32" s="1">
        <f t="shared" ref="C32:W32" si="2">100*((1+C23/100)*(1+C41/100)-1)</f>
        <v>5.3041963643644108</v>
      </c>
      <c r="D32" s="2">
        <f t="shared" si="2"/>
        <v>6.7911638456366497</v>
      </c>
      <c r="E32" s="2">
        <f t="shared" si="2"/>
        <v>3.7125418942078214</v>
      </c>
      <c r="F32" s="2">
        <f t="shared" si="2"/>
        <v>1.8403042135917813</v>
      </c>
      <c r="G32" s="1">
        <f t="shared" si="2"/>
        <v>2.5927300696966915</v>
      </c>
      <c r="H32" s="1">
        <f t="shared" si="2"/>
        <v>2.7080499316002982</v>
      </c>
      <c r="I32" s="1">
        <f t="shared" si="2"/>
        <v>2.7183813622055242</v>
      </c>
      <c r="J32" s="1">
        <f t="shared" si="2"/>
        <v>2.8636922810410192</v>
      </c>
      <c r="K32" s="1">
        <f t="shared" si="2"/>
        <v>2.8838397606453015</v>
      </c>
      <c r="L32" s="1">
        <f t="shared" si="2"/>
        <v>2.9302659734833592</v>
      </c>
      <c r="M32" s="1">
        <f t="shared" si="2"/>
        <v>3.0229806148325489</v>
      </c>
      <c r="N32" s="1">
        <f t="shared" si="2"/>
        <v>4.5810162322856618</v>
      </c>
      <c r="O32" s="1">
        <f t="shared" si="2"/>
        <v>4.1821335107484314</v>
      </c>
      <c r="P32" s="1">
        <f t="shared" si="2"/>
        <v>3.859631012940512</v>
      </c>
      <c r="Q32" s="1">
        <f t="shared" si="2"/>
        <v>4.0414526138689677</v>
      </c>
      <c r="R32" s="1">
        <f t="shared" si="2"/>
        <v>4.2231682140786653</v>
      </c>
      <c r="S32" s="1">
        <f t="shared" si="2"/>
        <v>3.8485551219999969</v>
      </c>
      <c r="T32" s="1">
        <f t="shared" si="2"/>
        <v>3.8708068902499893</v>
      </c>
      <c r="U32" s="1">
        <f t="shared" si="2"/>
        <v>3.9064841016999807</v>
      </c>
      <c r="V32" s="1">
        <f t="shared" si="2"/>
        <v>3.9267244081499841</v>
      </c>
      <c r="W32" s="1">
        <f t="shared" si="2"/>
        <v>3.8529804599000128</v>
      </c>
      <c r="X32" s="1"/>
      <c r="Y32" s="1"/>
      <c r="Z32" s="1"/>
      <c r="AA32" s="1"/>
      <c r="AB32" s="1"/>
      <c r="AC32" s="1"/>
      <c r="AD32" s="1"/>
      <c r="AE32" s="1"/>
      <c r="AF32" s="1"/>
      <c r="AG32" s="1"/>
      <c r="AH32" s="1"/>
      <c r="AI32" s="1"/>
      <c r="AJ32" s="1"/>
      <c r="AK32" s="1"/>
      <c r="AL32" s="1"/>
      <c r="AM32" s="1"/>
      <c r="AN32" s="1"/>
      <c r="AO32" s="1"/>
      <c r="AP32" s="1"/>
      <c r="AQ32" s="1"/>
      <c r="AR32" s="1"/>
      <c r="AS32" s="1"/>
      <c r="AT32" s="1"/>
      <c r="AU32" s="1"/>
      <c r="AV32" s="1"/>
      <c r="AW32" s="1"/>
      <c r="AX32" s="1"/>
    </row>
    <row r="34" spans="2:51" x14ac:dyDescent="0.2">
      <c r="B34" s="28" t="s">
        <v>141</v>
      </c>
    </row>
    <row r="35" spans="2:51" x14ac:dyDescent="0.2">
      <c r="B35" s="26" t="s">
        <v>63</v>
      </c>
      <c r="C35" s="34">
        <f>'Input data'!C37</f>
        <v>0.73297140000000005</v>
      </c>
      <c r="D35" s="100">
        <f>'Input data'!D37</f>
        <v>0.83926920000000005</v>
      </c>
      <c r="E35" s="100">
        <f>'Input data'!E37</f>
        <v>1.5804370000000001</v>
      </c>
      <c r="F35" s="100">
        <f>'Input data'!F37</f>
        <v>1.6625099999999999</v>
      </c>
      <c r="G35" s="100">
        <f>'Input data'!G37</f>
        <v>1.8895660000000001</v>
      </c>
      <c r="H35" s="34">
        <f t="shared" ref="H35:W35" si="3">H92</f>
        <v>1.9756481083374133</v>
      </c>
      <c r="I35" s="34">
        <f t="shared" si="3"/>
        <v>2.0402071271644862</v>
      </c>
      <c r="J35" s="34">
        <f t="shared" si="3"/>
        <v>2.0854652071440771</v>
      </c>
      <c r="K35" s="34">
        <f t="shared" si="3"/>
        <v>2.1129298775510885</v>
      </c>
      <c r="L35" s="34">
        <f t="shared" si="3"/>
        <v>2.1247564401990524</v>
      </c>
      <c r="M35" s="34">
        <f t="shared" si="3"/>
        <v>2.1177128995136347</v>
      </c>
      <c r="N35" s="34">
        <f t="shared" si="3"/>
        <v>2.0931499581848727</v>
      </c>
      <c r="O35" s="34">
        <f t="shared" si="3"/>
        <v>2.0931499581848727</v>
      </c>
      <c r="P35" s="34">
        <f t="shared" si="3"/>
        <v>2.0931499581848727</v>
      </c>
      <c r="Q35" s="34">
        <f t="shared" si="3"/>
        <v>2.0931499581848727</v>
      </c>
      <c r="R35" s="34">
        <f t="shared" si="3"/>
        <v>2.0931499581848727</v>
      </c>
      <c r="S35" s="34">
        <f t="shared" si="3"/>
        <v>2.0931499581848727</v>
      </c>
      <c r="T35" s="34">
        <f t="shared" si="3"/>
        <v>2.0931499581848727</v>
      </c>
      <c r="U35" s="34">
        <f t="shared" si="3"/>
        <v>3.4619659999999999</v>
      </c>
      <c r="V35" s="34">
        <f t="shared" si="3"/>
        <v>3.500397</v>
      </c>
      <c r="W35" s="34">
        <f t="shared" si="3"/>
        <v>3.5388280000000001</v>
      </c>
    </row>
    <row r="36" spans="2:51" x14ac:dyDescent="0.2">
      <c r="B36" s="32" t="s">
        <v>94</v>
      </c>
      <c r="C36" s="1"/>
      <c r="D36" s="2">
        <f>'Input data'!D$39</f>
        <v>1.69</v>
      </c>
      <c r="E36" s="2">
        <f>'Input data'!E$39</f>
        <v>3.04</v>
      </c>
      <c r="F36" s="165">
        <f>'Input data'!F$39</f>
        <v>2.9418000000000002</v>
      </c>
      <c r="G36" s="165">
        <f>'Input data'!G$39</f>
        <v>3.0140359999999999</v>
      </c>
      <c r="H36" s="1">
        <f t="shared" ref="H36:N36" si="4">G36+($O$36-$G$36)/($O$10-$G$10)</f>
        <v>3.041204</v>
      </c>
      <c r="I36" s="1">
        <f t="shared" si="4"/>
        <v>3.0683720000000001</v>
      </c>
      <c r="J36" s="1">
        <f t="shared" si="4"/>
        <v>3.0955400000000002</v>
      </c>
      <c r="K36" s="1">
        <f t="shared" si="4"/>
        <v>3.1227080000000003</v>
      </c>
      <c r="L36" s="1">
        <f t="shared" si="4"/>
        <v>3.1498760000000003</v>
      </c>
      <c r="M36" s="1">
        <f t="shared" si="4"/>
        <v>3.1770440000000004</v>
      </c>
      <c r="N36" s="1">
        <f t="shared" si="4"/>
        <v>3.2042120000000005</v>
      </c>
      <c r="O36" s="251">
        <f>'Input data'!$C$52</f>
        <v>3.2313800000000001</v>
      </c>
      <c r="P36" s="1">
        <f>'Baseline NFPC'!P36</f>
        <v>3.2698110000000002</v>
      </c>
      <c r="Q36" s="1">
        <f>'Baseline NFPC'!Q36</f>
        <v>3.3082419999999999</v>
      </c>
      <c r="R36" s="1">
        <f>'Baseline NFPC'!R36</f>
        <v>3.346673</v>
      </c>
      <c r="S36" s="1">
        <f>'Baseline NFPC'!S36</f>
        <v>3.3851040000000001</v>
      </c>
      <c r="T36" s="1">
        <f>'Baseline NFPC'!T36</f>
        <v>3.4235350000000002</v>
      </c>
      <c r="U36" s="1">
        <f>'Baseline NFPC'!U36</f>
        <v>3.4619660000000003</v>
      </c>
      <c r="V36" s="1">
        <f>'Baseline NFPC'!V36</f>
        <v>3.500397</v>
      </c>
      <c r="W36" s="1">
        <f>'Baseline NFPC'!W36</f>
        <v>3.5388280000000001</v>
      </c>
      <c r="X36" s="59"/>
      <c r="Y36" s="59"/>
      <c r="Z36" s="59"/>
      <c r="AA36" s="59"/>
      <c r="AB36" s="59"/>
      <c r="AC36" s="59"/>
      <c r="AD36" s="59"/>
      <c r="AE36" s="59"/>
      <c r="AF36" s="59"/>
      <c r="AG36" s="59"/>
      <c r="AH36" s="59"/>
      <c r="AI36" s="59"/>
      <c r="AJ36" s="59"/>
      <c r="AK36" s="59"/>
      <c r="AL36" s="59"/>
      <c r="AM36" s="59"/>
      <c r="AN36" s="59"/>
      <c r="AO36" s="59"/>
      <c r="AP36" s="59"/>
      <c r="AQ36" s="59"/>
      <c r="AR36" s="59"/>
      <c r="AS36" s="59"/>
      <c r="AT36" s="59"/>
      <c r="AU36" s="59"/>
      <c r="AV36" s="59"/>
      <c r="AW36" s="59"/>
      <c r="AX36" s="59"/>
      <c r="AY36" s="60"/>
    </row>
    <row r="37" spans="2:51" x14ac:dyDescent="0.2">
      <c r="B37" s="32" t="s">
        <v>95</v>
      </c>
      <c r="C37" s="1"/>
      <c r="D37" s="2">
        <f>'Input data'!D$38</f>
        <v>0.35</v>
      </c>
      <c r="E37" s="2">
        <f>'Input data'!E$38</f>
        <v>3.43</v>
      </c>
      <c r="F37" s="165">
        <f>'Input data'!F$38</f>
        <v>3.5642079999999998</v>
      </c>
      <c r="G37" s="165">
        <f>'Input data'!G$38</f>
        <v>2.8163749999999999</v>
      </c>
      <c r="H37" s="1">
        <f>G37+($O$37-$G$37)/($O$10-$G$10)</f>
        <v>2.8050893749999997</v>
      </c>
      <c r="I37" s="1">
        <f t="shared" ref="I37:N37" si="5">H37+($O$37-$G$37)/($O$10-$G$10)</f>
        <v>2.7938037499999995</v>
      </c>
      <c r="J37" s="1">
        <f t="shared" si="5"/>
        <v>2.7825181249999993</v>
      </c>
      <c r="K37" s="1">
        <f t="shared" si="5"/>
        <v>2.7712324999999991</v>
      </c>
      <c r="L37" s="1">
        <f t="shared" si="5"/>
        <v>2.7599468749999989</v>
      </c>
      <c r="M37" s="1">
        <f t="shared" si="5"/>
        <v>2.7486612499999987</v>
      </c>
      <c r="N37" s="1">
        <f t="shared" si="5"/>
        <v>2.7373756249999985</v>
      </c>
      <c r="O37" s="251">
        <f>'Input data'!$C$53</f>
        <v>2.7260900000000001</v>
      </c>
      <c r="P37" s="1">
        <f>'Baseline NFPC'!P37</f>
        <v>2.6897855000000002</v>
      </c>
      <c r="Q37" s="1">
        <f>'Baseline NFPC'!Q37</f>
        <v>2.6534810000000002</v>
      </c>
      <c r="R37" s="1">
        <f>'Baseline NFPC'!R37</f>
        <v>2.6171765000000002</v>
      </c>
      <c r="S37" s="1">
        <f>'Baseline NFPC'!S37</f>
        <v>2.5808720000000003</v>
      </c>
      <c r="T37" s="1">
        <f>'Baseline NFPC'!T37</f>
        <v>2.5445675000000003</v>
      </c>
      <c r="U37" s="1">
        <f>'Baseline NFPC'!U37</f>
        <v>2.5082629999999999</v>
      </c>
      <c r="V37" s="1">
        <f>'Baseline NFPC'!V37</f>
        <v>2.4719584999999999</v>
      </c>
      <c r="W37" s="1">
        <f>'Baseline NFPC'!W37</f>
        <v>2.435654</v>
      </c>
      <c r="X37" s="59"/>
      <c r="Y37" s="59"/>
      <c r="Z37" s="59"/>
      <c r="AA37" s="59"/>
      <c r="AB37" s="59"/>
      <c r="AC37" s="59"/>
      <c r="AD37" s="59"/>
      <c r="AE37" s="59"/>
      <c r="AF37" s="59"/>
      <c r="AG37" s="59"/>
      <c r="AH37" s="59"/>
      <c r="AI37" s="59"/>
      <c r="AJ37" s="59"/>
      <c r="AK37" s="59"/>
      <c r="AL37" s="59"/>
      <c r="AM37" s="59"/>
      <c r="AN37" s="59"/>
      <c r="AO37" s="59"/>
      <c r="AP37" s="59"/>
      <c r="AQ37" s="59"/>
      <c r="AR37" s="59"/>
      <c r="AS37" s="59"/>
      <c r="AT37" s="59"/>
      <c r="AU37" s="59"/>
      <c r="AV37" s="59"/>
      <c r="AW37" s="59"/>
      <c r="AX37" s="59"/>
      <c r="AY37" s="60"/>
    </row>
    <row r="38" spans="2:51" s="5" customFormat="1" ht="12.75" x14ac:dyDescent="0.2">
      <c r="B38" s="26" t="s">
        <v>96</v>
      </c>
      <c r="C38" s="34">
        <f>'Baseline NFPC'!C38</f>
        <v>6.1590999999999998E-3</v>
      </c>
      <c r="D38" s="34">
        <f>'Baseline NFPC'!D38</f>
        <v>4.1645340000000003E-2</v>
      </c>
      <c r="E38" s="34">
        <f>'Baseline NFPC'!E38</f>
        <v>3.9429850000000002E-2</v>
      </c>
      <c r="F38" s="34">
        <f>'Baseline NFPC'!F38</f>
        <v>3.1775579999999998E-2</v>
      </c>
      <c r="G38" s="34">
        <f>'Baseline NFPC'!G38</f>
        <v>3.2450447777777773E-2</v>
      </c>
      <c r="H38" s="34">
        <f>'Baseline NFPC'!H38</f>
        <v>3.3125315555555555E-2</v>
      </c>
      <c r="I38" s="34">
        <f>'Baseline NFPC'!I38</f>
        <v>3.3800183333333331E-2</v>
      </c>
      <c r="J38" s="34">
        <f>'Baseline NFPC'!J38</f>
        <v>3.4475051111111106E-2</v>
      </c>
      <c r="K38" s="34">
        <f>'Baseline NFPC'!K38</f>
        <v>3.5149918888888888E-2</v>
      </c>
      <c r="L38" s="34">
        <f>'Baseline NFPC'!L38</f>
        <v>3.5824786666666664E-2</v>
      </c>
      <c r="M38" s="34">
        <f>'Baseline NFPC'!M38</f>
        <v>3.6499654444444439E-2</v>
      </c>
      <c r="N38" s="34">
        <f>'Baseline NFPC'!N38</f>
        <v>3.7174522222222221E-2</v>
      </c>
      <c r="O38" s="34">
        <f>'Baseline NFPC'!O38</f>
        <v>3.7849389999999997E-2</v>
      </c>
      <c r="P38" s="34">
        <f>'Baseline NFPC'!P38</f>
        <v>3.7849389999999997E-2</v>
      </c>
      <c r="Q38" s="34">
        <f>'Baseline NFPC'!Q38</f>
        <v>3.7849389999999997E-2</v>
      </c>
      <c r="R38" s="34">
        <f>'Baseline NFPC'!R38</f>
        <v>3.7849389999999997E-2</v>
      </c>
      <c r="S38" s="34">
        <f>'Baseline NFPC'!S38</f>
        <v>3.7849389999999997E-2</v>
      </c>
      <c r="T38" s="34">
        <f>'Baseline NFPC'!T38</f>
        <v>3.7849389999999997E-2</v>
      </c>
      <c r="U38" s="34">
        <f>'Baseline NFPC'!U38</f>
        <v>3.7849389999999997E-2</v>
      </c>
      <c r="V38" s="34">
        <f>'Baseline NFPC'!V38</f>
        <v>3.7849389999999997E-2</v>
      </c>
      <c r="W38" s="34">
        <f>'Baseline NFPC'!W38</f>
        <v>3.7849389999999997E-2</v>
      </c>
    </row>
    <row r="39" spans="2:51" x14ac:dyDescent="0.2">
      <c r="C39" s="1"/>
      <c r="D39" s="1"/>
      <c r="E39" s="1"/>
      <c r="F39" s="1"/>
      <c r="G39" s="1"/>
      <c r="H39" s="1"/>
      <c r="I39" s="1"/>
      <c r="J39" s="1"/>
      <c r="K39" s="1"/>
      <c r="L39" s="1"/>
      <c r="M39" s="1"/>
      <c r="N39" s="1"/>
      <c r="O39" s="1"/>
      <c r="P39" s="1"/>
      <c r="Q39" s="1"/>
      <c r="R39" s="1"/>
      <c r="S39" s="1"/>
      <c r="T39" s="1"/>
      <c r="U39" s="1"/>
      <c r="V39" s="1"/>
      <c r="W39" s="1"/>
      <c r="X39" s="59"/>
      <c r="Y39" s="59"/>
      <c r="Z39" s="59"/>
      <c r="AA39" s="59"/>
      <c r="AB39" s="59"/>
      <c r="AC39" s="59"/>
      <c r="AD39" s="59"/>
      <c r="AE39" s="59"/>
      <c r="AF39" s="59"/>
      <c r="AG39" s="59"/>
      <c r="AH39" s="59"/>
      <c r="AI39" s="59"/>
      <c r="AJ39" s="59"/>
      <c r="AK39" s="59"/>
      <c r="AL39" s="59"/>
      <c r="AM39" s="59"/>
      <c r="AN39" s="59"/>
      <c r="AO39" s="59"/>
      <c r="AP39" s="59"/>
      <c r="AQ39" s="59"/>
      <c r="AR39" s="59"/>
      <c r="AS39" s="59"/>
      <c r="AT39" s="59"/>
      <c r="AU39" s="59"/>
      <c r="AV39" s="59"/>
      <c r="AW39" s="59"/>
      <c r="AX39" s="59"/>
      <c r="AY39" s="60"/>
    </row>
    <row r="40" spans="2:51" x14ac:dyDescent="0.2">
      <c r="B40" s="28" t="s">
        <v>97</v>
      </c>
      <c r="C40" s="1"/>
      <c r="D40" s="1"/>
      <c r="E40" s="1"/>
      <c r="F40" s="1"/>
      <c r="G40" s="1"/>
      <c r="H40" s="1"/>
      <c r="I40" s="1"/>
      <c r="J40" s="1"/>
      <c r="K40" s="1"/>
      <c r="L40" s="1"/>
      <c r="M40" s="1"/>
      <c r="N40" s="1"/>
      <c r="O40" s="1"/>
      <c r="P40" s="1"/>
      <c r="Q40" s="1"/>
      <c r="R40" s="1"/>
      <c r="S40" s="1"/>
      <c r="T40" s="1"/>
      <c r="U40" s="1"/>
      <c r="V40" s="1"/>
      <c r="W40" s="1"/>
      <c r="X40" s="59"/>
      <c r="Y40" s="59"/>
      <c r="Z40" s="59"/>
      <c r="AA40" s="59"/>
      <c r="AB40" s="59"/>
      <c r="AC40" s="59"/>
      <c r="AD40" s="59"/>
      <c r="AE40" s="59"/>
      <c r="AF40" s="59"/>
      <c r="AG40" s="59"/>
      <c r="AH40" s="59"/>
      <c r="AI40" s="59"/>
      <c r="AJ40" s="59"/>
      <c r="AK40" s="59"/>
      <c r="AL40" s="59"/>
      <c r="AM40" s="59"/>
      <c r="AN40" s="59"/>
      <c r="AO40" s="59"/>
      <c r="AP40" s="59"/>
      <c r="AQ40" s="59"/>
      <c r="AR40" s="59"/>
      <c r="AS40" s="59"/>
      <c r="AT40" s="59"/>
      <c r="AU40" s="59"/>
      <c r="AV40" s="59"/>
      <c r="AW40" s="59"/>
      <c r="AX40" s="59"/>
      <c r="AY40" s="60"/>
    </row>
    <row r="41" spans="2:51" x14ac:dyDescent="0.2">
      <c r="B41" s="26" t="s">
        <v>142</v>
      </c>
      <c r="C41" s="1">
        <f>'Input data'!C42</f>
        <v>2.397958</v>
      </c>
      <c r="D41" s="2">
        <f>'Input data'!D42</f>
        <v>5.3837979999999996</v>
      </c>
      <c r="E41" s="2">
        <f>'Input data'!E42</f>
        <v>4.7975909999999997</v>
      </c>
      <c r="F41" s="2">
        <f>'Input data'!F42</f>
        <v>1.8000020000000001</v>
      </c>
      <c r="G41" s="2">
        <f>'Input data'!G42</f>
        <v>2.124962</v>
      </c>
      <c r="H41" s="1">
        <f>'Baseline NFPC'!H41</f>
        <v>2.1780917500000001</v>
      </c>
      <c r="I41" s="1">
        <f>'Baseline NFPC'!I41</f>
        <v>2.2312215000000002</v>
      </c>
      <c r="J41" s="1">
        <f>'Baseline NFPC'!J41</f>
        <v>2.2843512499999998</v>
      </c>
      <c r="K41" s="1">
        <f>'Baseline NFPC'!K41</f>
        <v>2.3374809999999999</v>
      </c>
      <c r="L41" s="1">
        <f>'Baseline NFPC'!L41</f>
        <v>2.39061075</v>
      </c>
      <c r="M41" s="1">
        <f>'Baseline NFPC'!M41</f>
        <v>2.4437404999999996</v>
      </c>
      <c r="N41" s="1">
        <f>'Baseline NFPC'!N41</f>
        <v>2.4968702499999997</v>
      </c>
      <c r="O41" s="251">
        <f>'Baseline NFPC'!O41</f>
        <v>2.5499999999999998</v>
      </c>
      <c r="P41" s="1">
        <f>'Baseline NFPC'!P41</f>
        <v>2.5225</v>
      </c>
      <c r="Q41" s="1">
        <f>'Baseline NFPC'!Q41</f>
        <v>2.4949999999999997</v>
      </c>
      <c r="R41" s="1">
        <f>'Baseline NFPC'!R41</f>
        <v>2.4674999999999998</v>
      </c>
      <c r="S41" s="1">
        <f>'Baseline NFPC'!S41</f>
        <v>2.44</v>
      </c>
      <c r="T41" s="1">
        <f>'Baseline NFPC'!T41</f>
        <v>2.4124999999999996</v>
      </c>
      <c r="U41" s="1">
        <f>'Baseline NFPC'!U41</f>
        <v>2.3849999999999998</v>
      </c>
      <c r="V41" s="1">
        <f>'Baseline NFPC'!V41</f>
        <v>2.3574999999999999</v>
      </c>
      <c r="W41" s="1">
        <f>'Baseline NFPC'!W41</f>
        <v>2.33</v>
      </c>
      <c r="X41" s="59"/>
      <c r="Y41" s="59"/>
      <c r="Z41" s="59"/>
      <c r="AA41" s="59"/>
      <c r="AB41" s="59"/>
      <c r="AC41" s="59"/>
      <c r="AD41" s="59"/>
      <c r="AE41" s="59"/>
      <c r="AF41" s="59"/>
      <c r="AG41" s="59"/>
      <c r="AH41" s="59"/>
      <c r="AI41" s="59"/>
      <c r="AJ41" s="59"/>
      <c r="AK41" s="59"/>
      <c r="AL41" s="59"/>
      <c r="AM41" s="59"/>
      <c r="AN41" s="59"/>
      <c r="AO41" s="59"/>
      <c r="AP41" s="59"/>
      <c r="AQ41" s="59"/>
      <c r="AR41" s="59"/>
      <c r="AS41" s="59"/>
      <c r="AT41" s="59"/>
      <c r="AU41" s="59"/>
      <c r="AV41" s="59"/>
      <c r="AW41" s="59"/>
      <c r="AX41" s="59"/>
      <c r="AY41" s="60"/>
    </row>
    <row r="42" spans="2:51" x14ac:dyDescent="0.2">
      <c r="B42" s="26" t="s">
        <v>98</v>
      </c>
      <c r="C42" s="1">
        <f>'Baseline NFPC'!C42</f>
        <v>0.99918229999999997</v>
      </c>
      <c r="D42" s="1">
        <f>'Baseline NFPC'!D42</f>
        <v>1.0048170000000001</v>
      </c>
      <c r="E42" s="1">
        <f>'Baseline NFPC'!E42</f>
        <v>0.99943179999999998</v>
      </c>
      <c r="F42" s="1">
        <f>'Baseline NFPC'!F42</f>
        <v>1.0001910000000001</v>
      </c>
      <c r="G42" s="1">
        <f>'Baseline NFPC'!G42</f>
        <v>1.000102</v>
      </c>
      <c r="H42" s="1">
        <f>'Baseline NFPC'!H42</f>
        <v>1</v>
      </c>
      <c r="I42" s="1">
        <f>'Baseline NFPC'!I42</f>
        <v>1</v>
      </c>
      <c r="J42" s="1">
        <f>'Baseline NFPC'!J42</f>
        <v>1</v>
      </c>
      <c r="K42" s="1">
        <f>'Baseline NFPC'!K42</f>
        <v>1</v>
      </c>
      <c r="L42" s="1">
        <f>'Baseline NFPC'!L42</f>
        <v>1</v>
      </c>
      <c r="M42" s="1">
        <f>'Baseline NFPC'!M42</f>
        <v>1</v>
      </c>
      <c r="N42" s="1">
        <f>'Baseline NFPC'!N42</f>
        <v>1</v>
      </c>
      <c r="O42" s="1">
        <f>'Baseline NFPC'!O42</f>
        <v>1</v>
      </c>
      <c r="P42" s="1">
        <f>'Baseline NFPC'!P42</f>
        <v>1</v>
      </c>
      <c r="Q42" s="1">
        <f>'Baseline NFPC'!Q42</f>
        <v>1</v>
      </c>
      <c r="R42" s="1">
        <f>'Baseline NFPC'!R42</f>
        <v>1</v>
      </c>
      <c r="S42" s="1">
        <f>'Baseline NFPC'!S42</f>
        <v>1</v>
      </c>
      <c r="T42" s="1">
        <f>'Baseline NFPC'!T42</f>
        <v>1</v>
      </c>
      <c r="U42" s="1">
        <f>'Baseline NFPC'!U42</f>
        <v>1</v>
      </c>
      <c r="V42" s="1">
        <f>'Baseline NFPC'!V42</f>
        <v>1</v>
      </c>
      <c r="W42" s="1">
        <f>'Baseline NFPC'!W42</f>
        <v>1</v>
      </c>
      <c r="X42" s="63"/>
      <c r="Y42" s="63"/>
      <c r="Z42" s="63"/>
      <c r="AA42" s="63"/>
      <c r="AB42" s="63"/>
      <c r="AC42" s="63"/>
      <c r="AD42" s="63"/>
      <c r="AE42" s="63"/>
      <c r="AF42" s="63"/>
      <c r="AG42" s="63"/>
      <c r="AH42" s="63"/>
      <c r="AI42" s="63"/>
      <c r="AJ42" s="63"/>
      <c r="AK42" s="63"/>
      <c r="AL42" s="63"/>
      <c r="AM42" s="63"/>
      <c r="AN42" s="63"/>
      <c r="AO42" s="63"/>
      <c r="AP42" s="63"/>
      <c r="AQ42" s="63"/>
      <c r="AR42" s="63"/>
      <c r="AS42" s="63"/>
      <c r="AT42" s="63"/>
      <c r="AU42" s="63"/>
      <c r="AV42" s="63"/>
      <c r="AW42" s="63"/>
      <c r="AX42" s="63"/>
      <c r="AY42" s="60"/>
    </row>
    <row r="43" spans="2:51" x14ac:dyDescent="0.2">
      <c r="C43" s="36"/>
      <c r="U43" s="1"/>
      <c r="V43" s="1"/>
      <c r="W43" s="1"/>
    </row>
    <row r="44" spans="2:51" s="67" customFormat="1" ht="12.75" x14ac:dyDescent="0.2">
      <c r="B44" s="75" t="s">
        <v>99</v>
      </c>
      <c r="C44" s="68"/>
    </row>
    <row r="45" spans="2:51" x14ac:dyDescent="0.2">
      <c r="C45" s="36"/>
    </row>
    <row r="46" spans="2:51" x14ac:dyDescent="0.2">
      <c r="B46" s="54" t="s">
        <v>68</v>
      </c>
      <c r="C46" s="55">
        <f>'Input data'!C49</f>
        <v>0.75</v>
      </c>
    </row>
    <row r="47" spans="2:51" x14ac:dyDescent="0.2">
      <c r="B47" s="56" t="s">
        <v>258</v>
      </c>
      <c r="C47" s="57">
        <f>'Input data'!C50</f>
        <v>0.58199999999999996</v>
      </c>
    </row>
    <row r="48" spans="2:51" x14ac:dyDescent="0.2">
      <c r="C48" s="58"/>
    </row>
    <row r="49" spans="2:48" outlineLevel="1" x14ac:dyDescent="0.2">
      <c r="B49" s="26" t="s">
        <v>100</v>
      </c>
      <c r="C49" s="34">
        <v>0</v>
      </c>
      <c r="D49" s="34">
        <f>IF(AND(ABS((D12-C12)-('Input data'!D13-'Input data'!C13))&gt;0.0001,ABS(D12-C12)&gt;0.0001,D$10&gt;$C$5),4,IF(C49=4,3,IF(C49=3,2,IF(C49=2,1,0))))</f>
        <v>0</v>
      </c>
      <c r="E49" s="34">
        <f>IF(AND(ABS((E12-D12)-('Input data'!E13-'Input data'!D13))&gt;0.0001,ABS(E12-D12)&gt;0.0001,E$10&gt;$C$5),4,IF(D49=4,3,IF(D49=3,2,IF(D49=2,1,0))))</f>
        <v>0</v>
      </c>
      <c r="F49" s="34">
        <f>IF(AND(ABS((F12-E12)-('Input data'!F13-'Input data'!E13))&gt;0.0001,ABS(F12-E12)&gt;0.0001,F$10&gt;$C$5),4,IF(E49=4,3,IF(E49=3,2,IF(E49=2,1,0))))</f>
        <v>0</v>
      </c>
      <c r="G49" s="34">
        <f>IF(AND(ABS((G12-F12)-('Input data'!G13-'Input data'!F13))&gt;0.0001,ABS(G12-F12)&gt;0.0001,G$10&gt;$C$5),4,IF(F49=4,3,IF(F49=3,2,IF(F49=2,1,0))))</f>
        <v>4</v>
      </c>
      <c r="H49" s="34">
        <f>IF(AND(ABS((H12-G12)-('Input data'!H13-'Input data'!G13))&gt;0.0001,ABS(H12-G12)&gt;0.0001,H$10&gt;$C$5),4,IF(G49=4,3,IF(G49=3,2,IF(G49=2,1,0))))</f>
        <v>4</v>
      </c>
      <c r="I49" s="34">
        <f>IF(AND(ABS((I12-H12)-('Input data'!I13-'Input data'!H13))&gt;0.0001,ABS(I12-H12)&gt;0.0001,I$10&gt;$C$5),4,IF(H49=4,3,IF(H49=3,2,IF(H49=2,1,0))))</f>
        <v>4</v>
      </c>
      <c r="J49" s="34">
        <f>IF(AND(ABS((J12-I12)-('Input data'!J13-'Input data'!I13))&gt;0.0001,ABS(J12-I12)&gt;0.0001,J$10&gt;$C$5),4,IF(I49=4,3,IF(I49=3,2,IF(I49=2,1,0))))</f>
        <v>4</v>
      </c>
      <c r="K49" s="34">
        <f>IF(AND(ABS((K12-J12)-('Input data'!K13-'Input data'!J13))&gt;0.0001,ABS(K12-J12)&gt;0.0001,K$10&gt;$C$5),4,IF(J49=4,3,IF(J49=3,2,IF(J49=2,1,0))))</f>
        <v>4</v>
      </c>
      <c r="L49" s="34">
        <f>IF(AND(ABS((L12-K12)-('Input data'!L13-'Input data'!K13))&gt;0.0001,ABS(L12-K12)&gt;0.0001,L$10&gt;$C$5),4,IF(K49=4,3,IF(K49=3,2,IF(K49=2,1,0))))</f>
        <v>4</v>
      </c>
      <c r="M49" s="34">
        <f>IF(AND(ABS((M12-L12)-('Input data'!M13-'Input data'!L13))&gt;0.0001,ABS(M12-L12)&gt;0.0001,M$10&gt;$C$5),4,IF(L49=4,3,IF(L49=3,2,IF(L49=2,1,0))))</f>
        <v>4</v>
      </c>
      <c r="N49" s="34">
        <f>IF(AND(ABS((N12-M12)-('Input data'!N13-'Input data'!M13))&gt;0.0001,ABS(N12-M12)&gt;0.0001,N$10&gt;$C$5),4,IF(M49=4,3,IF(M49=3,2,IF(M49=2,1,0))))</f>
        <v>4</v>
      </c>
      <c r="O49" s="34">
        <f>IF(AND(ABS((O12-N12)-('Input data'!O13-'Input data'!N13))&gt;0.0001,ABS(O12-N12)&gt;0.0001,O$10&gt;$C$5),4,IF(N49=4,3,IF(N49=3,2,IF(N49=2,1,0))))</f>
        <v>4</v>
      </c>
      <c r="P49" s="34">
        <f>IF(AND(ABS((P12-O12)-('Input data'!P13-'Input data'!O13))&gt;0.0001,ABS(P12-O12)&gt;0.0001,P$10&gt;$C$5),4,IF(O49=4,3,IF(O49=3,2,IF(O49=2,1,0))))</f>
        <v>3</v>
      </c>
      <c r="Q49" s="34">
        <f>IF(AND(ABS((Q12-P12)-('Input data'!Q13-'Input data'!P13))&gt;0.0001,ABS(Q12-P12)&gt;0.0001,Q$10&gt;$C$5),4,IF(P49=4,3,IF(P49=3,2,IF(P49=2,1,0))))</f>
        <v>2</v>
      </c>
      <c r="R49" s="34">
        <f>IF(AND(ABS((R12-Q12)-('Input data'!R13-'Input data'!Q13))&gt;0.0001,ABS(R12-Q12)&gt;0.0001,R$10&gt;$C$5),4,IF(Q49=4,3,IF(Q49=3,2,IF(Q49=2,1,0))))</f>
        <v>1</v>
      </c>
      <c r="S49" s="34">
        <f>IF(AND(ABS((S12-R12)-('Input data'!S13-'Input data'!R13))&gt;0.0001,ABS(S12-R12)&gt;0.0001,S$10&gt;$C$5),4,IF(R49=4,3,IF(R49=3,2,IF(R49=2,1,0))))</f>
        <v>0</v>
      </c>
      <c r="T49" s="34">
        <f>IF(AND(ABS((T12-S12)-('Input data'!T13-'Input data'!S13))&gt;0.0001,ABS(T12-S12)&gt;0.0001,T$10&gt;$C$5),4,IF(S49=4,3,IF(S49=3,2,IF(S49=2,1,0))))</f>
        <v>0</v>
      </c>
      <c r="U49" s="34">
        <f>IF(AND(ABS((U12-T12)-('Input data'!U13-'Input data'!T13))&gt;0.0001,ABS(U12-T12)&gt;0.0001,U$10&gt;$C$5),4,IF(T49=4,3,IF(T49=3,2,IF(T49=2,1,0))))</f>
        <v>0</v>
      </c>
      <c r="V49" s="34">
        <f>IF(AND(ABS((V12-U12)-('Input data'!V13-'Input data'!U13))&gt;0.0001,ABS(V12-U12)&gt;0.0001,V$10&gt;$C$5),4,IF(U49=4,3,IF(U49=3,2,IF(U49=2,1,0))))</f>
        <v>0</v>
      </c>
      <c r="W49" s="34">
        <f>IF(AND(ABS((W12-V12)-('Input data'!W13-'Input data'!V13))&gt;0.0001,ABS(W12-V12)&gt;0.0001,W$10&gt;$C$5),4,IF(V49=4,3,IF(V49=3,2,IF(V49=2,1,0))))</f>
        <v>0</v>
      </c>
      <c r="X49" s="34"/>
      <c r="Y49" s="34"/>
      <c r="Z49" s="34"/>
      <c r="AA49" s="34"/>
      <c r="AB49" s="34"/>
      <c r="AC49" s="34"/>
      <c r="AD49" s="34"/>
      <c r="AE49" s="34"/>
      <c r="AF49" s="34"/>
      <c r="AG49" s="34"/>
      <c r="AH49" s="34"/>
      <c r="AI49" s="34"/>
      <c r="AJ49" s="34"/>
      <c r="AK49" s="34"/>
      <c r="AL49" s="34"/>
      <c r="AM49" s="34"/>
      <c r="AN49" s="34"/>
      <c r="AO49" s="34"/>
      <c r="AP49" s="34"/>
      <c r="AQ49" s="34"/>
      <c r="AR49" s="34"/>
      <c r="AS49" s="34"/>
      <c r="AT49" s="34"/>
      <c r="AU49" s="34"/>
      <c r="AV49" s="34"/>
    </row>
    <row r="50" spans="2:48" outlineLevel="1" x14ac:dyDescent="0.2">
      <c r="B50" s="26" t="s">
        <v>101</v>
      </c>
      <c r="C50" s="34">
        <v>0</v>
      </c>
      <c r="D50" s="34">
        <f t="shared" ref="D50:W50" si="6">IF(C49=4,2/3*C29,IF(C49=3,1/3*B29,0))</f>
        <v>0</v>
      </c>
      <c r="E50" s="34">
        <f t="shared" si="6"/>
        <v>0</v>
      </c>
      <c r="F50" s="34">
        <f t="shared" si="6"/>
        <v>0</v>
      </c>
      <c r="G50" s="34">
        <f t="shared" si="6"/>
        <v>0</v>
      </c>
      <c r="H50" s="34">
        <f t="shared" si="6"/>
        <v>-1.992417592558541</v>
      </c>
      <c r="I50" s="34">
        <f t="shared" si="6"/>
        <v>-2.0990913899418131</v>
      </c>
      <c r="J50" s="34">
        <f t="shared" si="6"/>
        <v>-2.1696873534629901</v>
      </c>
      <c r="K50" s="34">
        <f t="shared" si="6"/>
        <v>-2.2155160805045129</v>
      </c>
      <c r="L50" s="34">
        <f t="shared" si="6"/>
        <v>-2.2459540416132739</v>
      </c>
      <c r="M50" s="34">
        <f t="shared" si="6"/>
        <v>-2.2660582282626462</v>
      </c>
      <c r="N50" s="34">
        <f t="shared" si="6"/>
        <v>-2.2790131422691777</v>
      </c>
      <c r="O50" s="34">
        <f t="shared" si="6"/>
        <v>-1.3994047549358586</v>
      </c>
      <c r="P50" s="34">
        <f t="shared" si="6"/>
        <v>-0.81139229942648328</v>
      </c>
      <c r="Q50" s="34">
        <f t="shared" si="6"/>
        <v>-0.40569614971324164</v>
      </c>
      <c r="R50" s="34">
        <f t="shared" si="6"/>
        <v>0</v>
      </c>
      <c r="S50" s="34">
        <f t="shared" si="6"/>
        <v>0</v>
      </c>
      <c r="T50" s="34">
        <f t="shared" si="6"/>
        <v>0</v>
      </c>
      <c r="U50" s="34">
        <f t="shared" si="6"/>
        <v>0</v>
      </c>
      <c r="V50" s="34">
        <f t="shared" si="6"/>
        <v>0</v>
      </c>
      <c r="W50" s="34">
        <f t="shared" si="6"/>
        <v>0</v>
      </c>
      <c r="X50" s="34"/>
      <c r="Y50" s="34"/>
      <c r="Z50" s="34"/>
      <c r="AA50" s="34"/>
      <c r="AB50" s="34"/>
      <c r="AC50" s="34"/>
      <c r="AD50" s="34"/>
      <c r="AE50" s="34"/>
      <c r="AF50" s="34"/>
      <c r="AG50" s="34"/>
      <c r="AH50" s="34"/>
      <c r="AI50" s="34"/>
      <c r="AJ50" s="34"/>
      <c r="AK50" s="34"/>
      <c r="AL50" s="34"/>
      <c r="AM50" s="34"/>
      <c r="AN50" s="34"/>
      <c r="AO50" s="34"/>
      <c r="AP50" s="34"/>
      <c r="AQ50" s="34"/>
      <c r="AR50" s="34"/>
      <c r="AS50" s="34"/>
      <c r="AT50" s="34"/>
      <c r="AU50" s="34"/>
      <c r="AV50" s="34"/>
    </row>
    <row r="51" spans="2:48" outlineLevel="1" x14ac:dyDescent="0.2">
      <c r="B51" s="26" t="s">
        <v>102</v>
      </c>
      <c r="C51" s="34"/>
      <c r="D51" s="34">
        <f>'Input data'!D30-$C$46*((D12-C12)-('Input data'!D13-'Input data'!C13))</f>
        <v>1.335467</v>
      </c>
      <c r="E51" s="34">
        <f>'Input data'!E30-$C$46*((E12-D12)-('Input data'!E13-'Input data'!D13))</f>
        <v>-1.0353760000000001</v>
      </c>
      <c r="F51" s="34">
        <f>'Input data'!F30-$C$46*((F12-E12)-('Input data'!F13-'Input data'!E13))</f>
        <v>3.9589600000000003E-2</v>
      </c>
      <c r="G51" s="34">
        <f>'Input data'!G30-$C$46*((G12-F12))</f>
        <v>0.45803499999999975</v>
      </c>
      <c r="H51" s="34">
        <f>'Input data'!H30-$C$46*((H12-G12))</f>
        <v>0.11028499999999974</v>
      </c>
      <c r="I51" s="34">
        <f>'Input data'!I30-$C$46*((I12-H12))</f>
        <v>0.21461499999999978</v>
      </c>
      <c r="J51" s="34">
        <f>'Input data'!J30-$C$46*((J12-I12))</f>
        <v>-0.15120199999999984</v>
      </c>
      <c r="K51" s="34">
        <f>'Input data'!K30-$C$46*((K12-J12))</f>
        <v>-0.61861879999999969</v>
      </c>
      <c r="L51" s="34">
        <f>'Input data'!L30-$C$46*((L12-K12))</f>
        <v>-0.64156019999999969</v>
      </c>
      <c r="M51" s="34">
        <f>'Input data'!M30-$C$46*((M12-L12))</f>
        <v>-0.61434389999999972</v>
      </c>
      <c r="N51" s="34">
        <f>'Input data'!N30-$C$46*((N12-M12))</f>
        <v>0.84576850000000003</v>
      </c>
      <c r="O51" s="34">
        <f>'Input data'!O30-$C$46*((O12-N12))</f>
        <v>0.87195089999999997</v>
      </c>
      <c r="P51" s="34">
        <f>'Input data'!P30-$C$46*((P12-O12))</f>
        <v>0.88988429999999996</v>
      </c>
      <c r="Q51" s="34">
        <f>'Input data'!Q30-$C$46*((Q12-P12))</f>
        <v>1.09531</v>
      </c>
      <c r="R51" s="34">
        <f>'Input data'!R30-$C$46*((R12-Q12))</f>
        <v>1.3007420000000001</v>
      </c>
      <c r="S51" s="34">
        <f>'Input data'!S30-$C$46*((S12-R12))</f>
        <v>1.375005</v>
      </c>
      <c r="T51" s="34">
        <f>'Input data'!T30-$C$46*((T12-S12))</f>
        <v>1.4239539999999999</v>
      </c>
      <c r="U51" s="34">
        <f>'Input data'!U30-$C$46*((U12-T12))</f>
        <v>1.4860420000000001</v>
      </c>
      <c r="V51" s="34">
        <f>'Input data'!V30-$C$46*((V12-U12))</f>
        <v>1.5330820000000001</v>
      </c>
      <c r="W51" s="34">
        <f>'Input data'!W30-$C$46*((W12-V12))</f>
        <v>1.4883029999999999</v>
      </c>
      <c r="X51" s="34"/>
      <c r="Y51" s="34"/>
      <c r="Z51" s="34"/>
      <c r="AA51" s="34"/>
      <c r="AB51" s="34"/>
      <c r="AC51" s="34"/>
      <c r="AD51" s="34"/>
      <c r="AE51" s="34"/>
      <c r="AF51" s="34"/>
      <c r="AG51" s="34"/>
      <c r="AH51" s="34"/>
      <c r="AI51" s="34"/>
      <c r="AJ51" s="34"/>
      <c r="AK51" s="34"/>
      <c r="AL51" s="34"/>
      <c r="AM51" s="34"/>
      <c r="AN51" s="34"/>
      <c r="AO51" s="34"/>
      <c r="AP51" s="34"/>
      <c r="AQ51" s="34"/>
      <c r="AR51" s="34"/>
      <c r="AS51" s="34"/>
      <c r="AT51" s="34"/>
      <c r="AU51" s="34"/>
      <c r="AV51" s="34"/>
    </row>
    <row r="52" spans="2:48" x14ac:dyDescent="0.2">
      <c r="C52" s="36"/>
    </row>
    <row r="53" spans="2:48" s="67" customFormat="1" ht="12.75" outlineLevel="1" x14ac:dyDescent="0.2">
      <c r="B53" s="72" t="s">
        <v>103</v>
      </c>
      <c r="C53" s="69"/>
      <c r="E53" s="70"/>
      <c r="F53" s="69"/>
    </row>
    <row r="54" spans="2:48" outlineLevel="1" x14ac:dyDescent="0.2">
      <c r="B54" s="43"/>
      <c r="C54" s="29"/>
      <c r="E54" s="44"/>
      <c r="F54" s="29"/>
    </row>
    <row r="55" spans="2:48" outlineLevel="1" x14ac:dyDescent="0.2">
      <c r="B55" s="85"/>
      <c r="C55" s="86">
        <v>2021</v>
      </c>
      <c r="D55" s="86">
        <v>2022</v>
      </c>
      <c r="E55" s="86">
        <v>2023</v>
      </c>
      <c r="F55" s="86">
        <v>2024</v>
      </c>
      <c r="G55" s="86">
        <v>2025</v>
      </c>
      <c r="H55" s="86">
        <v>2026</v>
      </c>
      <c r="I55" s="86">
        <v>2027</v>
      </c>
      <c r="J55" s="86">
        <v>2028</v>
      </c>
      <c r="K55" s="86">
        <v>2029</v>
      </c>
      <c r="L55" s="86">
        <v>2030</v>
      </c>
      <c r="M55" s="86">
        <v>2031</v>
      </c>
      <c r="N55" s="86">
        <v>2032</v>
      </c>
      <c r="O55" s="86">
        <v>2033</v>
      </c>
      <c r="P55" s="86">
        <v>2034</v>
      </c>
      <c r="Q55" s="86">
        <v>2035</v>
      </c>
      <c r="R55" s="86">
        <v>2036</v>
      </c>
      <c r="S55" s="86">
        <v>2037</v>
      </c>
      <c r="T55" s="86">
        <v>2038</v>
      </c>
      <c r="U55" s="86">
        <v>2039</v>
      </c>
      <c r="V55" s="86">
        <v>2040</v>
      </c>
      <c r="W55" s="86">
        <v>2041</v>
      </c>
    </row>
    <row r="56" spans="2:48" ht="10.5" customHeight="1" outlineLevel="1" x14ac:dyDescent="0.2">
      <c r="B56" s="87" t="s">
        <v>104</v>
      </c>
      <c r="C56" s="45">
        <f>+'Input data'!C12</f>
        <v>72.584819999999993</v>
      </c>
      <c r="D56" s="45">
        <f t="shared" ref="D56:T56" si="7">+C56+D57</f>
        <v>73.511610584961744</v>
      </c>
      <c r="E56" s="45">
        <f t="shared" si="7"/>
        <v>75.830716179102311</v>
      </c>
      <c r="F56" s="45">
        <f t="shared" si="7"/>
        <v>80.487451866503704</v>
      </c>
      <c r="G56" s="45">
        <f t="shared" si="7"/>
        <v>82.275441313739492</v>
      </c>
      <c r="H56" s="45">
        <f t="shared" si="7"/>
        <v>82.541625659639394</v>
      </c>
      <c r="I56" s="45">
        <f t="shared" si="7"/>
        <v>81.323119123411459</v>
      </c>
      <c r="J56" s="45">
        <f t="shared" si="7"/>
        <v>78.420156567126583</v>
      </c>
      <c r="K56" s="45">
        <f t="shared" si="7"/>
        <v>73.904721542930275</v>
      </c>
      <c r="L56" s="45">
        <f t="shared" si="7"/>
        <v>67.775534644448115</v>
      </c>
      <c r="M56" s="45">
        <f t="shared" si="7"/>
        <v>60.02265064705545</v>
      </c>
      <c r="N56" s="45">
        <f t="shared" si="7"/>
        <v>50.950216074198906</v>
      </c>
      <c r="O56" s="46">
        <f t="shared" si="7"/>
        <v>41.858049574488867</v>
      </c>
      <c r="P56" s="46">
        <f t="shared" si="7"/>
        <v>32.677233795126796</v>
      </c>
      <c r="Q56" s="46">
        <f t="shared" si="7"/>
        <v>23.189585334434437</v>
      </c>
      <c r="R56" s="46">
        <f t="shared" si="7"/>
        <v>13.417110994780511</v>
      </c>
      <c r="S56" s="46">
        <f t="shared" si="7"/>
        <v>3.6861358117950171</v>
      </c>
      <c r="T56" s="46">
        <f t="shared" si="7"/>
        <v>-6.1025026915495655</v>
      </c>
      <c r="U56" s="46">
        <f>+T56+U57</f>
        <v>-16.037542300850575</v>
      </c>
      <c r="V56" s="46">
        <f>+U56+V57</f>
        <v>-26.167455488992175</v>
      </c>
      <c r="W56" s="46">
        <f>+V56+W57</f>
        <v>-36.50184598722322</v>
      </c>
      <c r="X56" s="38"/>
      <c r="Y56" s="38"/>
      <c r="Z56" s="38"/>
      <c r="AA56" s="38"/>
      <c r="AB56" s="38"/>
      <c r="AC56" s="38"/>
      <c r="AD56" s="38"/>
      <c r="AE56" s="38"/>
      <c r="AF56" s="38"/>
      <c r="AG56" s="38"/>
      <c r="AH56" s="38"/>
      <c r="AI56" s="38"/>
      <c r="AJ56" s="38"/>
      <c r="AK56" s="38"/>
      <c r="AL56" s="38"/>
      <c r="AM56" s="38"/>
      <c r="AN56" s="38"/>
      <c r="AO56" s="38"/>
      <c r="AP56" s="38"/>
      <c r="AQ56" s="38"/>
      <c r="AR56" s="38"/>
      <c r="AS56" s="38"/>
      <c r="AT56" s="38"/>
      <c r="AU56" s="38"/>
      <c r="AV56" s="38"/>
    </row>
    <row r="57" spans="2:48" outlineLevel="1" x14ac:dyDescent="0.2">
      <c r="B57" s="88" t="s">
        <v>105</v>
      </c>
      <c r="C57" s="47"/>
      <c r="D57" s="47">
        <f t="shared" ref="D57:T57" si="8">-D58+D66+D71</f>
        <v>0.92679058496175415</v>
      </c>
      <c r="E57" s="47">
        <f t="shared" si="8"/>
        <v>2.31910559414057</v>
      </c>
      <c r="F57" s="47">
        <f t="shared" si="8"/>
        <v>4.6567356874013877</v>
      </c>
      <c r="G57" s="47">
        <f t="shared" si="8"/>
        <v>1.7879894472357882</v>
      </c>
      <c r="H57" s="47">
        <f t="shared" si="8"/>
        <v>0.26618434589989604</v>
      </c>
      <c r="I57" s="47">
        <f t="shared" si="8"/>
        <v>-1.2185065362279388</v>
      </c>
      <c r="J57" s="47">
        <f t="shared" si="8"/>
        <v>-2.9029625562848702</v>
      </c>
      <c r="K57" s="47">
        <f t="shared" si="8"/>
        <v>-4.5154350241963126</v>
      </c>
      <c r="L57" s="47">
        <f t="shared" si="8"/>
        <v>-6.1291868984821622</v>
      </c>
      <c r="M57" s="47">
        <f t="shared" si="8"/>
        <v>-7.7528839973926669</v>
      </c>
      <c r="N57" s="47">
        <f t="shared" si="8"/>
        <v>-9.0724345728565474</v>
      </c>
      <c r="O57" s="47">
        <f t="shared" si="8"/>
        <v>-9.0921664997100375</v>
      </c>
      <c r="P57" s="47">
        <f t="shared" si="8"/>
        <v>-9.1808157793620744</v>
      </c>
      <c r="Q57" s="47">
        <f t="shared" si="8"/>
        <v>-9.487648460692359</v>
      </c>
      <c r="R57" s="47">
        <f t="shared" si="8"/>
        <v>-9.7724743396539253</v>
      </c>
      <c r="S57" s="47">
        <f t="shared" si="8"/>
        <v>-9.7309751829854942</v>
      </c>
      <c r="T57" s="47">
        <f t="shared" si="8"/>
        <v>-9.7886385033445826</v>
      </c>
      <c r="U57" s="47">
        <f>-U58+U66+U71</f>
        <v>-9.9350396093010094</v>
      </c>
      <c r="V57" s="47">
        <f>-V58+V66+V71</f>
        <v>-10.1299131881416</v>
      </c>
      <c r="W57" s="47">
        <f>-W58+W66+W71</f>
        <v>-10.334390498231048</v>
      </c>
    </row>
    <row r="58" spans="2:48" outlineLevel="1" x14ac:dyDescent="0.2">
      <c r="B58" s="84" t="s">
        <v>106</v>
      </c>
      <c r="C58" s="48"/>
      <c r="D58" s="48">
        <f t="shared" ref="D58:T58" si="9">D59+D60-D61-D62-D63-D64-D65</f>
        <v>0.20695241503824502</v>
      </c>
      <c r="E58" s="48">
        <f t="shared" si="9"/>
        <v>-1.5524595941405703</v>
      </c>
      <c r="F58" s="48">
        <f t="shared" si="9"/>
        <v>-2.1718214874013797</v>
      </c>
      <c r="G58" s="48">
        <f t="shared" si="9"/>
        <v>-0.66948385830360624</v>
      </c>
      <c r="H58" s="48">
        <f t="shared" si="9"/>
        <v>0.83738991658079742</v>
      </c>
      <c r="I58" s="48">
        <f t="shared" si="9"/>
        <v>2.3757596404268098</v>
      </c>
      <c r="J58" s="48">
        <f t="shared" si="9"/>
        <v>3.9357511617195602</v>
      </c>
      <c r="K58" s="48">
        <f t="shared" si="9"/>
        <v>5.5091788216716111</v>
      </c>
      <c r="L58" s="48">
        <f t="shared" si="9"/>
        <v>7.091627866726709</v>
      </c>
      <c r="M58" s="48">
        <f t="shared" si="9"/>
        <v>8.680318226799006</v>
      </c>
      <c r="N58" s="48">
        <f t="shared" si="9"/>
        <v>9.170697348940994</v>
      </c>
      <c r="O58" s="48">
        <f t="shared" si="9"/>
        <v>9.444072222600683</v>
      </c>
      <c r="P58" s="48">
        <f t="shared" si="9"/>
        <v>9.6897873817337814</v>
      </c>
      <c r="Q58" s="48">
        <f t="shared" si="9"/>
        <v>9.9440225408669036</v>
      </c>
      <c r="R58" s="48">
        <f t="shared" si="9"/>
        <v>10.214227699999999</v>
      </c>
      <c r="S58" s="48">
        <f t="shared" si="9"/>
        <v>10.267246403576028</v>
      </c>
      <c r="T58" s="48">
        <f t="shared" si="9"/>
        <v>10.336007551233886</v>
      </c>
      <c r="U58" s="48">
        <f>U59+U60-U61-U62-U63-U64-U65</f>
        <v>10.418986977756029</v>
      </c>
      <c r="V58" s="48">
        <f>V59+V60-V61-V62-V63-V64-V65</f>
        <v>10.500929270604797</v>
      </c>
      <c r="W58" s="48">
        <f>W59+W60-W61-W62-W63-W64-W65</f>
        <v>10.566159844069915</v>
      </c>
    </row>
    <row r="59" spans="2:48" outlineLevel="1" x14ac:dyDescent="0.2">
      <c r="B59" s="79" t="s">
        <v>107</v>
      </c>
      <c r="C59" s="1"/>
      <c r="D59" s="1">
        <f>D12</f>
        <v>0.29205680000000001</v>
      </c>
      <c r="E59" s="1">
        <f>E12</f>
        <v>-0.2445959</v>
      </c>
      <c r="F59" s="1">
        <f>F12</f>
        <v>-0.53010330000000006</v>
      </c>
      <c r="G59" s="1">
        <f t="shared" ref="G59:W59" si="10">IF(G12="",F59,G12)</f>
        <v>1.0698967000000001</v>
      </c>
      <c r="H59" s="1">
        <f t="shared" si="10"/>
        <v>2.6698967000000002</v>
      </c>
      <c r="I59" s="1">
        <f t="shared" si="10"/>
        <v>4.2698967000000003</v>
      </c>
      <c r="J59" s="1">
        <f t="shared" si="10"/>
        <v>5.8698967</v>
      </c>
      <c r="K59" s="1">
        <f t="shared" si="10"/>
        <v>7.4698966999999996</v>
      </c>
      <c r="L59" s="1">
        <f t="shared" si="10"/>
        <v>9.0698966999999993</v>
      </c>
      <c r="M59" s="1">
        <f t="shared" si="10"/>
        <v>10.669896699999999</v>
      </c>
      <c r="N59" s="1">
        <f t="shared" si="10"/>
        <v>10.419896699999999</v>
      </c>
      <c r="O59" s="1">
        <f t="shared" si="10"/>
        <v>10.169896699999999</v>
      </c>
      <c r="P59" s="1">
        <f t="shared" si="10"/>
        <v>10.169896699999999</v>
      </c>
      <c r="Q59" s="1">
        <f t="shared" si="10"/>
        <v>10.169896699999999</v>
      </c>
      <c r="R59" s="1">
        <f t="shared" si="10"/>
        <v>10.169896699999999</v>
      </c>
      <c r="S59" s="1">
        <f t="shared" si="10"/>
        <v>10.169896699999999</v>
      </c>
      <c r="T59" s="1">
        <f t="shared" si="10"/>
        <v>10.169896699999999</v>
      </c>
      <c r="U59" s="1">
        <f t="shared" si="10"/>
        <v>10.169896699999999</v>
      </c>
      <c r="V59" s="1">
        <f t="shared" si="10"/>
        <v>10.169896699999999</v>
      </c>
      <c r="W59" s="1">
        <f t="shared" si="10"/>
        <v>10.169896699999999</v>
      </c>
    </row>
    <row r="60" spans="2:48" outlineLevel="1" x14ac:dyDescent="0.2">
      <c r="B60" s="79" t="s">
        <v>108</v>
      </c>
      <c r="C60" s="1"/>
      <c r="D60" s="1">
        <v>0</v>
      </c>
      <c r="E60" s="1">
        <v>0</v>
      </c>
      <c r="F60" s="1">
        <v>0</v>
      </c>
      <c r="G60" s="1">
        <v>0</v>
      </c>
      <c r="H60" s="1">
        <v>0</v>
      </c>
      <c r="I60" s="1">
        <v>0</v>
      </c>
      <c r="J60" s="1">
        <v>0</v>
      </c>
      <c r="K60" s="1">
        <v>0</v>
      </c>
      <c r="L60" s="1">
        <v>0</v>
      </c>
      <c r="M60" s="1">
        <v>0</v>
      </c>
      <c r="N60" s="1">
        <v>0</v>
      </c>
      <c r="O60" s="1">
        <v>0</v>
      </c>
      <c r="P60" s="1">
        <v>0</v>
      </c>
      <c r="Q60" s="1">
        <v>0</v>
      </c>
      <c r="R60" s="1">
        <v>0</v>
      </c>
      <c r="S60" s="1">
        <v>0</v>
      </c>
      <c r="T60" s="1">
        <v>0</v>
      </c>
      <c r="U60" s="1">
        <v>0</v>
      </c>
      <c r="V60" s="1">
        <v>0</v>
      </c>
      <c r="W60" s="1">
        <v>0</v>
      </c>
    </row>
    <row r="61" spans="2:48" outlineLevel="1" x14ac:dyDescent="0.2">
      <c r="B61" s="79" t="s">
        <v>109</v>
      </c>
      <c r="C61" s="1"/>
      <c r="D61" s="1">
        <f t="shared" ref="D61:W61" si="11">-$C$47*D29</f>
        <v>8.5104384961754986E-2</v>
      </c>
      <c r="E61" s="1">
        <f t="shared" si="11"/>
        <v>1.3078636941405704</v>
      </c>
      <c r="F61" s="1">
        <f t="shared" si="11"/>
        <v>1.6417181874013795</v>
      </c>
      <c r="G61" s="1">
        <f t="shared" si="11"/>
        <v>1.7393805583036064</v>
      </c>
      <c r="H61" s="1">
        <f t="shared" si="11"/>
        <v>1.8325067834192028</v>
      </c>
      <c r="I61" s="1">
        <f t="shared" si="11"/>
        <v>1.8941370595731903</v>
      </c>
      <c r="J61" s="1">
        <f t="shared" si="11"/>
        <v>1.9341455382804398</v>
      </c>
      <c r="K61" s="1">
        <f t="shared" si="11"/>
        <v>1.9607178783283881</v>
      </c>
      <c r="L61" s="1">
        <f t="shared" si="11"/>
        <v>1.9782688332732901</v>
      </c>
      <c r="M61" s="1">
        <f t="shared" si="11"/>
        <v>1.9895784732009922</v>
      </c>
      <c r="N61" s="1">
        <f t="shared" si="11"/>
        <v>1.2216803510590046</v>
      </c>
      <c r="O61" s="1">
        <f t="shared" si="11"/>
        <v>0.70834547739931986</v>
      </c>
      <c r="P61" s="1">
        <f t="shared" si="11"/>
        <v>0.4722303182662197</v>
      </c>
      <c r="Q61" s="1">
        <f t="shared" si="11"/>
        <v>0.23611515913310016</v>
      </c>
      <c r="R61" s="1">
        <f t="shared" si="11"/>
        <v>0</v>
      </c>
      <c r="S61" s="1">
        <f t="shared" si="11"/>
        <v>2.296423969716521E-6</v>
      </c>
      <c r="T61" s="1">
        <f t="shared" si="11"/>
        <v>1.1487661132347782E-6</v>
      </c>
      <c r="U61" s="1">
        <f t="shared" si="11"/>
        <v>1.7222439689046353E-6</v>
      </c>
      <c r="V61" s="1">
        <f t="shared" si="11"/>
        <v>-5.7060479581316763E-7</v>
      </c>
      <c r="W61" s="1">
        <f t="shared" si="11"/>
        <v>-1.1440699158704602E-6</v>
      </c>
    </row>
    <row r="62" spans="2:48" outlineLevel="1" x14ac:dyDescent="0.2">
      <c r="B62" s="79" t="s">
        <v>110</v>
      </c>
      <c r="C62" s="1"/>
      <c r="D62" s="1">
        <f t="shared" ref="D62:W62" si="12">-D13</f>
        <v>0</v>
      </c>
      <c r="E62" s="1">
        <f t="shared" si="12"/>
        <v>0</v>
      </c>
      <c r="F62" s="1">
        <f t="shared" si="12"/>
        <v>0</v>
      </c>
      <c r="G62" s="1">
        <f t="shared" si="12"/>
        <v>0</v>
      </c>
      <c r="H62" s="1">
        <f t="shared" si="12"/>
        <v>0</v>
      </c>
      <c r="I62" s="1">
        <f t="shared" si="12"/>
        <v>0</v>
      </c>
      <c r="J62" s="1">
        <f t="shared" si="12"/>
        <v>0</v>
      </c>
      <c r="K62" s="1">
        <f t="shared" si="12"/>
        <v>0</v>
      </c>
      <c r="L62" s="1">
        <f t="shared" si="12"/>
        <v>0</v>
      </c>
      <c r="M62" s="1">
        <f t="shared" si="12"/>
        <v>0</v>
      </c>
      <c r="N62" s="1">
        <f t="shared" si="12"/>
        <v>0</v>
      </c>
      <c r="O62" s="1">
        <f t="shared" si="12"/>
        <v>0</v>
      </c>
      <c r="P62" s="1">
        <f t="shared" si="12"/>
        <v>0</v>
      </c>
      <c r="Q62" s="1">
        <f t="shared" si="12"/>
        <v>0</v>
      </c>
      <c r="R62" s="1">
        <f t="shared" si="12"/>
        <v>0</v>
      </c>
      <c r="S62" s="1">
        <f t="shared" si="12"/>
        <v>0</v>
      </c>
      <c r="T62" s="1">
        <f t="shared" si="12"/>
        <v>0</v>
      </c>
      <c r="U62" s="1">
        <f t="shared" si="12"/>
        <v>0</v>
      </c>
      <c r="V62" s="1">
        <f t="shared" si="12"/>
        <v>0</v>
      </c>
      <c r="W62" s="1">
        <f t="shared" si="12"/>
        <v>0</v>
      </c>
    </row>
    <row r="63" spans="2:48" outlineLevel="1" x14ac:dyDescent="0.2">
      <c r="B63" s="79" t="s">
        <v>111</v>
      </c>
      <c r="C63" s="1"/>
      <c r="D63" s="1">
        <f>IF(D$55&lt;=$C$6,0,HLOOKUP(D$55,'Input data'!$C$9:$BB$26,12,FALSE)-HLOOKUP($C$6,'Input data'!$C$9:$BB$26,12,FALSE))</f>
        <v>0</v>
      </c>
      <c r="E63" s="1">
        <f>IF(E$55&lt;=$C$6,0,HLOOKUP(E$55,'Input data'!$C$9:$BB$26,12,FALSE)-HLOOKUP($C$6,'Input data'!$C$9:$BB$26,12,FALSE))</f>
        <v>0</v>
      </c>
      <c r="F63" s="1">
        <f>IF(F$55&lt;=$C$6,0,HLOOKUP(F$55,'Input data'!$C$9:$BB$26,12,FALSE)-HLOOKUP($C$6,'Input data'!$C$9:$BB$26,12,FALSE))</f>
        <v>0</v>
      </c>
      <c r="G63" s="1">
        <f>IF(G$55&lt;=$C$6,0,HLOOKUP(G$55,'Input data'!$C$9:$BB$26,12,FALSE)-HLOOKUP($C$6,'Input data'!$C$9:$BB$26,12,FALSE))</f>
        <v>0</v>
      </c>
      <c r="H63" s="1">
        <f>IF(H$55&lt;=$C$6,0,HLOOKUP(H$55,'Input data'!$C$9:$BB$26,12,FALSE)-HLOOKUP($C$6,'Input data'!$C$9:$BB$26,12,FALSE))</f>
        <v>0</v>
      </c>
      <c r="I63" s="1">
        <f>IF(I$55&lt;=$C$6,0,HLOOKUP(I$55,'Input data'!$C$9:$BB$26,12,FALSE)-HLOOKUP($C$6,'Input data'!$C$9:$BB$26,12,FALSE))</f>
        <v>0</v>
      </c>
      <c r="J63" s="1">
        <f>IF(J$55&lt;=$C$6,0,HLOOKUP(J$55,'Input data'!$C$9:$BB$26,12,FALSE)-HLOOKUP($C$6,'Input data'!$C$9:$BB$26,12,FALSE))</f>
        <v>0</v>
      </c>
      <c r="K63" s="1">
        <f>IF(K$55&lt;=$C$6,0,HLOOKUP(K$55,'Input data'!$C$9:$BB$26,12,FALSE)-HLOOKUP($C$6,'Input data'!$C$9:$BB$26,12,FALSE))</f>
        <v>0</v>
      </c>
      <c r="L63" s="1">
        <f>IF(L$55&lt;=$C$6,0,HLOOKUP(L$55,'Input data'!$C$9:$BB$26,12,FALSE)-HLOOKUP($C$6,'Input data'!$C$9:$BB$26,12,FALSE))</f>
        <v>0</v>
      </c>
      <c r="M63" s="1">
        <f>IF(M$55&lt;=$C$6,0,HLOOKUP(M$55,'Input data'!$C$9:$BB$26,12,FALSE)-HLOOKUP($C$6,'Input data'!$C$9:$BB$26,12,FALSE))</f>
        <v>0</v>
      </c>
      <c r="N63" s="1">
        <f>IF(N$55&lt;=$C$6,0,HLOOKUP(N$55,'Input data'!$C$9:$BB$26,12,FALSE)-HLOOKUP($C$6,'Input data'!$C$9:$BB$26,12,FALSE))</f>
        <v>3.416999999999959E-2</v>
      </c>
      <c r="O63" s="1">
        <f>IF(O$55&lt;=$C$6,0,HLOOKUP(O$55,'Input data'!$C$9:$BB$26,12,FALSE)-HLOOKUP($C$6,'Input data'!$C$9:$BB$26,12,FALSE))</f>
        <v>3.0779999999996477E-2</v>
      </c>
      <c r="P63" s="1">
        <f>IF(P$55&lt;=$C$6,0,HLOOKUP(P$55,'Input data'!$C$9:$BB$26,12,FALSE)-HLOOKUP($C$6,'Input data'!$C$9:$BB$26,12,FALSE))</f>
        <v>2.7829999999998023E-2</v>
      </c>
      <c r="Q63" s="1">
        <f>IF(Q$55&lt;=$C$6,0,HLOOKUP(Q$55,'Input data'!$C$9:$BB$26,12,FALSE)-HLOOKUP($C$6,'Input data'!$C$9:$BB$26,12,FALSE))</f>
        <v>1.6359999999995267E-2</v>
      </c>
      <c r="R63" s="1">
        <f>IF(R$55&lt;=$C$6,0,HLOOKUP(R$55,'Input data'!$C$9:$BB$26,12,FALSE)-HLOOKUP($C$6,'Input data'!$C$9:$BB$26,12,FALSE))</f>
        <v>-1.1079999999999757E-2</v>
      </c>
      <c r="S63" s="1">
        <f>IF(S$55&lt;=$C$6,0,HLOOKUP(S$55,'Input data'!$C$9:$BB$26,12,FALSE)-HLOOKUP($C$6,'Input data'!$C$9:$BB$26,12,FALSE))</f>
        <v>-5.7449999999999335E-2</v>
      </c>
      <c r="T63" s="1">
        <f>IF(T$55&lt;=$C$6,0,HLOOKUP(T$55,'Input data'!$C$9:$BB$26,12,FALSE)-HLOOKUP($C$6,'Input data'!$C$9:$BB$26,12,FALSE))</f>
        <v>-0.11955999999999989</v>
      </c>
      <c r="U63" s="1">
        <f>IF(U$55&lt;=$C$6,0,HLOOKUP(U$55,'Input data'!$C$9:$BB$26,12,FALSE)-HLOOKUP($C$6,'Input data'!$C$9:$BB$26,12,FALSE))</f>
        <v>-0.19588999999999857</v>
      </c>
      <c r="V63" s="1">
        <f>IF(V$55&lt;=$C$6,0,HLOOKUP(V$55,'Input data'!$C$9:$BB$26,12,FALSE)-HLOOKUP($C$6,'Input data'!$C$9:$BB$26,12,FALSE))</f>
        <v>-0.27118000000000109</v>
      </c>
      <c r="W63" s="1">
        <f>IF(W$55&lt;=$C$6,0,HLOOKUP(W$55,'Input data'!$C$9:$BB$26,12,FALSE)-HLOOKUP($C$6,'Input data'!$C$9:$BB$26,12,FALSE))</f>
        <v>-0.32976000000000028</v>
      </c>
    </row>
    <row r="64" spans="2:48" outlineLevel="1" x14ac:dyDescent="0.2">
      <c r="B64" s="79" t="s">
        <v>112</v>
      </c>
      <c r="C64" s="1"/>
      <c r="D64" s="1">
        <f>IF(D$55&lt;=$C$5,0,-HLOOKUP(D$55,'Input data'!$C$9:$BB$26,18,FALSE)+HLOOKUP($C$6,'Input data'!$C$9:$BB$26,18,FALSE))</f>
        <v>0</v>
      </c>
      <c r="E64" s="1">
        <f>IF(E$55&lt;=$C$5,0,-HLOOKUP(E$55,'Input data'!$C$9:$BB$26,18,FALSE)+HLOOKUP($C$6,'Input data'!$C$9:$BB$26,18,FALSE))</f>
        <v>0</v>
      </c>
      <c r="F64" s="1">
        <f>IF(F$55&lt;=$C$5,0,-HLOOKUP(F$55,'Input data'!$C$9:$BB$26,18,FALSE)+HLOOKUP($C$6,'Input data'!$C$9:$BB$26,18,FALSE))</f>
        <v>0</v>
      </c>
      <c r="G64" s="1">
        <f>IF(G$55&lt;=$C$6,0,-HLOOKUP(G$55,'Input data'!$C$9:$BB$26,18,FALSE)+HLOOKUP($C$6,'Input data'!$C$9:$BB$26,18,FALSE))</f>
        <v>0</v>
      </c>
      <c r="H64" s="1">
        <f>IF(H$55&lt;=$C$6,0,-HLOOKUP(H$55,'Input data'!$C$9:$BB$26,18,FALSE)+HLOOKUP($C$6,'Input data'!$C$9:$BB$26,18,FALSE))</f>
        <v>0</v>
      </c>
      <c r="I64" s="1">
        <f>IF(I$55&lt;=$C$6,0,-HLOOKUP(I$55,'Input data'!$C$9:$BB$26,18,FALSE)+HLOOKUP($C$6,'Input data'!$C$9:$BB$26,18,FALSE))</f>
        <v>0</v>
      </c>
      <c r="J64" s="1">
        <f>IF(J$55&lt;=$C$6,0,-HLOOKUP(J$55,'Input data'!$C$9:$BB$26,18,FALSE)+HLOOKUP($C$6,'Input data'!$C$9:$BB$26,18,FALSE))</f>
        <v>0</v>
      </c>
      <c r="K64" s="1">
        <f>IF(K$55&lt;=$C$6,0,-HLOOKUP(K$55,'Input data'!$C$9:$BB$26,18,FALSE)+HLOOKUP($C$6,'Input data'!$C$9:$BB$26,18,FALSE))</f>
        <v>0</v>
      </c>
      <c r="L64" s="1">
        <f>IF(L$55&lt;=$C$6,0,-HLOOKUP(L$55,'Input data'!$C$9:$BB$26,18,FALSE)+HLOOKUP($C$6,'Input data'!$C$9:$BB$26,18,FALSE))</f>
        <v>0</v>
      </c>
      <c r="M64" s="1">
        <f>IF(M$55&lt;=$C$6,0,-HLOOKUP(M$55,'Input data'!$C$9:$BB$26,18,FALSE)+HLOOKUP($C$6,'Input data'!$C$9:$BB$26,18,FALSE))</f>
        <v>0</v>
      </c>
      <c r="N64" s="1">
        <f>IF(N$55&lt;=$C$6,0,-HLOOKUP(N$55,'Input data'!$C$9:$BB$26,18,FALSE)+HLOOKUP($C$6,'Input data'!$C$9:$BB$26,18,FALSE))</f>
        <v>-6.6510000000001845E-3</v>
      </c>
      <c r="O64" s="1">
        <f>IF(O$55&lt;=$C$6,0,-HLOOKUP(O$55,'Input data'!$C$9:$BB$26,18,FALSE)+HLOOKUP($C$6,'Input data'!$C$9:$BB$26,18,FALSE))</f>
        <v>-1.3301000000000229E-2</v>
      </c>
      <c r="P64" s="1">
        <f>IF(P$55&lt;=$C$6,0,-HLOOKUP(P$55,'Input data'!$C$9:$BB$26,18,FALSE)+HLOOKUP($C$6,'Input data'!$C$9:$BB$26,18,FALSE))</f>
        <v>-1.9951000000000274E-2</v>
      </c>
      <c r="Q64" s="1">
        <f>IF(Q$55&lt;=$C$6,0,-HLOOKUP(Q$55,'Input data'!$C$9:$BB$26,18,FALSE)+HLOOKUP($C$6,'Input data'!$C$9:$BB$26,18,FALSE))</f>
        <v>-2.6600999999999875E-2</v>
      </c>
      <c r="R64" s="1">
        <f>IF(R$55&lt;=$C$6,0,-HLOOKUP(R$55,'Input data'!$C$9:$BB$26,18,FALSE)+HLOOKUP($C$6,'Input data'!$C$9:$BB$26,18,FALSE))</f>
        <v>-3.325099999999992E-2</v>
      </c>
      <c r="S64" s="1">
        <f>IF(S$55&lt;=$C$6,0,-HLOOKUP(S$55,'Input data'!$C$9:$BB$26,18,FALSE)+HLOOKUP($C$6,'Input data'!$C$9:$BB$26,18,FALSE))</f>
        <v>-3.9902000000000104E-2</v>
      </c>
      <c r="T64" s="1">
        <f>IF(T$55&lt;=$C$6,0,-HLOOKUP(T$55,'Input data'!$C$9:$BB$26,18,FALSE)+HLOOKUP($C$6,'Input data'!$C$9:$BB$26,18,FALSE))</f>
        <v>-4.6552000000000149E-2</v>
      </c>
      <c r="U64" s="1">
        <f>IF(U$55&lt;=$C$6,0,-HLOOKUP(U$55,'Input data'!$C$9:$BB$26,18,FALSE)+HLOOKUP($C$6,'Input data'!$C$9:$BB$26,18,FALSE))</f>
        <v>-5.3202000000000194E-2</v>
      </c>
      <c r="V64" s="1">
        <f>IF(V$55&lt;=$C$6,0,-HLOOKUP(V$55,'Input data'!$C$9:$BB$26,18,FALSE)+HLOOKUP($C$6,'Input data'!$C$9:$BB$26,18,FALSE))</f>
        <v>-5.9852000000000238E-2</v>
      </c>
      <c r="W64" s="1">
        <f>IF(W$55&lt;=$C$6,0,-HLOOKUP(W$55,'Input data'!$C$9:$BB$26,18,FALSE)+HLOOKUP($C$6,'Input data'!$C$9:$BB$26,18,FALSE))</f>
        <v>-6.6502000000000283E-2</v>
      </c>
    </row>
    <row r="65" spans="2:23" outlineLevel="1" x14ac:dyDescent="0.2">
      <c r="B65" s="79" t="s">
        <v>113</v>
      </c>
      <c r="C65" s="37"/>
      <c r="D65" s="37">
        <v>0</v>
      </c>
      <c r="E65" s="37">
        <v>0</v>
      </c>
      <c r="F65" s="37">
        <v>0</v>
      </c>
      <c r="G65" s="37">
        <v>0</v>
      </c>
      <c r="H65" s="37">
        <v>0</v>
      </c>
      <c r="I65" s="37">
        <v>0</v>
      </c>
      <c r="J65" s="37">
        <v>0</v>
      </c>
      <c r="K65" s="37">
        <v>0</v>
      </c>
      <c r="L65" s="37">
        <v>0</v>
      </c>
      <c r="M65" s="37">
        <v>0</v>
      </c>
      <c r="N65" s="37">
        <v>0</v>
      </c>
      <c r="O65" s="37">
        <v>0</v>
      </c>
      <c r="P65" s="37">
        <v>0</v>
      </c>
      <c r="Q65" s="37">
        <v>0</v>
      </c>
      <c r="R65" s="37">
        <v>0</v>
      </c>
      <c r="S65" s="37">
        <v>0</v>
      </c>
      <c r="T65" s="37">
        <v>0</v>
      </c>
      <c r="U65" s="37">
        <v>0</v>
      </c>
      <c r="V65" s="37">
        <v>0</v>
      </c>
      <c r="W65" s="37">
        <v>0</v>
      </c>
    </row>
    <row r="66" spans="2:23" outlineLevel="1" x14ac:dyDescent="0.2">
      <c r="B66" s="84" t="s">
        <v>114</v>
      </c>
      <c r="C66" s="48"/>
      <c r="D66" s="48">
        <f t="shared" ref="D66:T66" si="13">SUM(D67:D70)</f>
        <v>-4.0426920000000006</v>
      </c>
      <c r="E66" s="48">
        <f t="shared" si="13"/>
        <v>-1.5118760000000007</v>
      </c>
      <c r="F66" s="48">
        <f t="shared" si="13"/>
        <v>-0.13214979999999224</v>
      </c>
      <c r="G66" s="48">
        <f t="shared" si="13"/>
        <v>-0.55150541106781792</v>
      </c>
      <c r="H66" s="48">
        <f t="shared" si="13"/>
        <v>-0.58669873751930646</v>
      </c>
      <c r="I66" s="48">
        <f t="shared" si="13"/>
        <v>-0.54496189580112908</v>
      </c>
      <c r="J66" s="48">
        <f t="shared" si="13"/>
        <v>-0.61525939456530976</v>
      </c>
      <c r="K66" s="48">
        <f t="shared" si="13"/>
        <v>-0.58760320252470177</v>
      </c>
      <c r="L66" s="48">
        <f t="shared" si="13"/>
        <v>-0.57836203175545409</v>
      </c>
      <c r="M66" s="48">
        <f t="shared" si="13"/>
        <v>-0.59554677059365968</v>
      </c>
      <c r="N66" s="48">
        <f t="shared" si="13"/>
        <v>-1.4278722239155544</v>
      </c>
      <c r="O66" s="48">
        <f t="shared" si="13"/>
        <v>-1.0216162771093535</v>
      </c>
      <c r="P66" s="48">
        <f t="shared" si="13"/>
        <v>-0.71193639762829253</v>
      </c>
      <c r="Q66" s="48">
        <f t="shared" si="13"/>
        <v>-0.6119209198254566</v>
      </c>
      <c r="R66" s="48">
        <f t="shared" si="13"/>
        <v>-0.47392763965392631</v>
      </c>
      <c r="S66" s="48">
        <f t="shared" si="13"/>
        <v>-0.22679627940946678</v>
      </c>
      <c r="T66" s="48">
        <f t="shared" si="13"/>
        <v>-6.3084952110697257E-2</v>
      </c>
      <c r="U66" s="48">
        <f>SUM(U67:U70)</f>
        <v>2.6106868455020318E-2</v>
      </c>
      <c r="V66" s="48">
        <f>SUM(V67:V70)</f>
        <v>6.5789082463195314E-2</v>
      </c>
      <c r="W66" s="48">
        <f>SUM(W67:W70)</f>
        <v>7.9155845838866923E-2</v>
      </c>
    </row>
    <row r="67" spans="2:23" outlineLevel="1" x14ac:dyDescent="0.2">
      <c r="B67" s="79" t="s">
        <v>115</v>
      </c>
      <c r="C67" s="34"/>
      <c r="D67" s="34">
        <f>C56*D35/100*(1/(1+D32/100))</f>
        <v>0.57044236264340553</v>
      </c>
      <c r="E67" s="34">
        <f t="shared" ref="E67:W67" si="14">D56*E35/100*(1/(1+E32/100))</f>
        <v>1.1202161973483911</v>
      </c>
      <c r="F67" s="34">
        <f t="shared" si="14"/>
        <v>1.237911894788841</v>
      </c>
      <c r="G67" s="34">
        <f t="shared" si="14"/>
        <v>1.4824281639669945</v>
      </c>
      <c r="H67" s="34">
        <f t="shared" si="14"/>
        <v>1.5826151903610837</v>
      </c>
      <c r="I67" s="34">
        <f t="shared" si="14"/>
        <v>1.6394535303736943</v>
      </c>
      <c r="J67" s="34">
        <f t="shared" si="14"/>
        <v>1.6487502218464147</v>
      </c>
      <c r="K67" s="34">
        <f t="shared" si="14"/>
        <v>1.6105181552166117</v>
      </c>
      <c r="L67" s="34">
        <f t="shared" si="14"/>
        <v>1.5255914436275946</v>
      </c>
      <c r="M67" s="34">
        <f t="shared" si="14"/>
        <v>1.3931758053534387</v>
      </c>
      <c r="N67" s="34">
        <f t="shared" si="14"/>
        <v>1.2013309223633608</v>
      </c>
      <c r="O67" s="34">
        <f t="shared" si="14"/>
        <v>1.0236538555261685</v>
      </c>
      <c r="P67" s="34">
        <f t="shared" si="14"/>
        <v>0.84359220095462484</v>
      </c>
      <c r="Q67" s="34">
        <f t="shared" si="14"/>
        <v>0.65741441351953323</v>
      </c>
      <c r="R67" s="34">
        <f t="shared" si="14"/>
        <v>0.46572446803185175</v>
      </c>
      <c r="S67" s="34">
        <f t="shared" si="14"/>
        <v>0.27043250900018645</v>
      </c>
      <c r="T67" s="34">
        <f t="shared" si="14"/>
        <v>7.4281073299785283E-2</v>
      </c>
      <c r="U67" s="34">
        <f t="shared" si="14"/>
        <v>-0.20332375804742908</v>
      </c>
      <c r="V67" s="34">
        <f t="shared" si="14"/>
        <v>-0.54016678844607269</v>
      </c>
      <c r="W67" s="34">
        <f t="shared" si="14"/>
        <v>-0.89166554260765751</v>
      </c>
    </row>
    <row r="68" spans="2:23" outlineLevel="1" x14ac:dyDescent="0.2">
      <c r="B68" s="79" t="s">
        <v>116</v>
      </c>
      <c r="C68" s="34"/>
      <c r="D68" s="34">
        <f t="shared" ref="D68:W68" si="15">-C56*(D23/100)*(1/(1+D32/100))</f>
        <v>-0.90770273794427525</v>
      </c>
      <c r="E68" s="34">
        <f t="shared" si="15"/>
        <v>0.73387611498957983</v>
      </c>
      <c r="F68" s="34">
        <f t="shared" si="15"/>
        <v>-2.9478581632543192E-2</v>
      </c>
      <c r="G68" s="34">
        <f t="shared" si="15"/>
        <v>-0.35934388324229344</v>
      </c>
      <c r="H68" s="34">
        <f t="shared" si="15"/>
        <v>-0.41547945236949707</v>
      </c>
      <c r="I68" s="34">
        <f t="shared" si="15"/>
        <v>-0.38292418783782345</v>
      </c>
      <c r="J68" s="34">
        <f t="shared" si="15"/>
        <v>-0.44779270196496196</v>
      </c>
      <c r="K68" s="34">
        <f t="shared" si="15"/>
        <v>-0.40693376741276499</v>
      </c>
      <c r="L68" s="34">
        <f t="shared" si="15"/>
        <v>-0.37842981161990719</v>
      </c>
      <c r="M68" s="34">
        <f t="shared" si="15"/>
        <v>-0.37197353777828085</v>
      </c>
      <c r="N68" s="34">
        <f t="shared" si="15"/>
        <v>-1.1670241513375943</v>
      </c>
      <c r="O68" s="34">
        <f t="shared" si="15"/>
        <v>-0.7783461834477382</v>
      </c>
      <c r="P68" s="34">
        <f t="shared" si="15"/>
        <v>-0.52563828131940771</v>
      </c>
      <c r="Q68" s="34">
        <f t="shared" si="15"/>
        <v>-0.47388483996637298</v>
      </c>
      <c r="R68" s="34">
        <f t="shared" si="15"/>
        <v>-0.38122819949325876</v>
      </c>
      <c r="S68" s="34">
        <f t="shared" si="15"/>
        <v>-0.17764902633171054</v>
      </c>
      <c r="T68" s="34">
        <f t="shared" si="15"/>
        <v>-5.0532849324013827E-2</v>
      </c>
      <c r="U68" s="34">
        <f t="shared" si="15"/>
        <v>8.7276317576867393E-2</v>
      </c>
      <c r="V68" s="34">
        <f t="shared" si="15"/>
        <v>0.23657887387187232</v>
      </c>
      <c r="W68" s="34">
        <f t="shared" si="15"/>
        <v>0.3750022612174444</v>
      </c>
    </row>
    <row r="69" spans="2:23" outlineLevel="1" x14ac:dyDescent="0.2">
      <c r="B69" s="79" t="s">
        <v>117</v>
      </c>
      <c r="C69" s="34"/>
      <c r="D69" s="34">
        <f t="shared" ref="D69:T69" si="16">-C56*D41/100*(1/(1+D41/100))</f>
        <v>-3.7081792093539843</v>
      </c>
      <c r="E69" s="34">
        <f t="shared" si="16"/>
        <v>-3.3653315689090335</v>
      </c>
      <c r="F69" s="34">
        <f t="shared" si="16"/>
        <v>-1.3408196277227631</v>
      </c>
      <c r="G69" s="34">
        <f t="shared" si="16"/>
        <v>-1.6747401746220425</v>
      </c>
      <c r="H69" s="34">
        <f t="shared" si="16"/>
        <v>-1.753834475510893</v>
      </c>
      <c r="I69" s="34">
        <f t="shared" si="16"/>
        <v>-1.8014912383369999</v>
      </c>
      <c r="J69" s="34">
        <f t="shared" si="16"/>
        <v>-1.8162169144467626</v>
      </c>
      <c r="K69" s="34">
        <f t="shared" si="16"/>
        <v>-1.7911875903285484</v>
      </c>
      <c r="L69" s="34">
        <f t="shared" si="16"/>
        <v>-1.7255236637631415</v>
      </c>
      <c r="M69" s="34">
        <f t="shared" si="16"/>
        <v>-1.6167490381688174</v>
      </c>
      <c r="N69" s="34">
        <f t="shared" si="16"/>
        <v>-1.4621789949413209</v>
      </c>
      <c r="O69" s="34">
        <f t="shared" si="16"/>
        <v>-1.2669239491877837</v>
      </c>
      <c r="P69" s="34">
        <f t="shared" si="16"/>
        <v>-1.0298903172635097</v>
      </c>
      <c r="Q69" s="34">
        <f t="shared" si="16"/>
        <v>-0.79545049337861684</v>
      </c>
      <c r="R69" s="34">
        <f t="shared" si="16"/>
        <v>-0.5584239081925193</v>
      </c>
      <c r="S69" s="34">
        <f t="shared" si="16"/>
        <v>-0.3195797620779427</v>
      </c>
      <c r="T69" s="34">
        <f t="shared" si="16"/>
        <v>-8.6833176086468719E-2</v>
      </c>
      <c r="U69" s="34">
        <f>-T56*U41/100*(1/(1+U41/100))</f>
        <v>0.14215430892558201</v>
      </c>
      <c r="V69" s="34">
        <f>-U56*V41/100*(1/(1+V41/100))</f>
        <v>0.36937699703739568</v>
      </c>
      <c r="W69" s="34">
        <f>-V56*W41/100*(1/(1+W41/100))</f>
        <v>0.59581912722908004</v>
      </c>
    </row>
    <row r="70" spans="2:23" outlineLevel="1" x14ac:dyDescent="0.2">
      <c r="B70" s="79" t="s">
        <v>118</v>
      </c>
      <c r="C70" s="49"/>
      <c r="D70" s="49">
        <f>'Baseline NFPC'!D70</f>
        <v>2.7475846548536964E-3</v>
      </c>
      <c r="E70" s="49">
        <f>'Baseline NFPC'!E70</f>
        <v>-6.3674342893804692E-4</v>
      </c>
      <c r="F70" s="49">
        <f>'Baseline NFPC'!F70</f>
        <v>2.3651456647297286E-4</v>
      </c>
      <c r="G70" s="49">
        <f>'Baseline NFPC'!G70</f>
        <v>1.5048282952356828E-4</v>
      </c>
      <c r="H70" s="49">
        <f>'Baseline NFPC'!H70</f>
        <v>0</v>
      </c>
      <c r="I70" s="49">
        <f>'Baseline NFPC'!I70</f>
        <v>0</v>
      </c>
      <c r="J70" s="49">
        <f>'Baseline NFPC'!J70</f>
        <v>0</v>
      </c>
      <c r="K70" s="49">
        <f>'Baseline NFPC'!K70</f>
        <v>0</v>
      </c>
      <c r="L70" s="49">
        <f>'Baseline NFPC'!L70</f>
        <v>0</v>
      </c>
      <c r="M70" s="49">
        <f>'Baseline NFPC'!M70</f>
        <v>0</v>
      </c>
      <c r="N70" s="49">
        <f>'Baseline NFPC'!N70</f>
        <v>0</v>
      </c>
      <c r="O70" s="49">
        <f>'Baseline NFPC'!O70</f>
        <v>0</v>
      </c>
      <c r="P70" s="49">
        <f>'Baseline NFPC'!P70</f>
        <v>0</v>
      </c>
      <c r="Q70" s="49">
        <f>'Baseline NFPC'!Q70</f>
        <v>0</v>
      </c>
      <c r="R70" s="49">
        <f>'Baseline NFPC'!R70</f>
        <v>0</v>
      </c>
      <c r="S70" s="49">
        <f>'Baseline NFPC'!S70</f>
        <v>0</v>
      </c>
      <c r="T70" s="49">
        <f>'Baseline NFPC'!T70</f>
        <v>0</v>
      </c>
      <c r="U70" s="49">
        <f>'Baseline NFPC'!U70</f>
        <v>0</v>
      </c>
      <c r="V70" s="49">
        <f>'Baseline NFPC'!V70</f>
        <v>0</v>
      </c>
      <c r="W70" s="49">
        <f>'Baseline NFPC'!W70</f>
        <v>0</v>
      </c>
    </row>
    <row r="71" spans="2:23" outlineLevel="1" x14ac:dyDescent="0.2">
      <c r="B71" s="84" t="s">
        <v>119</v>
      </c>
      <c r="C71" s="50"/>
      <c r="D71" s="50">
        <f>'Input data'!D16</f>
        <v>5.1764349999999997</v>
      </c>
      <c r="E71" s="50">
        <f>'Input data'!E16</f>
        <v>2.2785220000000002</v>
      </c>
      <c r="F71" s="50">
        <f>'Input data'!F16</f>
        <v>2.6170640000000001</v>
      </c>
      <c r="G71" s="50">
        <f>'Input data'!G16</f>
        <v>1.6700109999999999</v>
      </c>
      <c r="H71" s="50">
        <f>'Input data'!H16</f>
        <v>1.6902729999999999</v>
      </c>
      <c r="I71" s="50">
        <f>'Input data'!I16</f>
        <v>1.702215</v>
      </c>
      <c r="J71" s="50">
        <f>'Input data'!J16</f>
        <v>1.648048</v>
      </c>
      <c r="K71" s="50">
        <f>'Input data'!K16</f>
        <v>1.5813470000000001</v>
      </c>
      <c r="L71" s="50">
        <f>'Input data'!L16</f>
        <v>1.5408029999999999</v>
      </c>
      <c r="M71" s="50">
        <f>'Input data'!M16</f>
        <v>1.5229809999999999</v>
      </c>
      <c r="N71" s="50">
        <f>'Input data'!N16</f>
        <v>1.526135</v>
      </c>
      <c r="O71" s="50">
        <f>'Input data'!O16</f>
        <v>1.3735219999999999</v>
      </c>
      <c r="P71" s="50">
        <f>'Input data'!P16</f>
        <v>1.2209080000000001</v>
      </c>
      <c r="Q71" s="50">
        <f>'Input data'!Q16</f>
        <v>1.068295</v>
      </c>
      <c r="R71" s="50">
        <f>'Input data'!R16</f>
        <v>0.91568099999999997</v>
      </c>
      <c r="S71" s="50">
        <f>'Input data'!S16</f>
        <v>0.76306750000000001</v>
      </c>
      <c r="T71" s="50">
        <f>'Input data'!T16</f>
        <v>0.61045400000000005</v>
      </c>
      <c r="U71" s="50">
        <f>'Input data'!U16</f>
        <v>0.45784049999999998</v>
      </c>
      <c r="V71" s="50">
        <f>'Input data'!V16</f>
        <v>0.30522700000000003</v>
      </c>
      <c r="W71" s="50">
        <f>'Input data'!W16</f>
        <v>0.15261350000000001</v>
      </c>
    </row>
    <row r="72" spans="2:23" outlineLevel="1" x14ac:dyDescent="0.2">
      <c r="B72" s="79" t="s">
        <v>120</v>
      </c>
      <c r="C72" s="34"/>
      <c r="D72" s="34">
        <f t="shared" ref="D72:W72" si="17">D14</f>
        <v>4.8490650000000004</v>
      </c>
      <c r="E72" s="34">
        <f t="shared" si="17"/>
        <v>2.318794</v>
      </c>
      <c r="F72" s="34">
        <f t="shared" si="17"/>
        <v>2.6028570000000002</v>
      </c>
      <c r="G72" s="34">
        <f t="shared" si="17"/>
        <v>1.6620999999999999</v>
      </c>
      <c r="H72" s="34">
        <f t="shared" si="17"/>
        <v>1.6902729999999999</v>
      </c>
      <c r="I72" s="34">
        <f t="shared" si="17"/>
        <v>1.702215</v>
      </c>
      <c r="J72" s="34">
        <f t="shared" si="17"/>
        <v>1.648048</v>
      </c>
      <c r="K72" s="34">
        <f t="shared" si="17"/>
        <v>1.5813470000000001</v>
      </c>
      <c r="L72" s="34">
        <f t="shared" si="17"/>
        <v>1.5408029999999999</v>
      </c>
      <c r="M72" s="34">
        <f t="shared" si="17"/>
        <v>1.5229809999999999</v>
      </c>
      <c r="N72" s="34">
        <f t="shared" si="17"/>
        <v>1.526135</v>
      </c>
      <c r="O72" s="34">
        <f t="shared" si="17"/>
        <v>1.3735219999999999</v>
      </c>
      <c r="P72" s="34">
        <f t="shared" si="17"/>
        <v>1.2209080000000001</v>
      </c>
      <c r="Q72" s="34">
        <f t="shared" si="17"/>
        <v>1.068295</v>
      </c>
      <c r="R72" s="34">
        <f t="shared" si="17"/>
        <v>0.91568099999999997</v>
      </c>
      <c r="S72" s="34">
        <f t="shared" si="17"/>
        <v>0.76306750000000001</v>
      </c>
      <c r="T72" s="34">
        <f t="shared" si="17"/>
        <v>0.61045400000000005</v>
      </c>
      <c r="U72" s="34">
        <f t="shared" si="17"/>
        <v>0.45784049999999998</v>
      </c>
      <c r="V72" s="34">
        <f t="shared" si="17"/>
        <v>0.30522700000000003</v>
      </c>
      <c r="W72" s="34">
        <f t="shared" si="17"/>
        <v>0.15261350000000001</v>
      </c>
    </row>
    <row r="73" spans="2:23" outlineLevel="1" x14ac:dyDescent="0.2">
      <c r="B73" s="89" t="s">
        <v>121</v>
      </c>
      <c r="C73" s="49"/>
      <c r="D73" s="49">
        <f t="shared" ref="D73:T73" si="18">+D71-D72</f>
        <v>0.32736999999999927</v>
      </c>
      <c r="E73" s="49">
        <f t="shared" si="18"/>
        <v>-4.0271999999999863E-2</v>
      </c>
      <c r="F73" s="49">
        <f t="shared" si="18"/>
        <v>1.4206999999999859E-2</v>
      </c>
      <c r="G73" s="49">
        <f t="shared" si="18"/>
        <v>7.9110000000000014E-3</v>
      </c>
      <c r="H73" s="49">
        <f t="shared" si="18"/>
        <v>0</v>
      </c>
      <c r="I73" s="49">
        <f t="shared" si="18"/>
        <v>0</v>
      </c>
      <c r="J73" s="49">
        <f t="shared" si="18"/>
        <v>0</v>
      </c>
      <c r="K73" s="49">
        <f t="shared" si="18"/>
        <v>0</v>
      </c>
      <c r="L73" s="49">
        <f t="shared" si="18"/>
        <v>0</v>
      </c>
      <c r="M73" s="49">
        <f t="shared" si="18"/>
        <v>0</v>
      </c>
      <c r="N73" s="49">
        <f t="shared" si="18"/>
        <v>0</v>
      </c>
      <c r="O73" s="49">
        <f t="shared" si="18"/>
        <v>0</v>
      </c>
      <c r="P73" s="49">
        <f t="shared" si="18"/>
        <v>0</v>
      </c>
      <c r="Q73" s="49">
        <f t="shared" si="18"/>
        <v>0</v>
      </c>
      <c r="R73" s="49">
        <f t="shared" si="18"/>
        <v>0</v>
      </c>
      <c r="S73" s="49">
        <f t="shared" si="18"/>
        <v>0</v>
      </c>
      <c r="T73" s="49">
        <f t="shared" si="18"/>
        <v>0</v>
      </c>
      <c r="U73" s="49">
        <f>+U71-U72</f>
        <v>0</v>
      </c>
      <c r="V73" s="49">
        <f>+V71-V72</f>
        <v>0</v>
      </c>
      <c r="W73" s="49">
        <f>+W71-W72</f>
        <v>0</v>
      </c>
    </row>
    <row r="75" spans="2:23" x14ac:dyDescent="0.2">
      <c r="B75" s="51" t="s">
        <v>187</v>
      </c>
      <c r="C75" s="51"/>
      <c r="D75" s="51"/>
      <c r="E75" s="51"/>
      <c r="F75" s="51"/>
      <c r="G75" s="51"/>
      <c r="H75" s="51"/>
      <c r="I75" s="51"/>
      <c r="J75" s="51"/>
      <c r="K75" s="51">
        <f t="shared" ref="K75:W75" si="19">IF(K56&lt;J56,0,1)</f>
        <v>0</v>
      </c>
      <c r="L75" s="51">
        <f t="shared" si="19"/>
        <v>0</v>
      </c>
      <c r="M75" s="51">
        <f t="shared" si="19"/>
        <v>0</v>
      </c>
      <c r="N75" s="51">
        <f t="shared" si="19"/>
        <v>0</v>
      </c>
      <c r="O75" s="51">
        <f t="shared" si="19"/>
        <v>0</v>
      </c>
      <c r="P75" s="51">
        <f t="shared" si="19"/>
        <v>0</v>
      </c>
      <c r="Q75" s="51">
        <f t="shared" si="19"/>
        <v>0</v>
      </c>
      <c r="R75" s="51">
        <f t="shared" si="19"/>
        <v>0</v>
      </c>
      <c r="S75" s="51">
        <f t="shared" si="19"/>
        <v>0</v>
      </c>
      <c r="T75" s="51">
        <f t="shared" si="19"/>
        <v>0</v>
      </c>
      <c r="U75" s="51">
        <f t="shared" si="19"/>
        <v>0</v>
      </c>
      <c r="V75" s="51">
        <f t="shared" si="19"/>
        <v>0</v>
      </c>
      <c r="W75" s="51">
        <f t="shared" si="19"/>
        <v>0</v>
      </c>
    </row>
    <row r="76" spans="2:23" x14ac:dyDescent="0.2">
      <c r="D76" s="53"/>
    </row>
    <row r="77" spans="2:23" s="93" customFormat="1" ht="12.75" outlineLevel="1" x14ac:dyDescent="0.2">
      <c r="B77" s="94" t="s">
        <v>124</v>
      </c>
      <c r="C77" s="95"/>
      <c r="E77" s="96"/>
      <c r="F77" s="95"/>
    </row>
    <row r="78" spans="2:23" x14ac:dyDescent="0.2">
      <c r="C78" s="34"/>
      <c r="D78" s="34"/>
      <c r="E78" s="34"/>
      <c r="F78" s="34"/>
      <c r="G78" s="34"/>
      <c r="H78" s="34"/>
      <c r="I78" s="34"/>
      <c r="J78" s="34"/>
      <c r="K78" s="34"/>
      <c r="L78" s="34"/>
      <c r="M78" s="34"/>
      <c r="N78" s="34"/>
      <c r="O78" s="34"/>
      <c r="P78" s="34"/>
      <c r="Q78" s="34"/>
      <c r="R78" s="34"/>
      <c r="S78" s="34"/>
      <c r="T78" s="34"/>
      <c r="U78" s="34"/>
      <c r="V78" s="34"/>
      <c r="W78" s="34"/>
    </row>
    <row r="79" spans="2:23" x14ac:dyDescent="0.2">
      <c r="B79" s="26" t="s">
        <v>125</v>
      </c>
      <c r="E79" s="29">
        <f>IF((E83-D83*E42/((1+E23/100)*(1+E41/100)))&gt;0,1,0)</f>
        <v>1</v>
      </c>
      <c r="F79" s="29">
        <f>IF((F83-E83*F42/((1+F23/100)*(1+F41/100)))&gt;0,1,0)</f>
        <v>1</v>
      </c>
      <c r="G79" s="29">
        <f t="shared" ref="G79:W79" si="20">IF((G83-F83*G42/((1+G23/100)*(1+G41/100)))&gt;0,1,0)</f>
        <v>1</v>
      </c>
      <c r="H79" s="29">
        <f t="shared" si="20"/>
        <v>1</v>
      </c>
      <c r="I79" s="29">
        <f t="shared" si="20"/>
        <v>1</v>
      </c>
      <c r="J79" s="29">
        <f t="shared" si="20"/>
        <v>0</v>
      </c>
      <c r="K79" s="29">
        <f t="shared" si="20"/>
        <v>0</v>
      </c>
      <c r="L79" s="29">
        <f t="shared" si="20"/>
        <v>0</v>
      </c>
      <c r="M79" s="29">
        <f t="shared" si="20"/>
        <v>0</v>
      </c>
      <c r="N79" s="29">
        <f t="shared" si="20"/>
        <v>0</v>
      </c>
      <c r="O79" s="29">
        <f t="shared" si="20"/>
        <v>0</v>
      </c>
      <c r="P79" s="29">
        <f t="shared" si="20"/>
        <v>0</v>
      </c>
      <c r="Q79" s="29">
        <f t="shared" si="20"/>
        <v>0</v>
      </c>
      <c r="R79" s="29">
        <f t="shared" si="20"/>
        <v>0</v>
      </c>
      <c r="S79" s="29">
        <f t="shared" si="20"/>
        <v>0</v>
      </c>
      <c r="T79" s="29">
        <f t="shared" si="20"/>
        <v>0</v>
      </c>
      <c r="U79" s="29">
        <f t="shared" si="20"/>
        <v>0</v>
      </c>
      <c r="V79" s="29">
        <f t="shared" si="20"/>
        <v>0</v>
      </c>
      <c r="W79" s="29">
        <f t="shared" si="20"/>
        <v>0</v>
      </c>
    </row>
    <row r="80" spans="2:23" x14ac:dyDescent="0.2">
      <c r="B80" s="26" t="s">
        <v>126</v>
      </c>
      <c r="E80" s="29">
        <f>IF(AND(E79=0,ABS(E83-D83*E42/((1+E23/100)*(1+E41/100)))&lt;((D89*D83*E42/((1+E23/100)*(1+E41/100))+(E38*D83*D90*E42/((1+E23/100)*(1+E41/100)))))),1,0)</f>
        <v>0</v>
      </c>
      <c r="F80" s="29">
        <f>IF(AND(F79=0,ABS(F83-E83*F42/((1+F23/100)*(1+F41/100)))&lt;((E89*E83*F42/((1+F23/100)*(1+F41/100))+(F38*E83*E90*F42/((1+F23/100)*(1+F41/100)))))),1,0)</f>
        <v>0</v>
      </c>
      <c r="G80" s="29">
        <f t="shared" ref="G80:W80" si="21">IF(AND(G79=0,ABS(G83-F83*G42/((1+G23/100)*(1+G41/100)))&lt;((F89*F83*G42/((1+G23/100)*(1+G41/100))+(G38*F83*F90*G42/((1+G23/100)*(1+G41/100)))))),1,0)</f>
        <v>0</v>
      </c>
      <c r="H80" s="29">
        <f t="shared" si="21"/>
        <v>0</v>
      </c>
      <c r="I80" s="29">
        <f t="shared" si="21"/>
        <v>0</v>
      </c>
      <c r="J80" s="29">
        <f t="shared" si="21"/>
        <v>1</v>
      </c>
      <c r="K80" s="29">
        <f t="shared" si="21"/>
        <v>1</v>
      </c>
      <c r="L80" s="29">
        <f t="shared" si="21"/>
        <v>1</v>
      </c>
      <c r="M80" s="29">
        <f t="shared" si="21"/>
        <v>0</v>
      </c>
      <c r="N80" s="29">
        <f t="shared" si="21"/>
        <v>0</v>
      </c>
      <c r="O80" s="29">
        <f t="shared" si="21"/>
        <v>0</v>
      </c>
      <c r="P80" s="29">
        <f t="shared" si="21"/>
        <v>0</v>
      </c>
      <c r="Q80" s="29">
        <f t="shared" si="21"/>
        <v>0</v>
      </c>
      <c r="R80" s="29">
        <f t="shared" si="21"/>
        <v>0</v>
      </c>
      <c r="S80" s="29">
        <f t="shared" si="21"/>
        <v>0</v>
      </c>
      <c r="T80" s="29">
        <f t="shared" si="21"/>
        <v>0</v>
      </c>
      <c r="U80" s="29">
        <f t="shared" si="21"/>
        <v>0</v>
      </c>
      <c r="V80" s="29">
        <f t="shared" si="21"/>
        <v>0</v>
      </c>
      <c r="W80" s="29">
        <f t="shared" si="21"/>
        <v>0</v>
      </c>
    </row>
    <row r="82" spans="2:24" x14ac:dyDescent="0.2">
      <c r="B82" s="51"/>
      <c r="C82" s="86">
        <v>2021</v>
      </c>
      <c r="D82" s="86">
        <v>2022</v>
      </c>
      <c r="E82" s="86">
        <v>2023</v>
      </c>
      <c r="F82" s="86">
        <v>2024</v>
      </c>
      <c r="G82" s="86">
        <v>2025</v>
      </c>
      <c r="H82" s="86">
        <v>2026</v>
      </c>
      <c r="I82" s="86">
        <v>2027</v>
      </c>
      <c r="J82" s="86">
        <v>2028</v>
      </c>
      <c r="K82" s="86">
        <v>2029</v>
      </c>
      <c r="L82" s="86">
        <v>2030</v>
      </c>
      <c r="M82" s="86">
        <v>2031</v>
      </c>
      <c r="N82" s="86">
        <v>2032</v>
      </c>
      <c r="O82" s="86">
        <v>2033</v>
      </c>
      <c r="P82" s="86">
        <v>2034</v>
      </c>
      <c r="Q82" s="86">
        <v>2035</v>
      </c>
      <c r="R82" s="86">
        <v>2036</v>
      </c>
      <c r="S82" s="86">
        <v>2037</v>
      </c>
      <c r="T82" s="86">
        <v>2038</v>
      </c>
      <c r="U82" s="86">
        <v>2039</v>
      </c>
      <c r="V82" s="86">
        <v>2040</v>
      </c>
      <c r="W82" s="86">
        <v>2041</v>
      </c>
    </row>
    <row r="83" spans="2:24" x14ac:dyDescent="0.2">
      <c r="B83" s="106" t="s">
        <v>104</v>
      </c>
      <c r="C83" s="110">
        <f>C56</f>
        <v>72.584819999999993</v>
      </c>
      <c r="D83" s="110">
        <f>D56</f>
        <v>73.511610584961744</v>
      </c>
      <c r="E83" s="110">
        <f>E56</f>
        <v>75.830716179102311</v>
      </c>
      <c r="F83" s="110">
        <f>F56</f>
        <v>80.487451866503704</v>
      </c>
      <c r="G83" s="110">
        <f>G56</f>
        <v>82.275441313739492</v>
      </c>
      <c r="H83" s="110">
        <f>G83*(1+H97/100)*H42-H59-H60+H61+H62+H63+H64+H65+H71</f>
        <v>82.541625659639379</v>
      </c>
      <c r="I83" s="110">
        <f t="shared" ref="I83:S83" si="22">H83*(1+I97/100)*I42-I59-I60+I61+I62+I63+I64+I65+I71</f>
        <v>81.323119123411445</v>
      </c>
      <c r="J83" s="110">
        <f t="shared" si="22"/>
        <v>78.420156567126597</v>
      </c>
      <c r="K83" s="110">
        <f t="shared" si="22"/>
        <v>73.904721542930275</v>
      </c>
      <c r="L83" s="110">
        <f t="shared" si="22"/>
        <v>67.775534644448115</v>
      </c>
      <c r="M83" s="110">
        <f t="shared" si="22"/>
        <v>60.022650647055443</v>
      </c>
      <c r="N83" s="110">
        <f t="shared" si="22"/>
        <v>50.950216074198906</v>
      </c>
      <c r="O83" s="110">
        <f t="shared" si="22"/>
        <v>41.858049574488867</v>
      </c>
      <c r="P83" s="110">
        <f t="shared" si="22"/>
        <v>32.677233795126796</v>
      </c>
      <c r="Q83" s="110">
        <f t="shared" si="22"/>
        <v>23.189585334434433</v>
      </c>
      <c r="R83" s="110">
        <f t="shared" si="22"/>
        <v>13.417110994780508</v>
      </c>
      <c r="S83" s="110">
        <f t="shared" si="22"/>
        <v>3.6861358117950163</v>
      </c>
      <c r="T83" s="110">
        <f>S83*(1+T97/100)*T42-T59-T60+T61+T62+T63+T64+T65+T71</f>
        <v>-6.1025026915495664</v>
      </c>
      <c r="U83" s="110">
        <f>T83*(1+U97/100)*U42-U59-U60+U61+U62+U63+U64+U65+U71</f>
        <v>-16.037542300850575</v>
      </c>
      <c r="V83" s="110">
        <f>U83*(1+V97/100)*V42-V59-V60+V61+V62+V63+V64+V65+V71</f>
        <v>-26.167455488992179</v>
      </c>
      <c r="W83" s="110">
        <f>V83*(1+W97/100)*W42-W59-W60+W61+W62+W63+W64+W65+W71</f>
        <v>-36.50184598722322</v>
      </c>
    </row>
    <row r="84" spans="2:24" x14ac:dyDescent="0.2">
      <c r="B84" s="26" t="s">
        <v>127</v>
      </c>
      <c r="C84" s="34"/>
      <c r="D84" s="253">
        <f>'Input data'!C66*$D$83</f>
        <v>59.051128502792025</v>
      </c>
      <c r="E84" s="34">
        <f>IF(E83=0,0,IF(E79=1,D83*E42/((1+E23/100)*(1+E41/100))-E85-E86,IF(AND(E79=0,E80=1),(1-D89-E38*D90)*D83*E42/((1+E23/100)*(1+E41/100)),E83)))</f>
        <v>61.391972720723572</v>
      </c>
      <c r="F84" s="34">
        <f>IF(F83=0,0,IF(F79=1,E83*F42/((1+F23/100)*(1+F41/100))-F85-F86,IF(AND(F79=0,F80=1),(1-E89-F38*E90)*E83*F42/((1+F23/100)*(1+F41/100)),F83)))</f>
        <v>65.006446801647428</v>
      </c>
      <c r="G84" s="34">
        <f>IF(G83=0,0,IF(G79=1,F83*G42/((1+G23/100)*(1+G41/100))-G85-G86,IF(AND(G79=0,G80=1),(1-F89-G38*F90)*F83*G42/((1+G23/100)*(1+G41/100)),G83)))</f>
        <v>68.382981616343159</v>
      </c>
      <c r="H84" s="34">
        <f t="shared" ref="H84:W84" si="23">IF(H83=0,0,IF(H79=1,G83*H42/((1+H23/100)*(1+H41/100))-H85-H86,IF(AND(H79=0,H80=1),(1-G89-H38*G90)*G83*H42/((1+H23/100)*(1+H41/100)),H83)))</f>
        <v>69.735193108758992</v>
      </c>
      <c r="I84" s="34">
        <f t="shared" si="23"/>
        <v>69.885119239163359</v>
      </c>
      <c r="J84" s="34">
        <f t="shared" si="23"/>
        <v>68.700547662749415</v>
      </c>
      <c r="K84" s="34">
        <f t="shared" si="23"/>
        <v>66.586293787974355</v>
      </c>
      <c r="L84" s="34">
        <f t="shared" si="23"/>
        <v>64.098972126792574</v>
      </c>
      <c r="M84" s="34">
        <f t="shared" si="23"/>
        <v>60.022650647055443</v>
      </c>
      <c r="N84" s="34">
        <f t="shared" si="23"/>
        <v>50.950216074198906</v>
      </c>
      <c r="O84" s="34">
        <f t="shared" si="23"/>
        <v>41.858049574488867</v>
      </c>
      <c r="P84" s="34">
        <f t="shared" si="23"/>
        <v>32.677233795126796</v>
      </c>
      <c r="Q84" s="34">
        <f t="shared" si="23"/>
        <v>23.189585334434433</v>
      </c>
      <c r="R84" s="34">
        <f t="shared" si="23"/>
        <v>13.417110994780508</v>
      </c>
      <c r="S84" s="34">
        <f t="shared" si="23"/>
        <v>3.6861358117950163</v>
      </c>
      <c r="T84" s="34">
        <f t="shared" si="23"/>
        <v>-6.1025026915495664</v>
      </c>
      <c r="U84" s="34">
        <f t="shared" si="23"/>
        <v>-16.037542300850575</v>
      </c>
      <c r="V84" s="34">
        <f t="shared" si="23"/>
        <v>-26.167455488992179</v>
      </c>
      <c r="W84" s="34">
        <f t="shared" si="23"/>
        <v>-36.50184598722322</v>
      </c>
      <c r="X84" s="34"/>
    </row>
    <row r="85" spans="2:24" x14ac:dyDescent="0.2">
      <c r="B85" s="105" t="s">
        <v>128</v>
      </c>
      <c r="C85" s="34"/>
      <c r="D85" s="253">
        <f>'Input data'!C67*$D$83</f>
        <v>2.5660693694891989</v>
      </c>
      <c r="E85" s="34">
        <f>IF(E83=0,0,IF(E79=1,E38*D83*D90*E42/((1+E23/100)*(1+E41/100)),IF(AND(E79=0,E80=1),(E38*D83*D90*E42/((1+E23/100)*(1+E41/100)))*(1-ABS(E83-D83*E42/((1+E23/100)*(1+E41/100)))/((E38*D83*D90*E42/((1+E23/100)*(1+E41/100)))+(D89*D83*E42/((1+E23/100)*(1+E41/100))))),0)))</f>
        <v>2.5200411188940466</v>
      </c>
      <c r="F85" s="34">
        <f>IF(F83=0,0,IF(F79=1,F38*E83*E90*F42/((1+F23/100)*(1+F41/100)),IF(AND(F79=0,F80=1),(F38*E83*E90*F42/((1+F23/100)*(1+F41/100)))*(1-ABS(F83-E83*F42/((1+F23/100)*(1+F41/100)))/((F38*E83*E90*F42/((1+F23/100)*(1+F41/100)))+(E89*E83*F42/((1+F23/100)*(1+F41/100))))),0)))</f>
        <v>2.1334078217749264</v>
      </c>
      <c r="G85" s="34">
        <f>IF(G83=0,0,IF(G79=1,G38*F83*F90*G42/((1+G23/100)*(1+G41/100)),IF(AND(G79=0,G80=1),(G38*F83*F90*G42/((1+G23/100)*(1+G41/100)))*(1-ABS(G83-F83*G42/((1+G23/100)*(1+G41/100)))/((G38*F83*F90*G42/((1+G23/100)*(1+G41/100)))+(F89*F83*G42/((1+G23/100)*(1+G41/100))))),0)))</f>
        <v>2.2934829216067052</v>
      </c>
      <c r="H85" s="34">
        <f t="shared" ref="H85:W85" si="24">IF(H83=0,0,IF(H79=1,H38*G83*G90*H42/((1+H23/100)*(1+H41/100)),IF(AND(H79=0,H80=1),(H38*G83*G90*H42/((1+H23/100)*(1+H41/100)))*(1-ABS(H83-G83*H42/((1+H23/100)*(1+H41/100)))/((H38*G83*G90*H42/((1+H23/100)*(1+H41/100)))+(G89*G83*H42/((1+H23/100)*(1+H41/100))))),0)))</f>
        <v>2.3891413377758939</v>
      </c>
      <c r="I85" s="34">
        <f t="shared" si="24"/>
        <v>2.4447632899629319</v>
      </c>
      <c r="J85" s="34">
        <f t="shared" si="24"/>
        <v>2.3017118017268121</v>
      </c>
      <c r="K85" s="34">
        <f t="shared" si="24"/>
        <v>1.8423917704118142</v>
      </c>
      <c r="L85" s="34">
        <f t="shared" si="24"/>
        <v>1.1369167452885713</v>
      </c>
      <c r="M85" s="34">
        <f t="shared" si="24"/>
        <v>0</v>
      </c>
      <c r="N85" s="34">
        <f t="shared" si="24"/>
        <v>0</v>
      </c>
      <c r="O85" s="34">
        <f t="shared" si="24"/>
        <v>0</v>
      </c>
      <c r="P85" s="34">
        <f t="shared" si="24"/>
        <v>0</v>
      </c>
      <c r="Q85" s="34">
        <f t="shared" si="24"/>
        <v>0</v>
      </c>
      <c r="R85" s="34">
        <f t="shared" si="24"/>
        <v>0</v>
      </c>
      <c r="S85" s="34">
        <f t="shared" si="24"/>
        <v>0</v>
      </c>
      <c r="T85" s="34">
        <f t="shared" si="24"/>
        <v>0</v>
      </c>
      <c r="U85" s="34">
        <f t="shared" si="24"/>
        <v>0</v>
      </c>
      <c r="V85" s="34">
        <f t="shared" si="24"/>
        <v>0</v>
      </c>
      <c r="W85" s="34">
        <f t="shared" si="24"/>
        <v>0</v>
      </c>
    </row>
    <row r="86" spans="2:24" x14ac:dyDescent="0.2">
      <c r="B86" s="105" t="s">
        <v>129</v>
      </c>
      <c r="C86" s="34"/>
      <c r="D86" s="253">
        <f>'Input data'!C68*$D$83</f>
        <v>6.679115961728173</v>
      </c>
      <c r="E86" s="34">
        <f>IF(E83=0,0,IF(E79=1,(1-D90)*D83*E42/((1+E23/100)*(1+E41/100)),IF(AND(E79=0,E80=1),(D89*D83*E42/((1+E23/100)*(1+E41/100)))*(1-ABS(E83-D83*E42/((1+E23/100)*(1+E41/100)))/((E38*D83*D90*E42/((1+E23/100)*(1+E41/100)))+(D89*D83*E42/((1+E23/100)*(1+E41/100))))),0)))</f>
        <v>6.9278671872792303</v>
      </c>
      <c r="F86" s="34">
        <f>IF(F83=0,0,IF(F79=1,(1-E90)*E83*F42/((1+F23/100)*(1+F41/100)),IF(AND(F79=0,F80=1),(E89*E83*F42/((1+F23/100)*(1+F41/100)))*(1-ABS(F83-E83*F42/((1+F23/100)*(1+F41/100)))/((F38*E83*E90*F42/((1+F23/100)*(1+F41/100)))+(E89*E83*F42/((1+F23/100)*(1+F41/100))))),0)))</f>
        <v>7.3347852861568796</v>
      </c>
      <c r="G86" s="34">
        <f>IF(G83=0,0,IF(G79=1,(1-F90)*F83*G42/((1+G23/100)*(1+G41/100)),IF(AND(G79=0,G80=1),(F89*F83*G42/((1+G23/100)*(1+G41/100)))*(1-ABS(G83-F83*G42/((1+G23/100)*(1+G41/100)))/((G38*F83*F90*G42/((1+G23/100)*(1+G41/100)))+(F89*F83*G42/((1+G23/100)*(1+G41/100))))),0)))</f>
        <v>7.7849055142059811</v>
      </c>
      <c r="H86" s="34">
        <f t="shared" ref="H86:W86" si="25">IF(H83=0,0,IF(H79=1,(1-G90)*G83*H42/((1+H23/100)*(1+H41/100)),IF(AND(H79=0,H80=1),(G89*G83*H42/((1+H23/100)*(1+H41/100)))*(1-ABS(H83-G83*H42/((1+H23/100)*(1+H41/100)))/((H38*G83*G90*H42/((1+H23/100)*(1+H41/100)))+(G89*G83*H42/((1+H23/100)*(1+H41/100))))),0)))</f>
        <v>7.9817929393241913</v>
      </c>
      <c r="I86" s="34">
        <f t="shared" si="25"/>
        <v>8.027327704338278</v>
      </c>
      <c r="J86" s="34">
        <f t="shared" si="25"/>
        <v>7.4178971026503655</v>
      </c>
      <c r="K86" s="34">
        <f t="shared" si="25"/>
        <v>5.4760359845441107</v>
      </c>
      <c r="L86" s="34">
        <f t="shared" si="25"/>
        <v>2.5396457723669585</v>
      </c>
      <c r="M86" s="34">
        <f t="shared" si="25"/>
        <v>0</v>
      </c>
      <c r="N86" s="34">
        <f t="shared" si="25"/>
        <v>0</v>
      </c>
      <c r="O86" s="34">
        <f t="shared" si="25"/>
        <v>0</v>
      </c>
      <c r="P86" s="34">
        <f t="shared" si="25"/>
        <v>0</v>
      </c>
      <c r="Q86" s="34">
        <f t="shared" si="25"/>
        <v>0</v>
      </c>
      <c r="R86" s="34">
        <f t="shared" si="25"/>
        <v>0</v>
      </c>
      <c r="S86" s="34">
        <f t="shared" si="25"/>
        <v>0</v>
      </c>
      <c r="T86" s="34">
        <f t="shared" si="25"/>
        <v>0</v>
      </c>
      <c r="U86" s="34">
        <f t="shared" si="25"/>
        <v>0</v>
      </c>
      <c r="V86" s="34">
        <f t="shared" si="25"/>
        <v>0</v>
      </c>
      <c r="W86" s="34">
        <f t="shared" si="25"/>
        <v>0</v>
      </c>
    </row>
    <row r="87" spans="2:24" x14ac:dyDescent="0.2">
      <c r="B87" s="105" t="s">
        <v>130</v>
      </c>
      <c r="C87" s="34"/>
      <c r="D87" s="253">
        <f>'Input data'!C69*$D$83</f>
        <v>4.7052606775120811</v>
      </c>
      <c r="E87" s="34">
        <f>IF(E83=0,0,IF(E79=1,'Input data'!$C$58*(E83-D83*E42/((1+E23/100)*(1+E41/100))),0))</f>
        <v>4.4503611438171307</v>
      </c>
      <c r="F87" s="34">
        <f>IF(F83=0,0,IF(F79=1,'Input data'!$C$58*(F83-E83*F42/((1+F23/100)*(1+F41/100))),0))</f>
        <v>5.3616647078296698</v>
      </c>
      <c r="G87" s="34">
        <f>IF(G83=0,0,IF(G79=1,'Input data'!$C$58*(G83-F83*G42/((1+G23/100)*(1+G41/100))),0))</f>
        <v>3.4010328982315796</v>
      </c>
      <c r="H87" s="34">
        <f>IF(H83=0,0,IF(H79=1,'Input data'!$C$58*(H83-G83*H42/((1+H23/100)*(1+H41/100))),0))</f>
        <v>2.1717501285683252</v>
      </c>
      <c r="I87" s="34">
        <f>IF(I83=0,0,IF(I79=1,'Input data'!$C$58*(I83-H83*I42/((1+I23/100)*(1+I41/100))),0))</f>
        <v>0.86130742875519029</v>
      </c>
      <c r="J87" s="34">
        <f>IF(J83=0,0,IF(J79=1,'Input data'!$C$58*(J83-I83*J42/((1+J23/100)*(1+J41/100))),0))</f>
        <v>0</v>
      </c>
      <c r="K87" s="34">
        <f>IF(K83=0,0,IF(K79=1,'Input data'!$C$58*(K83-J83*K42/((1+K23/100)*(1+K41/100))),0))</f>
        <v>0</v>
      </c>
      <c r="L87" s="34">
        <f>IF(L83=0,0,IF(L79=1,'Input data'!$C$58*(L83-K83*L42/((1+L23/100)*(1+L41/100))),0))</f>
        <v>0</v>
      </c>
      <c r="M87" s="34">
        <f>IF(M83=0,0,IF(M79=1,'Input data'!$C$58*(M83-L83*M42/((1+M23/100)*(1+M41/100))),0))</f>
        <v>0</v>
      </c>
      <c r="N87" s="34">
        <f>IF(N83=0,0,IF(N79=1,'Input data'!$C$58*(N83-M83*N42/((1+N23/100)*(1+N41/100))),0))</f>
        <v>0</v>
      </c>
      <c r="O87" s="34">
        <f>IF(O83=0,0,IF(O79=1,'Input data'!$C$58*(O83-N83*O42/((1+O23/100)*(1+O41/100))),0))</f>
        <v>0</v>
      </c>
      <c r="P87" s="34">
        <f>IF(P83=0,0,IF(P79=1,'Input data'!$C$58*(P83-O83*P42/((1+P23/100)*(1+P41/100))),0))</f>
        <v>0</v>
      </c>
      <c r="Q87" s="34">
        <f>IF(Q83=0,0,IF(Q79=1,'Input data'!$C$58*(Q83-P83*Q42/((1+Q23/100)*(1+Q41/100))),0))</f>
        <v>0</v>
      </c>
      <c r="R87" s="34">
        <f>IF(R83=0,0,IF(R79=1,'Input data'!$C$58*(R83-Q83*R42/((1+R23/100)*(1+R41/100))),0))</f>
        <v>0</v>
      </c>
      <c r="S87" s="34">
        <f>IF(S83=0,0,IF(S79=1,'Input data'!$C$58*(S83-R83*S42/((1+S23/100)*(1+S41/100))),0))</f>
        <v>0</v>
      </c>
      <c r="T87" s="34">
        <f>IF(T83=0,0,IF(T79=1,'Input data'!$C$58*(T83-S83*T42/((1+T23/100)*(1+T41/100))),0))</f>
        <v>0</v>
      </c>
      <c r="U87" s="34">
        <f>IF(U83=0,0,IF(U79=1,'Input data'!$C$58*(U83-T83*U42/((1+U23/100)*(1+U41/100))),0))</f>
        <v>0</v>
      </c>
      <c r="V87" s="34">
        <f>IF(V83=0,0,IF(V79=1,'Input data'!$C$58*(V83-U83*V42/((1+V23/100)*(1+V41/100))),0))</f>
        <v>0</v>
      </c>
      <c r="W87" s="34">
        <f>IF(W83=0,0,IF(W79=1,'Input data'!$C$58*(W83-V83*W42/((1+W23/100)*(1+W41/100))),0))</f>
        <v>0</v>
      </c>
    </row>
    <row r="88" spans="2:24" x14ac:dyDescent="0.2">
      <c r="B88" s="107" t="s">
        <v>131</v>
      </c>
      <c r="C88" s="49"/>
      <c r="D88" s="254">
        <f>'Input data'!C70*$D$83</f>
        <v>0.51003587344023849</v>
      </c>
      <c r="E88" s="49">
        <f>IF(E83=0,0,IF(E79=1,'Input data'!$C$57*(E83-D83*E42/((1+E23/100)*(1+E41/100))),0))</f>
        <v>0.54047400838833182</v>
      </c>
      <c r="F88" s="49">
        <f>IF(F83=0,0,IF(F79=1,'Input data'!$C$57*(F83-E83*F42/((1+F23/100)*(1+F41/100))),0))</f>
        <v>0.65114724909480981</v>
      </c>
      <c r="G88" s="49">
        <f>IF(G83=0,0,IF(G79=1,'Input data'!$C$57*(G83-F83*G42/((1+G23/100)*(1+G41/100))),0))</f>
        <v>0.41303836335205502</v>
      </c>
      <c r="H88" s="49">
        <f>IF(H83=0,0,IF(H79=1,'Input data'!$C$57*(H83-G83*H42/((1+H23/100)*(1+H41/100))),0))</f>
        <v>0.26374814521197182</v>
      </c>
      <c r="I88" s="49">
        <f>IF(I83=0,0,IF(I79=1,'Input data'!$C$57*(I83-H83*I42/((1+I23/100)*(1+I41/100))),0))</f>
        <v>0.10460146119168383</v>
      </c>
      <c r="J88" s="49">
        <f>IF(J83=0,0,IF(J79=1,'Input data'!$C$57*(J83-I83*J42/((1+J23/100)*(1+J41/100))),0))</f>
        <v>0</v>
      </c>
      <c r="K88" s="49">
        <f>IF(K83=0,0,IF(K79=1,'Input data'!$C$57*(K83-J83*K42/((1+K23/100)*(1+K41/100))),0))</f>
        <v>0</v>
      </c>
      <c r="L88" s="49">
        <f>IF(L83=0,0,IF(L79=1,'Input data'!$C$57*(L83-K83*L42/((1+L23/100)*(1+L41/100))),0))</f>
        <v>0</v>
      </c>
      <c r="M88" s="49">
        <f>IF(M83=0,0,IF(M79=1,'Input data'!$C$57*(M83-L83*M42/((1+M23/100)*(1+M41/100))),0))</f>
        <v>0</v>
      </c>
      <c r="N88" s="49">
        <f>IF(N83=0,0,IF(N79=1,'Input data'!$C$57*(N83-M83*N42/((1+N23/100)*(1+N41/100))),0))</f>
        <v>0</v>
      </c>
      <c r="O88" s="49">
        <f>IF(O83=0,0,IF(O79=1,'Input data'!$C$57*(O83-N83*O42/((1+O23/100)*(1+O41/100))),0))</f>
        <v>0</v>
      </c>
      <c r="P88" s="49">
        <f>IF(P83=0,0,IF(P79=1,'Input data'!$C$57*(P83-O83*P42/((1+P23/100)*(1+P41/100))),0))</f>
        <v>0</v>
      </c>
      <c r="Q88" s="49">
        <f>IF(Q83=0,0,IF(Q79=1,'Input data'!$C$57*(Q83-P83*Q42/((1+Q23/100)*(1+Q41/100))),0))</f>
        <v>0</v>
      </c>
      <c r="R88" s="49">
        <f>IF(R83=0,0,IF(R79=1,'Input data'!$C$57*(R83-Q83*R42/((1+R23/100)*(1+R41/100))),0))</f>
        <v>0</v>
      </c>
      <c r="S88" s="49">
        <f>IF(S83=0,0,IF(S79=1,'Input data'!$C$57*(S83-R83*S42/((1+S23/100)*(1+S41/100))),0))</f>
        <v>0</v>
      </c>
      <c r="T88" s="49">
        <f>IF(T83=0,0,IF(T79=1,'Input data'!$C$57*(T83-S83*T42/((1+T23/100)*(1+T41/100))),0))</f>
        <v>0</v>
      </c>
      <c r="U88" s="49">
        <f>IF(U83=0,0,IF(U79=1,'Input data'!$C$57*(U83-T83*U42/((1+U23/100)*(1+U41/100))),0))</f>
        <v>0</v>
      </c>
      <c r="V88" s="49">
        <f>IF(V83=0,0,IF(V79=1,'Input data'!$C$57*(V83-U83*V42/((1+V23/100)*(1+V41/100))),0))</f>
        <v>0</v>
      </c>
      <c r="W88" s="49">
        <f>IF(W83=0,0,IF(W79=1,'Input data'!$C$57*(W83-V83*W42/((1+W23/100)*(1+W41/100))),0))</f>
        <v>0</v>
      </c>
    </row>
    <row r="89" spans="2:24" x14ac:dyDescent="0.2">
      <c r="B89" s="26" t="s">
        <v>73</v>
      </c>
      <c r="C89" s="34"/>
      <c r="D89" s="259">
        <f>'Baseline NFPC'!$D$93</f>
        <v>9.7796143737858943E-2</v>
      </c>
      <c r="E89" s="34">
        <f>IF(E83&lt;&gt;0,(E86+E88)/(E84+E85+E86+E87+E88),0)</f>
        <v>9.8487019139161358E-2</v>
      </c>
      <c r="F89" s="34">
        <f>IF(F83&lt;&gt;0,(F86+F88)/(F84+F85+F86+F87+F88),0)</f>
        <v>9.9219596968942905E-2</v>
      </c>
      <c r="G89" s="34">
        <f>IF(G83&lt;&gt;0,(G86+G88)/(G84+G85+G86+G87+G88),0)</f>
        <v>9.9640229777643627E-2</v>
      </c>
      <c r="H89" s="34">
        <f t="shared" ref="H89:W89" si="26">IF(H83&lt;&gt;0,(H86+H88)/(H84+H85+H86+H87+H88),0)</f>
        <v>9.9895549895475444E-2</v>
      </c>
      <c r="I89" s="34">
        <f t="shared" si="26"/>
        <v>9.9995293505520846E-2</v>
      </c>
      <c r="J89" s="34">
        <f t="shared" si="26"/>
        <v>9.4591715030570567E-2</v>
      </c>
      <c r="K89" s="34">
        <f t="shared" si="26"/>
        <v>7.4095888195223822E-2</v>
      </c>
      <c r="L89" s="34">
        <f t="shared" si="26"/>
        <v>3.7471423658846724E-2</v>
      </c>
      <c r="M89" s="34">
        <f t="shared" si="26"/>
        <v>0</v>
      </c>
      <c r="N89" s="34">
        <f t="shared" si="26"/>
        <v>0</v>
      </c>
      <c r="O89" s="34">
        <f t="shared" si="26"/>
        <v>0</v>
      </c>
      <c r="P89" s="34">
        <f t="shared" si="26"/>
        <v>0</v>
      </c>
      <c r="Q89" s="34">
        <f t="shared" si="26"/>
        <v>0</v>
      </c>
      <c r="R89" s="34">
        <f t="shared" si="26"/>
        <v>0</v>
      </c>
      <c r="S89" s="34">
        <f t="shared" si="26"/>
        <v>0</v>
      </c>
      <c r="T89" s="34">
        <f t="shared" si="26"/>
        <v>0</v>
      </c>
      <c r="U89" s="34">
        <f t="shared" si="26"/>
        <v>0</v>
      </c>
      <c r="V89" s="34">
        <f t="shared" si="26"/>
        <v>0</v>
      </c>
      <c r="W89" s="34">
        <f t="shared" si="26"/>
        <v>0</v>
      </c>
    </row>
    <row r="90" spans="2:24" x14ac:dyDescent="0.2">
      <c r="B90" s="35" t="s">
        <v>74</v>
      </c>
      <c r="C90" s="49"/>
      <c r="D90" s="260">
        <f>'Baseline NFPC'!$D$94</f>
        <v>0.90220385626214106</v>
      </c>
      <c r="E90" s="49">
        <f>IF(E83&lt;&gt;0,(E84+E85+E87)/(E84+E85+E86+E87+E88),1)</f>
        <v>0.90151298086083864</v>
      </c>
      <c r="F90" s="49">
        <f>IF(F83&lt;&gt;0,(F84+F85+F87)/(F84+F85+F86+F87+F88),1)</f>
        <v>0.90078040303105722</v>
      </c>
      <c r="G90" s="49">
        <f>IF(G83&lt;&gt;0,(G84+G85+G87)/(G84+G85+G86+G87+G88),1)</f>
        <v>0.90035977022235636</v>
      </c>
      <c r="H90" s="49">
        <f t="shared" ref="H90:W90" si="27">IF(H83&lt;&gt;0,(H84+H85+H87)/(H84+H85+H86+H87+H88),1)</f>
        <v>0.90010445010452445</v>
      </c>
      <c r="I90" s="49">
        <f t="shared" si="27"/>
        <v>0.90000470649447928</v>
      </c>
      <c r="J90" s="49">
        <f t="shared" si="27"/>
        <v>0.90540828496942938</v>
      </c>
      <c r="K90" s="49">
        <f t="shared" si="27"/>
        <v>0.92590411180477616</v>
      </c>
      <c r="L90" s="49">
        <f t="shared" si="27"/>
        <v>0.96252857634115341</v>
      </c>
      <c r="M90" s="49">
        <f t="shared" si="27"/>
        <v>1</v>
      </c>
      <c r="N90" s="49">
        <f t="shared" si="27"/>
        <v>1</v>
      </c>
      <c r="O90" s="49">
        <f t="shared" si="27"/>
        <v>1</v>
      </c>
      <c r="P90" s="49">
        <f t="shared" si="27"/>
        <v>1</v>
      </c>
      <c r="Q90" s="49">
        <f t="shared" si="27"/>
        <v>1</v>
      </c>
      <c r="R90" s="49">
        <f t="shared" si="27"/>
        <v>1</v>
      </c>
      <c r="S90" s="49">
        <f t="shared" si="27"/>
        <v>1</v>
      </c>
      <c r="T90" s="49">
        <f t="shared" si="27"/>
        <v>1</v>
      </c>
      <c r="U90" s="49">
        <f t="shared" si="27"/>
        <v>1</v>
      </c>
      <c r="V90" s="49">
        <f t="shared" si="27"/>
        <v>1</v>
      </c>
      <c r="W90" s="49">
        <f t="shared" si="27"/>
        <v>1</v>
      </c>
    </row>
    <row r="92" spans="2:24" x14ac:dyDescent="0.2">
      <c r="B92" s="113" t="s">
        <v>132</v>
      </c>
      <c r="C92" s="51"/>
      <c r="D92" s="51"/>
      <c r="E92" s="52">
        <f>E94+E95</f>
        <v>1.5804370000000001</v>
      </c>
      <c r="F92" s="52">
        <f>F94+F95</f>
        <v>1.6625099999999999</v>
      </c>
      <c r="G92" s="52">
        <f>G94+G95</f>
        <v>1.8895660000000001</v>
      </c>
      <c r="H92" s="52">
        <f t="shared" ref="H92:W92" si="28">H94+H95</f>
        <v>1.9756481083374133</v>
      </c>
      <c r="I92" s="52">
        <f t="shared" si="28"/>
        <v>2.0402071271644862</v>
      </c>
      <c r="J92" s="52">
        <f t="shared" si="28"/>
        <v>2.0854652071440771</v>
      </c>
      <c r="K92" s="52">
        <f t="shared" si="28"/>
        <v>2.1129298775510885</v>
      </c>
      <c r="L92" s="52">
        <f t="shared" si="28"/>
        <v>2.1247564401990524</v>
      </c>
      <c r="M92" s="52">
        <f t="shared" si="28"/>
        <v>2.1177128995136347</v>
      </c>
      <c r="N92" s="52">
        <f t="shared" si="28"/>
        <v>2.0931499581848727</v>
      </c>
      <c r="O92" s="52">
        <f t="shared" si="28"/>
        <v>2.0931499581848727</v>
      </c>
      <c r="P92" s="52">
        <f t="shared" si="28"/>
        <v>2.0931499581848727</v>
      </c>
      <c r="Q92" s="52">
        <f t="shared" si="28"/>
        <v>2.0931499581848727</v>
      </c>
      <c r="R92" s="52">
        <f t="shared" si="28"/>
        <v>2.0931499581848727</v>
      </c>
      <c r="S92" s="52">
        <f t="shared" si="28"/>
        <v>2.0931499581848727</v>
      </c>
      <c r="T92" s="52">
        <f t="shared" si="28"/>
        <v>2.0931499581848727</v>
      </c>
      <c r="U92" s="52">
        <f t="shared" si="28"/>
        <v>3.4619659999999999</v>
      </c>
      <c r="V92" s="52">
        <f t="shared" si="28"/>
        <v>3.500397</v>
      </c>
      <c r="W92" s="52">
        <f t="shared" si="28"/>
        <v>3.5388280000000001</v>
      </c>
    </row>
    <row r="93" spans="2:24" x14ac:dyDescent="0.2">
      <c r="B93" s="33" t="s">
        <v>133</v>
      </c>
      <c r="C93" s="97"/>
      <c r="D93" s="97"/>
      <c r="E93" s="265">
        <f>((E35*D83)-(E37*(D86+D88)))/(D84+D85+D87)</f>
        <v>1.3799500275570342</v>
      </c>
      <c r="F93" s="265">
        <f>((F35*E83)-(F37*(E86+E88)))/(E84+E85+E87)</f>
        <v>1.4547563998864859</v>
      </c>
      <c r="G93" s="265">
        <f>((G35*F83)-(G37*(F86+F88)))/(F84+F85+F87)</f>
        <v>1.787479392500815</v>
      </c>
      <c r="H93" s="34">
        <f t="shared" ref="H93:W93" si="29">IF(G83&gt;0,(G93*G84+H36*(G87+G85))/(G84+G85+G87),H36)</f>
        <v>1.8838562256582159</v>
      </c>
      <c r="I93" s="34">
        <f t="shared" si="29"/>
        <v>1.95657133464198</v>
      </c>
      <c r="J93" s="34">
        <f t="shared" si="29"/>
        <v>2.0080189331336085</v>
      </c>
      <c r="K93" s="34">
        <f t="shared" si="29"/>
        <v>2.0441543040332615</v>
      </c>
      <c r="L93" s="34">
        <f t="shared" si="29"/>
        <v>2.0739250432545595</v>
      </c>
      <c r="M93" s="34">
        <f t="shared" si="29"/>
        <v>2.0931499581848727</v>
      </c>
      <c r="N93" s="34">
        <f>IF(M83&gt;0,(M93*M84+N36*(M87+M85))/(M84+M85+M87),N36)</f>
        <v>2.0931499581848727</v>
      </c>
      <c r="O93" s="34">
        <f>IF(N83&gt;0,(N93*N84+O36*(N87+N85))/(N84+N85+N87),O36)</f>
        <v>2.0931499581848727</v>
      </c>
      <c r="P93" s="34">
        <f t="shared" si="29"/>
        <v>2.0931499581848727</v>
      </c>
      <c r="Q93" s="34">
        <f t="shared" si="29"/>
        <v>2.0931499581848727</v>
      </c>
      <c r="R93" s="34">
        <f t="shared" si="29"/>
        <v>2.0931499581848727</v>
      </c>
      <c r="S93" s="34">
        <f t="shared" si="29"/>
        <v>2.0931499581848727</v>
      </c>
      <c r="T93" s="34">
        <f t="shared" si="29"/>
        <v>2.0931499581848727</v>
      </c>
      <c r="U93" s="34">
        <f t="shared" si="29"/>
        <v>3.4619660000000003</v>
      </c>
      <c r="V93" s="34">
        <f t="shared" si="29"/>
        <v>3.500397</v>
      </c>
      <c r="W93" s="34">
        <f t="shared" si="29"/>
        <v>3.5388280000000001</v>
      </c>
    </row>
    <row r="94" spans="2:24" x14ac:dyDescent="0.2">
      <c r="B94" s="26" t="s">
        <v>134</v>
      </c>
      <c r="C94" s="97"/>
      <c r="D94" s="97"/>
      <c r="E94" s="34">
        <f>(E93*(D84+D85+D87)+E37*(D86+D88))/D83</f>
        <v>1.5804370000000001</v>
      </c>
      <c r="F94" s="34">
        <f>(F93*(E84+E85+E87)+F37*(E86+E88))/E83</f>
        <v>1.6625099999999999</v>
      </c>
      <c r="G94" s="34">
        <f>(G93*(F84+F85+F87)+G37*(F86+F88))/F83</f>
        <v>1.8895660000000001</v>
      </c>
      <c r="H94" s="34">
        <f t="shared" ref="H94:W94" si="30">(H93*(G84+G85+G87)+H37*(G86+G88))/G83</f>
        <v>1.9756481083374133</v>
      </c>
      <c r="I94" s="34">
        <f t="shared" si="30"/>
        <v>2.0402071271644862</v>
      </c>
      <c r="J94" s="34">
        <f t="shared" si="30"/>
        <v>2.0854652071440771</v>
      </c>
      <c r="K94" s="34">
        <f t="shared" si="30"/>
        <v>2.1129298775510885</v>
      </c>
      <c r="L94" s="34">
        <f t="shared" si="30"/>
        <v>2.1247564401990524</v>
      </c>
      <c r="M94" s="34">
        <f t="shared" si="30"/>
        <v>2.1177128995136347</v>
      </c>
      <c r="N94" s="34">
        <f>(N93*(M84+M85+M87)+N37*(M86+M88))/M83</f>
        <v>2.0931499581848727</v>
      </c>
      <c r="O94" s="34">
        <f>(O93*(N84+N85+N87)+O37*(N86+N88))/N83</f>
        <v>2.0931499581848727</v>
      </c>
      <c r="P94" s="34">
        <f t="shared" si="30"/>
        <v>2.0931499581848727</v>
      </c>
      <c r="Q94" s="34">
        <f t="shared" si="30"/>
        <v>2.0931499581848727</v>
      </c>
      <c r="R94" s="34">
        <f t="shared" si="30"/>
        <v>2.0931499581848727</v>
      </c>
      <c r="S94" s="34">
        <f t="shared" si="30"/>
        <v>2.0931499581848727</v>
      </c>
      <c r="T94" s="34">
        <f t="shared" si="30"/>
        <v>2.0931499581848727</v>
      </c>
      <c r="U94" s="34">
        <f t="shared" si="30"/>
        <v>3.4619659999999999</v>
      </c>
      <c r="V94" s="34">
        <f t="shared" si="30"/>
        <v>3.500397</v>
      </c>
      <c r="W94" s="34">
        <f t="shared" si="30"/>
        <v>3.5388280000000001</v>
      </c>
    </row>
    <row r="95" spans="2:24" x14ac:dyDescent="0.2">
      <c r="B95" s="35" t="s">
        <v>135</v>
      </c>
      <c r="C95" s="35"/>
      <c r="D95" s="35"/>
      <c r="E95" s="49">
        <f>IF('Criteria results'!$F$5=4,E105,E110)</f>
        <v>0</v>
      </c>
      <c r="F95" s="49">
        <f>IF('Criteria results'!$F$5=4,F105,F110)</f>
        <v>0</v>
      </c>
      <c r="G95" s="49">
        <f>IF('Criteria results'!$F$5=4,G105,G110)</f>
        <v>0</v>
      </c>
      <c r="H95" s="49">
        <f>IF('Criteria results'!$F$5=4,H105,H110)</f>
        <v>0</v>
      </c>
      <c r="I95" s="49">
        <f>IF('Criteria results'!$F$5=4,I105,I110)</f>
        <v>0</v>
      </c>
      <c r="J95" s="49">
        <f>IF('Criteria results'!$F$5=4,J105,J110)</f>
        <v>0</v>
      </c>
      <c r="K95" s="49">
        <f>IF('Criteria results'!$F$5=4,K105,K110)</f>
        <v>0</v>
      </c>
      <c r="L95" s="49">
        <f>IF('Criteria results'!$F$5=4,L105,L110)</f>
        <v>0</v>
      </c>
      <c r="M95" s="49">
        <f>IF('Criteria results'!$F$5=4,M105,M110)</f>
        <v>0</v>
      </c>
      <c r="N95" s="49">
        <f>IF('Criteria results'!$F$5=4,N105,N110)</f>
        <v>0</v>
      </c>
      <c r="O95" s="49">
        <f>IF('Criteria results'!$F$5=4,O105,O110)</f>
        <v>0</v>
      </c>
      <c r="P95" s="49">
        <f>IF('Criteria results'!$F$5=4,P105,P110)</f>
        <v>0</v>
      </c>
      <c r="Q95" s="49">
        <f>IF('Criteria results'!$F$5=4,Q105,Q110)</f>
        <v>0</v>
      </c>
      <c r="R95" s="49">
        <f>IF('Criteria results'!$F$5=4,R105,R110)</f>
        <v>0</v>
      </c>
      <c r="S95" s="49">
        <f>IF('Criteria results'!$F$5=4,S105,S110)</f>
        <v>0</v>
      </c>
      <c r="T95" s="49">
        <f>IF('Criteria results'!$F$5=4,T105,T110)</f>
        <v>0</v>
      </c>
      <c r="U95" s="49">
        <f>IF('Criteria results'!$F$5=4,U105,U110)</f>
        <v>0</v>
      </c>
      <c r="V95" s="49">
        <f>IF('Criteria results'!$F$5=4,V105,V110)</f>
        <v>0</v>
      </c>
      <c r="W95" s="49">
        <f>IF('Criteria results'!$F$5=4,W105,W110)</f>
        <v>0</v>
      </c>
    </row>
    <row r="96" spans="2:24" x14ac:dyDescent="0.2">
      <c r="G96" s="98"/>
      <c r="H96" s="98"/>
      <c r="I96" s="98"/>
      <c r="J96" s="98"/>
      <c r="K96" s="98"/>
      <c r="L96" s="98"/>
      <c r="M96" s="98"/>
      <c r="N96" s="98"/>
      <c r="O96" s="98"/>
      <c r="P96" s="98"/>
      <c r="Q96" s="98"/>
      <c r="R96" s="98"/>
      <c r="S96" s="98"/>
      <c r="T96" s="98"/>
      <c r="U96" s="98"/>
      <c r="V96" s="98"/>
      <c r="W96" s="98"/>
    </row>
    <row r="97" spans="1:54" x14ac:dyDescent="0.2">
      <c r="B97" s="113" t="s">
        <v>186</v>
      </c>
      <c r="C97" s="52">
        <f t="shared" ref="C97:T97" si="31">((1+C92/100)/((1+C23/100)*(1+C41/100))-1)*100</f>
        <v>-5.0370227849337539</v>
      </c>
      <c r="D97" s="52">
        <f t="shared" si="31"/>
        <v>-6.3592937852546161</v>
      </c>
      <c r="E97" s="52">
        <f t="shared" si="31"/>
        <v>-2.0557830858901172</v>
      </c>
      <c r="F97" s="52">
        <f t="shared" si="31"/>
        <v>-0.1745813850073441</v>
      </c>
      <c r="G97" s="52">
        <f>((1+G92/100)/((1+G23/100)*(1+G41/100))-1)*100</f>
        <v>-0.68539366212302388</v>
      </c>
      <c r="H97" s="52">
        <f t="shared" si="31"/>
        <v>-0.7130909639026739</v>
      </c>
      <c r="I97" s="52">
        <f t="shared" si="31"/>
        <v>-0.66022675401169462</v>
      </c>
      <c r="J97" s="52">
        <f t="shared" si="31"/>
        <v>-0.7565614811596455</v>
      </c>
      <c r="K97" s="52">
        <f t="shared" si="31"/>
        <v>-0.74930123611997024</v>
      </c>
      <c r="L97" s="52">
        <f t="shared" si="31"/>
        <v>-0.78257791881333194</v>
      </c>
      <c r="M97" s="52">
        <f t="shared" si="31"/>
        <v>-0.87870464426126338</v>
      </c>
      <c r="N97" s="52">
        <f t="shared" si="31"/>
        <v>-2.378888983613392</v>
      </c>
      <c r="O97" s="52">
        <f t="shared" si="31"/>
        <v>-2.0051264858652829</v>
      </c>
      <c r="P97" s="52">
        <f t="shared" si="31"/>
        <v>-1.7008350959147323</v>
      </c>
      <c r="Q97" s="52">
        <f t="shared" si="31"/>
        <v>-1.872621543371622</v>
      </c>
      <c r="R97" s="52">
        <f t="shared" si="31"/>
        <v>-2.0437089875435799</v>
      </c>
      <c r="S97" s="52">
        <f t="shared" si="31"/>
        <v>-1.6903510710889358</v>
      </c>
      <c r="T97" s="52">
        <f t="shared" si="31"/>
        <v>-1.711411497884463</v>
      </c>
      <c r="U97" s="52">
        <f>((1+U92/100)/((1+U23/100)*(1+U41/100))-1)*100</f>
        <v>-0.42780593101860998</v>
      </c>
      <c r="V97" s="52">
        <f>((1+V92/100)/((1+V23/100)*(1+V41/100))-1)*100</f>
        <v>-0.41021922953683454</v>
      </c>
      <c r="W97" s="52">
        <f>((1+W92/100)/((1+W23/100)*(1+W41/100))-1)*100</f>
        <v>-0.30249729811202553</v>
      </c>
    </row>
    <row r="100" spans="1:54" s="25" customFormat="1" ht="12.75" outlineLevel="1" x14ac:dyDescent="0.2">
      <c r="B100" s="25" t="s">
        <v>136</v>
      </c>
      <c r="C100" s="112"/>
      <c r="D100" s="112"/>
      <c r="E100" s="112"/>
      <c r="F100" s="112"/>
      <c r="G100" s="112"/>
      <c r="H100" s="112"/>
      <c r="I100" s="112"/>
      <c r="J100" s="112"/>
      <c r="K100" s="112"/>
      <c r="L100" s="112"/>
      <c r="M100" s="112"/>
      <c r="N100" s="112"/>
      <c r="O100" s="112"/>
      <c r="P100" s="112"/>
      <c r="Q100" s="112"/>
      <c r="R100" s="112"/>
      <c r="S100" s="112"/>
      <c r="T100" s="112"/>
      <c r="U100" s="112"/>
      <c r="V100" s="112"/>
      <c r="W100" s="112"/>
    </row>
    <row r="101" spans="1:54" s="127" customFormat="1" ht="12.75" outlineLevel="1" x14ac:dyDescent="0.2">
      <c r="C101" s="128"/>
      <c r="D101" s="128"/>
      <c r="E101" s="128"/>
      <c r="F101" s="128"/>
      <c r="G101" s="128"/>
      <c r="H101" s="128"/>
      <c r="I101" s="128"/>
      <c r="J101" s="128"/>
      <c r="K101" s="128"/>
      <c r="L101" s="128"/>
      <c r="M101" s="128"/>
      <c r="N101" s="128"/>
      <c r="O101" s="128"/>
      <c r="P101" s="128"/>
      <c r="Q101" s="128"/>
      <c r="R101" s="128"/>
      <c r="S101" s="128"/>
      <c r="T101" s="128"/>
      <c r="U101" s="128"/>
      <c r="V101" s="128"/>
      <c r="W101" s="128"/>
    </row>
    <row r="102" spans="1:54" s="127" customFormat="1" ht="12.75" outlineLevel="1" x14ac:dyDescent="0.2">
      <c r="B102" s="106" t="s">
        <v>293</v>
      </c>
      <c r="C102" s="129"/>
      <c r="D102" s="129"/>
      <c r="E102" s="129"/>
      <c r="F102" s="129"/>
      <c r="G102" s="129"/>
      <c r="H102" s="129"/>
      <c r="I102" s="129"/>
      <c r="J102" s="129"/>
      <c r="K102" s="129"/>
      <c r="L102" s="129"/>
      <c r="M102" s="129"/>
      <c r="N102" s="129"/>
      <c r="O102" s="129"/>
      <c r="P102" s="129"/>
      <c r="Q102" s="129"/>
      <c r="R102" s="129"/>
      <c r="S102" s="129"/>
      <c r="T102" s="129"/>
      <c r="U102" s="129"/>
      <c r="V102" s="129"/>
      <c r="W102" s="129"/>
    </row>
    <row r="103" spans="1:54" outlineLevel="1" x14ac:dyDescent="0.2">
      <c r="B103" s="120" t="s">
        <v>43</v>
      </c>
      <c r="C103" s="34">
        <v>72.584815979003906</v>
      </c>
      <c r="D103" s="34">
        <v>73.511604309082031</v>
      </c>
      <c r="E103" s="34">
        <v>75.830703735351563</v>
      </c>
      <c r="F103" s="34">
        <v>80.487434387207031</v>
      </c>
      <c r="G103" s="34">
        <v>82.262153625488281</v>
      </c>
      <c r="H103" s="34">
        <v>83.381324768066406</v>
      </c>
      <c r="I103" s="34">
        <v>83.9129638671875</v>
      </c>
      <c r="J103" s="34">
        <v>83.675552368164063</v>
      </c>
      <c r="K103" s="34">
        <v>82.820709228515625</v>
      </c>
      <c r="L103" s="34">
        <v>82.1903076171875</v>
      </c>
      <c r="M103" s="34">
        <v>81.778778076171875</v>
      </c>
      <c r="N103" s="34">
        <v>81.255287170410156</v>
      </c>
      <c r="O103" s="34">
        <v>80.464340209960938</v>
      </c>
      <c r="P103" s="34">
        <v>79.532844543457031</v>
      </c>
      <c r="Q103" s="34">
        <v>78.333999633789063</v>
      </c>
      <c r="R103" s="34">
        <v>76.856475830078125</v>
      </c>
      <c r="S103" s="34">
        <v>75.185287475585938</v>
      </c>
      <c r="T103" s="34">
        <v>73.324249267578125</v>
      </c>
      <c r="U103" s="34">
        <v>71.249855041503906</v>
      </c>
      <c r="V103" s="34">
        <v>68.974510192871094</v>
      </c>
      <c r="W103" s="34">
        <v>66.576774597167969</v>
      </c>
      <c r="X103" s="34"/>
      <c r="Y103" s="34"/>
      <c r="Z103" s="34"/>
    </row>
    <row r="104" spans="1:54" s="5" customFormat="1" ht="12.75" x14ac:dyDescent="0.2">
      <c r="A104" s="26"/>
      <c r="B104" s="26" t="s">
        <v>132</v>
      </c>
      <c r="C104" s="1">
        <v>0.73297137022018433</v>
      </c>
      <c r="D104" s="1">
        <v>0.83926922082901001</v>
      </c>
      <c r="E104" s="1">
        <v>1.580437183380127</v>
      </c>
      <c r="F104" s="1">
        <v>1.6625103950500488</v>
      </c>
      <c r="G104" s="1">
        <v>1.88956618309021</v>
      </c>
      <c r="H104" s="1">
        <v>1.9827291965484619</v>
      </c>
      <c r="I104" s="1">
        <v>2.0615065097808838</v>
      </c>
      <c r="J104" s="1">
        <v>2.1287131309509277</v>
      </c>
      <c r="K104" s="1">
        <v>2.1856439113616943</v>
      </c>
      <c r="L104" s="1">
        <v>2.2401273250579834</v>
      </c>
      <c r="M104" s="1">
        <v>2.2936177253723145</v>
      </c>
      <c r="N104" s="1">
        <v>2.3457050323486328</v>
      </c>
      <c r="O104" s="1">
        <v>2.3964245319366455</v>
      </c>
      <c r="P104" s="1">
        <v>2.4420762062072754</v>
      </c>
      <c r="Q104" s="1">
        <v>2.4856171607971191</v>
      </c>
      <c r="R104" s="1">
        <v>2.5270740985870361</v>
      </c>
      <c r="S104" s="1">
        <v>2.5663754940032959</v>
      </c>
      <c r="T104" s="1">
        <v>2.6033976078033447</v>
      </c>
      <c r="U104" s="99">
        <v>2.6380147933959961</v>
      </c>
      <c r="V104" s="99">
        <v>2.6700663566589355</v>
      </c>
      <c r="W104" s="99">
        <v>2.6994903087615967</v>
      </c>
      <c r="X104" s="1"/>
      <c r="Y104" s="1"/>
      <c r="Z104" s="1"/>
      <c r="AA104" s="1"/>
      <c r="AB104" s="1"/>
      <c r="AC104" s="1"/>
      <c r="AD104" s="1"/>
      <c r="AE104" s="1"/>
      <c r="AF104" s="1"/>
      <c r="AG104" s="1"/>
      <c r="AH104" s="1"/>
      <c r="AI104" s="1"/>
      <c r="AJ104" s="1"/>
      <c r="AK104" s="1"/>
      <c r="AL104" s="1"/>
      <c r="AM104" s="1"/>
      <c r="AN104" s="1"/>
      <c r="AO104" s="1"/>
      <c r="AP104" s="1"/>
      <c r="AQ104" s="1"/>
      <c r="AR104" s="1"/>
      <c r="AS104" s="1"/>
      <c r="AT104" s="1"/>
      <c r="AU104" s="1"/>
      <c r="AV104" s="1"/>
      <c r="AW104" s="1"/>
      <c r="AX104" s="1"/>
      <c r="AY104" s="1"/>
      <c r="AZ104" s="1"/>
      <c r="BA104" s="1"/>
      <c r="BB104" s="1"/>
    </row>
    <row r="105" spans="1:54" s="5" customFormat="1" ht="12.75" x14ac:dyDescent="0.2">
      <c r="B105" s="26" t="s">
        <v>185</v>
      </c>
      <c r="C105" s="1"/>
      <c r="D105" s="1"/>
      <c r="E105" s="1"/>
      <c r="F105" s="1"/>
      <c r="G105" s="1">
        <v>0</v>
      </c>
      <c r="H105" s="1">
        <v>0</v>
      </c>
      <c r="I105" s="1">
        <v>0</v>
      </c>
      <c r="J105" s="1">
        <v>0</v>
      </c>
      <c r="K105" s="1">
        <v>0</v>
      </c>
      <c r="L105" s="1">
        <v>0</v>
      </c>
      <c r="M105" s="1">
        <v>0</v>
      </c>
      <c r="N105" s="1">
        <v>0</v>
      </c>
      <c r="O105" s="1">
        <v>0</v>
      </c>
      <c r="P105" s="1">
        <v>0</v>
      </c>
      <c r="Q105" s="1">
        <v>0</v>
      </c>
      <c r="R105" s="1">
        <v>0</v>
      </c>
      <c r="S105" s="1">
        <v>0</v>
      </c>
      <c r="T105" s="1">
        <v>0</v>
      </c>
      <c r="U105" s="1">
        <v>0</v>
      </c>
      <c r="V105" s="1">
        <v>0</v>
      </c>
      <c r="W105" s="1">
        <v>0</v>
      </c>
      <c r="X105" s="1"/>
      <c r="Y105" s="1"/>
      <c r="Z105" s="1"/>
      <c r="AA105" s="1"/>
      <c r="AB105" s="1"/>
      <c r="AC105" s="1"/>
      <c r="AD105" s="1"/>
      <c r="AE105" s="1"/>
      <c r="AF105" s="1"/>
      <c r="AG105" s="1"/>
      <c r="AH105" s="1"/>
      <c r="AI105" s="1"/>
      <c r="AJ105" s="1"/>
      <c r="AK105" s="1"/>
      <c r="AL105" s="1"/>
      <c r="AM105" s="1"/>
      <c r="AN105" s="1"/>
      <c r="AO105" s="1"/>
      <c r="AP105" s="1"/>
      <c r="AQ105" s="1"/>
      <c r="AR105" s="1"/>
      <c r="AS105" s="1"/>
      <c r="AT105" s="1"/>
      <c r="AU105" s="1"/>
      <c r="AV105" s="1"/>
      <c r="AW105" s="1"/>
      <c r="AX105" s="1"/>
      <c r="AY105" s="1"/>
      <c r="AZ105" s="1"/>
      <c r="BA105" s="1"/>
      <c r="BB105" s="1"/>
    </row>
    <row r="106" spans="1:54" s="5" customFormat="1" ht="12.75" x14ac:dyDescent="0.2">
      <c r="B106" s="26"/>
      <c r="C106" s="1"/>
      <c r="D106" s="1"/>
      <c r="E106" s="1"/>
      <c r="F106" s="1"/>
      <c r="G106" s="1"/>
      <c r="H106" s="1"/>
      <c r="I106" s="1"/>
      <c r="J106" s="1"/>
      <c r="K106" s="1"/>
      <c r="L106" s="1"/>
      <c r="M106" s="1"/>
      <c r="N106" s="1"/>
      <c r="O106" s="1"/>
      <c r="P106" s="1"/>
      <c r="Q106" s="1"/>
      <c r="R106" s="1"/>
      <c r="S106" s="1"/>
      <c r="T106" s="1"/>
      <c r="U106" s="1"/>
      <c r="V106" s="1"/>
      <c r="W106" s="1"/>
      <c r="X106" s="1"/>
      <c r="Y106" s="1"/>
      <c r="Z106" s="1"/>
      <c r="AA106" s="1"/>
      <c r="AB106" s="1"/>
      <c r="AC106" s="1"/>
      <c r="AD106" s="1"/>
      <c r="AE106" s="1"/>
      <c r="AF106" s="1"/>
      <c r="AG106" s="1"/>
      <c r="AH106" s="1"/>
      <c r="AI106" s="1"/>
      <c r="AJ106" s="1"/>
      <c r="AK106" s="1"/>
      <c r="AL106" s="1"/>
      <c r="AM106" s="1"/>
      <c r="AN106" s="1"/>
      <c r="AO106" s="1"/>
      <c r="AP106" s="1"/>
      <c r="AQ106" s="1"/>
      <c r="AR106" s="1"/>
      <c r="AS106" s="1"/>
      <c r="AT106" s="1"/>
      <c r="AU106" s="1"/>
      <c r="AV106" s="1"/>
      <c r="AW106" s="1"/>
      <c r="AX106" s="1"/>
      <c r="AY106" s="1"/>
      <c r="AZ106" s="1"/>
      <c r="BA106" s="1"/>
      <c r="BB106" s="1"/>
    </row>
    <row r="107" spans="1:54" s="5" customFormat="1" ht="12.75" x14ac:dyDescent="0.2">
      <c r="B107" s="106" t="s">
        <v>294</v>
      </c>
      <c r="C107" s="37"/>
      <c r="D107" s="37"/>
      <c r="E107" s="37"/>
      <c r="F107" s="37"/>
      <c r="G107" s="37"/>
      <c r="H107" s="37"/>
      <c r="I107" s="37"/>
      <c r="J107" s="37"/>
      <c r="K107" s="37"/>
      <c r="L107" s="37"/>
      <c r="M107" s="37"/>
      <c r="N107" s="37"/>
      <c r="O107" s="37"/>
      <c r="P107" s="37"/>
      <c r="Q107" s="37"/>
      <c r="R107" s="37"/>
      <c r="S107" s="37"/>
      <c r="T107" s="37"/>
      <c r="U107" s="37"/>
      <c r="V107" s="37"/>
      <c r="W107" s="37"/>
      <c r="X107" s="1"/>
      <c r="Y107" s="1"/>
      <c r="Z107" s="1"/>
      <c r="AA107" s="1"/>
      <c r="AB107" s="1"/>
      <c r="AC107" s="1"/>
      <c r="AD107" s="1"/>
      <c r="AE107" s="1"/>
      <c r="AF107" s="1"/>
      <c r="AG107" s="1"/>
      <c r="AH107" s="1"/>
      <c r="AI107" s="1"/>
      <c r="AJ107" s="1"/>
      <c r="AK107" s="1"/>
      <c r="AL107" s="1"/>
      <c r="AM107" s="1"/>
      <c r="AN107" s="1"/>
      <c r="AO107" s="1"/>
      <c r="AP107" s="1"/>
      <c r="AQ107" s="1"/>
      <c r="AR107" s="1"/>
      <c r="AS107" s="1"/>
      <c r="AT107" s="1"/>
      <c r="AU107" s="1"/>
      <c r="AV107" s="1"/>
      <c r="AW107" s="1"/>
      <c r="AX107" s="1"/>
      <c r="AY107" s="1"/>
      <c r="AZ107" s="1"/>
      <c r="BA107" s="1"/>
      <c r="BB107" s="1"/>
    </row>
    <row r="108" spans="1:54" outlineLevel="1" x14ac:dyDescent="0.2">
      <c r="B108" s="120" t="s">
        <v>43</v>
      </c>
      <c r="C108" s="34">
        <v>72.584815979003906</v>
      </c>
      <c r="D108" s="34">
        <v>73.511604309082031</v>
      </c>
      <c r="E108" s="34">
        <v>75.830703735351563</v>
      </c>
      <c r="F108" s="34">
        <v>80.487434387207031</v>
      </c>
      <c r="G108" s="34">
        <v>82.259086608886719</v>
      </c>
      <c r="H108" s="34">
        <v>83.703659057617188</v>
      </c>
      <c r="I108" s="34">
        <v>84.899864196777344</v>
      </c>
      <c r="J108" s="34">
        <v>85.673782348632813</v>
      </c>
      <c r="K108" s="34">
        <v>86.113090515136719</v>
      </c>
      <c r="L108" s="34">
        <v>86.220924377441406</v>
      </c>
      <c r="M108" s="34">
        <v>85.980087280273438</v>
      </c>
      <c r="N108" s="34">
        <v>85.367805480957031</v>
      </c>
      <c r="O108" s="34">
        <v>84.77899169921875</v>
      </c>
      <c r="P108" s="34">
        <v>84.156158447265625</v>
      </c>
      <c r="Q108" s="34">
        <v>83.249862670898438</v>
      </c>
      <c r="R108" s="34">
        <v>82.047988891601563</v>
      </c>
      <c r="S108" s="34">
        <v>80.660224914550781</v>
      </c>
      <c r="T108" s="34">
        <v>79.080482482910156</v>
      </c>
      <c r="U108" s="34">
        <v>77.284561157226563</v>
      </c>
      <c r="V108" s="34">
        <v>75.285743713378906</v>
      </c>
      <c r="W108" s="34">
        <v>73.168327331542969</v>
      </c>
      <c r="X108" s="34"/>
      <c r="Y108" s="34"/>
      <c r="Z108" s="34"/>
    </row>
    <row r="109" spans="1:54" x14ac:dyDescent="0.2">
      <c r="B109" s="26" t="s">
        <v>132</v>
      </c>
      <c r="C109" s="1">
        <v>0.73297137022018433</v>
      </c>
      <c r="D109" s="1">
        <v>0.83926922082901001</v>
      </c>
      <c r="E109" s="1">
        <v>1.580437183380127</v>
      </c>
      <c r="F109" s="1">
        <v>1.6625103950500488</v>
      </c>
      <c r="G109" s="1">
        <v>1.88956618309021</v>
      </c>
      <c r="H109" s="1">
        <v>1.9854403734207153</v>
      </c>
      <c r="I109" s="1">
        <v>2.0695152282714844</v>
      </c>
      <c r="J109" s="1">
        <v>2.1444764137268066</v>
      </c>
      <c r="K109" s="1">
        <v>2.2115991115570068</v>
      </c>
      <c r="L109" s="1">
        <v>2.27219557762146</v>
      </c>
      <c r="M109" s="1">
        <v>2.3275411128997803</v>
      </c>
      <c r="N109" s="1">
        <v>2.3785543441772461</v>
      </c>
      <c r="O109" s="1">
        <v>2.4289181232452393</v>
      </c>
      <c r="P109" s="1">
        <v>2.4757785797119141</v>
      </c>
      <c r="Q109" s="1">
        <v>2.5204784870147705</v>
      </c>
      <c r="R109" s="1">
        <v>2.5630922317504883</v>
      </c>
      <c r="S109" s="1">
        <v>2.6036040782928467</v>
      </c>
      <c r="T109" s="1">
        <v>2.6420183181762695</v>
      </c>
      <c r="U109" s="1">
        <v>2.678272008895874</v>
      </c>
      <c r="V109" s="1">
        <v>2.7122824192047119</v>
      </c>
      <c r="W109" s="1">
        <v>2.7440621852874756</v>
      </c>
      <c r="X109" s="1"/>
      <c r="Y109" s="1"/>
      <c r="Z109" s="1"/>
      <c r="AA109" s="59"/>
      <c r="AB109" s="59"/>
      <c r="AC109" s="59"/>
      <c r="AD109" s="59"/>
      <c r="AE109" s="59"/>
      <c r="AF109" s="59"/>
      <c r="AG109" s="59"/>
      <c r="AH109" s="59"/>
      <c r="AI109" s="59"/>
      <c r="AJ109" s="59"/>
      <c r="AK109" s="59"/>
      <c r="AL109" s="59"/>
      <c r="AM109" s="59"/>
      <c r="AN109" s="59"/>
      <c r="AO109" s="59"/>
      <c r="AP109" s="59"/>
      <c r="AQ109" s="59"/>
      <c r="AR109" s="59"/>
      <c r="AS109" s="59"/>
      <c r="AT109" s="59"/>
      <c r="AU109" s="59"/>
      <c r="AV109" s="59"/>
      <c r="AW109" s="59"/>
      <c r="AX109" s="59"/>
      <c r="AY109" s="60"/>
    </row>
    <row r="110" spans="1:54" x14ac:dyDescent="0.2">
      <c r="B110" s="26" t="s">
        <v>185</v>
      </c>
      <c r="C110" s="34"/>
      <c r="D110" s="34"/>
      <c r="E110" s="34"/>
      <c r="F110" s="34"/>
      <c r="G110" s="34">
        <v>0</v>
      </c>
      <c r="H110" s="34">
        <v>0</v>
      </c>
      <c r="I110" s="34">
        <v>0</v>
      </c>
      <c r="J110" s="34">
        <v>0</v>
      </c>
      <c r="K110" s="34">
        <v>0</v>
      </c>
      <c r="L110" s="34">
        <v>0</v>
      </c>
      <c r="M110" s="34">
        <v>0</v>
      </c>
      <c r="N110" s="34">
        <v>0</v>
      </c>
      <c r="O110" s="34">
        <v>0</v>
      </c>
      <c r="P110" s="34">
        <v>0</v>
      </c>
      <c r="Q110" s="34">
        <v>0</v>
      </c>
      <c r="R110" s="34">
        <v>0</v>
      </c>
      <c r="S110" s="34">
        <v>0</v>
      </c>
      <c r="T110" s="34">
        <v>0</v>
      </c>
      <c r="U110" s="34">
        <v>0</v>
      </c>
      <c r="V110" s="34">
        <v>0</v>
      </c>
      <c r="W110" s="34">
        <v>0</v>
      </c>
    </row>
    <row r="114" spans="5:23" x14ac:dyDescent="0.2">
      <c r="E114" s="34"/>
      <c r="F114" s="34"/>
      <c r="G114" s="121"/>
      <c r="H114" s="121"/>
      <c r="I114" s="121"/>
      <c r="J114" s="121"/>
      <c r="K114" s="121"/>
      <c r="L114" s="121"/>
      <c r="M114" s="121"/>
      <c r="N114" s="121"/>
      <c r="O114" s="121"/>
      <c r="P114" s="121"/>
      <c r="Q114" s="121"/>
      <c r="R114" s="121"/>
      <c r="S114" s="121"/>
      <c r="T114" s="121"/>
      <c r="U114" s="121"/>
      <c r="V114" s="121"/>
      <c r="W114" s="121"/>
    </row>
    <row r="115" spans="5:23" x14ac:dyDescent="0.2">
      <c r="E115" s="34"/>
      <c r="F115" s="34"/>
      <c r="G115" s="121"/>
      <c r="H115" s="121"/>
      <c r="I115" s="121"/>
      <c r="J115" s="121"/>
      <c r="K115" s="121"/>
      <c r="L115" s="121"/>
      <c r="M115" s="121"/>
      <c r="N115" s="121"/>
      <c r="O115" s="121"/>
      <c r="P115" s="121"/>
      <c r="Q115" s="121"/>
      <c r="R115" s="121"/>
      <c r="S115" s="121"/>
      <c r="T115" s="121"/>
      <c r="U115" s="121"/>
      <c r="V115" s="121"/>
      <c r="W115" s="121"/>
    </row>
    <row r="117" spans="5:23" x14ac:dyDescent="0.2">
      <c r="E117" s="34"/>
      <c r="F117" s="34"/>
      <c r="G117" s="121"/>
      <c r="H117" s="121"/>
      <c r="I117" s="121"/>
      <c r="J117" s="121"/>
      <c r="K117" s="121"/>
      <c r="L117" s="121"/>
      <c r="M117" s="121"/>
      <c r="N117" s="121"/>
      <c r="O117" s="121"/>
      <c r="P117" s="121"/>
      <c r="Q117" s="121"/>
      <c r="R117" s="121"/>
      <c r="S117" s="121"/>
      <c r="T117" s="121"/>
      <c r="U117" s="121"/>
      <c r="V117" s="121"/>
      <c r="W117" s="121"/>
    </row>
    <row r="118" spans="5:23" x14ac:dyDescent="0.2">
      <c r="E118" s="34"/>
      <c r="F118" s="34"/>
      <c r="G118" s="121"/>
      <c r="H118" s="121"/>
      <c r="I118" s="121"/>
      <c r="J118" s="121"/>
      <c r="K118" s="121"/>
      <c r="L118" s="121"/>
      <c r="M118" s="121"/>
      <c r="N118" s="121"/>
      <c r="O118" s="121"/>
      <c r="P118" s="121"/>
      <c r="Q118" s="121"/>
      <c r="R118" s="121"/>
      <c r="S118" s="121"/>
      <c r="T118" s="121"/>
      <c r="U118" s="121"/>
      <c r="V118" s="121"/>
      <c r="W118" s="121"/>
    </row>
    <row r="119" spans="5:23" x14ac:dyDescent="0.2">
      <c r="G119" s="53"/>
      <c r="H119" s="53"/>
      <c r="I119" s="53"/>
      <c r="J119" s="53"/>
      <c r="K119" s="53"/>
      <c r="L119" s="53"/>
      <c r="M119" s="53"/>
      <c r="N119" s="53"/>
      <c r="O119" s="53"/>
      <c r="P119" s="53"/>
      <c r="Q119" s="53"/>
      <c r="R119" s="53"/>
      <c r="S119" s="53"/>
      <c r="T119" s="53"/>
      <c r="U119" s="53"/>
      <c r="V119" s="53"/>
      <c r="W119" s="53"/>
    </row>
    <row r="120" spans="5:23" x14ac:dyDescent="0.2">
      <c r="E120" s="34"/>
      <c r="F120" s="34"/>
      <c r="G120" s="121"/>
      <c r="H120" s="121"/>
      <c r="I120" s="121"/>
      <c r="J120" s="121"/>
      <c r="K120" s="121"/>
      <c r="L120" s="121"/>
      <c r="M120" s="121"/>
      <c r="N120" s="121"/>
      <c r="O120" s="121"/>
      <c r="P120" s="121"/>
      <c r="Q120" s="121"/>
      <c r="R120" s="121"/>
      <c r="S120" s="121"/>
      <c r="T120" s="121"/>
      <c r="U120" s="121"/>
      <c r="V120" s="121"/>
      <c r="W120" s="121"/>
    </row>
    <row r="121" spans="5:23" x14ac:dyDescent="0.2">
      <c r="E121" s="34"/>
      <c r="F121" s="34"/>
      <c r="G121" s="121"/>
      <c r="H121" s="121"/>
      <c r="I121" s="121"/>
      <c r="J121" s="121"/>
      <c r="K121" s="121"/>
      <c r="L121" s="121"/>
      <c r="M121" s="121"/>
      <c r="N121" s="121"/>
      <c r="O121" s="121"/>
      <c r="P121" s="121"/>
      <c r="Q121" s="121"/>
      <c r="R121" s="121"/>
      <c r="S121" s="121"/>
      <c r="T121" s="121"/>
      <c r="U121" s="121"/>
      <c r="V121" s="121"/>
      <c r="W121" s="121"/>
    </row>
    <row r="122" spans="5:23" x14ac:dyDescent="0.2">
      <c r="G122" s="53"/>
      <c r="H122" s="53"/>
      <c r="I122" s="53"/>
      <c r="J122" s="53"/>
      <c r="K122" s="53"/>
      <c r="L122" s="53"/>
      <c r="M122" s="53"/>
      <c r="N122" s="53"/>
      <c r="O122" s="53"/>
      <c r="P122" s="53"/>
      <c r="Q122" s="53"/>
      <c r="R122" s="53"/>
      <c r="S122" s="53"/>
      <c r="T122" s="53"/>
      <c r="U122" s="53"/>
      <c r="V122" s="53"/>
      <c r="W122" s="53"/>
    </row>
    <row r="123" spans="5:23" x14ac:dyDescent="0.2">
      <c r="E123" s="34"/>
      <c r="F123" s="34"/>
      <c r="G123" s="121"/>
      <c r="H123" s="121"/>
      <c r="I123" s="121"/>
      <c r="J123" s="121"/>
      <c r="K123" s="121"/>
      <c r="L123" s="121"/>
      <c r="M123" s="121"/>
      <c r="N123" s="121"/>
      <c r="O123" s="121"/>
      <c r="P123" s="121"/>
      <c r="Q123" s="121"/>
      <c r="R123" s="121"/>
      <c r="S123" s="121"/>
      <c r="T123" s="121"/>
      <c r="U123" s="121"/>
      <c r="V123" s="121"/>
      <c r="W123" s="121"/>
    </row>
    <row r="124" spans="5:23" x14ac:dyDescent="0.2">
      <c r="E124" s="34"/>
      <c r="F124" s="34"/>
      <c r="G124" s="121"/>
      <c r="H124" s="121"/>
      <c r="I124" s="121"/>
      <c r="J124" s="121"/>
      <c r="K124" s="121"/>
      <c r="L124" s="121"/>
      <c r="M124" s="121"/>
      <c r="N124" s="121"/>
      <c r="O124" s="121"/>
      <c r="P124" s="121"/>
      <c r="Q124" s="121"/>
      <c r="R124" s="121"/>
      <c r="S124" s="121"/>
      <c r="T124" s="121"/>
      <c r="U124" s="121"/>
      <c r="V124" s="121"/>
      <c r="W124" s="121"/>
    </row>
    <row r="125" spans="5:23" x14ac:dyDescent="0.2">
      <c r="G125" s="121"/>
      <c r="H125" s="121"/>
      <c r="I125" s="121"/>
      <c r="J125" s="121"/>
      <c r="K125" s="121"/>
      <c r="L125" s="121"/>
      <c r="M125" s="121"/>
      <c r="N125" s="121"/>
      <c r="O125" s="121"/>
      <c r="P125" s="121"/>
      <c r="Q125" s="121"/>
      <c r="R125" s="121"/>
      <c r="S125" s="121"/>
      <c r="T125" s="121"/>
      <c r="U125" s="121"/>
      <c r="V125" s="121"/>
      <c r="W125" s="121"/>
    </row>
    <row r="126" spans="5:23" x14ac:dyDescent="0.2">
      <c r="E126" s="34"/>
      <c r="F126" s="34"/>
      <c r="G126" s="121"/>
      <c r="H126" s="121"/>
      <c r="I126" s="121"/>
      <c r="J126" s="121"/>
      <c r="K126" s="121"/>
      <c r="L126" s="121"/>
      <c r="M126" s="121"/>
      <c r="N126" s="121"/>
      <c r="O126" s="121"/>
      <c r="P126" s="121"/>
      <c r="Q126" s="121"/>
      <c r="R126" s="121"/>
      <c r="S126" s="121"/>
      <c r="T126" s="121"/>
      <c r="U126" s="121"/>
      <c r="V126" s="121"/>
      <c r="W126" s="121"/>
    </row>
    <row r="127" spans="5:23" x14ac:dyDescent="0.2">
      <c r="E127" s="34"/>
      <c r="F127" s="34"/>
      <c r="G127" s="121"/>
      <c r="H127" s="121"/>
      <c r="I127" s="121"/>
      <c r="J127" s="121"/>
      <c r="K127" s="121"/>
      <c r="L127" s="121"/>
      <c r="M127" s="121"/>
      <c r="N127" s="121"/>
      <c r="O127" s="121"/>
      <c r="P127" s="121"/>
      <c r="Q127" s="121"/>
      <c r="R127" s="121"/>
      <c r="S127" s="121"/>
      <c r="T127" s="121"/>
      <c r="U127" s="121"/>
      <c r="V127" s="121"/>
      <c r="W127" s="121"/>
    </row>
    <row r="128" spans="5:23" x14ac:dyDescent="0.2">
      <c r="G128" s="121"/>
      <c r="H128" s="121"/>
      <c r="I128" s="121"/>
      <c r="J128" s="121"/>
      <c r="K128" s="121"/>
      <c r="L128" s="121"/>
      <c r="M128" s="121"/>
      <c r="N128" s="121"/>
      <c r="O128" s="121"/>
      <c r="P128" s="121"/>
      <c r="Q128" s="121"/>
      <c r="R128" s="121"/>
      <c r="S128" s="121"/>
      <c r="T128" s="121"/>
      <c r="U128" s="121"/>
      <c r="V128" s="121"/>
      <c r="W128" s="121"/>
    </row>
    <row r="129" spans="7:23" x14ac:dyDescent="0.2">
      <c r="G129" s="121"/>
      <c r="H129" s="121"/>
      <c r="I129" s="121"/>
      <c r="J129" s="121"/>
      <c r="K129" s="121"/>
      <c r="L129" s="121"/>
      <c r="M129" s="121"/>
      <c r="N129" s="121"/>
      <c r="O129" s="121"/>
      <c r="P129" s="121"/>
      <c r="Q129" s="121"/>
      <c r="R129" s="121"/>
      <c r="S129" s="121"/>
      <c r="T129" s="121"/>
      <c r="U129" s="121"/>
      <c r="V129" s="121"/>
      <c r="W129" s="121"/>
    </row>
  </sheetData>
  <conditionalFormatting sqref="G12:M12">
    <cfRule type="expression" dxfId="17" priority="60">
      <formula>AND(G10&gt;$C$5,G10&lt;=$C$6)</formula>
    </cfRule>
  </conditionalFormatting>
  <conditionalFormatting sqref="K12:N12">
    <cfRule type="expression" dxfId="15" priority="62">
      <formula>K10=$C$6+1</formula>
    </cfRule>
  </conditionalFormatting>
  <conditionalFormatting sqref="L12:O12">
    <cfRule type="expression" dxfId="14" priority="65">
      <formula>L10=$C$6+2</formula>
    </cfRule>
  </conditionalFormatting>
  <conditionalFormatting sqref="U10:W43 U45:W52 U54:W76 U78:W99 U101:W130">
    <cfRule type="expression" dxfId="11" priority="1">
      <formula>U$10&gt;$C$7</formula>
    </cfRule>
  </conditionalFormatting>
  <pageMargins left="0.7" right="0.7" top="0.75" bottom="0.75" header="0.3" footer="0.3"/>
  <pageSetup paperSize="9" orientation="portrait" r:id="rId1"/>
  <ignoredErrors>
    <ignoredError sqref="C5 C46:C47" unlockedFormula="1"/>
  </ignoredErrors>
  <extLst>
    <ext xmlns:x14="http://schemas.microsoft.com/office/spreadsheetml/2009/9/main" uri="{78C0D931-6437-407d-A8EE-F0AAD7539E65}">
      <x14:conditionalFormattings>
        <x14:conditionalFormatting xmlns:xm="http://schemas.microsoft.com/office/excel/2006/main">
          <x14:cfRule type="expression" priority="76" id="{B88CB253-25A7-48C5-B892-AF3EE434A6A9}">
            <xm:f>OR('Criteria results'!#REF!=7,'Criteria results'!#REF!=10)</xm:f>
            <x14:dxf>
              <font>
                <color theme="0"/>
              </font>
            </x14:dxf>
          </x14:cfRule>
          <xm:sqref>K75:M75</xm:sqref>
        </x14:conditionalFormatting>
        <x14:conditionalFormatting xmlns:xm="http://schemas.microsoft.com/office/excel/2006/main">
          <x14:cfRule type="expression" priority="69" id="{D31BC8EE-7345-483F-A9F0-CB3AD006CBA1}">
            <xm:f>'Criteria results'!$F$5=7</xm:f>
            <x14:dxf>
              <border>
                <left style="thin">
                  <color auto="1"/>
                </left>
                <top style="thin">
                  <color auto="1"/>
                </top>
                <bottom style="thin">
                  <color auto="1"/>
                </bottom>
                <vertical/>
                <horizontal/>
              </border>
            </x14:dxf>
          </x14:cfRule>
          <xm:sqref>N12</xm:sqref>
        </x14:conditionalFormatting>
        <x14:conditionalFormatting xmlns:xm="http://schemas.microsoft.com/office/excel/2006/main">
          <x14:cfRule type="expression" priority="77" id="{4D283B7C-3A09-4829-8C79-6D87AFE7DCC7}">
            <xm:f>'Criteria results'!#REF!=10</xm:f>
            <x14:dxf>
              <font>
                <color theme="0"/>
              </font>
            </x14:dxf>
          </x14:cfRule>
          <xm:sqref>N75:P75</xm:sqref>
        </x14:conditionalFormatting>
      </x14:conditionalFormattings>
    </ext>
  </extLst>
</worksheet>
</file>

<file path=xl/worksheets/sheet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700-000000000000}">
  <sheetPr codeName="Sheet10">
    <tabColor rgb="FF92D050"/>
  </sheetPr>
  <dimension ref="A1:BB132"/>
  <sheetViews>
    <sheetView zoomScaleNormal="100" workbookViewId="0"/>
  </sheetViews>
  <sheetFormatPr defaultColWidth="9.28515625" defaultRowHeight="11.25" outlineLevelRow="1" x14ac:dyDescent="0.2"/>
  <cols>
    <col min="1" max="1" width="9.28515625" style="26" customWidth="1"/>
    <col min="2" max="2" width="56" style="26" customWidth="1"/>
    <col min="3" max="38" width="9.28515625" style="26" customWidth="1"/>
    <col min="39" max="48" width="11.42578125" style="26" bestFit="1" customWidth="1"/>
    <col min="49" max="16384" width="9.28515625" style="26"/>
  </cols>
  <sheetData>
    <row r="1" spans="1:51" ht="24.75" customHeight="1" x14ac:dyDescent="0.2">
      <c r="B1" s="39"/>
    </row>
    <row r="2" spans="1:51" ht="11.25" customHeight="1" x14ac:dyDescent="0.2">
      <c r="B2" s="27"/>
    </row>
    <row r="3" spans="1:51" ht="11.25" customHeight="1" x14ac:dyDescent="0.2">
      <c r="B3" s="19" t="s">
        <v>15</v>
      </c>
      <c r="C3" s="20" t="str">
        <f>'Input data'!C3</f>
        <v>FI</v>
      </c>
    </row>
    <row r="4" spans="1:51" x14ac:dyDescent="0.2">
      <c r="B4" s="64" t="s">
        <v>38</v>
      </c>
      <c r="C4" s="21"/>
    </row>
    <row r="5" spans="1:51" x14ac:dyDescent="0.2">
      <c r="A5" s="29"/>
      <c r="B5" s="22" t="str">
        <f>'Input data'!B5</f>
        <v>Last year before the adjustment</v>
      </c>
      <c r="C5" s="23">
        <f>+'Input data'!C5</f>
        <v>2024</v>
      </c>
    </row>
    <row r="6" spans="1:51" x14ac:dyDescent="0.2">
      <c r="A6" s="29"/>
      <c r="B6" s="65" t="s">
        <v>44</v>
      </c>
      <c r="C6" s="23">
        <f>+C5+'Criteria results'!F5</f>
        <v>2031</v>
      </c>
      <c r="E6" s="43"/>
      <c r="F6" s="29"/>
    </row>
    <row r="7" spans="1:51" x14ac:dyDescent="0.2">
      <c r="A7" s="29"/>
      <c r="B7" s="24" t="s">
        <v>39</v>
      </c>
      <c r="C7" s="66">
        <f>C5+'Criteria results'!F5+10</f>
        <v>2041</v>
      </c>
      <c r="E7" s="43"/>
      <c r="F7" s="29"/>
    </row>
    <row r="8" spans="1:51" x14ac:dyDescent="0.2">
      <c r="A8" s="29"/>
      <c r="C8" s="29"/>
      <c r="E8" s="43"/>
      <c r="F8" s="29"/>
    </row>
    <row r="9" spans="1:51" s="67" customFormat="1" ht="12.75" x14ac:dyDescent="0.2">
      <c r="B9" s="25" t="s">
        <v>45</v>
      </c>
    </row>
    <row r="10" spans="1:51" x14ac:dyDescent="0.2">
      <c r="C10" s="31">
        <v>2021</v>
      </c>
      <c r="D10" s="31">
        <v>2022</v>
      </c>
      <c r="E10" s="31">
        <v>2023</v>
      </c>
      <c r="F10" s="31">
        <v>2024</v>
      </c>
      <c r="G10" s="31">
        <v>2025</v>
      </c>
      <c r="H10" s="31">
        <v>2026</v>
      </c>
      <c r="I10" s="31">
        <v>2027</v>
      </c>
      <c r="J10" s="31">
        <v>2028</v>
      </c>
      <c r="K10" s="31">
        <v>2029</v>
      </c>
      <c r="L10" s="31">
        <v>2030</v>
      </c>
      <c r="M10" s="31">
        <v>2031</v>
      </c>
      <c r="N10" s="31">
        <v>2032</v>
      </c>
      <c r="O10" s="31">
        <v>2033</v>
      </c>
      <c r="P10" s="31">
        <v>2034</v>
      </c>
      <c r="Q10" s="31">
        <v>2035</v>
      </c>
      <c r="R10" s="31">
        <v>2036</v>
      </c>
      <c r="S10" s="31">
        <v>2037</v>
      </c>
      <c r="T10" s="31">
        <v>2038</v>
      </c>
      <c r="U10" s="31">
        <v>2039</v>
      </c>
      <c r="V10" s="31">
        <v>2040</v>
      </c>
      <c r="W10" s="31">
        <v>2041</v>
      </c>
      <c r="X10" s="29"/>
      <c r="Y10" s="29"/>
      <c r="Z10" s="29"/>
      <c r="AA10" s="29"/>
      <c r="AB10" s="29"/>
      <c r="AC10" s="29"/>
      <c r="AD10" s="29"/>
      <c r="AE10" s="29"/>
      <c r="AF10" s="29"/>
      <c r="AG10" s="29"/>
      <c r="AH10" s="29"/>
      <c r="AI10" s="29"/>
      <c r="AJ10" s="29"/>
      <c r="AK10" s="29"/>
      <c r="AL10" s="29"/>
      <c r="AM10" s="29"/>
      <c r="AN10" s="29"/>
      <c r="AO10" s="29"/>
      <c r="AP10" s="29"/>
      <c r="AQ10" s="29"/>
      <c r="AR10" s="29"/>
      <c r="AS10" s="29"/>
      <c r="AT10" s="29"/>
      <c r="AU10" s="29"/>
      <c r="AV10" s="29"/>
      <c r="AW10" s="29"/>
      <c r="AX10" s="29"/>
    </row>
    <row r="11" spans="1:51" x14ac:dyDescent="0.2">
      <c r="B11" s="28" t="s">
        <v>46</v>
      </c>
      <c r="C11" s="29"/>
      <c r="D11" s="29"/>
      <c r="E11" s="29"/>
      <c r="F11" s="29"/>
      <c r="G11" s="29"/>
      <c r="H11" s="29"/>
      <c r="I11" s="29"/>
      <c r="J11" s="29"/>
      <c r="K11" s="29"/>
      <c r="L11" s="29"/>
      <c r="M11" s="29"/>
      <c r="N11" s="29"/>
      <c r="O11" s="29"/>
      <c r="P11" s="29"/>
      <c r="Q11" s="29"/>
      <c r="R11" s="29"/>
      <c r="S11" s="29"/>
      <c r="T11" s="29"/>
      <c r="U11" s="29"/>
      <c r="V11" s="29"/>
      <c r="W11" s="29"/>
      <c r="X11" s="29"/>
      <c r="Y11" s="29"/>
      <c r="Z11" s="29"/>
      <c r="AA11" s="29"/>
      <c r="AB11" s="29"/>
      <c r="AC11" s="29"/>
      <c r="AD11" s="29"/>
      <c r="AE11" s="29"/>
      <c r="AF11" s="29"/>
      <c r="AG11" s="29"/>
      <c r="AH11" s="29"/>
      <c r="AI11" s="29"/>
      <c r="AJ11" s="29"/>
      <c r="AK11" s="29"/>
      <c r="AL11" s="29"/>
      <c r="AM11" s="29"/>
      <c r="AN11" s="29"/>
      <c r="AO11" s="29"/>
      <c r="AP11" s="29"/>
      <c r="AQ11" s="29"/>
      <c r="AR11" s="29"/>
      <c r="AS11" s="29"/>
      <c r="AT11" s="29"/>
      <c r="AU11" s="29"/>
      <c r="AV11" s="29"/>
      <c r="AW11" s="29"/>
      <c r="AX11" s="29"/>
    </row>
    <row r="12" spans="1:51" x14ac:dyDescent="0.2">
      <c r="B12" s="26" t="s">
        <v>48</v>
      </c>
      <c r="C12" s="1">
        <f>'Input data'!C13</f>
        <v>-2.1345519999999998</v>
      </c>
      <c r="D12" s="2">
        <f>'Input data'!D13</f>
        <v>0.29205680000000001</v>
      </c>
      <c r="E12" s="2">
        <f>'Input data'!E13</f>
        <v>-0.2445959</v>
      </c>
      <c r="F12" s="2">
        <f>'Input data'!F13</f>
        <v>-0.53010330000000006</v>
      </c>
      <c r="G12" s="3">
        <f>'Adjust. no safeguard'!G12</f>
        <v>1.0698967000000001</v>
      </c>
      <c r="H12" s="3">
        <f>'Adjust. no safeguard'!H12</f>
        <v>2.6698967000000002</v>
      </c>
      <c r="I12" s="3">
        <f>'Adjust. no safeguard'!I12</f>
        <v>4.2698967000000003</v>
      </c>
      <c r="J12" s="3">
        <f>'Adjust. no safeguard'!J12</f>
        <v>5.8698967</v>
      </c>
      <c r="K12" s="119">
        <f>'Adjust. no safeguard'!K12</f>
        <v>7.4698966999999996</v>
      </c>
      <c r="L12" s="119">
        <f>'Adjust. no safeguard'!L12</f>
        <v>9.0698966999999993</v>
      </c>
      <c r="M12" s="119">
        <f>'Adjust. no safeguard'!M12</f>
        <v>10.669896699999999</v>
      </c>
      <c r="N12" s="119">
        <f>IF(N10&lt;=$C$6,M12+'Criteria results'!$F$6,M12)</f>
        <v>10.669896699999999</v>
      </c>
      <c r="O12" s="119">
        <f>IF(O10&lt;=$C$6,N12+'Criteria results'!$F$6,N12)</f>
        <v>10.669896699999999</v>
      </c>
      <c r="P12" s="119">
        <f>IF(P10&lt;=$C$6,O12+'Criteria results'!$F$6,O12)</f>
        <v>10.669896699999999</v>
      </c>
      <c r="Q12" s="119">
        <f>IF(Q10&lt;=$C$6,P12+'Criteria results'!$F$6,P12)</f>
        <v>10.669896699999999</v>
      </c>
      <c r="R12" s="119">
        <f>IF(R10&lt;=$C$6,Q12+'Criteria results'!$F$6,Q12)</f>
        <v>10.669896699999999</v>
      </c>
      <c r="S12" s="119">
        <f>IF(S10&lt;=$C$6,R12+'Criteria results'!$F$6,R12)</f>
        <v>10.669896699999999</v>
      </c>
      <c r="T12" s="119">
        <f>IF(T10&lt;=$C$6,S12+'Criteria results'!$F$6,S12)</f>
        <v>10.669896699999999</v>
      </c>
      <c r="U12" s="119">
        <f>IF(U10&lt;=$C$6,T12+'Criteria results'!$F$6,T12)</f>
        <v>10.669896699999999</v>
      </c>
      <c r="V12" s="119">
        <f>IF(V10&lt;=$C$6,U12+'Criteria results'!$F$6,U12)</f>
        <v>10.669896699999999</v>
      </c>
      <c r="W12" s="119">
        <f>IF(W10&lt;=$C$6,V12+'Criteria results'!$F$6,V12)</f>
        <v>10.669896699999999</v>
      </c>
      <c r="X12" s="59"/>
      <c r="Y12" s="59"/>
      <c r="Z12" s="59"/>
      <c r="AA12" s="59"/>
      <c r="AB12" s="59"/>
      <c r="AC12" s="59"/>
      <c r="AD12" s="59"/>
      <c r="AE12" s="59"/>
      <c r="AF12" s="59"/>
      <c r="AG12" s="59"/>
      <c r="AH12" s="59"/>
      <c r="AI12" s="59"/>
      <c r="AJ12" s="59"/>
      <c r="AK12" s="59"/>
      <c r="AL12" s="59"/>
      <c r="AM12" s="59"/>
      <c r="AN12" s="59"/>
      <c r="AO12" s="59"/>
      <c r="AP12" s="59"/>
      <c r="AQ12" s="59"/>
      <c r="AR12" s="59"/>
      <c r="AS12" s="59"/>
      <c r="AT12" s="59"/>
      <c r="AU12" s="59"/>
      <c r="AV12" s="59"/>
      <c r="AW12" s="59"/>
      <c r="AX12" s="59"/>
      <c r="AY12" s="60"/>
    </row>
    <row r="13" spans="1:51" x14ac:dyDescent="0.2">
      <c r="B13" s="26" t="s">
        <v>49</v>
      </c>
      <c r="C13" s="1">
        <f>'Input data'!C14</f>
        <v>0</v>
      </c>
      <c r="D13" s="2">
        <f>'Input data'!D14</f>
        <v>0</v>
      </c>
      <c r="E13" s="2">
        <f>'Input data'!E14</f>
        <v>0</v>
      </c>
      <c r="F13" s="2">
        <f>'Input data'!F14</f>
        <v>0</v>
      </c>
      <c r="G13" s="2">
        <f>'Input data'!G14</f>
        <v>0</v>
      </c>
      <c r="H13" s="2">
        <f>0</f>
        <v>0</v>
      </c>
      <c r="I13" s="2">
        <f>0</f>
        <v>0</v>
      </c>
      <c r="J13" s="2">
        <f>0</f>
        <v>0</v>
      </c>
      <c r="K13" s="2">
        <f>0</f>
        <v>0</v>
      </c>
      <c r="L13" s="2">
        <f>0</f>
        <v>0</v>
      </c>
      <c r="M13" s="2">
        <f>0</f>
        <v>0</v>
      </c>
      <c r="N13" s="2">
        <f>0</f>
        <v>0</v>
      </c>
      <c r="O13" s="2">
        <f>0</f>
        <v>0</v>
      </c>
      <c r="P13" s="2">
        <f>0</f>
        <v>0</v>
      </c>
      <c r="Q13" s="2">
        <f>0</f>
        <v>0</v>
      </c>
      <c r="R13" s="2">
        <f>0</f>
        <v>0</v>
      </c>
      <c r="S13" s="2">
        <f>0</f>
        <v>0</v>
      </c>
      <c r="T13" s="2">
        <f>0</f>
        <v>0</v>
      </c>
      <c r="U13" s="2">
        <f>0</f>
        <v>0</v>
      </c>
      <c r="V13" s="2">
        <f>0</f>
        <v>0</v>
      </c>
      <c r="W13" s="2">
        <f>0</f>
        <v>0</v>
      </c>
      <c r="X13" s="59"/>
      <c r="Y13" s="59"/>
      <c r="Z13" s="59"/>
      <c r="AA13" s="59"/>
      <c r="AB13" s="59"/>
      <c r="AC13" s="59"/>
      <c r="AD13" s="59"/>
      <c r="AE13" s="59"/>
      <c r="AF13" s="59"/>
      <c r="AG13" s="59"/>
      <c r="AH13" s="59"/>
      <c r="AI13" s="59"/>
      <c r="AJ13" s="59"/>
      <c r="AK13" s="59"/>
      <c r="AL13" s="59"/>
      <c r="AM13" s="59"/>
      <c r="AN13" s="59"/>
      <c r="AO13" s="59"/>
      <c r="AP13" s="59"/>
      <c r="AQ13" s="59"/>
      <c r="AR13" s="59"/>
      <c r="AS13" s="59"/>
      <c r="AT13" s="59"/>
      <c r="AU13" s="59"/>
      <c r="AV13" s="59"/>
      <c r="AW13" s="59"/>
      <c r="AX13" s="59"/>
      <c r="AY13" s="60"/>
    </row>
    <row r="14" spans="1:51" x14ac:dyDescent="0.2">
      <c r="B14" s="26" t="s">
        <v>87</v>
      </c>
      <c r="C14" s="1">
        <f>'Input data'!C15</f>
        <v>-1.1351690000000001</v>
      </c>
      <c r="D14" s="2">
        <f>'Input data'!D15</f>
        <v>4.8490650000000004</v>
      </c>
      <c r="E14" s="2">
        <f>'Input data'!E15</f>
        <v>2.318794</v>
      </c>
      <c r="F14" s="2">
        <f>'Input data'!F15</f>
        <v>2.6028570000000002</v>
      </c>
      <c r="G14" s="2">
        <f>'Input data'!G15</f>
        <v>1.6620999999999999</v>
      </c>
      <c r="H14" s="2">
        <f>'Input data'!H15</f>
        <v>1.6902729999999999</v>
      </c>
      <c r="I14" s="2">
        <f>'Input data'!I15</f>
        <v>1.702215</v>
      </c>
      <c r="J14" s="2">
        <f>'Input data'!J15</f>
        <v>1.648048</v>
      </c>
      <c r="K14" s="2">
        <f>'Input data'!K15</f>
        <v>1.5813470000000001</v>
      </c>
      <c r="L14" s="2">
        <f>'Input data'!L15</f>
        <v>1.5408029999999999</v>
      </c>
      <c r="M14" s="2">
        <f>'Input data'!M15</f>
        <v>1.5229809999999999</v>
      </c>
      <c r="N14" s="2">
        <f>'Input data'!N15</f>
        <v>1.526135</v>
      </c>
      <c r="O14" s="2">
        <f>'Input data'!O15</f>
        <v>1.3735219999999999</v>
      </c>
      <c r="P14" s="2">
        <f>'Input data'!P15</f>
        <v>1.2209080000000001</v>
      </c>
      <c r="Q14" s="2">
        <f>'Input data'!Q15</f>
        <v>1.068295</v>
      </c>
      <c r="R14" s="2">
        <f>'Input data'!R15</f>
        <v>0.91568099999999997</v>
      </c>
      <c r="S14" s="2">
        <f>'Input data'!S15</f>
        <v>0.76306750000000001</v>
      </c>
      <c r="T14" s="2">
        <f>'Input data'!T15</f>
        <v>0.61045400000000005</v>
      </c>
      <c r="U14" s="2">
        <f>'Input data'!U15</f>
        <v>0.45784049999999998</v>
      </c>
      <c r="V14" s="2">
        <f>'Input data'!V15</f>
        <v>0.30522700000000003</v>
      </c>
      <c r="W14" s="2">
        <f>'Input data'!W15</f>
        <v>0.15261350000000001</v>
      </c>
      <c r="X14" s="59"/>
      <c r="Y14" s="59"/>
      <c r="Z14" s="59"/>
      <c r="AA14" s="59"/>
      <c r="AB14" s="59"/>
      <c r="AC14" s="59"/>
      <c r="AD14" s="59"/>
      <c r="AE14" s="59"/>
      <c r="AF14" s="59"/>
      <c r="AG14" s="59"/>
      <c r="AH14" s="59"/>
      <c r="AI14" s="59"/>
      <c r="AJ14" s="59"/>
      <c r="AK14" s="59"/>
      <c r="AL14" s="59"/>
      <c r="AM14" s="59"/>
      <c r="AN14" s="59"/>
      <c r="AO14" s="59"/>
      <c r="AP14" s="59"/>
      <c r="AQ14" s="59"/>
      <c r="AR14" s="59"/>
      <c r="AS14" s="59"/>
      <c r="AT14" s="59"/>
      <c r="AU14" s="59"/>
      <c r="AV14" s="59"/>
      <c r="AW14" s="59"/>
      <c r="AX14" s="59"/>
      <c r="AY14" s="60"/>
    </row>
    <row r="15" spans="1:51" ht="5.65" customHeight="1" x14ac:dyDescent="0.2">
      <c r="C15" s="1"/>
      <c r="D15" s="1"/>
      <c r="E15" s="1"/>
      <c r="F15" s="1"/>
      <c r="G15" s="1"/>
      <c r="H15" s="1"/>
      <c r="I15" s="1"/>
      <c r="J15" s="1"/>
      <c r="K15" s="1"/>
      <c r="L15" s="1"/>
      <c r="M15" s="1"/>
      <c r="N15" s="1"/>
      <c r="O15" s="1"/>
      <c r="P15" s="1"/>
      <c r="Q15" s="1"/>
      <c r="R15" s="1"/>
      <c r="S15" s="1"/>
      <c r="T15" s="1"/>
      <c r="U15" s="1"/>
      <c r="V15" s="1"/>
      <c r="W15" s="1"/>
      <c r="X15" s="1"/>
      <c r="Y15" s="1"/>
      <c r="Z15" s="1"/>
      <c r="AA15" s="1"/>
      <c r="AB15" s="1"/>
      <c r="AC15" s="1"/>
      <c r="AD15" s="1"/>
      <c r="AE15" s="1"/>
      <c r="AF15" s="1"/>
      <c r="AG15" s="1"/>
      <c r="AH15" s="1"/>
      <c r="AI15" s="1"/>
      <c r="AJ15" s="1"/>
      <c r="AK15" s="1"/>
      <c r="AL15" s="1"/>
      <c r="AM15" s="1"/>
      <c r="AN15" s="1"/>
      <c r="AO15" s="1"/>
      <c r="AP15" s="1"/>
      <c r="AQ15" s="1"/>
      <c r="AR15" s="1"/>
      <c r="AS15" s="1"/>
      <c r="AT15" s="1"/>
      <c r="AU15" s="1"/>
      <c r="AV15" s="1"/>
      <c r="AW15" s="1"/>
      <c r="AX15" s="1"/>
    </row>
    <row r="16" spans="1:51" ht="11.25" customHeight="1" x14ac:dyDescent="0.2">
      <c r="B16" s="30" t="str">
        <f>'Input data'!B19</f>
        <v>Cost of ageing and selected public revenue (based on the Commission-Council 2024 Ageing Report ("AR 2024"))</v>
      </c>
      <c r="C16" s="1"/>
      <c r="D16" s="1"/>
      <c r="E16" s="1"/>
      <c r="F16" s="1"/>
      <c r="G16" s="1"/>
      <c r="H16" s="1"/>
      <c r="I16" s="1"/>
      <c r="J16" s="1"/>
      <c r="K16" s="1"/>
      <c r="L16" s="1"/>
      <c r="M16" s="1"/>
      <c r="N16" s="1"/>
      <c r="O16" s="1"/>
      <c r="P16" s="1"/>
      <c r="Q16" s="1"/>
      <c r="R16" s="1"/>
      <c r="S16" s="1"/>
      <c r="T16" s="1"/>
      <c r="U16" s="1"/>
      <c r="V16" s="1"/>
      <c r="W16" s="1"/>
      <c r="X16" s="1"/>
      <c r="Y16" s="1"/>
      <c r="Z16" s="1"/>
      <c r="AA16" s="1"/>
      <c r="AB16" s="1"/>
      <c r="AC16" s="1"/>
      <c r="AD16" s="1"/>
      <c r="AE16" s="1"/>
      <c r="AF16" s="1"/>
      <c r="AG16" s="1"/>
      <c r="AH16" s="1"/>
      <c r="AI16" s="1"/>
      <c r="AJ16" s="1"/>
      <c r="AK16" s="1"/>
      <c r="AL16" s="1"/>
      <c r="AM16" s="1"/>
      <c r="AN16" s="1"/>
      <c r="AO16" s="1"/>
      <c r="AP16" s="1"/>
      <c r="AQ16" s="1"/>
      <c r="AR16" s="1"/>
      <c r="AS16" s="1"/>
      <c r="AT16" s="1"/>
      <c r="AU16" s="1"/>
      <c r="AV16" s="1"/>
      <c r="AW16" s="1"/>
      <c r="AX16" s="1"/>
    </row>
    <row r="17" spans="1:54" x14ac:dyDescent="0.2">
      <c r="A17" s="61"/>
      <c r="B17" s="26" t="s">
        <v>52</v>
      </c>
      <c r="C17" s="101">
        <f>'Input data'!C20</f>
        <v>0</v>
      </c>
      <c r="D17" s="101">
        <f>'Input data'!D20</f>
        <v>23.655849999999997</v>
      </c>
      <c r="E17" s="101">
        <f>'Input data'!E20</f>
        <v>23.83699</v>
      </c>
      <c r="F17" s="101">
        <f>'Input data'!F20</f>
        <v>23.96105</v>
      </c>
      <c r="G17" s="101">
        <f>'Input data'!G20</f>
        <v>23.911249999999999</v>
      </c>
      <c r="H17" s="101">
        <f>'Input data'!H20</f>
        <v>23.909049999999997</v>
      </c>
      <c r="I17" s="101">
        <f>'Input data'!I20</f>
        <v>23.948919999999998</v>
      </c>
      <c r="J17" s="101">
        <f>'Input data'!J20</f>
        <v>24.046380000000003</v>
      </c>
      <c r="K17" s="101">
        <f>'Input data'!K20</f>
        <v>24.15964</v>
      </c>
      <c r="L17" s="101">
        <f>'Input data'!L20</f>
        <v>24.232299999999999</v>
      </c>
      <c r="M17" s="101">
        <f>'Input data'!M20</f>
        <v>24.288240000000002</v>
      </c>
      <c r="N17" s="101">
        <f>'Input data'!N20</f>
        <v>24.322410000000001</v>
      </c>
      <c r="O17" s="101">
        <f>'Input data'!O20</f>
        <v>24.319019999999998</v>
      </c>
      <c r="P17" s="101">
        <f>'Input data'!P20</f>
        <v>24.31607</v>
      </c>
      <c r="Q17" s="101">
        <f>'Input data'!Q20</f>
        <v>24.304599999999997</v>
      </c>
      <c r="R17" s="101">
        <f>'Input data'!R20</f>
        <v>24.277160000000002</v>
      </c>
      <c r="S17" s="101">
        <f>'Input data'!S20</f>
        <v>24.230790000000002</v>
      </c>
      <c r="T17" s="101">
        <f>'Input data'!T20</f>
        <v>24.168680000000002</v>
      </c>
      <c r="U17" s="101">
        <f>'Input data'!U20</f>
        <v>24.092350000000003</v>
      </c>
      <c r="V17" s="101">
        <f>'Input data'!V20</f>
        <v>24.017060000000001</v>
      </c>
      <c r="W17" s="101">
        <f>'Input data'!W20</f>
        <v>23.958480000000002</v>
      </c>
      <c r="X17" s="1"/>
      <c r="Y17" s="1"/>
      <c r="Z17" s="1"/>
      <c r="AA17" s="1"/>
      <c r="AB17" s="1"/>
      <c r="AC17" s="1"/>
      <c r="AD17" s="1"/>
      <c r="AE17" s="1"/>
      <c r="AF17" s="1"/>
      <c r="AG17" s="1"/>
      <c r="AH17" s="1"/>
      <c r="AI17" s="1"/>
      <c r="AJ17" s="1"/>
      <c r="AK17" s="1"/>
      <c r="AL17" s="1"/>
      <c r="AM17" s="1"/>
      <c r="AN17" s="1"/>
      <c r="AO17" s="1"/>
      <c r="AP17" s="1"/>
      <c r="AQ17" s="1"/>
      <c r="AR17" s="1"/>
      <c r="AS17" s="1"/>
      <c r="AT17" s="1"/>
      <c r="AU17" s="1"/>
      <c r="AV17" s="1"/>
      <c r="AW17" s="1"/>
      <c r="AX17" s="1"/>
    </row>
    <row r="18" spans="1:54" x14ac:dyDescent="0.2">
      <c r="A18" s="61"/>
      <c r="B18" s="26" t="s">
        <v>58</v>
      </c>
      <c r="C18" s="101">
        <f>'Input data'!C26</f>
        <v>2.0641180000000001</v>
      </c>
      <c r="D18" s="101">
        <f>'Input data'!D26</f>
        <v>2.1110479999999998</v>
      </c>
      <c r="E18" s="101">
        <f>'Input data'!E26</f>
        <v>2.1176979999999999</v>
      </c>
      <c r="F18" s="101">
        <f>'Input data'!F26</f>
        <v>2.1243479999999999</v>
      </c>
      <c r="G18" s="101">
        <f>'Input data'!G26</f>
        <v>2.1309979999999999</v>
      </c>
      <c r="H18" s="101">
        <f>'Input data'!H26</f>
        <v>2.137648</v>
      </c>
      <c r="I18" s="101">
        <f>'Input data'!I26</f>
        <v>2.1442990000000002</v>
      </c>
      <c r="J18" s="101">
        <f>'Input data'!J26</f>
        <v>2.1509490000000002</v>
      </c>
      <c r="K18" s="101">
        <f>'Input data'!K26</f>
        <v>2.1575989999999998</v>
      </c>
      <c r="L18" s="101">
        <f>'Input data'!L26</f>
        <v>2.1642489999999999</v>
      </c>
      <c r="M18" s="101">
        <f>'Input data'!M26</f>
        <v>2.1708989999999999</v>
      </c>
      <c r="N18" s="101">
        <f>'Input data'!N26</f>
        <v>2.1775500000000001</v>
      </c>
      <c r="O18" s="101">
        <f>'Input data'!O26</f>
        <v>2.1842000000000001</v>
      </c>
      <c r="P18" s="101">
        <f>'Input data'!P26</f>
        <v>2.1908500000000002</v>
      </c>
      <c r="Q18" s="101">
        <f>'Input data'!Q26</f>
        <v>2.1974999999999998</v>
      </c>
      <c r="R18" s="101">
        <f>'Input data'!R26</f>
        <v>2.2041499999999998</v>
      </c>
      <c r="S18" s="101">
        <f>'Input data'!S26</f>
        <v>2.210801</v>
      </c>
      <c r="T18" s="101">
        <f>'Input data'!T26</f>
        <v>2.2174510000000001</v>
      </c>
      <c r="U18" s="101">
        <f>'Input data'!U26</f>
        <v>2.2241010000000001</v>
      </c>
      <c r="V18" s="101">
        <f>'Input data'!V26</f>
        <v>2.2307510000000002</v>
      </c>
      <c r="W18" s="101">
        <f>'Input data'!W26</f>
        <v>2.2374010000000002</v>
      </c>
      <c r="X18" s="1"/>
      <c r="Y18" s="1"/>
      <c r="Z18" s="1"/>
      <c r="AA18" s="1"/>
      <c r="AB18" s="1"/>
      <c r="AC18" s="1"/>
      <c r="AD18" s="1"/>
      <c r="AE18" s="1"/>
      <c r="AF18" s="1"/>
      <c r="AG18" s="1"/>
      <c r="AH18" s="1"/>
      <c r="AI18" s="1"/>
      <c r="AJ18" s="1"/>
      <c r="AK18" s="1"/>
      <c r="AL18" s="1"/>
      <c r="AM18" s="1"/>
      <c r="AN18" s="1"/>
      <c r="AO18" s="1"/>
      <c r="AP18" s="1"/>
      <c r="AQ18" s="1"/>
      <c r="AR18" s="1"/>
      <c r="AS18" s="1"/>
      <c r="AT18" s="1"/>
      <c r="AU18" s="1"/>
      <c r="AV18" s="1"/>
      <c r="AW18" s="1"/>
      <c r="AX18" s="1"/>
    </row>
    <row r="19" spans="1:54" x14ac:dyDescent="0.2">
      <c r="K19" s="38"/>
      <c r="L19" s="38"/>
      <c r="M19" s="38"/>
    </row>
    <row r="20" spans="1:54" x14ac:dyDescent="0.2">
      <c r="B20" s="28" t="s">
        <v>88</v>
      </c>
      <c r="K20" s="38"/>
      <c r="L20" s="38"/>
      <c r="M20" s="38"/>
    </row>
    <row r="21" spans="1:54" ht="10.5" customHeight="1" x14ac:dyDescent="0.2">
      <c r="B21" s="30" t="s">
        <v>89</v>
      </c>
    </row>
    <row r="22" spans="1:54" x14ac:dyDescent="0.2">
      <c r="B22" s="26" t="s">
        <v>61</v>
      </c>
      <c r="C22" s="34">
        <f>'Input data'!C31</f>
        <v>230.55600000000001</v>
      </c>
      <c r="D22" s="100">
        <f>IF(AND(D50&gt;1,C50&gt;1),IF(AND(D50&gt;0,C50&gt;0),D27*(D51/100+1),0)+IF(D50&gt;0,C22*(1+D52/100),0)-C22*(1+'Input data'!D30/100),IF(D50=1,D27,C22*(1+D52/100)))</f>
        <v>233.63499929652002</v>
      </c>
      <c r="E22" s="100">
        <f>IF(AND(E50&gt;1,D50&gt;1),IF(AND(E50&gt;0,D50&gt;0),E27*(E51/100+1),0)+IF(E50&gt;0,D22*(1+E52/100),0)-D22*(1+'Input data'!E30/100),IF(E50=1,E27,D22*(1+E52/100)))</f>
        <v>231.21599858620368</v>
      </c>
      <c r="F22" s="100">
        <f>IF(AND(F50&gt;1,E50&gt;1),IF(AND(F50&gt;0,E50&gt;0),F27*(F51/100+1),0)+IF(F50&gt;0,E22*(1+F52/100),0)-E22*(1+'Input data'!F30/100),IF(F50=1,F27,E22*(1+F52/100)))</f>
        <v>231.30753607517994</v>
      </c>
      <c r="G22" s="34">
        <f>IF(AND(G50&gt;1,F50&gt;1),IF(AND(G50&gt;0,F50&gt;0),G27*(G51/100+1),0)+IF(G50&gt;0,F22*(1+G52/100),0)-F22*(1+'Input data'!G30/100),IF(G50=1,G27,F22*(1+G52/100)))</f>
        <v>232.36700554804187</v>
      </c>
      <c r="H22" s="34">
        <f>IF(AND(H50&gt;1,G50&gt;1),IF(AND(H50&gt;0,G50&gt;0),H27*(H51/100+1),0)+IF(H50&gt;0,G22*(1+H52/100),0)-G22*(1+'Input data'!H30/100),IF(H50=1,H27,G22*(1+H52/100)))</f>
        <v>233.57220319476875</v>
      </c>
      <c r="I22" s="34">
        <f>IF(AND(I50&gt;1,H50&gt;1),IF(AND(I50&gt;0,H50&gt;0),I27*(I51/100+1),0)+IF(I50&gt;0,H22*(1+I52/100),0)-H22*(1+'Input data'!I30/100),IF(I50=1,I27,H22*(1+I52/100)))</f>
        <v>234.68523892547657</v>
      </c>
      <c r="J22" s="34">
        <f>IF(AND(J50&gt;1,I50&gt;1),IF(AND(J50&gt;0,I50&gt;0),J27*(J51/100+1),0)+IF(J50&gt;0,I22*(1+J52/100),0)-I22*(1+'Input data'!J30/100),IF(J50=1,J27,I22*(1+J52/100)))</f>
        <v>236.01450177583067</v>
      </c>
      <c r="K22" s="4">
        <f>IF(AND(K50&gt;1,J50&gt;1),IF(AND(K50&gt;0,J50&gt;0),K27*(K51/100+1),0)+IF(K50&gt;0,J22*(1+K52/100),0)-J22*(1+'Adverse (r-g)'!K24/100),IF(K50=1,K27,J22*(1+K52/100)))</f>
        <v>237.27453465356547</v>
      </c>
      <c r="L22" s="4">
        <f>IF(AND(L50&gt;1,K50&gt;1),IF(AND(L50&gt;0,K50&gt;0),L27*(L51/100+1),0)+IF(L50&gt;0,K22*(1+L52/100),0)-K22*(1+'Adverse (r-g)'!L24/100),IF(L50=1,L27,K22*(1+L52/100)))</f>
        <v>238.52510285593732</v>
      </c>
      <c r="M22" s="4">
        <f>IF(AND(M50&gt;1,L50&gt;1),IF(AND(M50&gt;0,L50&gt;0),M27*(M51/100+1),0)+IF(M50&gt;0,L22*(1+M52/100),0)-L22*(1+'Adverse (r-g)'!M24/100),IF(M50=1,M27,L22*(1+M52/100)))</f>
        <v>239.87377781933066</v>
      </c>
      <c r="N22" s="4">
        <f>IF(AND(N50&gt;1,M50&gt;1),IF(AND(N50&gt;0,M50&gt;0),N27*(N51/100+1),0)+IF(N50&gt;0,M22*(1+N52/100),0)-M22*(1+'Adverse (r-g)'!N24/100),IF(N50=1,N27,M22*(1+N52/100)))</f>
        <v>243.08802897487885</v>
      </c>
      <c r="O22" s="4">
        <f>IF(AND(O50&gt;1,N50&gt;1),IF(AND(O50&gt;0,N50&gt;0),O27*(O51/100+1),0)+IF(O50&gt;0,N22*(1+O52/100),0)-N22*(1+'Adverse (r-g)'!O24/100),IF(O50=1,O27,N22*(1+O52/100)))</f>
        <v>246.3762442618054</v>
      </c>
      <c r="P22" s="4">
        <f>IF(AND(P50&gt;1,O50&gt;1),IF(AND(P50&gt;0,O50&gt;0),P27*(P51/100+1),0)+IF(P50&gt;0,O22*(1+P52/100),0)-O22*(1+'Adverse (r-g)'!P24/100),IF(P50=1,P27,O22*(1+P52/100)))</f>
        <v>250.18772747066373</v>
      </c>
      <c r="Q22" s="4">
        <f>IF(AND(Q50&gt;1,P50&gt;1),IF(AND(Q50&gt;0,P50&gt;0),Q27*(Q51/100+1),0)+IF(Q50&gt;0,P22*(1+Q52/100),0)-P22*(1+'Adverse (r-g)'!Q24/100),IF(Q50=1,Q27,P22*(1+Q52/100)))</f>
        <v>251.67712003106934</v>
      </c>
      <c r="R22" s="4">
        <f>IF(AND(R50&gt;1,Q50&gt;1),IF(AND(R50&gt;0,Q50&gt;0),R27*(R51/100+1),0)+IF(R50&gt;0,Q22*(1+R52/100),0)-Q22*(1+'Adverse (r-g)'!R24/100),IF(R50=1,R27,Q22*(1+R52/100)))</f>
        <v>253.69240443554853</v>
      </c>
      <c r="S22" s="4">
        <f>IF(AND(S50&gt;1,R50&gt;1),IF(AND(S50&gt;0,R50&gt;0),S27*(S51/100+1),0)+IF(S50&gt;0,R22*(1+S52/100),0)-R22*(1+'Adverse (r-g)'!S24/100),IF(S50=1,S27,R22*(1+S52/100)))</f>
        <v>255.91222565897979</v>
      </c>
      <c r="T22" s="4">
        <f>IF(AND(T50&gt;1,S50&gt;1),IF(AND(T50&gt;0,S50&gt;0),T27*(T51/100+1),0)+IF(T50&gt;0,S22*(1+T52/100),0)-S22*(1+'Adverse (r-g)'!T24/100),IF(T50=1,T27,S22*(1+T52/100)))</f>
        <v>258.27673690444499</v>
      </c>
      <c r="U22" s="4">
        <f>IF(AND(U50&gt;1,T50&gt;1),IF(AND(U50&gt;0,T50&gt;0),U27*(U51/100+1),0)+IF(U50&gt;0,T22*(1+U52/100),0)-T22*(1+'Adverse (r-g)'!U24/100),IF(U50=1,U27,T22*(1+U52/100)))</f>
        <v>260.82345400655237</v>
      </c>
      <c r="V22" s="4">
        <f>IF(AND(V50&gt;1,U50&gt;1),IF(AND(V50&gt;0,U50&gt;0),V27*(V51/100+1),0)+IF(V50&gt;0,U22*(1+V52/100),0)-U22*(1+'Adverse (r-g)'!V24/100),IF(V50=1,V27,U22*(1+V52/100)))</f>
        <v>263.51797416167238</v>
      </c>
      <c r="W22" s="4">
        <f>IF(AND(W50&gt;1,V50&gt;1),IF(AND(W50&gt;0,V50&gt;0),W27*(W51/100+1),0)+IF(W50&gt;0,V22*(1+W52/100),0)-V22*(1+'Adverse (r-g)'!W24/100),IF(W50=1,W27,V22*(1+W52/100)))</f>
        <v>266.12233020585137</v>
      </c>
      <c r="X22" s="34"/>
      <c r="Y22" s="34"/>
      <c r="Z22" s="34"/>
      <c r="AA22" s="34"/>
      <c r="AB22" s="34"/>
      <c r="AC22" s="34"/>
      <c r="AD22" s="34"/>
      <c r="AE22" s="34"/>
      <c r="AF22" s="34"/>
      <c r="AG22" s="34"/>
      <c r="AH22" s="34"/>
      <c r="AI22" s="34"/>
      <c r="AJ22" s="34"/>
      <c r="AK22" s="34"/>
      <c r="AL22" s="34"/>
      <c r="AM22" s="34"/>
      <c r="AN22" s="34"/>
      <c r="AO22" s="34"/>
      <c r="AP22" s="34"/>
      <c r="AQ22" s="34"/>
      <c r="AR22" s="34"/>
      <c r="AS22" s="34"/>
      <c r="AT22" s="34"/>
      <c r="AU22" s="34"/>
      <c r="AV22" s="34"/>
    </row>
    <row r="23" spans="1:54" x14ac:dyDescent="0.2">
      <c r="A23" s="61"/>
      <c r="B23" s="62" t="s">
        <v>145</v>
      </c>
      <c r="C23" s="34">
        <f>+'Input data'!C30</f>
        <v>2.8381799999999999</v>
      </c>
      <c r="D23" s="100">
        <f>100*(D22/C22-1)</f>
        <v>1.3354670000000013</v>
      </c>
      <c r="E23" s="100">
        <f t="shared" ref="E23:T23" si="0">100*(E22/D22-1)</f>
        <v>-1.035375999999999</v>
      </c>
      <c r="F23" s="100">
        <f t="shared" si="0"/>
        <v>3.9589599999989566E-2</v>
      </c>
      <c r="G23" s="34">
        <f t="shared" si="0"/>
        <v>0.45803499999998998</v>
      </c>
      <c r="H23" s="34">
        <f t="shared" si="0"/>
        <v>0.51866126341146845</v>
      </c>
      <c r="I23" s="34">
        <f t="shared" si="0"/>
        <v>0.47652747864852518</v>
      </c>
      <c r="J23" s="34">
        <f t="shared" si="0"/>
        <v>0.5664024104968135</v>
      </c>
      <c r="K23" s="4">
        <f>100*(K22/J22-1)</f>
        <v>0.53387943039686636</v>
      </c>
      <c r="L23" s="4">
        <f>100*(L22/K22-1)</f>
        <v>0.52705538088937409</v>
      </c>
      <c r="M23" s="4">
        <f t="shared" si="0"/>
        <v>0.56542265247776502</v>
      </c>
      <c r="N23" s="4">
        <f t="shared" si="0"/>
        <v>1.3399760427207363</v>
      </c>
      <c r="O23" s="4">
        <f t="shared" si="0"/>
        <v>1.3526849926724926</v>
      </c>
      <c r="P23" s="4">
        <f t="shared" si="0"/>
        <v>1.5470173353272498</v>
      </c>
      <c r="Q23" s="4">
        <f t="shared" si="0"/>
        <v>0.59530999999999334</v>
      </c>
      <c r="R23" s="4">
        <f t="shared" si="0"/>
        <v>0.80074199999999873</v>
      </c>
      <c r="S23" s="4">
        <f t="shared" si="0"/>
        <v>0.87500499999999537</v>
      </c>
      <c r="T23" s="4">
        <f t="shared" si="0"/>
        <v>0.9239540000000046</v>
      </c>
      <c r="U23" s="4">
        <f>100*(U22/T22-1)</f>
        <v>0.98604200000000919</v>
      </c>
      <c r="V23" s="4">
        <f>100*(V22/U22-1)</f>
        <v>1.0330820000000074</v>
      </c>
      <c r="W23" s="4">
        <f>100*(W22/V22-1)</f>
        <v>0.98830299999999038</v>
      </c>
      <c r="X23" s="1"/>
      <c r="Y23" s="1"/>
      <c r="Z23" s="1"/>
      <c r="AA23" s="1"/>
      <c r="AB23" s="1"/>
      <c r="AC23" s="1"/>
      <c r="AD23" s="1"/>
      <c r="AE23" s="1"/>
      <c r="AF23" s="1"/>
      <c r="AG23" s="1"/>
      <c r="AH23" s="1"/>
      <c r="AI23" s="1"/>
      <c r="AJ23" s="1"/>
      <c r="AK23" s="1"/>
      <c r="AL23" s="1"/>
      <c r="AM23" s="1"/>
      <c r="AN23" s="1"/>
      <c r="AO23" s="1"/>
      <c r="AP23" s="1"/>
      <c r="AQ23" s="1"/>
      <c r="AR23" s="1"/>
      <c r="AS23" s="1"/>
      <c r="AT23" s="1"/>
      <c r="AU23" s="1"/>
      <c r="AV23" s="1"/>
      <c r="AW23" s="1"/>
      <c r="AX23" s="1"/>
    </row>
    <row r="24" spans="1:54" s="5" customFormat="1" ht="10.15" customHeight="1" x14ac:dyDescent="0.2">
      <c r="B24" s="32" t="s">
        <v>146</v>
      </c>
      <c r="C24" s="34"/>
      <c r="D24" s="34"/>
      <c r="E24" s="34"/>
      <c r="F24" s="34"/>
      <c r="G24" s="34"/>
      <c r="H24" s="34"/>
      <c r="I24" s="34"/>
      <c r="J24" s="34"/>
      <c r="K24" s="4">
        <f>IF('Criteria results'!$F$5=4,'Input data'!K30-0.5,'Input data'!K30)</f>
        <v>0.58138120000000004</v>
      </c>
      <c r="L24" s="4">
        <f>IF('Criteria results'!$F$5=4,'Input data'!L30-0.5,'Input data'!L30)</f>
        <v>0.55843980000000004</v>
      </c>
      <c r="M24" s="4">
        <f>IF('Criteria results'!$F$5=4,'Input data'!M30-0.5,'Input data'!M30)</f>
        <v>0.58565610000000001</v>
      </c>
      <c r="N24" s="4">
        <f>'Input data'!N30-0.5</f>
        <v>0.15826850000000003</v>
      </c>
      <c r="O24" s="4">
        <f>'Input data'!O30-0.5</f>
        <v>0.18445089999999997</v>
      </c>
      <c r="P24" s="4">
        <f>'Input data'!P30-0.5</f>
        <v>0.38988429999999996</v>
      </c>
      <c r="Q24" s="4">
        <f>'Input data'!Q30-0.5</f>
        <v>0.59531000000000001</v>
      </c>
      <c r="R24" s="4">
        <f>'Input data'!R30-0.5</f>
        <v>0.80074200000000006</v>
      </c>
      <c r="S24" s="4">
        <f>'Input data'!S30-0.5</f>
        <v>0.87500500000000003</v>
      </c>
      <c r="T24" s="4">
        <f>'Input data'!T30-0.5</f>
        <v>0.92395399999999994</v>
      </c>
      <c r="U24" s="4">
        <f>'Input data'!U30-0.5</f>
        <v>0.98604200000000009</v>
      </c>
      <c r="V24" s="4">
        <f>'Input data'!V30-0.5</f>
        <v>1.0330820000000001</v>
      </c>
      <c r="W24" s="4">
        <f>'Input data'!W30-0.5</f>
        <v>0.98830299999999993</v>
      </c>
      <c r="X24" s="34"/>
      <c r="Y24" s="34"/>
      <c r="Z24" s="34"/>
      <c r="AA24" s="34"/>
      <c r="AB24" s="34"/>
      <c r="AC24" s="34"/>
      <c r="AD24" s="34"/>
      <c r="AE24" s="34"/>
      <c r="AF24" s="34"/>
      <c r="AG24" s="34"/>
      <c r="AH24" s="34"/>
      <c r="AI24" s="34"/>
      <c r="AJ24" s="34"/>
      <c r="AK24" s="34"/>
      <c r="AL24" s="34"/>
      <c r="AM24" s="34"/>
      <c r="AN24" s="34"/>
      <c r="AO24" s="34"/>
      <c r="AP24" s="34"/>
      <c r="AQ24" s="34"/>
      <c r="AR24" s="34"/>
      <c r="AS24" s="34"/>
      <c r="AT24" s="34"/>
      <c r="AU24" s="34"/>
      <c r="AV24" s="34"/>
      <c r="AW24" s="34"/>
      <c r="AX24" s="34"/>
      <c r="AY24" s="34"/>
      <c r="AZ24" s="34"/>
      <c r="BA24" s="34"/>
      <c r="BB24" s="34"/>
    </row>
    <row r="25" spans="1:54" s="5" customFormat="1" ht="10.15" customHeight="1" x14ac:dyDescent="0.2">
      <c r="B25" s="32"/>
      <c r="C25" s="34"/>
      <c r="D25" s="34"/>
      <c r="E25" s="34"/>
      <c r="F25" s="34"/>
      <c r="G25" s="34"/>
      <c r="H25" s="34"/>
      <c r="I25" s="34"/>
      <c r="J25" s="34"/>
      <c r="K25" s="34"/>
      <c r="L25" s="34"/>
      <c r="M25" s="34"/>
      <c r="N25" s="34"/>
      <c r="O25" s="34"/>
      <c r="P25" s="34"/>
      <c r="Q25" s="34"/>
      <c r="R25" s="34"/>
      <c r="S25" s="34"/>
      <c r="T25" s="34"/>
      <c r="U25" s="34"/>
      <c r="V25" s="34"/>
      <c r="W25" s="34"/>
      <c r="X25" s="34"/>
      <c r="Y25" s="34"/>
      <c r="Z25" s="34"/>
      <c r="AA25" s="34"/>
      <c r="AB25" s="34"/>
      <c r="AC25" s="34"/>
      <c r="AD25" s="34"/>
      <c r="AE25" s="34"/>
      <c r="AF25" s="34"/>
      <c r="AG25" s="34"/>
      <c r="AH25" s="34"/>
      <c r="AI25" s="34"/>
      <c r="AJ25" s="34"/>
      <c r="AK25" s="34"/>
      <c r="AL25" s="34"/>
      <c r="AM25" s="34"/>
      <c r="AN25" s="34"/>
      <c r="AO25" s="34"/>
      <c r="AP25" s="34"/>
      <c r="AQ25" s="34"/>
      <c r="AR25" s="34"/>
      <c r="AS25" s="34"/>
      <c r="AT25" s="34"/>
      <c r="AU25" s="34"/>
      <c r="AV25" s="34"/>
      <c r="AW25" s="34"/>
      <c r="AX25" s="34"/>
      <c r="AY25" s="34"/>
      <c r="AZ25" s="34"/>
      <c r="BA25" s="34"/>
      <c r="BB25" s="34"/>
    </row>
    <row r="26" spans="1:54" x14ac:dyDescent="0.2">
      <c r="B26" s="30" t="s">
        <v>147</v>
      </c>
    </row>
    <row r="27" spans="1:54" x14ac:dyDescent="0.2">
      <c r="B27" s="26" t="s">
        <v>61</v>
      </c>
      <c r="C27" s="34">
        <f>'Input data'!C34</f>
        <v>231.15090000000001</v>
      </c>
      <c r="D27" s="100">
        <f>+C27*(1+'Input data'!D33/100)</f>
        <v>233.97713813562902</v>
      </c>
      <c r="E27" s="100">
        <f>+D27*(1+'Input data'!E33/100)</f>
        <v>236.531302768659</v>
      </c>
      <c r="F27" s="100">
        <f>+E27*(1+'Input data'!F33/100)</f>
        <v>238.0217037741894</v>
      </c>
      <c r="G27" s="34">
        <f>+F27*(1+'Input data'!G33/100)</f>
        <v>239.52552870698202</v>
      </c>
      <c r="H27" s="34">
        <f>+G27*(1+'Input data'!H33/100)</f>
        <v>241.16563377590157</v>
      </c>
      <c r="I27" s="34">
        <f>+H27*(1+'Input data'!I33/100)</f>
        <v>242.58008299977581</v>
      </c>
      <c r="J27" s="34">
        <f>+I27*(1+'Input data'!J33/100)</f>
        <v>244.12752876078073</v>
      </c>
      <c r="K27" s="4">
        <f>IF('Criteria results'!$F$5=4,J27*(1+'Input data'!K33/100-0.005),J27*(1+'Input data'!K33/100))</f>
        <v>245.54683836400028</v>
      </c>
      <c r="L27" s="4">
        <f>IF('Criteria results'!$F$5=4,K27*(1+'Input data'!L33/100-0.005),K27*(1+'Input data'!L33/100))</f>
        <v>246.91806349839558</v>
      </c>
      <c r="M27" s="4">
        <f>IF('Criteria results'!$F$5=4,L27*(1+'Input data'!M33/100-0.005),L27*(1+'Input data'!M33/100))</f>
        <v>248.36415543386613</v>
      </c>
      <c r="N27" s="4">
        <f>+M27*(1+'Input data'!N33/100-0.005)</f>
        <v>248.75723914739393</v>
      </c>
      <c r="O27" s="4">
        <f>+N27*(1+'Input data'!O33/100-0.005)</f>
        <v>249.21607784517505</v>
      </c>
      <c r="P27" s="4">
        <f>+O27*(1+'Input data'!P33/100-0.005)</f>
        <v>250.18772747066373</v>
      </c>
      <c r="Q27" s="4">
        <f>+P27*(1+'Input data'!Q33/100-0.005)</f>
        <v>251.67712753670122</v>
      </c>
      <c r="R27" s="4">
        <f>+Q27*(1+'Input data'!R33/100-0.005)</f>
        <v>253.69241451805246</v>
      </c>
      <c r="S27" s="4">
        <f>+R27*(1+'Input data'!S33/100-0.005)</f>
        <v>255.91224597740276</v>
      </c>
      <c r="T27" s="4">
        <f>+S27*(1+'Input data'!T33/100-0.005)</f>
        <v>258.27675229235592</v>
      </c>
      <c r="U27" s="4">
        <f>+T27*(1+'Input data'!U33/100-0.005)</f>
        <v>260.82347212896207</v>
      </c>
      <c r="V27" s="4">
        <f>+U27*(1+'Input data'!V33/100-0.005)</f>
        <v>263.5179820383625</v>
      </c>
      <c r="W27" s="4">
        <f>+V27*(1+'Input data'!W33/100-0.005)</f>
        <v>266.12233552520735</v>
      </c>
      <c r="X27" s="34"/>
      <c r="Y27" s="34"/>
      <c r="Z27" s="34"/>
      <c r="AA27" s="34"/>
      <c r="AB27" s="34"/>
      <c r="AC27" s="34"/>
      <c r="AD27" s="34"/>
      <c r="AE27" s="34"/>
      <c r="AF27" s="34"/>
      <c r="AG27" s="34"/>
      <c r="AH27" s="34"/>
      <c r="AI27" s="34"/>
      <c r="AJ27" s="34"/>
      <c r="AK27" s="34"/>
      <c r="AL27" s="34"/>
      <c r="AM27" s="34"/>
      <c r="AN27" s="34"/>
      <c r="AO27" s="34"/>
      <c r="AP27" s="34"/>
      <c r="AQ27" s="34"/>
      <c r="AR27" s="34"/>
      <c r="AS27" s="34"/>
      <c r="AT27" s="34"/>
      <c r="AU27" s="34"/>
      <c r="AV27" s="34"/>
    </row>
    <row r="28" spans="1:54" ht="5.25" customHeight="1" x14ac:dyDescent="0.2">
      <c r="C28" s="34"/>
      <c r="D28" s="34"/>
      <c r="E28" s="34"/>
      <c r="F28" s="34"/>
      <c r="G28" s="34"/>
      <c r="H28" s="34"/>
      <c r="I28" s="34"/>
      <c r="J28" s="34"/>
      <c r="K28" s="34"/>
      <c r="L28" s="34"/>
      <c r="M28" s="34"/>
      <c r="N28" s="34"/>
      <c r="O28" s="34"/>
      <c r="P28" s="34"/>
      <c r="Q28" s="34"/>
      <c r="R28" s="34"/>
      <c r="S28" s="34"/>
      <c r="T28" s="34"/>
      <c r="U28" s="34"/>
      <c r="V28" s="34"/>
      <c r="W28" s="34"/>
      <c r="X28" s="34"/>
      <c r="Y28" s="34"/>
      <c r="Z28" s="34"/>
      <c r="AA28" s="34"/>
      <c r="AB28" s="34"/>
      <c r="AC28" s="34"/>
      <c r="AD28" s="34"/>
      <c r="AE28" s="34"/>
      <c r="AF28" s="34"/>
      <c r="AG28" s="34"/>
      <c r="AH28" s="34"/>
      <c r="AI28" s="34"/>
      <c r="AJ28" s="34"/>
      <c r="AK28" s="34"/>
      <c r="AL28" s="34"/>
      <c r="AM28" s="34"/>
      <c r="AN28" s="34"/>
      <c r="AO28" s="34"/>
      <c r="AP28" s="34"/>
      <c r="AQ28" s="34"/>
      <c r="AR28" s="34"/>
      <c r="AS28" s="34"/>
      <c r="AT28" s="34"/>
      <c r="AU28" s="34"/>
      <c r="AV28" s="34"/>
    </row>
    <row r="29" spans="1:54" x14ac:dyDescent="0.2">
      <c r="B29" s="30" t="s">
        <v>91</v>
      </c>
      <c r="C29" s="34"/>
      <c r="D29" s="34"/>
      <c r="E29" s="34"/>
      <c r="F29" s="34"/>
      <c r="G29" s="34"/>
      <c r="H29" s="34"/>
      <c r="I29" s="34"/>
      <c r="J29" s="34"/>
      <c r="K29" s="34"/>
      <c r="L29" s="34"/>
      <c r="M29" s="34"/>
      <c r="N29" s="34"/>
      <c r="O29" s="34"/>
      <c r="P29" s="34"/>
      <c r="Q29" s="34"/>
      <c r="R29" s="34"/>
      <c r="S29" s="34"/>
      <c r="T29" s="34"/>
      <c r="U29" s="34"/>
      <c r="V29" s="34"/>
      <c r="W29" s="34"/>
      <c r="X29" s="34"/>
      <c r="Y29" s="34"/>
      <c r="Z29" s="34"/>
      <c r="AA29" s="34"/>
      <c r="AB29" s="34"/>
      <c r="AC29" s="34"/>
      <c r="AD29" s="34"/>
      <c r="AE29" s="34"/>
      <c r="AF29" s="34"/>
      <c r="AG29" s="34"/>
      <c r="AH29" s="34"/>
      <c r="AI29" s="34"/>
      <c r="AJ29" s="34"/>
      <c r="AK29" s="34"/>
      <c r="AL29" s="34"/>
      <c r="AM29" s="34"/>
      <c r="AN29" s="34"/>
      <c r="AO29" s="34"/>
      <c r="AP29" s="34"/>
      <c r="AQ29" s="34"/>
      <c r="AR29" s="34"/>
      <c r="AS29" s="34"/>
      <c r="AT29" s="34"/>
      <c r="AU29" s="34"/>
      <c r="AV29" s="34"/>
    </row>
    <row r="30" spans="1:54" x14ac:dyDescent="0.2">
      <c r="B30" s="26" t="s">
        <v>91</v>
      </c>
      <c r="C30" s="34">
        <f t="shared" ref="C30:W30" si="1">100*(C22/C27-1)</f>
        <v>-0.25736434510962303</v>
      </c>
      <c r="D30" s="100">
        <f t="shared" si="1"/>
        <v>-0.14622746557002575</v>
      </c>
      <c r="E30" s="100">
        <f t="shared" si="1"/>
        <v>-2.2471884779047602</v>
      </c>
      <c r="F30" s="100">
        <f t="shared" si="1"/>
        <v>-2.8208216278374221</v>
      </c>
      <c r="G30" s="34">
        <f t="shared" si="1"/>
        <v>-2.9886263888378117</v>
      </c>
      <c r="H30" s="34">
        <f t="shared" si="1"/>
        <v>-3.1486370849127199</v>
      </c>
      <c r="I30" s="34">
        <f t="shared" si="1"/>
        <v>-3.2545310301944852</v>
      </c>
      <c r="J30" s="34">
        <f t="shared" si="1"/>
        <v>-3.3232741207567695</v>
      </c>
      <c r="K30" s="34">
        <f t="shared" si="1"/>
        <v>-3.3689310624199109</v>
      </c>
      <c r="L30" s="34">
        <f t="shared" si="1"/>
        <v>-3.3990873423939694</v>
      </c>
      <c r="M30" s="34">
        <f t="shared" si="1"/>
        <v>-3.418519713403767</v>
      </c>
      <c r="N30" s="34">
        <f t="shared" si="1"/>
        <v>-2.2790131422691817</v>
      </c>
      <c r="O30" s="34">
        <f t="shared" si="1"/>
        <v>-1.1395065711345853</v>
      </c>
      <c r="P30" s="34">
        <f t="shared" si="1"/>
        <v>0</v>
      </c>
      <c r="Q30" s="34">
        <f t="shared" si="1"/>
        <v>-2.9822463276651945E-6</v>
      </c>
      <c r="R30" s="34">
        <f t="shared" si="1"/>
        <v>-3.9743024871086163E-6</v>
      </c>
      <c r="S30" s="34">
        <f t="shared" si="1"/>
        <v>-7.9396055840952329E-6</v>
      </c>
      <c r="T30" s="34">
        <f t="shared" si="1"/>
        <v>-5.9579156053146676E-6</v>
      </c>
      <c r="U30" s="34">
        <f t="shared" si="1"/>
        <v>-6.9481513875757628E-6</v>
      </c>
      <c r="V30" s="34">
        <f t="shared" si="1"/>
        <v>-2.9890522279529819E-6</v>
      </c>
      <c r="W30" s="34">
        <f t="shared" si="1"/>
        <v>-1.9988386057434582E-6</v>
      </c>
      <c r="X30" s="34"/>
      <c r="Y30" s="34"/>
      <c r="Z30" s="34"/>
      <c r="AA30" s="34"/>
      <c r="AB30" s="34"/>
      <c r="AC30" s="34"/>
      <c r="AD30" s="34"/>
      <c r="AE30" s="34"/>
      <c r="AF30" s="34"/>
      <c r="AG30" s="34"/>
      <c r="AH30" s="34"/>
      <c r="AI30" s="34"/>
      <c r="AJ30" s="34"/>
      <c r="AK30" s="34"/>
      <c r="AL30" s="34"/>
      <c r="AM30" s="34"/>
      <c r="AN30" s="34"/>
      <c r="AO30" s="34"/>
      <c r="AP30" s="34"/>
      <c r="AQ30" s="34"/>
      <c r="AR30" s="34"/>
      <c r="AS30" s="34"/>
      <c r="AT30" s="34"/>
      <c r="AU30" s="34"/>
      <c r="AV30" s="34"/>
    </row>
    <row r="31" spans="1:54" ht="5.25" customHeight="1" x14ac:dyDescent="0.2">
      <c r="C31" s="34"/>
      <c r="D31" s="34"/>
      <c r="E31" s="34"/>
      <c r="F31" s="34"/>
      <c r="G31" s="34"/>
      <c r="H31" s="34"/>
      <c r="I31" s="34"/>
      <c r="J31" s="34"/>
      <c r="K31" s="34"/>
      <c r="L31" s="34"/>
      <c r="M31" s="34"/>
      <c r="N31" s="34"/>
      <c r="O31" s="34"/>
      <c r="P31" s="34"/>
      <c r="Q31" s="34"/>
      <c r="R31" s="34"/>
      <c r="S31" s="34"/>
      <c r="T31" s="34"/>
      <c r="U31" s="34"/>
      <c r="V31" s="34"/>
      <c r="W31" s="34"/>
      <c r="X31" s="34"/>
      <c r="Y31" s="34"/>
      <c r="Z31" s="34"/>
      <c r="AA31" s="34"/>
      <c r="AB31" s="34"/>
      <c r="AC31" s="34"/>
      <c r="AD31" s="34"/>
      <c r="AE31" s="34"/>
      <c r="AF31" s="34"/>
      <c r="AG31" s="34"/>
      <c r="AH31" s="34"/>
      <c r="AI31" s="34"/>
      <c r="AJ31" s="34"/>
      <c r="AK31" s="34"/>
      <c r="AL31" s="34"/>
      <c r="AM31" s="34"/>
      <c r="AN31" s="34"/>
      <c r="AO31" s="34"/>
      <c r="AP31" s="34"/>
      <c r="AQ31" s="34"/>
      <c r="AR31" s="34"/>
      <c r="AS31" s="34"/>
      <c r="AT31" s="34"/>
      <c r="AU31" s="34"/>
      <c r="AV31" s="34"/>
    </row>
    <row r="32" spans="1:54" x14ac:dyDescent="0.2">
      <c r="B32" s="30" t="s">
        <v>92</v>
      </c>
      <c r="C32" s="34"/>
      <c r="D32" s="34"/>
      <c r="E32" s="34"/>
      <c r="F32" s="34"/>
      <c r="G32" s="34"/>
      <c r="H32" s="34"/>
      <c r="I32" s="34"/>
      <c r="J32" s="34"/>
      <c r="K32" s="34"/>
      <c r="L32" s="34"/>
      <c r="M32" s="34"/>
      <c r="N32" s="34"/>
      <c r="O32" s="34"/>
      <c r="P32" s="34"/>
      <c r="Q32" s="34"/>
      <c r="R32" s="34"/>
      <c r="S32" s="34"/>
      <c r="T32" s="34"/>
      <c r="U32" s="34"/>
      <c r="V32" s="34"/>
      <c r="W32" s="34"/>
      <c r="X32" s="34"/>
      <c r="Y32" s="34"/>
      <c r="Z32" s="34"/>
      <c r="AA32" s="34"/>
      <c r="AB32" s="34"/>
      <c r="AC32" s="34"/>
      <c r="AD32" s="34"/>
      <c r="AE32" s="34"/>
      <c r="AF32" s="34"/>
      <c r="AG32" s="34"/>
      <c r="AH32" s="34"/>
      <c r="AI32" s="34"/>
      <c r="AJ32" s="34"/>
      <c r="AK32" s="34"/>
      <c r="AL32" s="34"/>
      <c r="AM32" s="34"/>
      <c r="AN32" s="34"/>
      <c r="AO32" s="34"/>
      <c r="AP32" s="34"/>
      <c r="AQ32" s="34"/>
      <c r="AR32" s="34"/>
      <c r="AS32" s="34"/>
      <c r="AT32" s="34"/>
      <c r="AU32" s="34"/>
      <c r="AV32" s="34"/>
    </row>
    <row r="33" spans="2:51" x14ac:dyDescent="0.2">
      <c r="B33" s="26" t="s">
        <v>60</v>
      </c>
      <c r="C33" s="1">
        <f t="shared" ref="C33:W33" si="2">100*((1+C23/100)*(1+C42/100)-1)</f>
        <v>5.3041963643644108</v>
      </c>
      <c r="D33" s="2">
        <f t="shared" si="2"/>
        <v>6.7911638456366497</v>
      </c>
      <c r="E33" s="2">
        <f t="shared" si="2"/>
        <v>3.7125418942078214</v>
      </c>
      <c r="F33" s="2">
        <f t="shared" si="2"/>
        <v>1.8403042135917813</v>
      </c>
      <c r="G33" s="1">
        <f t="shared" si="2"/>
        <v>2.5927300696966915</v>
      </c>
      <c r="H33" s="1">
        <f t="shared" si="2"/>
        <v>2.7080499316002982</v>
      </c>
      <c r="I33" s="1">
        <f t="shared" si="2"/>
        <v>2.7183813622055242</v>
      </c>
      <c r="J33" s="1">
        <f t="shared" si="2"/>
        <v>2.8636922810410192</v>
      </c>
      <c r="K33" s="1">
        <f t="shared" si="2"/>
        <v>2.8838397606453015</v>
      </c>
      <c r="L33" s="1">
        <f t="shared" si="2"/>
        <v>2.9302659734833592</v>
      </c>
      <c r="M33" s="1">
        <f t="shared" si="2"/>
        <v>3.0229806148325489</v>
      </c>
      <c r="N33" s="1">
        <f t="shared" si="2"/>
        <v>3.8703037558885711</v>
      </c>
      <c r="O33" s="1">
        <f t="shared" si="2"/>
        <v>3.9371784599856463</v>
      </c>
      <c r="P33" s="1">
        <f t="shared" si="2"/>
        <v>4.1085408476108753</v>
      </c>
      <c r="Q33" s="1">
        <f t="shared" si="2"/>
        <v>3.1051629844999873</v>
      </c>
      <c r="R33" s="1">
        <f t="shared" si="2"/>
        <v>3.2880003088499921</v>
      </c>
      <c r="S33" s="1">
        <f t="shared" si="2"/>
        <v>3.3363551219999898</v>
      </c>
      <c r="T33" s="1">
        <f t="shared" si="2"/>
        <v>3.3587443902499903</v>
      </c>
      <c r="U33" s="1">
        <f t="shared" si="2"/>
        <v>3.3945591017000121</v>
      </c>
      <c r="V33" s="1">
        <f t="shared" si="2"/>
        <v>3.4149369081500014</v>
      </c>
      <c r="W33" s="1">
        <f t="shared" si="2"/>
        <v>3.3413304598999938</v>
      </c>
      <c r="X33" s="1"/>
      <c r="Y33" s="1"/>
      <c r="Z33" s="1"/>
      <c r="AA33" s="1"/>
      <c r="AB33" s="1"/>
      <c r="AC33" s="1"/>
      <c r="AD33" s="1"/>
      <c r="AE33" s="1"/>
      <c r="AF33" s="1"/>
      <c r="AG33" s="1"/>
      <c r="AH33" s="1"/>
      <c r="AI33" s="1"/>
      <c r="AJ33" s="1"/>
      <c r="AK33" s="1"/>
      <c r="AL33" s="1"/>
      <c r="AM33" s="1"/>
      <c r="AN33" s="1"/>
      <c r="AO33" s="1"/>
      <c r="AP33" s="1"/>
      <c r="AQ33" s="1"/>
      <c r="AR33" s="1"/>
      <c r="AS33" s="1"/>
      <c r="AT33" s="1"/>
      <c r="AU33" s="1"/>
      <c r="AV33" s="1"/>
      <c r="AW33" s="1"/>
      <c r="AX33" s="1"/>
    </row>
    <row r="35" spans="2:51" x14ac:dyDescent="0.2">
      <c r="B35" s="28" t="s">
        <v>148</v>
      </c>
    </row>
    <row r="36" spans="2:51" x14ac:dyDescent="0.2">
      <c r="B36" s="26" t="s">
        <v>63</v>
      </c>
      <c r="C36" s="34">
        <f>'Input data'!C37</f>
        <v>0.73297140000000005</v>
      </c>
      <c r="D36" s="100">
        <f>'Input data'!D37</f>
        <v>0.83926920000000005</v>
      </c>
      <c r="E36" s="100">
        <f>'Input data'!E37</f>
        <v>1.5804370000000001</v>
      </c>
      <c r="F36" s="100">
        <f>'Input data'!F37</f>
        <v>1.6625099999999999</v>
      </c>
      <c r="G36" s="100">
        <f>'Input data'!G37</f>
        <v>1.8895660000000001</v>
      </c>
      <c r="H36" s="34">
        <f t="shared" ref="H36:W36" si="3">H93</f>
        <v>1.9756481083374133</v>
      </c>
      <c r="I36" s="34">
        <f t="shared" si="3"/>
        <v>2.0402071271644862</v>
      </c>
      <c r="J36" s="34">
        <f t="shared" si="3"/>
        <v>2.0854652071440771</v>
      </c>
      <c r="K36" s="34">
        <f>K93</f>
        <v>2.1129298775510885</v>
      </c>
      <c r="L36" s="34">
        <f t="shared" si="3"/>
        <v>2.1247564401990524</v>
      </c>
      <c r="M36" s="34">
        <f t="shared" si="3"/>
        <v>2.1177128995136347</v>
      </c>
      <c r="N36" s="34">
        <f t="shared" si="3"/>
        <v>2.0931499581848727</v>
      </c>
      <c r="O36" s="34">
        <f t="shared" si="3"/>
        <v>2.0931499581848727</v>
      </c>
      <c r="P36" s="34">
        <f t="shared" si="3"/>
        <v>2.0931499581848727</v>
      </c>
      <c r="Q36" s="34">
        <f t="shared" si="3"/>
        <v>2.0931499581848727</v>
      </c>
      <c r="R36" s="34">
        <f t="shared" si="3"/>
        <v>2.0931499581848727</v>
      </c>
      <c r="S36" s="34">
        <f t="shared" si="3"/>
        <v>2.0931499581848727</v>
      </c>
      <c r="T36" s="34">
        <f t="shared" si="3"/>
        <v>2.0931499581848727</v>
      </c>
      <c r="U36" s="34">
        <f t="shared" si="3"/>
        <v>3.9619660000000008</v>
      </c>
      <c r="V36" s="34">
        <f t="shared" si="3"/>
        <v>4.0003969999999995</v>
      </c>
      <c r="W36" s="34">
        <f t="shared" si="3"/>
        <v>4.0388280000000005</v>
      </c>
    </row>
    <row r="37" spans="2:51" x14ac:dyDescent="0.2">
      <c r="B37" s="32" t="s">
        <v>94</v>
      </c>
      <c r="C37" s="1"/>
      <c r="D37" s="2">
        <f>'Input data'!D$39</f>
        <v>1.69</v>
      </c>
      <c r="E37" s="2">
        <f>'Input data'!E$39</f>
        <v>3.04</v>
      </c>
      <c r="F37" s="165">
        <f>'Input data'!F$39</f>
        <v>2.9418000000000002</v>
      </c>
      <c r="G37" s="165">
        <f>'Input data'!G$39</f>
        <v>3.0140359999999999</v>
      </c>
      <c r="H37" s="1">
        <f>$G$37+('Input data'!$C$52-$G$37)/($O$10-$G$10)*(H10-$G$10)</f>
        <v>3.041204</v>
      </c>
      <c r="I37" s="1">
        <f>$G$37+('Input data'!$C$52-$G$37)/($O$10-$G$10)*(I10-$G$10)</f>
        <v>3.0683720000000001</v>
      </c>
      <c r="J37" s="1">
        <f>$G$37+('Input data'!$C$52-$G$37)/($O$10-$G$10)*(J10-$G$10)</f>
        <v>3.0955400000000002</v>
      </c>
      <c r="K37" s="4">
        <f>IF('Criteria results'!$F$5=4,$G$37+('Input data'!$C$52-$G$37)/($O$10-$G$10)*(K10-$G$10)+0.5,$G$37+('Input data'!$C$52-$G$37)/($O$10-$G$10)*(K10-$G$10))</f>
        <v>3.1227080000000003</v>
      </c>
      <c r="L37" s="4">
        <f>IF('Criteria results'!$F$5=4,$G$37+('Input data'!$C$52-$G$37)/($O$10-$G$10)*(L10-$G$10)+0.5,$G$37+('Input data'!$C$52-$G$37)/($O$10-$G$10)*(L10-$G$10))</f>
        <v>3.1498759999999999</v>
      </c>
      <c r="M37" s="4">
        <f>IF('Criteria results'!$F$5=4,$G$37+('Input data'!$C$52-$G$37)/($O$10-$G$10)*(M10-$G$10)+0.5,$G$37+('Input data'!$C$52-$G$37)/($O$10-$G$10)*(M10-$G$10))</f>
        <v>3.177044</v>
      </c>
      <c r="N37" s="3">
        <f>IF('Criteria results'!$F$5=4,$G$37+('Input data'!$C$52-$G$37)/($O$10-$G$10)*(N10-$G$10)+0.5,$G$37+('Input data'!$C$52-$G$37)/($O$10-$G$10)*(N10-$G$10)+0.5)</f>
        <v>3.7042120000000001</v>
      </c>
      <c r="O37" s="3">
        <f>'Input data'!$C$52+0.5</f>
        <v>3.7313800000000001</v>
      </c>
      <c r="P37" s="3">
        <f>'Baseline NFPC'!P36+0.5</f>
        <v>3.7698110000000002</v>
      </c>
      <c r="Q37" s="3">
        <f>'Baseline NFPC'!Q36+0.5</f>
        <v>3.8082419999999999</v>
      </c>
      <c r="R37" s="3">
        <f>'Baseline NFPC'!R36+0.5</f>
        <v>3.846673</v>
      </c>
      <c r="S37" s="3">
        <f>'Baseline NFPC'!S36+0.5</f>
        <v>3.8851040000000001</v>
      </c>
      <c r="T37" s="3">
        <f>'Baseline NFPC'!T36+0.5</f>
        <v>3.9235350000000002</v>
      </c>
      <c r="U37" s="3">
        <f>'Baseline NFPC'!U36+0.5</f>
        <v>3.9619660000000003</v>
      </c>
      <c r="V37" s="3">
        <f>'Baseline NFPC'!V36+0.5</f>
        <v>4.0003969999999995</v>
      </c>
      <c r="W37" s="3">
        <f>'Baseline NFPC'!W36+0.5</f>
        <v>4.0388280000000005</v>
      </c>
      <c r="X37" s="59"/>
      <c r="Y37" s="59"/>
      <c r="Z37" s="59"/>
      <c r="AA37" s="59"/>
      <c r="AB37" s="59"/>
      <c r="AC37" s="59"/>
      <c r="AD37" s="59"/>
      <c r="AE37" s="59"/>
      <c r="AF37" s="59"/>
      <c r="AG37" s="59"/>
      <c r="AH37" s="59"/>
      <c r="AI37" s="59"/>
      <c r="AJ37" s="59"/>
      <c r="AK37" s="59"/>
      <c r="AL37" s="59"/>
      <c r="AM37" s="59"/>
      <c r="AN37" s="59"/>
      <c r="AO37" s="59"/>
      <c r="AP37" s="59"/>
      <c r="AQ37" s="59"/>
      <c r="AR37" s="59"/>
      <c r="AS37" s="59"/>
      <c r="AT37" s="59"/>
      <c r="AU37" s="59"/>
      <c r="AV37" s="59"/>
      <c r="AW37" s="59"/>
      <c r="AX37" s="59"/>
      <c r="AY37" s="60"/>
    </row>
    <row r="38" spans="2:51" x14ac:dyDescent="0.2">
      <c r="B38" s="32" t="s">
        <v>95</v>
      </c>
      <c r="C38" s="1"/>
      <c r="D38" s="2">
        <f>'Input data'!D$38</f>
        <v>0.35</v>
      </c>
      <c r="E38" s="2">
        <f>'Input data'!E$38</f>
        <v>3.43</v>
      </c>
      <c r="F38" s="165">
        <f>'Input data'!F$38</f>
        <v>3.5642079999999998</v>
      </c>
      <c r="G38" s="165">
        <f>'Input data'!G$38</f>
        <v>2.8163749999999999</v>
      </c>
      <c r="H38" s="1">
        <f>$G$38+('Input data'!$C$53-$G$38)/($O$10-$G$10)*(H10-$G$10)</f>
        <v>2.8050893749999997</v>
      </c>
      <c r="I38" s="1">
        <f>$G$38+('Input data'!$C$53-$G$38)/($O$10-$G$10)*(I10-$G$10)</f>
        <v>2.7938037499999999</v>
      </c>
      <c r="J38" s="1">
        <f>$G$38+('Input data'!$C$53-$G$38)/($O$10-$G$10)*(J10-$G$10)</f>
        <v>2.7825181250000002</v>
      </c>
      <c r="K38" s="4">
        <f>IF('Criteria results'!$F$5=4,$G$38+('Input data'!$C$53-$G$38)/($O$10-$G$10)*(K10-$G$10)+0.5,$G$38+('Input data'!$C$53-$G$38)/($O$10-$G$10)*(K10-$G$10))</f>
        <v>2.7712325</v>
      </c>
      <c r="L38" s="4">
        <f>IF('Criteria results'!$F$5=4,$G$38+('Input data'!$C$53-$G$38)/($O$10-$G$10)*(L10-$G$10)+0.5,$G$38+('Input data'!$C$53-$G$38)/($O$10-$G$10)*(L10-$G$10))</f>
        <v>2.7599468749999998</v>
      </c>
      <c r="M38" s="4">
        <f>IF('Criteria results'!$F$5=4,$G$38+('Input data'!$C$53-$G$38)/($O$10-$G$10)*(M10-$G$10)+0.5,$G$38+('Input data'!$C$53-$G$38)/($O$10-$G$10)*(M10-$G$10))</f>
        <v>2.7486612500000001</v>
      </c>
      <c r="N38" s="3">
        <f>IF('Criteria results'!$F$5=4,$G$38+('Input data'!$C$53-$G$38)/($O$10-$G$10)*(N10-$G$10)+0.5,$G$38+('Input data'!$C$53-$G$38)/($O$10-$G$10)*(N10-$G$10)+0.5)</f>
        <v>3.2373756250000003</v>
      </c>
      <c r="O38" s="3">
        <f>'Input data'!$C$53+0.5</f>
        <v>3.2260900000000001</v>
      </c>
      <c r="P38" s="3">
        <f>'Baseline NFPC'!P37+0.5</f>
        <v>3.1897855000000002</v>
      </c>
      <c r="Q38" s="3">
        <f>'Baseline NFPC'!Q37+0.5</f>
        <v>3.1534810000000002</v>
      </c>
      <c r="R38" s="3">
        <f>'Baseline NFPC'!R37+0.5</f>
        <v>3.1171765000000002</v>
      </c>
      <c r="S38" s="3">
        <f>'Baseline NFPC'!S37+0.5</f>
        <v>3.0808720000000003</v>
      </c>
      <c r="T38" s="3">
        <f>'Baseline NFPC'!T37+0.5</f>
        <v>3.0445675000000003</v>
      </c>
      <c r="U38" s="3">
        <f>'Baseline NFPC'!U37+0.5</f>
        <v>3.0082629999999999</v>
      </c>
      <c r="V38" s="3">
        <f>'Baseline NFPC'!V37+0.5</f>
        <v>2.9719584999999999</v>
      </c>
      <c r="W38" s="3">
        <f>'Baseline NFPC'!W37+0.5</f>
        <v>2.935654</v>
      </c>
      <c r="X38" s="59"/>
      <c r="Y38" s="59"/>
      <c r="Z38" s="59"/>
      <c r="AA38" s="59"/>
      <c r="AB38" s="59"/>
      <c r="AC38" s="59"/>
      <c r="AD38" s="59"/>
      <c r="AE38" s="59"/>
      <c r="AF38" s="59"/>
      <c r="AG38" s="59"/>
      <c r="AH38" s="59"/>
      <c r="AI38" s="59"/>
      <c r="AJ38" s="59"/>
      <c r="AK38" s="59"/>
      <c r="AL38" s="59"/>
      <c r="AM38" s="59"/>
      <c r="AN38" s="59"/>
      <c r="AO38" s="59"/>
      <c r="AP38" s="59"/>
      <c r="AQ38" s="59"/>
      <c r="AR38" s="59"/>
      <c r="AS38" s="59"/>
      <c r="AT38" s="59"/>
      <c r="AU38" s="59"/>
      <c r="AV38" s="59"/>
      <c r="AW38" s="59"/>
      <c r="AX38" s="59"/>
      <c r="AY38" s="60"/>
    </row>
    <row r="39" spans="2:51" s="5" customFormat="1" ht="12.75" x14ac:dyDescent="0.2">
      <c r="B39" s="26" t="s">
        <v>96</v>
      </c>
      <c r="C39" s="34">
        <f>'Baseline NFPC'!C38</f>
        <v>6.1590999999999998E-3</v>
      </c>
      <c r="D39" s="34">
        <f>'Baseline NFPC'!D38</f>
        <v>4.1645340000000003E-2</v>
      </c>
      <c r="E39" s="34">
        <f>'Baseline NFPC'!E38</f>
        <v>3.9429850000000002E-2</v>
      </c>
      <c r="F39" s="34">
        <f>'Baseline NFPC'!F38</f>
        <v>3.1775579999999998E-2</v>
      </c>
      <c r="G39" s="34">
        <f>'Baseline NFPC'!G38</f>
        <v>3.2450447777777773E-2</v>
      </c>
      <c r="H39" s="34">
        <f>'Baseline NFPC'!H38</f>
        <v>3.3125315555555555E-2</v>
      </c>
      <c r="I39" s="34">
        <f>'Baseline NFPC'!I38</f>
        <v>3.3800183333333331E-2</v>
      </c>
      <c r="J39" s="34">
        <f>'Baseline NFPC'!J38</f>
        <v>3.4475051111111106E-2</v>
      </c>
      <c r="K39" s="34">
        <f>'Baseline NFPC'!K38</f>
        <v>3.5149918888888888E-2</v>
      </c>
      <c r="L39" s="34">
        <f>'Baseline NFPC'!L38</f>
        <v>3.5824786666666664E-2</v>
      </c>
      <c r="M39" s="34">
        <f>'Baseline NFPC'!M38</f>
        <v>3.6499654444444439E-2</v>
      </c>
      <c r="N39" s="34">
        <f>'Baseline NFPC'!N38</f>
        <v>3.7174522222222221E-2</v>
      </c>
      <c r="O39" s="34">
        <f>'Baseline NFPC'!O38</f>
        <v>3.7849389999999997E-2</v>
      </c>
      <c r="P39" s="34">
        <f>'Baseline NFPC'!P38</f>
        <v>3.7849389999999997E-2</v>
      </c>
      <c r="Q39" s="34">
        <f>'Baseline NFPC'!Q38</f>
        <v>3.7849389999999997E-2</v>
      </c>
      <c r="R39" s="34">
        <f>'Baseline NFPC'!R38</f>
        <v>3.7849389999999997E-2</v>
      </c>
      <c r="S39" s="34">
        <f>'Baseline NFPC'!S38</f>
        <v>3.7849389999999997E-2</v>
      </c>
      <c r="T39" s="34">
        <f>'Baseline NFPC'!T38</f>
        <v>3.7849389999999997E-2</v>
      </c>
      <c r="U39" s="34">
        <f>'Baseline NFPC'!U38</f>
        <v>3.7849389999999997E-2</v>
      </c>
      <c r="V39" s="34">
        <f>'Baseline NFPC'!V38</f>
        <v>3.7849389999999997E-2</v>
      </c>
      <c r="W39" s="34">
        <f>'Baseline NFPC'!W38</f>
        <v>3.7849389999999997E-2</v>
      </c>
    </row>
    <row r="40" spans="2:51" x14ac:dyDescent="0.2">
      <c r="C40" s="1"/>
      <c r="D40" s="1"/>
      <c r="E40" s="1"/>
      <c r="F40" s="1"/>
      <c r="G40" s="1"/>
      <c r="H40" s="1"/>
      <c r="I40" s="1"/>
      <c r="J40" s="1"/>
      <c r="K40" s="1"/>
      <c r="L40" s="1"/>
      <c r="M40" s="1"/>
      <c r="N40" s="1"/>
      <c r="O40" s="1"/>
      <c r="P40" s="1"/>
      <c r="Q40" s="1"/>
      <c r="R40" s="1"/>
      <c r="S40" s="1"/>
      <c r="T40" s="1"/>
      <c r="U40" s="1"/>
      <c r="V40" s="1"/>
      <c r="W40" s="1"/>
      <c r="X40" s="59"/>
      <c r="Y40" s="59"/>
      <c r="Z40" s="59"/>
      <c r="AA40" s="59"/>
      <c r="AB40" s="59"/>
      <c r="AC40" s="59"/>
      <c r="AD40" s="59"/>
      <c r="AE40" s="59"/>
      <c r="AF40" s="59"/>
      <c r="AG40" s="59"/>
      <c r="AH40" s="59"/>
      <c r="AI40" s="59"/>
      <c r="AJ40" s="59"/>
      <c r="AK40" s="59"/>
      <c r="AL40" s="59"/>
      <c r="AM40" s="59"/>
      <c r="AN40" s="59"/>
      <c r="AO40" s="59"/>
      <c r="AP40" s="59"/>
      <c r="AQ40" s="59"/>
      <c r="AR40" s="59"/>
      <c r="AS40" s="59"/>
      <c r="AT40" s="59"/>
      <c r="AU40" s="59"/>
      <c r="AV40" s="59"/>
      <c r="AW40" s="59"/>
      <c r="AX40" s="59"/>
      <c r="AY40" s="60"/>
    </row>
    <row r="41" spans="2:51" x14ac:dyDescent="0.2">
      <c r="B41" s="28" t="s">
        <v>97</v>
      </c>
      <c r="C41" s="1"/>
      <c r="D41" s="1"/>
      <c r="E41" s="1"/>
      <c r="F41" s="1"/>
      <c r="G41" s="1"/>
      <c r="H41" s="1"/>
      <c r="I41" s="1"/>
      <c r="J41" s="1"/>
      <c r="K41" s="1"/>
      <c r="L41" s="1"/>
      <c r="M41" s="1"/>
      <c r="N41" s="1"/>
      <c r="O41" s="1"/>
      <c r="P41" s="1"/>
      <c r="Q41" s="1"/>
      <c r="R41" s="1"/>
      <c r="S41" s="1"/>
      <c r="T41" s="1"/>
      <c r="U41" s="1"/>
      <c r="V41" s="1"/>
      <c r="W41" s="1"/>
      <c r="X41" s="59"/>
      <c r="Y41" s="59"/>
      <c r="Z41" s="59"/>
      <c r="AA41" s="59"/>
      <c r="AB41" s="59"/>
      <c r="AC41" s="59"/>
      <c r="AD41" s="59"/>
      <c r="AE41" s="59"/>
      <c r="AF41" s="59"/>
      <c r="AG41" s="59"/>
      <c r="AH41" s="59"/>
      <c r="AI41" s="59"/>
      <c r="AJ41" s="59"/>
      <c r="AK41" s="59"/>
      <c r="AL41" s="59"/>
      <c r="AM41" s="59"/>
      <c r="AN41" s="59"/>
      <c r="AO41" s="59"/>
      <c r="AP41" s="59"/>
      <c r="AQ41" s="59"/>
      <c r="AR41" s="59"/>
      <c r="AS41" s="59"/>
      <c r="AT41" s="59"/>
      <c r="AU41" s="59"/>
      <c r="AV41" s="59"/>
      <c r="AW41" s="59"/>
      <c r="AX41" s="59"/>
      <c r="AY41" s="60"/>
    </row>
    <row r="42" spans="2:51" x14ac:dyDescent="0.2">
      <c r="B42" s="26" t="s">
        <v>142</v>
      </c>
      <c r="C42" s="1">
        <f>'Input data'!C42</f>
        <v>2.397958</v>
      </c>
      <c r="D42" s="2">
        <f>'Input data'!D42</f>
        <v>5.3837979999999996</v>
      </c>
      <c r="E42" s="2">
        <f>'Input data'!E42</f>
        <v>4.7975909999999997</v>
      </c>
      <c r="F42" s="2">
        <f>'Input data'!F42</f>
        <v>1.8000020000000001</v>
      </c>
      <c r="G42" s="2">
        <f>'Input data'!G42</f>
        <v>2.124962</v>
      </c>
      <c r="H42" s="1">
        <f>'Baseline NFPC'!H41</f>
        <v>2.1780917500000001</v>
      </c>
      <c r="I42" s="1">
        <f>'Baseline NFPC'!I41</f>
        <v>2.2312215000000002</v>
      </c>
      <c r="J42" s="1">
        <f>'Baseline NFPC'!J41</f>
        <v>2.2843512499999998</v>
      </c>
      <c r="K42" s="1">
        <f>'Baseline NFPC'!K41</f>
        <v>2.3374809999999999</v>
      </c>
      <c r="L42" s="1">
        <f>'Baseline NFPC'!L41</f>
        <v>2.39061075</v>
      </c>
      <c r="M42" s="1">
        <f>'Baseline NFPC'!M41</f>
        <v>2.4437404999999996</v>
      </c>
      <c r="N42" s="1">
        <f>'Baseline NFPC'!N41</f>
        <v>2.4968702499999997</v>
      </c>
      <c r="O42" s="251">
        <f>'Baseline NFPC'!O41</f>
        <v>2.5499999999999998</v>
      </c>
      <c r="P42" s="1">
        <f>'Baseline NFPC'!P41</f>
        <v>2.5225</v>
      </c>
      <c r="Q42" s="1">
        <f>'Baseline NFPC'!Q41</f>
        <v>2.4949999999999997</v>
      </c>
      <c r="R42" s="1">
        <f>'Baseline NFPC'!R41</f>
        <v>2.4674999999999998</v>
      </c>
      <c r="S42" s="1">
        <f>'Baseline NFPC'!S41</f>
        <v>2.44</v>
      </c>
      <c r="T42" s="1">
        <f>'Baseline NFPC'!T41</f>
        <v>2.4124999999999996</v>
      </c>
      <c r="U42" s="1">
        <f>'Baseline NFPC'!U41</f>
        <v>2.3849999999999998</v>
      </c>
      <c r="V42" s="1">
        <f>'Baseline NFPC'!V41</f>
        <v>2.3574999999999999</v>
      </c>
      <c r="W42" s="1">
        <f>'Baseline NFPC'!W41</f>
        <v>2.33</v>
      </c>
      <c r="X42" s="59"/>
      <c r="Y42" s="59"/>
      <c r="Z42" s="59"/>
      <c r="AA42" s="59"/>
      <c r="AB42" s="59"/>
      <c r="AC42" s="59"/>
      <c r="AD42" s="59"/>
      <c r="AE42" s="59"/>
      <c r="AF42" s="59"/>
      <c r="AG42" s="59"/>
      <c r="AH42" s="59"/>
      <c r="AI42" s="59"/>
      <c r="AJ42" s="59"/>
      <c r="AK42" s="59"/>
      <c r="AL42" s="59"/>
      <c r="AM42" s="59"/>
      <c r="AN42" s="59"/>
      <c r="AO42" s="59"/>
      <c r="AP42" s="59"/>
      <c r="AQ42" s="59"/>
      <c r="AR42" s="59"/>
      <c r="AS42" s="59"/>
      <c r="AT42" s="59"/>
      <c r="AU42" s="59"/>
      <c r="AV42" s="59"/>
      <c r="AW42" s="59"/>
      <c r="AX42" s="59"/>
      <c r="AY42" s="60"/>
    </row>
    <row r="43" spans="2:51" x14ac:dyDescent="0.2">
      <c r="B43" s="26" t="s">
        <v>98</v>
      </c>
      <c r="C43" s="1">
        <f>'Baseline NFPC'!C42</f>
        <v>0.99918229999999997</v>
      </c>
      <c r="D43" s="1">
        <f>'Baseline NFPC'!D42</f>
        <v>1.0048170000000001</v>
      </c>
      <c r="E43" s="1">
        <f>'Baseline NFPC'!E42</f>
        <v>0.99943179999999998</v>
      </c>
      <c r="F43" s="1">
        <f>'Baseline NFPC'!F42</f>
        <v>1.0001910000000001</v>
      </c>
      <c r="G43" s="1">
        <f>'Baseline NFPC'!G42</f>
        <v>1.000102</v>
      </c>
      <c r="H43" s="1">
        <f>'Baseline NFPC'!H42</f>
        <v>1</v>
      </c>
      <c r="I43" s="1">
        <f>'Baseline NFPC'!I42</f>
        <v>1</v>
      </c>
      <c r="J43" s="1">
        <f>'Baseline NFPC'!J42</f>
        <v>1</v>
      </c>
      <c r="K43" s="1">
        <f>'Baseline NFPC'!K42</f>
        <v>1</v>
      </c>
      <c r="L43" s="1">
        <f>'Baseline NFPC'!L42</f>
        <v>1</v>
      </c>
      <c r="M43" s="1">
        <f>'Baseline NFPC'!M42</f>
        <v>1</v>
      </c>
      <c r="N43" s="1">
        <f>'Baseline NFPC'!N42</f>
        <v>1</v>
      </c>
      <c r="O43" s="1">
        <f>'Baseline NFPC'!O42</f>
        <v>1</v>
      </c>
      <c r="P43" s="1">
        <f>'Baseline NFPC'!P42</f>
        <v>1</v>
      </c>
      <c r="Q43" s="1">
        <f>'Baseline NFPC'!Q42</f>
        <v>1</v>
      </c>
      <c r="R43" s="1">
        <f>'Baseline NFPC'!R42</f>
        <v>1</v>
      </c>
      <c r="S43" s="1">
        <f>'Baseline NFPC'!S42</f>
        <v>1</v>
      </c>
      <c r="T43" s="1">
        <f>'Baseline NFPC'!T42</f>
        <v>1</v>
      </c>
      <c r="U43" s="1">
        <f>'Baseline NFPC'!U42</f>
        <v>1</v>
      </c>
      <c r="V43" s="1">
        <f>'Baseline NFPC'!V42</f>
        <v>1</v>
      </c>
      <c r="W43" s="1">
        <f>'Baseline NFPC'!W42</f>
        <v>1</v>
      </c>
      <c r="X43" s="63"/>
      <c r="Y43" s="63"/>
      <c r="Z43" s="63"/>
      <c r="AA43" s="63"/>
      <c r="AB43" s="63"/>
      <c r="AC43" s="63"/>
      <c r="AD43" s="63"/>
      <c r="AE43" s="63"/>
      <c r="AF43" s="63"/>
      <c r="AG43" s="63"/>
      <c r="AH43" s="63"/>
      <c r="AI43" s="63"/>
      <c r="AJ43" s="63"/>
      <c r="AK43" s="63"/>
      <c r="AL43" s="63"/>
      <c r="AM43" s="63"/>
      <c r="AN43" s="63"/>
      <c r="AO43" s="63"/>
      <c r="AP43" s="63"/>
      <c r="AQ43" s="63"/>
      <c r="AR43" s="63"/>
      <c r="AS43" s="63"/>
      <c r="AT43" s="63"/>
      <c r="AU43" s="63"/>
      <c r="AV43" s="63"/>
      <c r="AW43" s="63"/>
      <c r="AX43" s="63"/>
      <c r="AY43" s="60"/>
    </row>
    <row r="44" spans="2:51" x14ac:dyDescent="0.2">
      <c r="C44" s="36"/>
    </row>
    <row r="45" spans="2:51" s="67" customFormat="1" ht="12.75" x14ac:dyDescent="0.2">
      <c r="B45" s="75" t="s">
        <v>99</v>
      </c>
      <c r="C45" s="68"/>
    </row>
    <row r="46" spans="2:51" x14ac:dyDescent="0.2">
      <c r="C46" s="36"/>
    </row>
    <row r="47" spans="2:51" x14ac:dyDescent="0.2">
      <c r="B47" s="54" t="s">
        <v>68</v>
      </c>
      <c r="C47" s="55">
        <f>'Input data'!C49</f>
        <v>0.75</v>
      </c>
    </row>
    <row r="48" spans="2:51" x14ac:dyDescent="0.2">
      <c r="B48" s="56" t="s">
        <v>258</v>
      </c>
      <c r="C48" s="57">
        <f>'Input data'!C50</f>
        <v>0.58199999999999996</v>
      </c>
    </row>
    <row r="49" spans="2:48" x14ac:dyDescent="0.2">
      <c r="C49" s="58"/>
    </row>
    <row r="50" spans="2:48" outlineLevel="1" x14ac:dyDescent="0.2">
      <c r="B50" s="26" t="s">
        <v>100</v>
      </c>
      <c r="C50" s="34">
        <v>0</v>
      </c>
      <c r="D50" s="34">
        <f>IF(AND(ABS((D12-C12)-('Input data'!D13-'Input data'!C13))&gt;0.0001,ABS(D12-C12)&gt;0.0001,D$10&gt;$C$5),4,IF(C50=4,3,IF(C50=3,2,IF(C50=2,1,0))))</f>
        <v>0</v>
      </c>
      <c r="E50" s="34">
        <f>IF(AND(ABS((E12-D12)-('Input data'!E13-'Input data'!D13))&gt;0.0001,ABS(E12-D12)&gt;0.0001,E$10&gt;$C$5),4,IF(D50=4,3,IF(D50=3,2,IF(D50=2,1,0))))</f>
        <v>0</v>
      </c>
      <c r="F50" s="34">
        <f>IF(AND(ABS((F12-E12)-('Input data'!F13-'Input data'!E13))&gt;0.0001,ABS(F12-E12)&gt;0.0001,F$10&gt;$C$5),4,IF(E50=4,3,IF(E50=3,2,IF(E50=2,1,0))))</f>
        <v>0</v>
      </c>
      <c r="G50" s="34">
        <f>IF(AND(ABS((G12-F12)-('Input data'!G13-'Input data'!F13))&gt;0.0001,ABS(G12-F12)&gt;0.0001,G$10&gt;$C$5),4,IF(F50=4,3,IF(F50=3,2,IF(F50=2,1,0))))</f>
        <v>4</v>
      </c>
      <c r="H50" s="34">
        <f>IF(AND(ABS((H12-G12)-('Input data'!H13-'Input data'!G13))&gt;0.0001,ABS(H12-G12)&gt;0.0001,H$10&gt;$C$5),4,IF(G50=4,3,IF(G50=3,2,IF(G50=2,1,0))))</f>
        <v>4</v>
      </c>
      <c r="I50" s="34">
        <f>IF(AND(ABS((I12-H12)-('Input data'!I13-'Input data'!H13))&gt;0.0001,ABS(I12-H12)&gt;0.0001,I$10&gt;$C$5),4,IF(H50=4,3,IF(H50=3,2,IF(H50=2,1,0))))</f>
        <v>4</v>
      </c>
      <c r="J50" s="34">
        <f>IF(AND(ABS((J12-I12)-('Input data'!J13-'Input data'!I13))&gt;0.0001,ABS(J12-I12)&gt;0.0001,J$10&gt;$C$5),4,IF(I50=4,3,IF(I50=3,2,IF(I50=2,1,0))))</f>
        <v>4</v>
      </c>
      <c r="K50" s="34">
        <f>IF(AND(ABS((K12-J12)-('Input data'!K13-'Input data'!J13))&gt;0.0001,ABS(K12-J12)&gt;0.0001,K$10&gt;$C$5),4,IF(J50=4,3,IF(J50=3,2,IF(J50=2,1,0))))</f>
        <v>4</v>
      </c>
      <c r="L50" s="34">
        <f>IF(AND(ABS((L12-K12)-('Input data'!L13-'Input data'!K13))&gt;0.0001,ABS(L12-K12)&gt;0.0001,L$10&gt;$C$5),4,IF(K50=4,3,IF(K50=3,2,IF(K50=2,1,0))))</f>
        <v>4</v>
      </c>
      <c r="M50" s="34">
        <f>IF(AND(ABS((M12-L12)-('Input data'!M13-'Input data'!L13))&gt;0.0001,ABS(M12-L12)&gt;0.0001,M$10&gt;$C$5),4,IF(L50=4,3,IF(L50=3,2,IF(L50=2,1,0))))</f>
        <v>4</v>
      </c>
      <c r="N50" s="34">
        <f>IF(AND(ABS((N12-M12)-('Input data'!N13-'Input data'!M13))&gt;0.0001,ABS(N12-M12)&gt;0.0001,N$10&gt;$C$5),4,IF(M50=4,3,IF(M50=3,2,IF(M50=2,1,0))))</f>
        <v>3</v>
      </c>
      <c r="O50" s="34">
        <f>IF(AND(ABS((O12-N12)-('Input data'!O13-'Input data'!N13))&gt;0.0001,ABS(O12-N12)&gt;0.0001,O$10&gt;$C$5),4,IF(N50=4,3,IF(N50=3,2,IF(N50=2,1,0))))</f>
        <v>2</v>
      </c>
      <c r="P50" s="34">
        <f>IF(AND(ABS((P12-O12)-('Input data'!P13-'Input data'!O13))&gt;0.0001,ABS(P12-O12)&gt;0.0001,P$10&gt;$C$5),4,IF(O50=4,3,IF(O50=3,2,IF(O50=2,1,0))))</f>
        <v>1</v>
      </c>
      <c r="Q50" s="34">
        <f>IF(AND(ABS((Q12-P12)-('Input data'!Q13-'Input data'!P13))&gt;0.0001,ABS(Q12-P12)&gt;0.0001,Q$10&gt;$C$5),4,IF(P50=4,3,IF(P50=3,2,IF(P50=2,1,0))))</f>
        <v>0</v>
      </c>
      <c r="R50" s="34">
        <f>IF(AND(ABS((R12-Q12)-('Input data'!R13-'Input data'!Q13))&gt;0.0001,ABS(R12-Q12)&gt;0.0001,R$10&gt;$C$5),4,IF(Q50=4,3,IF(Q50=3,2,IF(Q50=2,1,0))))</f>
        <v>0</v>
      </c>
      <c r="S50" s="34">
        <f>IF(AND(ABS((S12-R12)-('Input data'!S13-'Input data'!R13))&gt;0.0001,ABS(S12-R12)&gt;0.0001,S$10&gt;$C$5),4,IF(R50=4,3,IF(R50=3,2,IF(R50=2,1,0))))</f>
        <v>0</v>
      </c>
      <c r="T50" s="34">
        <f>IF(AND(ABS((T12-S12)-('Input data'!T13-'Input data'!S13))&gt;0.0001,ABS(T12-S12)&gt;0.0001,T$10&gt;$C$5),4,IF(S50=4,3,IF(S50=3,2,IF(S50=2,1,0))))</f>
        <v>0</v>
      </c>
      <c r="U50" s="34">
        <f>IF(AND(ABS((U12-T12)-('Input data'!U13-'Input data'!T13))&gt;0.0001,ABS(U12-T12)&gt;0.0001,U$10&gt;$C$5),4,IF(T50=4,3,IF(T50=3,2,IF(T50=2,1,0))))</f>
        <v>0</v>
      </c>
      <c r="V50" s="34">
        <f>IF(AND(ABS((V12-U12)-('Input data'!V13-'Input data'!U13))&gt;0.0001,ABS(V12-U12)&gt;0.0001,V$10&gt;$C$5),4,IF(U50=4,3,IF(U50=3,2,IF(U50=2,1,0))))</f>
        <v>0</v>
      </c>
      <c r="W50" s="34">
        <f>IF(AND(ABS((W12-V12)-('Input data'!W13-'Input data'!V13))&gt;0.0001,ABS(W12-V12)&gt;0.0001,W$10&gt;$C$5),4,IF(V50=4,3,IF(V50=3,2,IF(V50=2,1,0))))</f>
        <v>0</v>
      </c>
      <c r="X50" s="34"/>
      <c r="Y50" s="34"/>
      <c r="Z50" s="34"/>
      <c r="AA50" s="34"/>
      <c r="AB50" s="34"/>
      <c r="AC50" s="34"/>
      <c r="AD50" s="34"/>
      <c r="AE50" s="34"/>
      <c r="AF50" s="34"/>
      <c r="AG50" s="34"/>
      <c r="AH50" s="34"/>
      <c r="AI50" s="34"/>
      <c r="AJ50" s="34"/>
      <c r="AK50" s="34"/>
      <c r="AL50" s="34"/>
      <c r="AM50" s="34"/>
      <c r="AN50" s="34"/>
      <c r="AO50" s="34"/>
      <c r="AP50" s="34"/>
      <c r="AQ50" s="34"/>
      <c r="AR50" s="34"/>
      <c r="AS50" s="34"/>
      <c r="AT50" s="34"/>
      <c r="AU50" s="34"/>
      <c r="AV50" s="34"/>
    </row>
    <row r="51" spans="2:48" outlineLevel="1" x14ac:dyDescent="0.2">
      <c r="B51" s="26" t="s">
        <v>101</v>
      </c>
      <c r="C51" s="34">
        <v>0</v>
      </c>
      <c r="D51" s="34">
        <f t="shared" ref="D51:W51" si="4">IF(C50=4,2/3*C30,IF(C50=3,1/3*B30,0))</f>
        <v>0</v>
      </c>
      <c r="E51" s="34">
        <f t="shared" si="4"/>
        <v>0</v>
      </c>
      <c r="F51" s="34">
        <f t="shared" si="4"/>
        <v>0</v>
      </c>
      <c r="G51" s="34">
        <f t="shared" si="4"/>
        <v>0</v>
      </c>
      <c r="H51" s="34">
        <f t="shared" si="4"/>
        <v>-1.992417592558541</v>
      </c>
      <c r="I51" s="34">
        <f t="shared" si="4"/>
        <v>-2.0990913899418131</v>
      </c>
      <c r="J51" s="34">
        <f t="shared" si="4"/>
        <v>-2.1696873534629901</v>
      </c>
      <c r="K51" s="34">
        <f t="shared" si="4"/>
        <v>-2.2155160805045129</v>
      </c>
      <c r="L51" s="34">
        <f t="shared" si="4"/>
        <v>-2.2459540416132739</v>
      </c>
      <c r="M51" s="34">
        <f t="shared" si="4"/>
        <v>-2.2660582282626462</v>
      </c>
      <c r="N51" s="34">
        <f t="shared" si="4"/>
        <v>-2.2790131422691777</v>
      </c>
      <c r="O51" s="34">
        <f t="shared" si="4"/>
        <v>-1.1395065711345889</v>
      </c>
      <c r="P51" s="34">
        <f t="shared" si="4"/>
        <v>0</v>
      </c>
      <c r="Q51" s="34">
        <f t="shared" si="4"/>
        <v>0</v>
      </c>
      <c r="R51" s="34">
        <f t="shared" si="4"/>
        <v>0</v>
      </c>
      <c r="S51" s="34">
        <f t="shared" si="4"/>
        <v>0</v>
      </c>
      <c r="T51" s="34">
        <f t="shared" si="4"/>
        <v>0</v>
      </c>
      <c r="U51" s="34">
        <f t="shared" si="4"/>
        <v>0</v>
      </c>
      <c r="V51" s="34">
        <f t="shared" si="4"/>
        <v>0</v>
      </c>
      <c r="W51" s="34">
        <f t="shared" si="4"/>
        <v>0</v>
      </c>
      <c r="X51" s="34"/>
      <c r="Y51" s="34"/>
      <c r="Z51" s="34"/>
      <c r="AA51" s="34"/>
      <c r="AB51" s="34"/>
      <c r="AC51" s="34"/>
      <c r="AD51" s="34"/>
      <c r="AE51" s="34"/>
      <c r="AF51" s="34"/>
      <c r="AG51" s="34"/>
      <c r="AH51" s="34"/>
      <c r="AI51" s="34"/>
      <c r="AJ51" s="34"/>
      <c r="AK51" s="34"/>
      <c r="AL51" s="34"/>
      <c r="AM51" s="34"/>
      <c r="AN51" s="34"/>
      <c r="AO51" s="34"/>
      <c r="AP51" s="34"/>
      <c r="AQ51" s="34"/>
      <c r="AR51" s="34"/>
      <c r="AS51" s="34"/>
      <c r="AT51" s="34"/>
      <c r="AU51" s="34"/>
      <c r="AV51" s="34"/>
    </row>
    <row r="52" spans="2:48" outlineLevel="1" x14ac:dyDescent="0.2">
      <c r="B52" s="26" t="s">
        <v>102</v>
      </c>
      <c r="C52" s="34"/>
      <c r="D52" s="34">
        <f>'Input data'!D30-$C$47*((D12-C12)-('Input data'!D13-'Input data'!C13))</f>
        <v>1.335467</v>
      </c>
      <c r="E52" s="34">
        <f>'Input data'!E30-$C$47*((E12-D12)-('Input data'!E13-'Input data'!D13))</f>
        <v>-1.0353760000000001</v>
      </c>
      <c r="F52" s="34">
        <f>'Input data'!F30-$C$47*((F12-E12)-('Input data'!F13-'Input data'!E13))</f>
        <v>3.9589600000000003E-2</v>
      </c>
      <c r="G52" s="34">
        <f>'Input data'!G30-$C$47*((G12-F12))</f>
        <v>0.45803499999999975</v>
      </c>
      <c r="H52" s="34">
        <f>'Input data'!H30-$C$47*((H12-G12))</f>
        <v>0.11028499999999974</v>
      </c>
      <c r="I52" s="34">
        <f>'Input data'!I30-$C$47*((I12-H12))</f>
        <v>0.21461499999999978</v>
      </c>
      <c r="J52" s="34">
        <f>'Input data'!J30-$C$47*((J12-I12))</f>
        <v>-0.15120199999999984</v>
      </c>
      <c r="K52" s="4">
        <f>'Adverse (r-g)'!K24-$C$47*(K12-J12)</f>
        <v>-0.61861879999999969</v>
      </c>
      <c r="L52" s="4">
        <f>'Adverse (r-g)'!L24-$C$47*(L12-K12)</f>
        <v>-0.64156019999999969</v>
      </c>
      <c r="M52" s="4">
        <f>'Adverse (r-g)'!M24-$C$47*(M12-L12)</f>
        <v>-0.61434389999999972</v>
      </c>
      <c r="N52" s="4">
        <f>'Adverse (r-g)'!N24-$C$47*((N12-M12))</f>
        <v>0.15826850000000003</v>
      </c>
      <c r="O52" s="4">
        <f>'Adverse (r-g)'!O24-$C$47*((O12-N12))</f>
        <v>0.18445089999999997</v>
      </c>
      <c r="P52" s="4">
        <f>'Adverse (r-g)'!P24-$C$47*((P12-O12))</f>
        <v>0.38988429999999996</v>
      </c>
      <c r="Q52" s="4">
        <f>'Adverse (r-g)'!Q24-$C$47*((Q12-P12))</f>
        <v>0.59531000000000001</v>
      </c>
      <c r="R52" s="4">
        <f>'Adverse (r-g)'!R24-$C$47*((R12-Q12))</f>
        <v>0.80074200000000006</v>
      </c>
      <c r="S52" s="4">
        <f>'Adverse (r-g)'!S24-$C$47*((S12-R12))</f>
        <v>0.87500500000000003</v>
      </c>
      <c r="T52" s="4">
        <f>'Adverse (r-g)'!T24-$C$47*((T12-S12))</f>
        <v>0.92395399999999994</v>
      </c>
      <c r="U52" s="4">
        <f>'Adverse (r-g)'!U24-$C$47*((U12-T12))</f>
        <v>0.98604200000000009</v>
      </c>
      <c r="V52" s="4">
        <f>'Adverse (r-g)'!V24-$C$47*((V12-U12))</f>
        <v>1.0330820000000001</v>
      </c>
      <c r="W52" s="4">
        <f>'Adverse (r-g)'!W24-$C$47*((W12-V12))</f>
        <v>0.98830299999999993</v>
      </c>
      <c r="X52" s="34"/>
      <c r="Y52" s="34"/>
      <c r="Z52" s="34"/>
      <c r="AA52" s="34"/>
      <c r="AB52" s="34"/>
      <c r="AC52" s="34"/>
      <c r="AD52" s="34"/>
      <c r="AE52" s="34"/>
      <c r="AF52" s="34"/>
      <c r="AG52" s="34"/>
      <c r="AH52" s="34"/>
      <c r="AI52" s="34"/>
      <c r="AJ52" s="34"/>
      <c r="AK52" s="34"/>
      <c r="AL52" s="34"/>
      <c r="AM52" s="34"/>
      <c r="AN52" s="34"/>
      <c r="AO52" s="34"/>
      <c r="AP52" s="34"/>
      <c r="AQ52" s="34"/>
      <c r="AR52" s="34"/>
      <c r="AS52" s="34"/>
      <c r="AT52" s="34"/>
      <c r="AU52" s="34"/>
      <c r="AV52" s="34"/>
    </row>
    <row r="53" spans="2:48" x14ac:dyDescent="0.2">
      <c r="C53" s="36"/>
    </row>
    <row r="54" spans="2:48" s="67" customFormat="1" ht="12.75" outlineLevel="1" x14ac:dyDescent="0.2">
      <c r="B54" s="72" t="s">
        <v>103</v>
      </c>
      <c r="C54" s="69"/>
      <c r="E54" s="70"/>
      <c r="F54" s="69"/>
    </row>
    <row r="55" spans="2:48" outlineLevel="1" x14ac:dyDescent="0.2">
      <c r="B55" s="43"/>
      <c r="C55" s="29"/>
      <c r="E55" s="44"/>
      <c r="F55" s="29"/>
    </row>
    <row r="56" spans="2:48" outlineLevel="1" x14ac:dyDescent="0.2">
      <c r="B56" s="85"/>
      <c r="C56" s="86">
        <v>2021</v>
      </c>
      <c r="D56" s="86">
        <v>2022</v>
      </c>
      <c r="E56" s="86">
        <v>2023</v>
      </c>
      <c r="F56" s="86">
        <v>2024</v>
      </c>
      <c r="G56" s="86">
        <v>2025</v>
      </c>
      <c r="H56" s="86">
        <v>2026</v>
      </c>
      <c r="I56" s="86">
        <v>2027</v>
      </c>
      <c r="J56" s="86">
        <v>2028</v>
      </c>
      <c r="K56" s="86">
        <v>2029</v>
      </c>
      <c r="L56" s="86">
        <v>2030</v>
      </c>
      <c r="M56" s="86">
        <v>2031</v>
      </c>
      <c r="N56" s="86">
        <v>2032</v>
      </c>
      <c r="O56" s="86">
        <v>2033</v>
      </c>
      <c r="P56" s="86">
        <v>2034</v>
      </c>
      <c r="Q56" s="86">
        <v>2035</v>
      </c>
      <c r="R56" s="86">
        <v>2036</v>
      </c>
      <c r="S56" s="86">
        <v>2037</v>
      </c>
      <c r="T56" s="86">
        <v>2038</v>
      </c>
      <c r="U56" s="86">
        <v>2039</v>
      </c>
      <c r="V56" s="86">
        <v>2040</v>
      </c>
      <c r="W56" s="86">
        <v>2041</v>
      </c>
    </row>
    <row r="57" spans="2:48" ht="10.5" customHeight="1" outlineLevel="1" x14ac:dyDescent="0.2">
      <c r="B57" s="87" t="s">
        <v>104</v>
      </c>
      <c r="C57" s="45">
        <f>+'Input data'!C12</f>
        <v>72.584819999999993</v>
      </c>
      <c r="D57" s="45">
        <f>+C57+D58</f>
        <v>73.511610584961744</v>
      </c>
      <c r="E57" s="45">
        <f>+D57+E58</f>
        <v>75.830716179102311</v>
      </c>
      <c r="F57" s="45">
        <f t="shared" ref="F57:T57" si="5">+E57+F58</f>
        <v>80.487451866503704</v>
      </c>
      <c r="G57" s="45">
        <f t="shared" si="5"/>
        <v>82.275441313739492</v>
      </c>
      <c r="H57" s="45">
        <f t="shared" si="5"/>
        <v>82.541625659639394</v>
      </c>
      <c r="I57" s="45">
        <f t="shared" si="5"/>
        <v>81.323119123411459</v>
      </c>
      <c r="J57" s="45">
        <f t="shared" si="5"/>
        <v>78.420156567126583</v>
      </c>
      <c r="K57" s="45">
        <f t="shared" si="5"/>
        <v>73.904721542930275</v>
      </c>
      <c r="L57" s="45">
        <f t="shared" si="5"/>
        <v>67.775534644448115</v>
      </c>
      <c r="M57" s="45">
        <f t="shared" si="5"/>
        <v>60.02265064705545</v>
      </c>
      <c r="N57" s="45">
        <f t="shared" si="5"/>
        <v>51.205844817537852</v>
      </c>
      <c r="O57" s="46">
        <f t="shared" si="5"/>
        <v>41.681660119539281</v>
      </c>
      <c r="P57" s="46">
        <f t="shared" si="5"/>
        <v>31.433653719449772</v>
      </c>
      <c r="Q57" s="46">
        <f t="shared" si="5"/>
        <v>21.513280513782679</v>
      </c>
      <c r="R57" s="46">
        <f t="shared" si="5"/>
        <v>11.465867422921265</v>
      </c>
      <c r="S57" s="46">
        <f t="shared" si="5"/>
        <v>1.3237488235507957</v>
      </c>
      <c r="T57" s="46">
        <f t="shared" si="5"/>
        <v>-8.918011285611847</v>
      </c>
      <c r="U57" s="46">
        <f>+T57+U58</f>
        <v>-19.428095552046308</v>
      </c>
      <c r="V57" s="46">
        <f>+U57+V58</f>
        <v>-30.233783246747564</v>
      </c>
      <c r="W57" s="46">
        <f>+V57+W58</f>
        <v>-41.35138880797205</v>
      </c>
      <c r="X57" s="38"/>
      <c r="Y57" s="38"/>
      <c r="Z57" s="38"/>
      <c r="AA57" s="38"/>
      <c r="AB57" s="38"/>
      <c r="AC57" s="38"/>
      <c r="AD57" s="38"/>
      <c r="AE57" s="38"/>
      <c r="AF57" s="38"/>
      <c r="AG57" s="38"/>
      <c r="AH57" s="38"/>
      <c r="AI57" s="38"/>
      <c r="AJ57" s="38"/>
      <c r="AK57" s="38"/>
      <c r="AL57" s="38"/>
      <c r="AM57" s="38"/>
      <c r="AN57" s="38"/>
      <c r="AO57" s="38"/>
      <c r="AP57" s="38"/>
      <c r="AQ57" s="38"/>
      <c r="AR57" s="38"/>
      <c r="AS57" s="38"/>
      <c r="AT57" s="38"/>
      <c r="AU57" s="38"/>
      <c r="AV57" s="38"/>
    </row>
    <row r="58" spans="2:48" outlineLevel="1" x14ac:dyDescent="0.2">
      <c r="B58" s="88" t="s">
        <v>105</v>
      </c>
      <c r="C58" s="47"/>
      <c r="D58" s="47">
        <f>-D59+D67+D72</f>
        <v>0.92679058496175415</v>
      </c>
      <c r="E58" s="47">
        <f>-E59+E67+E72</f>
        <v>2.31910559414057</v>
      </c>
      <c r="F58" s="47">
        <f t="shared" ref="F58:T58" si="6">-F59+F67+F72</f>
        <v>4.6567356874013877</v>
      </c>
      <c r="G58" s="47">
        <f t="shared" si="6"/>
        <v>1.7879894472357882</v>
      </c>
      <c r="H58" s="47">
        <f t="shared" si="6"/>
        <v>0.26618434589989604</v>
      </c>
      <c r="I58" s="47">
        <f t="shared" si="6"/>
        <v>-1.2185065362279388</v>
      </c>
      <c r="J58" s="47">
        <f t="shared" si="6"/>
        <v>-2.9029625562848702</v>
      </c>
      <c r="K58" s="47">
        <f t="shared" si="6"/>
        <v>-4.5154350241963126</v>
      </c>
      <c r="L58" s="47">
        <f t="shared" si="6"/>
        <v>-6.1291868984821622</v>
      </c>
      <c r="M58" s="47">
        <f t="shared" si="6"/>
        <v>-7.7528839973926669</v>
      </c>
      <c r="N58" s="47">
        <f t="shared" si="6"/>
        <v>-8.8168058295175946</v>
      </c>
      <c r="O58" s="47">
        <f t="shared" si="6"/>
        <v>-9.5241846979985709</v>
      </c>
      <c r="P58" s="47">
        <f t="shared" si="6"/>
        <v>-10.248006400089508</v>
      </c>
      <c r="Q58" s="47">
        <f t="shared" si="6"/>
        <v>-9.9203732056670937</v>
      </c>
      <c r="R58" s="47">
        <f t="shared" si="6"/>
        <v>-10.047413090861413</v>
      </c>
      <c r="S58" s="47">
        <f t="shared" si="6"/>
        <v>-10.14211859937047</v>
      </c>
      <c r="T58" s="47">
        <f t="shared" si="6"/>
        <v>-10.241760109162643</v>
      </c>
      <c r="U58" s="47">
        <f>-U59+U67+U72</f>
        <v>-10.510084266434459</v>
      </c>
      <c r="V58" s="47">
        <f>-V59+V67+V72</f>
        <v>-10.805687694701257</v>
      </c>
      <c r="W58" s="47">
        <f>-W59+W67+W72</f>
        <v>-11.117605561224488</v>
      </c>
    </row>
    <row r="59" spans="2:48" outlineLevel="1" x14ac:dyDescent="0.2">
      <c r="B59" s="84" t="s">
        <v>106</v>
      </c>
      <c r="C59" s="48"/>
      <c r="D59" s="48">
        <f>D60+D61-D62-D63-D64-D65-D66</f>
        <v>0.20695241503824502</v>
      </c>
      <c r="E59" s="48">
        <f t="shared" ref="E59:T59" si="7">E60+E61-E62-E63-E64-E65-E66</f>
        <v>-1.5524595941405703</v>
      </c>
      <c r="F59" s="48">
        <f t="shared" si="7"/>
        <v>-2.1718214874013797</v>
      </c>
      <c r="G59" s="48">
        <f t="shared" si="7"/>
        <v>-0.66948385830360624</v>
      </c>
      <c r="H59" s="48">
        <f t="shared" si="7"/>
        <v>0.83738991658079742</v>
      </c>
      <c r="I59" s="48">
        <f t="shared" si="7"/>
        <v>2.3757596404268098</v>
      </c>
      <c r="J59" s="48">
        <f t="shared" si="7"/>
        <v>3.9357511617195602</v>
      </c>
      <c r="K59" s="48">
        <f t="shared" si="7"/>
        <v>5.5091788216716111</v>
      </c>
      <c r="L59" s="48">
        <f t="shared" si="7"/>
        <v>7.091627866726709</v>
      </c>
      <c r="M59" s="48">
        <f t="shared" si="7"/>
        <v>8.680318226799006</v>
      </c>
      <c r="N59" s="48">
        <f t="shared" si="7"/>
        <v>9.3159920511993359</v>
      </c>
      <c r="O59" s="48">
        <f t="shared" si="7"/>
        <v>9.9892248755996746</v>
      </c>
      <c r="P59" s="48">
        <f t="shared" si="7"/>
        <v>10.662017700000002</v>
      </c>
      <c r="Q59" s="48">
        <f t="shared" si="7"/>
        <v>10.68013596433264</v>
      </c>
      <c r="R59" s="48">
        <f t="shared" si="7"/>
        <v>10.714225386955951</v>
      </c>
      <c r="S59" s="48">
        <f t="shared" si="7"/>
        <v>10.767244079149547</v>
      </c>
      <c r="T59" s="48">
        <f t="shared" si="7"/>
        <v>10.836005232493116</v>
      </c>
      <c r="U59" s="48">
        <f>U60+U61-U62-U63-U64-U65-U66</f>
        <v>10.918984656175891</v>
      </c>
      <c r="V59" s="48">
        <f>V60+V61-V62-V63-V64-V65-V66</f>
        <v>11.000926960371604</v>
      </c>
      <c r="W59" s="48">
        <f>W60+W61-W62-W63-W64-W65-W66</f>
        <v>11.066157536675931</v>
      </c>
    </row>
    <row r="60" spans="2:48" outlineLevel="1" x14ac:dyDescent="0.2">
      <c r="B60" s="79" t="s">
        <v>107</v>
      </c>
      <c r="C60" s="1"/>
      <c r="D60" s="1">
        <f>D12</f>
        <v>0.29205680000000001</v>
      </c>
      <c r="E60" s="1">
        <f>E12</f>
        <v>-0.2445959</v>
      </c>
      <c r="F60" s="1">
        <f>F12</f>
        <v>-0.53010330000000006</v>
      </c>
      <c r="G60" s="1">
        <f t="shared" ref="G60:W60" si="8">IF(G12="",F60,G12)</f>
        <v>1.0698967000000001</v>
      </c>
      <c r="H60" s="1">
        <f t="shared" si="8"/>
        <v>2.6698967000000002</v>
      </c>
      <c r="I60" s="1">
        <f t="shared" si="8"/>
        <v>4.2698967000000003</v>
      </c>
      <c r="J60" s="1">
        <f t="shared" si="8"/>
        <v>5.8698967</v>
      </c>
      <c r="K60" s="1">
        <f t="shared" si="8"/>
        <v>7.4698966999999996</v>
      </c>
      <c r="L60" s="1">
        <f t="shared" si="8"/>
        <v>9.0698966999999993</v>
      </c>
      <c r="M60" s="1">
        <f t="shared" si="8"/>
        <v>10.669896699999999</v>
      </c>
      <c r="N60" s="1">
        <f t="shared" si="8"/>
        <v>10.669896699999999</v>
      </c>
      <c r="O60" s="1">
        <f t="shared" si="8"/>
        <v>10.669896699999999</v>
      </c>
      <c r="P60" s="1">
        <f t="shared" si="8"/>
        <v>10.669896699999999</v>
      </c>
      <c r="Q60" s="1">
        <f t="shared" si="8"/>
        <v>10.669896699999999</v>
      </c>
      <c r="R60" s="1">
        <f t="shared" si="8"/>
        <v>10.669896699999999</v>
      </c>
      <c r="S60" s="1">
        <f t="shared" si="8"/>
        <v>10.669896699999999</v>
      </c>
      <c r="T60" s="1">
        <f t="shared" si="8"/>
        <v>10.669896699999999</v>
      </c>
      <c r="U60" s="1">
        <f t="shared" si="8"/>
        <v>10.669896699999999</v>
      </c>
      <c r="V60" s="1">
        <f t="shared" si="8"/>
        <v>10.669896699999999</v>
      </c>
      <c r="W60" s="1">
        <f t="shared" si="8"/>
        <v>10.669896699999999</v>
      </c>
    </row>
    <row r="61" spans="2:48" outlineLevel="1" x14ac:dyDescent="0.2">
      <c r="B61" s="79" t="s">
        <v>108</v>
      </c>
      <c r="C61" s="1"/>
      <c r="D61" s="1">
        <v>0</v>
      </c>
      <c r="E61" s="1">
        <v>0</v>
      </c>
      <c r="F61" s="1">
        <v>0</v>
      </c>
      <c r="G61" s="1">
        <v>0</v>
      </c>
      <c r="H61" s="1">
        <v>0</v>
      </c>
      <c r="I61" s="1">
        <v>0</v>
      </c>
      <c r="J61" s="1">
        <v>0</v>
      </c>
      <c r="K61" s="1">
        <v>0</v>
      </c>
      <c r="L61" s="1">
        <v>0</v>
      </c>
      <c r="M61" s="1">
        <v>0</v>
      </c>
      <c r="N61" s="1">
        <v>0</v>
      </c>
      <c r="O61" s="1">
        <v>0</v>
      </c>
      <c r="P61" s="1">
        <v>0</v>
      </c>
      <c r="Q61" s="1">
        <v>0</v>
      </c>
      <c r="R61" s="1">
        <v>0</v>
      </c>
      <c r="S61" s="1">
        <v>0</v>
      </c>
      <c r="T61" s="1">
        <v>0</v>
      </c>
      <c r="U61" s="1">
        <v>0</v>
      </c>
      <c r="V61" s="1">
        <v>0</v>
      </c>
      <c r="W61" s="1">
        <v>0</v>
      </c>
    </row>
    <row r="62" spans="2:48" outlineLevel="1" x14ac:dyDescent="0.2">
      <c r="B62" s="79" t="s">
        <v>109</v>
      </c>
      <c r="C62" s="1"/>
      <c r="D62" s="1">
        <f t="shared" ref="D62:W62" si="9">-$C$48*D30</f>
        <v>8.5104384961754986E-2</v>
      </c>
      <c r="E62" s="1">
        <f t="shared" si="9"/>
        <v>1.3078636941405704</v>
      </c>
      <c r="F62" s="1">
        <f t="shared" si="9"/>
        <v>1.6417181874013795</v>
      </c>
      <c r="G62" s="1">
        <f t="shared" si="9"/>
        <v>1.7393805583036064</v>
      </c>
      <c r="H62" s="1">
        <f t="shared" si="9"/>
        <v>1.8325067834192028</v>
      </c>
      <c r="I62" s="1">
        <f t="shared" si="9"/>
        <v>1.8941370595731903</v>
      </c>
      <c r="J62" s="1">
        <f t="shared" si="9"/>
        <v>1.9341455382804398</v>
      </c>
      <c r="K62" s="1">
        <f t="shared" si="9"/>
        <v>1.9607178783283881</v>
      </c>
      <c r="L62" s="1">
        <f t="shared" si="9"/>
        <v>1.9782688332732901</v>
      </c>
      <c r="M62" s="1">
        <f t="shared" si="9"/>
        <v>1.9895784732009922</v>
      </c>
      <c r="N62" s="1">
        <f t="shared" si="9"/>
        <v>1.3263856488006638</v>
      </c>
      <c r="O62" s="1">
        <f t="shared" si="9"/>
        <v>0.66319282440032856</v>
      </c>
      <c r="P62" s="1">
        <f t="shared" si="9"/>
        <v>0</v>
      </c>
      <c r="Q62" s="1">
        <f t="shared" si="9"/>
        <v>1.7356673627011431E-6</v>
      </c>
      <c r="R62" s="1">
        <f t="shared" si="9"/>
        <v>2.3130440474972146E-6</v>
      </c>
      <c r="S62" s="1">
        <f t="shared" si="9"/>
        <v>4.6208504499434255E-6</v>
      </c>
      <c r="T62" s="1">
        <f t="shared" si="9"/>
        <v>3.4675068822931361E-6</v>
      </c>
      <c r="U62" s="1">
        <f t="shared" si="9"/>
        <v>4.0438241075690939E-6</v>
      </c>
      <c r="V62" s="1">
        <f t="shared" si="9"/>
        <v>1.7396283966686352E-6</v>
      </c>
      <c r="W62" s="1">
        <f t="shared" si="9"/>
        <v>1.1633240685426925E-6</v>
      </c>
    </row>
    <row r="63" spans="2:48" outlineLevel="1" x14ac:dyDescent="0.2">
      <c r="B63" s="79" t="s">
        <v>110</v>
      </c>
      <c r="C63" s="1"/>
      <c r="D63" s="1">
        <f t="shared" ref="D63:W63" si="10">-D13</f>
        <v>0</v>
      </c>
      <c r="E63" s="1">
        <f t="shared" si="10"/>
        <v>0</v>
      </c>
      <c r="F63" s="1">
        <f t="shared" si="10"/>
        <v>0</v>
      </c>
      <c r="G63" s="1">
        <f t="shared" si="10"/>
        <v>0</v>
      </c>
      <c r="H63" s="1">
        <f t="shared" si="10"/>
        <v>0</v>
      </c>
      <c r="I63" s="1">
        <f t="shared" si="10"/>
        <v>0</v>
      </c>
      <c r="J63" s="1">
        <f t="shared" si="10"/>
        <v>0</v>
      </c>
      <c r="K63" s="1">
        <f t="shared" si="10"/>
        <v>0</v>
      </c>
      <c r="L63" s="1">
        <f t="shared" si="10"/>
        <v>0</v>
      </c>
      <c r="M63" s="1">
        <f t="shared" si="10"/>
        <v>0</v>
      </c>
      <c r="N63" s="1">
        <f t="shared" si="10"/>
        <v>0</v>
      </c>
      <c r="O63" s="1">
        <f t="shared" si="10"/>
        <v>0</v>
      </c>
      <c r="P63" s="1">
        <f t="shared" si="10"/>
        <v>0</v>
      </c>
      <c r="Q63" s="1">
        <f t="shared" si="10"/>
        <v>0</v>
      </c>
      <c r="R63" s="1">
        <f t="shared" si="10"/>
        <v>0</v>
      </c>
      <c r="S63" s="1">
        <f t="shared" si="10"/>
        <v>0</v>
      </c>
      <c r="T63" s="1">
        <f t="shared" si="10"/>
        <v>0</v>
      </c>
      <c r="U63" s="1">
        <f t="shared" si="10"/>
        <v>0</v>
      </c>
      <c r="V63" s="1">
        <f t="shared" si="10"/>
        <v>0</v>
      </c>
      <c r="W63" s="1">
        <f t="shared" si="10"/>
        <v>0</v>
      </c>
    </row>
    <row r="64" spans="2:48" outlineLevel="1" x14ac:dyDescent="0.2">
      <c r="B64" s="79" t="s">
        <v>111</v>
      </c>
      <c r="C64" s="1"/>
      <c r="D64" s="1">
        <f>IF(D$56&lt;=$C$6,0,HLOOKUP(D$56,'Input data'!$C$9:$BB$26,12,FALSE)-HLOOKUP($C$6,'Input data'!$C$9:$BB$26,12,FALSE))</f>
        <v>0</v>
      </c>
      <c r="E64" s="1">
        <f>IF(E$56&lt;=$C$6,0,HLOOKUP(E$56,'Input data'!$C$9:$BB$26,12,FALSE)-HLOOKUP($C$6,'Input data'!$C$9:$BB$26,12,FALSE))</f>
        <v>0</v>
      </c>
      <c r="F64" s="1">
        <f>IF(F$56&lt;=$C$6,0,HLOOKUP(F$56,'Input data'!$C$9:$BB$26,12,FALSE)-HLOOKUP($C$6,'Input data'!$C$9:$BB$26,12,FALSE))</f>
        <v>0</v>
      </c>
      <c r="G64" s="1">
        <f>IF(G$56&lt;=$C$6,0,HLOOKUP(G$56,'Input data'!$C$9:$BB$26,12,FALSE)-HLOOKUP($C$6,'Input data'!$C$9:$BB$26,12,FALSE))</f>
        <v>0</v>
      </c>
      <c r="H64" s="1">
        <f>IF(H$56&lt;=$C$6,0,HLOOKUP(H$56,'Input data'!$C$9:$BB$26,12,FALSE)-HLOOKUP($C$6,'Input data'!$C$9:$BB$26,12,FALSE))</f>
        <v>0</v>
      </c>
      <c r="I64" s="1">
        <f>IF(I$56&lt;=$C$6,0,HLOOKUP(I$56,'Input data'!$C$9:$BB$26,12,FALSE)-HLOOKUP($C$6,'Input data'!$C$9:$BB$26,12,FALSE))</f>
        <v>0</v>
      </c>
      <c r="J64" s="1">
        <f>IF(J$56&lt;=$C$6,0,HLOOKUP(J$56,'Input data'!$C$9:$BB$26,12,FALSE)-HLOOKUP($C$6,'Input data'!$C$9:$BB$26,12,FALSE))</f>
        <v>0</v>
      </c>
      <c r="K64" s="1">
        <f>IF(K$56&lt;=$C$6,0,HLOOKUP(K$56,'Input data'!$C$9:$BB$26,12,FALSE)-HLOOKUP($C$6,'Input data'!$C$9:$BB$26,12,FALSE))</f>
        <v>0</v>
      </c>
      <c r="L64" s="1">
        <f>IF(L$56&lt;=$C$6,0,HLOOKUP(L$56,'Input data'!$C$9:$BB$26,12,FALSE)-HLOOKUP($C$6,'Input data'!$C$9:$BB$26,12,FALSE))</f>
        <v>0</v>
      </c>
      <c r="M64" s="1">
        <f>IF(M$56&lt;=$C$6,0,HLOOKUP(M$56,'Input data'!$C$9:$BB$26,12,FALSE)-HLOOKUP($C$6,'Input data'!$C$9:$BB$26,12,FALSE))</f>
        <v>0</v>
      </c>
      <c r="N64" s="1">
        <f>IF(N$56&lt;=$C$6,0,HLOOKUP(N$56,'Input data'!$C$9:$BB$26,12,FALSE)-HLOOKUP($C$6,'Input data'!$C$9:$BB$26,12,FALSE))</f>
        <v>3.416999999999959E-2</v>
      </c>
      <c r="O64" s="1">
        <f>IF(O$56&lt;=$C$6,0,HLOOKUP(O$56,'Input data'!$C$9:$BB$26,12,FALSE)-HLOOKUP($C$6,'Input data'!$C$9:$BB$26,12,FALSE))</f>
        <v>3.0779999999996477E-2</v>
      </c>
      <c r="P64" s="1">
        <f>IF(P$56&lt;=$C$6,0,HLOOKUP(P$56,'Input data'!$C$9:$BB$26,12,FALSE)-HLOOKUP($C$6,'Input data'!$C$9:$BB$26,12,FALSE))</f>
        <v>2.7829999999998023E-2</v>
      </c>
      <c r="Q64" s="1">
        <f>IF(Q$56&lt;=$C$6,0,HLOOKUP(Q$56,'Input data'!$C$9:$BB$26,12,FALSE)-HLOOKUP($C$6,'Input data'!$C$9:$BB$26,12,FALSE))</f>
        <v>1.6359999999995267E-2</v>
      </c>
      <c r="R64" s="1">
        <f>IF(R$56&lt;=$C$6,0,HLOOKUP(R$56,'Input data'!$C$9:$BB$26,12,FALSE)-HLOOKUP($C$6,'Input data'!$C$9:$BB$26,12,FALSE))</f>
        <v>-1.1079999999999757E-2</v>
      </c>
      <c r="S64" s="1">
        <f>IF(S$56&lt;=$C$6,0,HLOOKUP(S$56,'Input data'!$C$9:$BB$26,12,FALSE)-HLOOKUP($C$6,'Input data'!$C$9:$BB$26,12,FALSE))</f>
        <v>-5.7449999999999335E-2</v>
      </c>
      <c r="T64" s="1">
        <f>IF(T$56&lt;=$C$6,0,HLOOKUP(T$56,'Input data'!$C$9:$BB$26,12,FALSE)-HLOOKUP($C$6,'Input data'!$C$9:$BB$26,12,FALSE))</f>
        <v>-0.11955999999999989</v>
      </c>
      <c r="U64" s="1">
        <f>IF(U$56&lt;=$C$6,0,HLOOKUP(U$56,'Input data'!$C$9:$BB$26,12,FALSE)-HLOOKUP($C$6,'Input data'!$C$9:$BB$26,12,FALSE))</f>
        <v>-0.19588999999999857</v>
      </c>
      <c r="V64" s="1">
        <f>IF(V$56&lt;=$C$6,0,HLOOKUP(V$56,'Input data'!$C$9:$BB$26,12,FALSE)-HLOOKUP($C$6,'Input data'!$C$9:$BB$26,12,FALSE))</f>
        <v>-0.27118000000000109</v>
      </c>
      <c r="W64" s="1">
        <f>IF(W$56&lt;=$C$6,0,HLOOKUP(W$56,'Input data'!$C$9:$BB$26,12,FALSE)-HLOOKUP($C$6,'Input data'!$C$9:$BB$26,12,FALSE))</f>
        <v>-0.32976000000000028</v>
      </c>
    </row>
    <row r="65" spans="2:23" outlineLevel="1" x14ac:dyDescent="0.2">
      <c r="B65" s="79" t="s">
        <v>112</v>
      </c>
      <c r="C65" s="1"/>
      <c r="D65" s="1">
        <f>IF(D$56&lt;=$C$5,0,-HLOOKUP(D$56,'Input data'!$C$9:$BB$26,18,FALSE)+HLOOKUP($C$6,'Input data'!$C$9:$BB$26,18,FALSE))</f>
        <v>0</v>
      </c>
      <c r="E65" s="1">
        <f>IF(E$56&lt;=$C$5,0,-HLOOKUP(E$56,'Input data'!$C$9:$BB$26,18,FALSE)+HLOOKUP($C$6,'Input data'!$C$9:$BB$26,18,FALSE))</f>
        <v>0</v>
      </c>
      <c r="F65" s="1">
        <f>IF(F$56&lt;=$C$5,0,-HLOOKUP(F$56,'Input data'!$C$9:$BB$26,18,FALSE)+HLOOKUP($C$6,'Input data'!$C$9:$BB$26,18,FALSE))</f>
        <v>0</v>
      </c>
      <c r="G65" s="1">
        <f>IF(G$56&lt;=$C$6,0,-HLOOKUP(G$56,'Input data'!$C$9:$BB$26,18,FALSE)+HLOOKUP($C$6,'Input data'!$C$9:$BB$26,18,FALSE))</f>
        <v>0</v>
      </c>
      <c r="H65" s="1">
        <f>IF(H$56&lt;=$C$6,0,-HLOOKUP(H$56,'Input data'!$C$9:$BB$26,18,FALSE)+HLOOKUP($C$6,'Input data'!$C$9:$BB$26,18,FALSE))</f>
        <v>0</v>
      </c>
      <c r="I65" s="1">
        <f>IF(I$56&lt;=$C$6,0,-HLOOKUP(I$56,'Input data'!$C$9:$BB$26,18,FALSE)+HLOOKUP($C$6,'Input data'!$C$9:$BB$26,18,FALSE))</f>
        <v>0</v>
      </c>
      <c r="J65" s="1">
        <f>IF(J$56&lt;=$C$6,0,-HLOOKUP(J$56,'Input data'!$C$9:$BB$26,18,FALSE)+HLOOKUP($C$6,'Input data'!$C$9:$BB$26,18,FALSE))</f>
        <v>0</v>
      </c>
      <c r="K65" s="1">
        <f>IF(K$56&lt;=$C$6,0,-HLOOKUP(K$56,'Input data'!$C$9:$BB$26,18,FALSE)+HLOOKUP($C$6,'Input data'!$C$9:$BB$26,18,FALSE))</f>
        <v>0</v>
      </c>
      <c r="L65" s="1">
        <f>IF(L$56&lt;=$C$6,0,-HLOOKUP(L$56,'Input data'!$C$9:$BB$26,18,FALSE)+HLOOKUP($C$6,'Input data'!$C$9:$BB$26,18,FALSE))</f>
        <v>0</v>
      </c>
      <c r="M65" s="1">
        <f>IF(M$56&lt;=$C$6,0,-HLOOKUP(M$56,'Input data'!$C$9:$BB$26,18,FALSE)+HLOOKUP($C$6,'Input data'!$C$9:$BB$26,18,FALSE))</f>
        <v>0</v>
      </c>
      <c r="N65" s="1">
        <f>IF(N$56&lt;=$C$6,0,-HLOOKUP(N$56,'Input data'!$C$9:$BB$26,18,FALSE)+HLOOKUP($C$6,'Input data'!$C$9:$BB$26,18,FALSE))</f>
        <v>-6.6510000000001845E-3</v>
      </c>
      <c r="O65" s="1">
        <f>IF(O$56&lt;=$C$6,0,-HLOOKUP(O$56,'Input data'!$C$9:$BB$26,18,FALSE)+HLOOKUP($C$6,'Input data'!$C$9:$BB$26,18,FALSE))</f>
        <v>-1.3301000000000229E-2</v>
      </c>
      <c r="P65" s="1">
        <f>IF(P$56&lt;=$C$6,0,-HLOOKUP(P$56,'Input data'!$C$9:$BB$26,18,FALSE)+HLOOKUP($C$6,'Input data'!$C$9:$BB$26,18,FALSE))</f>
        <v>-1.9951000000000274E-2</v>
      </c>
      <c r="Q65" s="1">
        <f>IF(Q$56&lt;=$C$6,0,-HLOOKUP(Q$56,'Input data'!$C$9:$BB$26,18,FALSE)+HLOOKUP($C$6,'Input data'!$C$9:$BB$26,18,FALSE))</f>
        <v>-2.6600999999999875E-2</v>
      </c>
      <c r="R65" s="1">
        <f>IF(R$56&lt;=$C$6,0,-HLOOKUP(R$56,'Input data'!$C$9:$BB$26,18,FALSE)+HLOOKUP($C$6,'Input data'!$C$9:$BB$26,18,FALSE))</f>
        <v>-3.325099999999992E-2</v>
      </c>
      <c r="S65" s="1">
        <f>IF(S$56&lt;=$C$6,0,-HLOOKUP(S$56,'Input data'!$C$9:$BB$26,18,FALSE)+HLOOKUP($C$6,'Input data'!$C$9:$BB$26,18,FALSE))</f>
        <v>-3.9902000000000104E-2</v>
      </c>
      <c r="T65" s="1">
        <f>IF(T$56&lt;=$C$6,0,-HLOOKUP(T$56,'Input data'!$C$9:$BB$26,18,FALSE)+HLOOKUP($C$6,'Input data'!$C$9:$BB$26,18,FALSE))</f>
        <v>-4.6552000000000149E-2</v>
      </c>
      <c r="U65" s="1">
        <f>IF(U$56&lt;=$C$6,0,-HLOOKUP(U$56,'Input data'!$C$9:$BB$26,18,FALSE)+HLOOKUP($C$6,'Input data'!$C$9:$BB$26,18,FALSE))</f>
        <v>-5.3202000000000194E-2</v>
      </c>
      <c r="V65" s="1">
        <f>IF(V$56&lt;=$C$6,0,-HLOOKUP(V$56,'Input data'!$C$9:$BB$26,18,FALSE)+HLOOKUP($C$6,'Input data'!$C$9:$BB$26,18,FALSE))</f>
        <v>-5.9852000000000238E-2</v>
      </c>
      <c r="W65" s="1">
        <f>IF(W$56&lt;=$C$6,0,-HLOOKUP(W$56,'Input data'!$C$9:$BB$26,18,FALSE)+HLOOKUP($C$6,'Input data'!$C$9:$BB$26,18,FALSE))</f>
        <v>-6.6502000000000283E-2</v>
      </c>
    </row>
    <row r="66" spans="2:23" outlineLevel="1" x14ac:dyDescent="0.2">
      <c r="B66" s="79" t="s">
        <v>113</v>
      </c>
      <c r="C66" s="37"/>
      <c r="D66" s="37">
        <v>0</v>
      </c>
      <c r="E66" s="37">
        <v>0</v>
      </c>
      <c r="F66" s="37">
        <v>0</v>
      </c>
      <c r="G66" s="37">
        <v>0</v>
      </c>
      <c r="H66" s="37">
        <v>0</v>
      </c>
      <c r="I66" s="37">
        <v>0</v>
      </c>
      <c r="J66" s="37">
        <v>0</v>
      </c>
      <c r="K66" s="37">
        <v>0</v>
      </c>
      <c r="L66" s="37">
        <v>0</v>
      </c>
      <c r="M66" s="37">
        <v>0</v>
      </c>
      <c r="N66" s="37">
        <v>0</v>
      </c>
      <c r="O66" s="37">
        <v>0</v>
      </c>
      <c r="P66" s="37">
        <v>0</v>
      </c>
      <c r="Q66" s="37">
        <v>0</v>
      </c>
      <c r="R66" s="37">
        <v>0</v>
      </c>
      <c r="S66" s="37">
        <v>0</v>
      </c>
      <c r="T66" s="37">
        <v>0</v>
      </c>
      <c r="U66" s="37">
        <v>0</v>
      </c>
      <c r="V66" s="37">
        <v>0</v>
      </c>
      <c r="W66" s="37">
        <v>0</v>
      </c>
    </row>
    <row r="67" spans="2:23" outlineLevel="1" x14ac:dyDescent="0.2">
      <c r="B67" s="84" t="s">
        <v>114</v>
      </c>
      <c r="C67" s="48"/>
      <c r="D67" s="48">
        <f t="shared" ref="D67:T67" si="11">SUM(D68:D71)</f>
        <v>-4.0426920000000006</v>
      </c>
      <c r="E67" s="48">
        <f>SUM(E68:E71)</f>
        <v>-1.5118760000000007</v>
      </c>
      <c r="F67" s="48">
        <f t="shared" si="11"/>
        <v>-0.13214979999999224</v>
      </c>
      <c r="G67" s="48">
        <f t="shared" si="11"/>
        <v>-0.55150541106781792</v>
      </c>
      <c r="H67" s="48">
        <f t="shared" si="11"/>
        <v>-0.58669873751930646</v>
      </c>
      <c r="I67" s="48">
        <f t="shared" si="11"/>
        <v>-0.54496189580112908</v>
      </c>
      <c r="J67" s="48">
        <f t="shared" si="11"/>
        <v>-0.61525939456530976</v>
      </c>
      <c r="K67" s="48">
        <f t="shared" si="11"/>
        <v>-0.58760320252470177</v>
      </c>
      <c r="L67" s="48">
        <f t="shared" si="11"/>
        <v>-0.57836203175545409</v>
      </c>
      <c r="M67" s="48">
        <f t="shared" si="11"/>
        <v>-0.59554677059365968</v>
      </c>
      <c r="N67" s="48">
        <f t="shared" si="11"/>
        <v>-1.0269487783182578</v>
      </c>
      <c r="O67" s="48">
        <f t="shared" si="11"/>
        <v>-0.90848182239889563</v>
      </c>
      <c r="P67" s="48">
        <f t="shared" si="11"/>
        <v>-0.8068967000895062</v>
      </c>
      <c r="Q67" s="48">
        <f t="shared" si="11"/>
        <v>-0.30853224133445334</v>
      </c>
      <c r="R67" s="48">
        <f t="shared" si="11"/>
        <v>-0.2488687039054619</v>
      </c>
      <c r="S67" s="48">
        <f t="shared" si="11"/>
        <v>-0.13794202022092211</v>
      </c>
      <c r="T67" s="48">
        <f t="shared" si="11"/>
        <v>-1.6208876669526293E-2</v>
      </c>
      <c r="U67" s="48">
        <f>SUM(U68:U71)</f>
        <v>-4.8940110258569092E-2</v>
      </c>
      <c r="V67" s="48">
        <f>SUM(V68:V71)</f>
        <v>-0.10998773432965331</v>
      </c>
      <c r="W67" s="48">
        <f>SUM(W68:W71)</f>
        <v>-0.20406152454855608</v>
      </c>
    </row>
    <row r="68" spans="2:23" outlineLevel="1" x14ac:dyDescent="0.2">
      <c r="B68" s="79" t="s">
        <v>115</v>
      </c>
      <c r="C68" s="34"/>
      <c r="D68" s="34">
        <f>C57*D36/100*(1/(1+D33/100))</f>
        <v>0.57044236264340553</v>
      </c>
      <c r="E68" s="34">
        <f>D57*E36/100*(1/(1+E33/100))</f>
        <v>1.1202161973483911</v>
      </c>
      <c r="F68" s="34">
        <f t="shared" ref="F68:W68" si="12">E57*F36/100*(1/(1+F33/100))</f>
        <v>1.237911894788841</v>
      </c>
      <c r="G68" s="34">
        <f>F57*G36/100*(1/(1+G33/100))</f>
        <v>1.4824281639669945</v>
      </c>
      <c r="H68" s="34">
        <f t="shared" si="12"/>
        <v>1.5826151903610837</v>
      </c>
      <c r="I68" s="34">
        <f t="shared" si="12"/>
        <v>1.6394535303736943</v>
      </c>
      <c r="J68" s="34">
        <f t="shared" si="12"/>
        <v>1.6487502218464147</v>
      </c>
      <c r="K68" s="34">
        <f t="shared" si="12"/>
        <v>1.6105181552166117</v>
      </c>
      <c r="L68" s="34">
        <f t="shared" si="12"/>
        <v>1.5255914436275946</v>
      </c>
      <c r="M68" s="34">
        <f t="shared" si="12"/>
        <v>1.3931758053534387</v>
      </c>
      <c r="N68" s="34">
        <f t="shared" si="12"/>
        <v>1.2095507969948227</v>
      </c>
      <c r="O68" s="34">
        <f t="shared" si="12"/>
        <v>1.0312143693597935</v>
      </c>
      <c r="P68" s="34">
        <f t="shared" si="12"/>
        <v>0.83802889201949549</v>
      </c>
      <c r="Q68" s="34">
        <f t="shared" si="12"/>
        <v>0.63813827614389418</v>
      </c>
      <c r="R68" s="34">
        <f t="shared" si="12"/>
        <v>0.43597051035158163</v>
      </c>
      <c r="S68" s="34">
        <f t="shared" si="12"/>
        <v>0.23224914299044652</v>
      </c>
      <c r="T68" s="34">
        <f t="shared" si="12"/>
        <v>2.680764758713533E-2</v>
      </c>
      <c r="U68" s="34">
        <f t="shared" si="12"/>
        <v>-0.34172840242450914</v>
      </c>
      <c r="V68" s="34">
        <f t="shared" si="12"/>
        <v>-0.7515364558134191</v>
      </c>
      <c r="W68" s="34">
        <f t="shared" si="12"/>
        <v>-1.1816090404436734</v>
      </c>
    </row>
    <row r="69" spans="2:23" outlineLevel="1" x14ac:dyDescent="0.2">
      <c r="B69" s="79" t="s">
        <v>116</v>
      </c>
      <c r="C69" s="34"/>
      <c r="D69" s="34">
        <f t="shared" ref="D69:W69" si="13">-C57*(D23/100)*(1/(1+D33/100))</f>
        <v>-0.90770273794427525</v>
      </c>
      <c r="E69" s="34">
        <f>-D57*(E23/100)*(1/(1+E33/100))</f>
        <v>0.73387611498957983</v>
      </c>
      <c r="F69" s="34">
        <f t="shared" si="13"/>
        <v>-2.9478581632543192E-2</v>
      </c>
      <c r="G69" s="34">
        <f t="shared" si="13"/>
        <v>-0.35934388324229344</v>
      </c>
      <c r="H69" s="34">
        <f t="shared" si="13"/>
        <v>-0.41547945236949707</v>
      </c>
      <c r="I69" s="34">
        <f t="shared" si="13"/>
        <v>-0.38292418783782345</v>
      </c>
      <c r="J69" s="34">
        <f t="shared" si="13"/>
        <v>-0.44779270196496196</v>
      </c>
      <c r="K69" s="34">
        <f t="shared" si="13"/>
        <v>-0.40693376741276499</v>
      </c>
      <c r="L69" s="34">
        <f t="shared" si="13"/>
        <v>-0.37842981161990719</v>
      </c>
      <c r="M69" s="34">
        <f t="shared" si="13"/>
        <v>-0.37197353777828085</v>
      </c>
      <c r="N69" s="34">
        <f t="shared" si="13"/>
        <v>-0.77432058037175966</v>
      </c>
      <c r="O69" s="34">
        <f t="shared" si="13"/>
        <v>-0.66641579892864022</v>
      </c>
      <c r="P69" s="34">
        <f t="shared" si="13"/>
        <v>-0.61937522363829689</v>
      </c>
      <c r="Q69" s="34">
        <f t="shared" si="13"/>
        <v>-0.18149205969965407</v>
      </c>
      <c r="R69" s="34">
        <f t="shared" si="13"/>
        <v>-0.1667820774306473</v>
      </c>
      <c r="S69" s="34">
        <f t="shared" si="13"/>
        <v>-9.708772205627407E-2</v>
      </c>
      <c r="T69" s="34">
        <f t="shared" si="13"/>
        <v>-1.1833377308620184E-2</v>
      </c>
      <c r="U69" s="34">
        <f t="shared" si="13"/>
        <v>8.5048321309034683E-2</v>
      </c>
      <c r="V69" s="34">
        <f t="shared" si="13"/>
        <v>0.19408043372811354</v>
      </c>
      <c r="W69" s="34">
        <f t="shared" si="13"/>
        <v>0.28914025541508387</v>
      </c>
    </row>
    <row r="70" spans="2:23" outlineLevel="1" x14ac:dyDescent="0.2">
      <c r="B70" s="79" t="s">
        <v>117</v>
      </c>
      <c r="C70" s="34"/>
      <c r="D70" s="34">
        <f t="shared" ref="D70:T70" si="14">-C57*D42/100*(1/(1+D42/100))</f>
        <v>-3.7081792093539843</v>
      </c>
      <c r="E70" s="34">
        <f>-D57*E42/100*(1/(1+E42/100))</f>
        <v>-3.3653315689090335</v>
      </c>
      <c r="F70" s="34">
        <f t="shared" si="14"/>
        <v>-1.3408196277227631</v>
      </c>
      <c r="G70" s="34">
        <f t="shared" si="14"/>
        <v>-1.6747401746220425</v>
      </c>
      <c r="H70" s="34">
        <f t="shared" si="14"/>
        <v>-1.753834475510893</v>
      </c>
      <c r="I70" s="34">
        <f t="shared" si="14"/>
        <v>-1.8014912383369999</v>
      </c>
      <c r="J70" s="34">
        <f t="shared" si="14"/>
        <v>-1.8162169144467626</v>
      </c>
      <c r="K70" s="34">
        <f t="shared" si="14"/>
        <v>-1.7911875903285484</v>
      </c>
      <c r="L70" s="34">
        <f t="shared" si="14"/>
        <v>-1.7255236637631415</v>
      </c>
      <c r="M70" s="34">
        <f t="shared" si="14"/>
        <v>-1.6167490381688174</v>
      </c>
      <c r="N70" s="34">
        <f t="shared" si="14"/>
        <v>-1.4621789949413209</v>
      </c>
      <c r="O70" s="34">
        <f t="shared" si="14"/>
        <v>-1.2732803928300489</v>
      </c>
      <c r="P70" s="34">
        <f t="shared" si="14"/>
        <v>-1.0255503684707048</v>
      </c>
      <c r="Q70" s="34">
        <f t="shared" si="14"/>
        <v>-0.76517845777869342</v>
      </c>
      <c r="R70" s="34">
        <f t="shared" si="14"/>
        <v>-0.5180571368263962</v>
      </c>
      <c r="S70" s="34">
        <f t="shared" si="14"/>
        <v>-0.27310344115509455</v>
      </c>
      <c r="T70" s="34">
        <f t="shared" si="14"/>
        <v>-3.1183146948041439E-2</v>
      </c>
      <c r="U70" s="34">
        <f>-T57*U42/100*(1/(1+U42/100))</f>
        <v>0.20773997085690538</v>
      </c>
      <c r="V70" s="34">
        <f>-U57*V42/100*(1/(1+V42/100))</f>
        <v>0.44746828775565223</v>
      </c>
      <c r="W70" s="34">
        <f>-V57*W42/100*(1/(1+W42/100))</f>
        <v>0.68840726048003342</v>
      </c>
    </row>
    <row r="71" spans="2:23" outlineLevel="1" x14ac:dyDescent="0.2">
      <c r="B71" s="79" t="s">
        <v>118</v>
      </c>
      <c r="C71" s="49"/>
      <c r="D71" s="49">
        <f>'Baseline NFPC'!D70</f>
        <v>2.7475846548536964E-3</v>
      </c>
      <c r="E71" s="49">
        <f>'Baseline NFPC'!E70</f>
        <v>-6.3674342893804692E-4</v>
      </c>
      <c r="F71" s="49">
        <f>'Baseline NFPC'!F70</f>
        <v>2.3651456647297286E-4</v>
      </c>
      <c r="G71" s="49">
        <f>'Baseline NFPC'!G70</f>
        <v>1.5048282952356828E-4</v>
      </c>
      <c r="H71" s="49">
        <f>'Baseline NFPC'!H70</f>
        <v>0</v>
      </c>
      <c r="I71" s="49">
        <f>'Baseline NFPC'!I70</f>
        <v>0</v>
      </c>
      <c r="J71" s="49">
        <f>'Baseline NFPC'!J70</f>
        <v>0</v>
      </c>
      <c r="K71" s="49">
        <f>'Baseline NFPC'!K70</f>
        <v>0</v>
      </c>
      <c r="L71" s="49">
        <f>'Baseline NFPC'!L70</f>
        <v>0</v>
      </c>
      <c r="M71" s="49">
        <f>'Baseline NFPC'!M70</f>
        <v>0</v>
      </c>
      <c r="N71" s="49">
        <f>'Baseline NFPC'!N70</f>
        <v>0</v>
      </c>
      <c r="O71" s="49">
        <f>'Baseline NFPC'!O70</f>
        <v>0</v>
      </c>
      <c r="P71" s="49">
        <f>'Baseline NFPC'!P70</f>
        <v>0</v>
      </c>
      <c r="Q71" s="49">
        <f>'Baseline NFPC'!Q70</f>
        <v>0</v>
      </c>
      <c r="R71" s="49">
        <f>'Baseline NFPC'!R70</f>
        <v>0</v>
      </c>
      <c r="S71" s="49">
        <f>'Baseline NFPC'!S70</f>
        <v>0</v>
      </c>
      <c r="T71" s="49">
        <f>'Baseline NFPC'!T70</f>
        <v>0</v>
      </c>
      <c r="U71" s="49">
        <f>'Baseline NFPC'!U70</f>
        <v>0</v>
      </c>
      <c r="V71" s="49">
        <f>'Baseline NFPC'!V70</f>
        <v>0</v>
      </c>
      <c r="W71" s="49">
        <f>'Baseline NFPC'!W70</f>
        <v>0</v>
      </c>
    </row>
    <row r="72" spans="2:23" outlineLevel="1" x14ac:dyDescent="0.2">
      <c r="B72" s="84" t="s">
        <v>119</v>
      </c>
      <c r="C72" s="50"/>
      <c r="D72" s="50">
        <f>'Input data'!D16</f>
        <v>5.1764349999999997</v>
      </c>
      <c r="E72" s="50">
        <f>'Input data'!E16</f>
        <v>2.2785220000000002</v>
      </c>
      <c r="F72" s="50">
        <f>'Input data'!F16</f>
        <v>2.6170640000000001</v>
      </c>
      <c r="G72" s="50">
        <f>'Input data'!G16</f>
        <v>1.6700109999999999</v>
      </c>
      <c r="H72" s="50">
        <f>'Input data'!H16</f>
        <v>1.6902729999999999</v>
      </c>
      <c r="I72" s="50">
        <f>'Input data'!I16</f>
        <v>1.702215</v>
      </c>
      <c r="J72" s="50">
        <f>'Input data'!J16</f>
        <v>1.648048</v>
      </c>
      <c r="K72" s="50">
        <f>'Input data'!K16</f>
        <v>1.5813470000000001</v>
      </c>
      <c r="L72" s="50">
        <f>'Input data'!L16</f>
        <v>1.5408029999999999</v>
      </c>
      <c r="M72" s="50">
        <f>'Input data'!M16</f>
        <v>1.5229809999999999</v>
      </c>
      <c r="N72" s="50">
        <f>'Input data'!N16</f>
        <v>1.526135</v>
      </c>
      <c r="O72" s="50">
        <f>'Input data'!O16</f>
        <v>1.3735219999999999</v>
      </c>
      <c r="P72" s="50">
        <f>'Input data'!P16</f>
        <v>1.2209080000000001</v>
      </c>
      <c r="Q72" s="50">
        <f>'Input data'!Q16</f>
        <v>1.068295</v>
      </c>
      <c r="R72" s="50">
        <f>'Input data'!R16</f>
        <v>0.91568099999999997</v>
      </c>
      <c r="S72" s="50">
        <f>'Input data'!S16</f>
        <v>0.76306750000000001</v>
      </c>
      <c r="T72" s="50">
        <f>'Input data'!T16</f>
        <v>0.61045400000000005</v>
      </c>
      <c r="U72" s="50">
        <f>'Input data'!U16</f>
        <v>0.45784049999999998</v>
      </c>
      <c r="V72" s="50">
        <f>'Input data'!V16</f>
        <v>0.30522700000000003</v>
      </c>
      <c r="W72" s="50">
        <f>'Input data'!W16</f>
        <v>0.15261350000000001</v>
      </c>
    </row>
    <row r="73" spans="2:23" outlineLevel="1" x14ac:dyDescent="0.2">
      <c r="B73" s="79" t="s">
        <v>120</v>
      </c>
      <c r="C73" s="34"/>
      <c r="D73" s="34">
        <f t="shared" ref="D73:W73" si="15">D14</f>
        <v>4.8490650000000004</v>
      </c>
      <c r="E73" s="34">
        <f t="shared" si="15"/>
        <v>2.318794</v>
      </c>
      <c r="F73" s="34">
        <f t="shared" si="15"/>
        <v>2.6028570000000002</v>
      </c>
      <c r="G73" s="34">
        <f t="shared" si="15"/>
        <v>1.6620999999999999</v>
      </c>
      <c r="H73" s="34">
        <f t="shared" si="15"/>
        <v>1.6902729999999999</v>
      </c>
      <c r="I73" s="34">
        <f t="shared" si="15"/>
        <v>1.702215</v>
      </c>
      <c r="J73" s="34">
        <f t="shared" si="15"/>
        <v>1.648048</v>
      </c>
      <c r="K73" s="34">
        <f t="shared" si="15"/>
        <v>1.5813470000000001</v>
      </c>
      <c r="L73" s="34">
        <f t="shared" si="15"/>
        <v>1.5408029999999999</v>
      </c>
      <c r="M73" s="34">
        <f t="shared" si="15"/>
        <v>1.5229809999999999</v>
      </c>
      <c r="N73" s="34">
        <f t="shared" si="15"/>
        <v>1.526135</v>
      </c>
      <c r="O73" s="34">
        <f t="shared" si="15"/>
        <v>1.3735219999999999</v>
      </c>
      <c r="P73" s="34">
        <f t="shared" si="15"/>
        <v>1.2209080000000001</v>
      </c>
      <c r="Q73" s="34">
        <f t="shared" si="15"/>
        <v>1.068295</v>
      </c>
      <c r="R73" s="34">
        <f t="shared" si="15"/>
        <v>0.91568099999999997</v>
      </c>
      <c r="S73" s="34">
        <f t="shared" si="15"/>
        <v>0.76306750000000001</v>
      </c>
      <c r="T73" s="34">
        <f t="shared" si="15"/>
        <v>0.61045400000000005</v>
      </c>
      <c r="U73" s="34">
        <f t="shared" si="15"/>
        <v>0.45784049999999998</v>
      </c>
      <c r="V73" s="34">
        <f t="shared" si="15"/>
        <v>0.30522700000000003</v>
      </c>
      <c r="W73" s="34">
        <f t="shared" si="15"/>
        <v>0.15261350000000001</v>
      </c>
    </row>
    <row r="74" spans="2:23" outlineLevel="1" x14ac:dyDescent="0.2">
      <c r="B74" s="89" t="s">
        <v>121</v>
      </c>
      <c r="C74" s="49"/>
      <c r="D74" s="49">
        <f>+D72-D73</f>
        <v>0.32736999999999927</v>
      </c>
      <c r="E74" s="49">
        <f t="shared" ref="E74:T74" si="16">+E72-E73</f>
        <v>-4.0271999999999863E-2</v>
      </c>
      <c r="F74" s="49">
        <f t="shared" si="16"/>
        <v>1.4206999999999859E-2</v>
      </c>
      <c r="G74" s="49">
        <f t="shared" si="16"/>
        <v>7.9110000000000014E-3</v>
      </c>
      <c r="H74" s="49">
        <f t="shared" si="16"/>
        <v>0</v>
      </c>
      <c r="I74" s="49">
        <f t="shared" si="16"/>
        <v>0</v>
      </c>
      <c r="J74" s="49">
        <f t="shared" si="16"/>
        <v>0</v>
      </c>
      <c r="K74" s="49">
        <f t="shared" si="16"/>
        <v>0</v>
      </c>
      <c r="L74" s="49">
        <f t="shared" si="16"/>
        <v>0</v>
      </c>
      <c r="M74" s="49">
        <f t="shared" si="16"/>
        <v>0</v>
      </c>
      <c r="N74" s="49">
        <f t="shared" si="16"/>
        <v>0</v>
      </c>
      <c r="O74" s="49">
        <f t="shared" si="16"/>
        <v>0</v>
      </c>
      <c r="P74" s="49">
        <f t="shared" si="16"/>
        <v>0</v>
      </c>
      <c r="Q74" s="49">
        <f t="shared" si="16"/>
        <v>0</v>
      </c>
      <c r="R74" s="49">
        <f t="shared" si="16"/>
        <v>0</v>
      </c>
      <c r="S74" s="49">
        <f t="shared" si="16"/>
        <v>0</v>
      </c>
      <c r="T74" s="49">
        <f t="shared" si="16"/>
        <v>0</v>
      </c>
      <c r="U74" s="49">
        <f>+U72-U73</f>
        <v>0</v>
      </c>
      <c r="V74" s="49">
        <f>+V72-V73</f>
        <v>0</v>
      </c>
      <c r="W74" s="49">
        <f>+W72-W73</f>
        <v>0</v>
      </c>
    </row>
    <row r="76" spans="2:23" x14ac:dyDescent="0.2">
      <c r="B76" s="51" t="s">
        <v>187</v>
      </c>
      <c r="C76" s="51"/>
      <c r="D76" s="51"/>
      <c r="E76" s="51"/>
      <c r="F76" s="51"/>
      <c r="G76" s="51"/>
      <c r="H76" s="51"/>
      <c r="I76" s="51"/>
      <c r="J76" s="51"/>
      <c r="K76" s="51">
        <f t="shared" ref="K76:W76" si="17">IF(K57&lt;J57,0,1)</f>
        <v>0</v>
      </c>
      <c r="L76" s="51">
        <f t="shared" si="17"/>
        <v>0</v>
      </c>
      <c r="M76" s="51">
        <f t="shared" si="17"/>
        <v>0</v>
      </c>
      <c r="N76" s="51">
        <f t="shared" si="17"/>
        <v>0</v>
      </c>
      <c r="O76" s="51">
        <f t="shared" si="17"/>
        <v>0</v>
      </c>
      <c r="P76" s="51">
        <f t="shared" si="17"/>
        <v>0</v>
      </c>
      <c r="Q76" s="51">
        <f t="shared" si="17"/>
        <v>0</v>
      </c>
      <c r="R76" s="51">
        <f t="shared" si="17"/>
        <v>0</v>
      </c>
      <c r="S76" s="51">
        <f t="shared" si="17"/>
        <v>0</v>
      </c>
      <c r="T76" s="51">
        <f t="shared" si="17"/>
        <v>0</v>
      </c>
      <c r="U76" s="51">
        <f t="shared" si="17"/>
        <v>0</v>
      </c>
      <c r="V76" s="51">
        <f t="shared" si="17"/>
        <v>0</v>
      </c>
      <c r="W76" s="51">
        <f t="shared" si="17"/>
        <v>0</v>
      </c>
    </row>
    <row r="77" spans="2:23" x14ac:dyDescent="0.2">
      <c r="D77" s="53"/>
    </row>
    <row r="78" spans="2:23" s="93" customFormat="1" ht="12.75" outlineLevel="1" x14ac:dyDescent="0.2">
      <c r="B78" s="94" t="s">
        <v>124</v>
      </c>
      <c r="C78" s="95"/>
      <c r="E78" s="96"/>
      <c r="F78" s="95"/>
    </row>
    <row r="79" spans="2:23" x14ac:dyDescent="0.2">
      <c r="C79" s="34"/>
      <c r="D79" s="34"/>
      <c r="E79" s="34"/>
      <c r="F79" s="34"/>
      <c r="G79" s="34"/>
      <c r="H79" s="34"/>
      <c r="I79" s="34"/>
      <c r="J79" s="34"/>
      <c r="K79" s="34"/>
      <c r="L79" s="34"/>
      <c r="M79" s="34"/>
      <c r="N79" s="34"/>
      <c r="O79" s="34"/>
      <c r="P79" s="34"/>
      <c r="Q79" s="34"/>
      <c r="R79" s="34"/>
      <c r="S79" s="34"/>
      <c r="T79" s="34"/>
      <c r="U79" s="34"/>
      <c r="V79" s="34"/>
      <c r="W79" s="34"/>
    </row>
    <row r="80" spans="2:23" x14ac:dyDescent="0.2">
      <c r="B80" s="26" t="s">
        <v>125</v>
      </c>
      <c r="E80" s="29">
        <f>IF((E84-D84*E43/((1+E23/100)*(1+E42/100)))&gt;0,1,0)</f>
        <v>1</v>
      </c>
      <c r="F80" s="29">
        <f>IF((F84-E84*F43/((1+F23/100)*(1+F42/100)))&gt;0,1,0)</f>
        <v>1</v>
      </c>
      <c r="G80" s="29">
        <f t="shared" ref="G80:W80" si="18">IF((G84-F84*G43/((1+G23/100)*(1+G42/100)))&gt;0,1,0)</f>
        <v>1</v>
      </c>
      <c r="H80" s="29">
        <f t="shared" si="18"/>
        <v>1</v>
      </c>
      <c r="I80" s="29">
        <f t="shared" si="18"/>
        <v>1</v>
      </c>
      <c r="J80" s="29">
        <f t="shared" si="18"/>
        <v>0</v>
      </c>
      <c r="K80" s="29">
        <f t="shared" si="18"/>
        <v>0</v>
      </c>
      <c r="L80" s="29">
        <f t="shared" si="18"/>
        <v>0</v>
      </c>
      <c r="M80" s="29">
        <f t="shared" si="18"/>
        <v>0</v>
      </c>
      <c r="N80" s="29">
        <f t="shared" si="18"/>
        <v>0</v>
      </c>
      <c r="O80" s="29">
        <f t="shared" si="18"/>
        <v>0</v>
      </c>
      <c r="P80" s="29">
        <f t="shared" si="18"/>
        <v>0</v>
      </c>
      <c r="Q80" s="29">
        <f t="shared" si="18"/>
        <v>0</v>
      </c>
      <c r="R80" s="29">
        <f t="shared" si="18"/>
        <v>0</v>
      </c>
      <c r="S80" s="29">
        <f t="shared" si="18"/>
        <v>0</v>
      </c>
      <c r="T80" s="29">
        <f t="shared" si="18"/>
        <v>0</v>
      </c>
      <c r="U80" s="29">
        <f t="shared" si="18"/>
        <v>0</v>
      </c>
      <c r="V80" s="29">
        <f t="shared" si="18"/>
        <v>0</v>
      </c>
      <c r="W80" s="29">
        <f t="shared" si="18"/>
        <v>0</v>
      </c>
    </row>
    <row r="81" spans="2:23" x14ac:dyDescent="0.2">
      <c r="B81" s="26" t="s">
        <v>126</v>
      </c>
      <c r="E81" s="29">
        <f>IF(AND(E80=0,ABS(E84-D84*E43/((1+E23/100)*(1+E42/100)))&lt;((D90*D84*E43/((1+E23/100)*(1+E42/100))+(E39*D84*D91*E43/((1+E23/100)*(1+E42/100)))))),1,0)</f>
        <v>0</v>
      </c>
      <c r="F81" s="29">
        <f>IF(AND(F80=0,ABS(F84-E84*F43/((1+F23/100)*(1+F42/100)))&lt;((E90*E84*F43/((1+F23/100)*(1+F42/100))+(F39*E84*E91*F43/((1+F23/100)*(1+F42/100)))))),1,0)</f>
        <v>0</v>
      </c>
      <c r="G81" s="29">
        <f t="shared" ref="G81:W81" si="19">IF(AND(G80=0,ABS(G84-F84*G43/((1+G23/100)*(1+G42/100)))&lt;((F90*F84*G43/((1+G23/100)*(1+G42/100))+(G39*F84*F91*G43/((1+G23/100)*(1+G42/100)))))),1,0)</f>
        <v>0</v>
      </c>
      <c r="H81" s="29">
        <f t="shared" si="19"/>
        <v>0</v>
      </c>
      <c r="I81" s="29">
        <f t="shared" si="19"/>
        <v>0</v>
      </c>
      <c r="J81" s="29">
        <f t="shared" si="19"/>
        <v>1</v>
      </c>
      <c r="K81" s="29">
        <f t="shared" si="19"/>
        <v>1</v>
      </c>
      <c r="L81" s="29">
        <f t="shared" si="19"/>
        <v>1</v>
      </c>
      <c r="M81" s="29">
        <f t="shared" si="19"/>
        <v>0</v>
      </c>
      <c r="N81" s="29">
        <f t="shared" si="19"/>
        <v>0</v>
      </c>
      <c r="O81" s="29">
        <f t="shared" si="19"/>
        <v>0</v>
      </c>
      <c r="P81" s="29">
        <f t="shared" si="19"/>
        <v>0</v>
      </c>
      <c r="Q81" s="29">
        <f t="shared" si="19"/>
        <v>0</v>
      </c>
      <c r="R81" s="29">
        <f t="shared" si="19"/>
        <v>0</v>
      </c>
      <c r="S81" s="29">
        <f t="shared" si="19"/>
        <v>0</v>
      </c>
      <c r="T81" s="29">
        <f t="shared" si="19"/>
        <v>0</v>
      </c>
      <c r="U81" s="29">
        <f t="shared" si="19"/>
        <v>0</v>
      </c>
      <c r="V81" s="29">
        <f t="shared" si="19"/>
        <v>0</v>
      </c>
      <c r="W81" s="29">
        <f t="shared" si="19"/>
        <v>0</v>
      </c>
    </row>
    <row r="83" spans="2:23" x14ac:dyDescent="0.2">
      <c r="B83" s="51"/>
      <c r="C83" s="86">
        <v>2021</v>
      </c>
      <c r="D83" s="86">
        <v>2022</v>
      </c>
      <c r="E83" s="86">
        <v>2023</v>
      </c>
      <c r="F83" s="86">
        <v>2024</v>
      </c>
      <c r="G83" s="86">
        <v>2025</v>
      </c>
      <c r="H83" s="86">
        <v>2026</v>
      </c>
      <c r="I83" s="86">
        <v>2027</v>
      </c>
      <c r="J83" s="86">
        <v>2028</v>
      </c>
      <c r="K83" s="86">
        <v>2029</v>
      </c>
      <c r="L83" s="86">
        <v>2030</v>
      </c>
      <c r="M83" s="86">
        <v>2031</v>
      </c>
      <c r="N83" s="86">
        <v>2032</v>
      </c>
      <c r="O83" s="86">
        <v>2033</v>
      </c>
      <c r="P83" s="86">
        <v>2034</v>
      </c>
      <c r="Q83" s="86">
        <v>2035</v>
      </c>
      <c r="R83" s="86">
        <v>2036</v>
      </c>
      <c r="S83" s="86">
        <v>2037</v>
      </c>
      <c r="T83" s="86">
        <v>2038</v>
      </c>
      <c r="U83" s="86">
        <v>2039</v>
      </c>
      <c r="V83" s="86">
        <v>2040</v>
      </c>
      <c r="W83" s="86">
        <v>2041</v>
      </c>
    </row>
    <row r="84" spans="2:23" x14ac:dyDescent="0.2">
      <c r="B84" s="106" t="s">
        <v>104</v>
      </c>
      <c r="C84" s="110">
        <f>C57</f>
        <v>72.584819999999993</v>
      </c>
      <c r="D84" s="110">
        <f>D57</f>
        <v>73.511610584961744</v>
      </c>
      <c r="E84" s="110">
        <f>E57</f>
        <v>75.830716179102311</v>
      </c>
      <c r="F84" s="110">
        <f>F57</f>
        <v>80.487451866503704</v>
      </c>
      <c r="G84" s="110">
        <f>G57</f>
        <v>82.275441313739492</v>
      </c>
      <c r="H84" s="110">
        <f>G84*(1+H98/100)*H43-H60-H61+H62+H63+H64+H65+H66+H72</f>
        <v>82.541625659639379</v>
      </c>
      <c r="I84" s="110">
        <f t="shared" ref="I84:T84" si="20">H84*(1+I98/100)*I43-I60-I61+I62+I63+I64+I65+I66+I72</f>
        <v>81.323119123411445</v>
      </c>
      <c r="J84" s="110">
        <f t="shared" si="20"/>
        <v>78.420156567126597</v>
      </c>
      <c r="K84" s="110">
        <f t="shared" si="20"/>
        <v>73.904721542930275</v>
      </c>
      <c r="L84" s="110">
        <f t="shared" si="20"/>
        <v>67.775534644448115</v>
      </c>
      <c r="M84" s="110">
        <f t="shared" si="20"/>
        <v>60.022650647055443</v>
      </c>
      <c r="N84" s="110">
        <f t="shared" si="20"/>
        <v>51.205844817537852</v>
      </c>
      <c r="O84" s="110">
        <f t="shared" si="20"/>
        <v>41.681660119539281</v>
      </c>
      <c r="P84" s="110">
        <f t="shared" si="20"/>
        <v>31.433653719449779</v>
      </c>
      <c r="Q84" s="110">
        <f t="shared" si="20"/>
        <v>21.513280513782686</v>
      </c>
      <c r="R84" s="110">
        <f t="shared" si="20"/>
        <v>11.465867422921276</v>
      </c>
      <c r="S84" s="110">
        <f t="shared" si="20"/>
        <v>1.3237488235508068</v>
      </c>
      <c r="T84" s="110">
        <f t="shared" si="20"/>
        <v>-8.9180112856118345</v>
      </c>
      <c r="U84" s="110">
        <f>T84*(1+U98/100)*U43-U60-U61+U62+U63+U64+U65+U66+U72</f>
        <v>-19.42809555204629</v>
      </c>
      <c r="V84" s="110">
        <f>U84*(1+V98/100)*V43-V60-V61+V62+V63+V64+V65+V66+V72</f>
        <v>-30.233783246747546</v>
      </c>
      <c r="W84" s="110">
        <f>V84*(1+W98/100)*W43-W60-W61+W62+W63+W64+W65+W66+W72</f>
        <v>-41.351388807972022</v>
      </c>
    </row>
    <row r="85" spans="2:23" x14ac:dyDescent="0.2">
      <c r="B85" s="26" t="s">
        <v>127</v>
      </c>
      <c r="C85" s="34"/>
      <c r="D85" s="253">
        <f>'Input data'!C66*$D$84</f>
        <v>59.051128502792025</v>
      </c>
      <c r="E85" s="34">
        <f>IF(E84=0,0,IF(E80=1,D84*E43/((1+E23/100)*(1+E42/100))-E86-E87,IF(AND(E80=0,E81=1),(1-D90-E39*D91)*D84*E43/((1+E23/100)*(1+E42/100)),E84)))</f>
        <v>61.391972720723572</v>
      </c>
      <c r="F85" s="34">
        <f>IF(F84=0,0,IF(F80=1,E84*F43/((1+F23/100)*(1+F42/100))-F86-F87,IF(AND(F80=0,F81=1),(1-E90-F39*E91)*E84*F43/((1+F23/100)*(1+F42/100)),F84)))</f>
        <v>65.006446801647428</v>
      </c>
      <c r="G85" s="34">
        <f>IF(G84=0,0,IF(G80=1,F84*G43/((1+G23/100)*(1+G42/100))-G86-G87,IF(AND(G80=0,G81=1),(1-F90-G39*F91)*F84*G43/((1+G23/100)*(1+G42/100)),G84)))</f>
        <v>68.382981616343159</v>
      </c>
      <c r="H85" s="34">
        <f t="shared" ref="H85:W85" si="21">IF(H84=0,0,IF(H80=1,G84*H43/((1+H23/100)*(1+H42/100))-H86-H87,IF(AND(H80=0,H81=1),(1-G90-H39*G91)*G84*H43/((1+H23/100)*(1+H42/100)),H84)))</f>
        <v>69.735193108758992</v>
      </c>
      <c r="I85" s="34">
        <f t="shared" si="21"/>
        <v>69.885119239163359</v>
      </c>
      <c r="J85" s="34">
        <f t="shared" si="21"/>
        <v>68.700547662749415</v>
      </c>
      <c r="K85" s="34">
        <f t="shared" si="21"/>
        <v>66.586293787974355</v>
      </c>
      <c r="L85" s="34">
        <f t="shared" si="21"/>
        <v>64.098972126792574</v>
      </c>
      <c r="M85" s="34">
        <f t="shared" si="21"/>
        <v>60.022650647055443</v>
      </c>
      <c r="N85" s="34">
        <f t="shared" si="21"/>
        <v>51.205844817537852</v>
      </c>
      <c r="O85" s="34">
        <f t="shared" si="21"/>
        <v>41.681660119539281</v>
      </c>
      <c r="P85" s="34">
        <f t="shared" si="21"/>
        <v>31.433653719449779</v>
      </c>
      <c r="Q85" s="34">
        <f t="shared" si="21"/>
        <v>21.513280513782686</v>
      </c>
      <c r="R85" s="34">
        <f t="shared" si="21"/>
        <v>11.465867422921276</v>
      </c>
      <c r="S85" s="34">
        <f t="shared" si="21"/>
        <v>1.3237488235508068</v>
      </c>
      <c r="T85" s="34">
        <f t="shared" si="21"/>
        <v>-8.9180112856118345</v>
      </c>
      <c r="U85" s="34">
        <f t="shared" si="21"/>
        <v>-19.42809555204629</v>
      </c>
      <c r="V85" s="34">
        <f t="shared" si="21"/>
        <v>-30.233783246747546</v>
      </c>
      <c r="W85" s="34">
        <f t="shared" si="21"/>
        <v>-41.351388807972022</v>
      </c>
    </row>
    <row r="86" spans="2:23" x14ac:dyDescent="0.2">
      <c r="B86" s="105" t="s">
        <v>128</v>
      </c>
      <c r="C86" s="34"/>
      <c r="D86" s="253">
        <f>'Input data'!C67*$D$84</f>
        <v>2.5660693694891989</v>
      </c>
      <c r="E86" s="34">
        <f>IF(E84=0,0,IF(E80=1,E39*D84*D91*E43/((1+E23/100)*(1+E42/100)),IF(AND(E80=0,E81=1),(E39*D84*D91*E43/((1+E23/100)*(1+E42/100)))*(1-ABS(E84-D84*E43/((1+E23/100)*(1+E42/100)))/((E39*D84*D91*E43/((1+E23/100)*(1+E42/100)))+(D90*D84*E43/((1+E23/100)*(1+E42/100))))),0)))</f>
        <v>2.5200411188940466</v>
      </c>
      <c r="F86" s="34">
        <f>IF(F84=0,0,IF(F80=1,F39*E84*E91*F43/((1+F23/100)*(1+F42/100)),IF(AND(F80=0,F81=1),(F39*E84*E91*F43/((1+F23/100)*(1+F42/100)))*(1-ABS(F84-E84*F43/((1+F23/100)*(1+F42/100)))/((F39*E84*E91*F43/((1+F23/100)*(1+F42/100)))+(E90*E84*F43/((1+F23/100)*(1+F42/100))))),0)))</f>
        <v>2.1334078217749264</v>
      </c>
      <c r="G86" s="34">
        <f>IF(G84=0,0,IF(G80=1,G39*F84*F91*G43/((1+G23/100)*(1+G42/100)),IF(AND(G80=0,G81=1),(G39*F84*F91*G43/((1+G23/100)*(1+G42/100)))*(1-ABS(G84-F84*G43/((1+G23/100)*(1+G42/100)))/((G39*F84*F91*G43/((1+G23/100)*(1+G42/100)))+(F90*F84*G43/((1+G23/100)*(1+G42/100))))),0)))</f>
        <v>2.2934829216067052</v>
      </c>
      <c r="H86" s="34">
        <f t="shared" ref="H86:W86" si="22">IF(H84=0,0,IF(H80=1,H39*G84*G91*H43/((1+H23/100)*(1+H42/100)),IF(AND(H80=0,H81=1),(H39*G84*G91*H43/((1+H23/100)*(1+H42/100)))*(1-ABS(H84-G84*H43/((1+H23/100)*(1+H42/100)))/((H39*G84*G91*H43/((1+H23/100)*(1+H42/100)))+(G90*G84*H43/((1+H23/100)*(1+H42/100))))),0)))</f>
        <v>2.3891413377758939</v>
      </c>
      <c r="I86" s="34">
        <f t="shared" si="22"/>
        <v>2.4447632899629319</v>
      </c>
      <c r="J86" s="34">
        <f t="shared" si="22"/>
        <v>2.3017118017268121</v>
      </c>
      <c r="K86" s="34">
        <f t="shared" si="22"/>
        <v>1.8423917704118142</v>
      </c>
      <c r="L86" s="34">
        <f t="shared" si="22"/>
        <v>1.1369167452885713</v>
      </c>
      <c r="M86" s="34">
        <f t="shared" si="22"/>
        <v>0</v>
      </c>
      <c r="N86" s="34">
        <f t="shared" si="22"/>
        <v>0</v>
      </c>
      <c r="O86" s="34">
        <f t="shared" si="22"/>
        <v>0</v>
      </c>
      <c r="P86" s="34">
        <f t="shared" si="22"/>
        <v>0</v>
      </c>
      <c r="Q86" s="34">
        <f t="shared" si="22"/>
        <v>0</v>
      </c>
      <c r="R86" s="34">
        <f t="shared" si="22"/>
        <v>0</v>
      </c>
      <c r="S86" s="34">
        <f t="shared" si="22"/>
        <v>0</v>
      </c>
      <c r="T86" s="34">
        <f t="shared" si="22"/>
        <v>0</v>
      </c>
      <c r="U86" s="34">
        <f t="shared" si="22"/>
        <v>0</v>
      </c>
      <c r="V86" s="34">
        <f t="shared" si="22"/>
        <v>0</v>
      </c>
      <c r="W86" s="34">
        <f t="shared" si="22"/>
        <v>0</v>
      </c>
    </row>
    <row r="87" spans="2:23" x14ac:dyDescent="0.2">
      <c r="B87" s="105" t="s">
        <v>129</v>
      </c>
      <c r="C87" s="34"/>
      <c r="D87" s="253">
        <f>'Input data'!C68*$D$84</f>
        <v>6.679115961728173</v>
      </c>
      <c r="E87" s="34">
        <f>IF(E84=0,0,IF(E80=1,(1-D91)*D84*E43/((1+E23/100)*(1+E42/100)),IF(AND(E80=0,E81=1),(D90*D84*E43/((1+E23/100)*(1+E42/100)))*(1-ABS(E84-D84*E43/((1+E23/100)*(1+E42/100)))/((E39*D84*D91*E43/((1+E23/100)*(1+E42/100)))+(D90*D84*E43/((1+E23/100)*(1+E42/100))))),0)))</f>
        <v>6.9278671872792303</v>
      </c>
      <c r="F87" s="34">
        <f>IF(F84=0,0,IF(F80=1,(1-E91)*E84*F43/((1+F23/100)*(1+F42/100)),IF(AND(F80=0,F81=1),(E90*E84*F43/((1+F23/100)*(1+F42/100)))*(1-ABS(F84-E84*F43/((1+F23/100)*(1+F42/100)))/((F39*E84*E91*F43/((1+F23/100)*(1+F42/100)))+(E90*E84*F43/((1+F23/100)*(1+F42/100))))),0)))</f>
        <v>7.3347852861568796</v>
      </c>
      <c r="G87" s="34">
        <f>IF(G84=0,0,IF(G80=1,(1-F91)*F84*G43/((1+G23/100)*(1+G42/100)),IF(AND(G80=0,G81=1),(F90*F84*G43/((1+G23/100)*(1+G42/100)))*(1-ABS(G84-F84*G43/((1+G23/100)*(1+G42/100)))/((G39*F84*F91*G43/((1+G23/100)*(1+G42/100)))+(F90*F84*G43/((1+G23/100)*(1+G42/100))))),0)))</f>
        <v>7.7849055142059811</v>
      </c>
      <c r="H87" s="34">
        <f t="shared" ref="H87:W87" si="23">IF(H84=0,0,IF(H80=1,(1-G91)*G84*H43/((1+H23/100)*(1+H42/100)),IF(AND(H80=0,H81=1),(G90*G84*H43/((1+H23/100)*(1+H42/100)))*(1-ABS(H84-G84*H43/((1+H23/100)*(1+H42/100)))/((H39*G84*G91*H43/((1+H23/100)*(1+H42/100)))+(G90*G84*H43/((1+H23/100)*(1+H42/100))))),0)))</f>
        <v>7.9817929393241913</v>
      </c>
      <c r="I87" s="34">
        <f t="shared" si="23"/>
        <v>8.027327704338278</v>
      </c>
      <c r="J87" s="34">
        <f t="shared" si="23"/>
        <v>7.4178971026503655</v>
      </c>
      <c r="K87" s="34">
        <f t="shared" si="23"/>
        <v>5.4760359845441107</v>
      </c>
      <c r="L87" s="34">
        <f t="shared" si="23"/>
        <v>2.5396457723669585</v>
      </c>
      <c r="M87" s="34">
        <f t="shared" si="23"/>
        <v>0</v>
      </c>
      <c r="N87" s="34">
        <f t="shared" si="23"/>
        <v>0</v>
      </c>
      <c r="O87" s="34">
        <f t="shared" si="23"/>
        <v>0</v>
      </c>
      <c r="P87" s="34">
        <f t="shared" si="23"/>
        <v>0</v>
      </c>
      <c r="Q87" s="34">
        <f t="shared" si="23"/>
        <v>0</v>
      </c>
      <c r="R87" s="34">
        <f t="shared" si="23"/>
        <v>0</v>
      </c>
      <c r="S87" s="34">
        <f t="shared" si="23"/>
        <v>0</v>
      </c>
      <c r="T87" s="34">
        <f t="shared" si="23"/>
        <v>0</v>
      </c>
      <c r="U87" s="34">
        <f t="shared" si="23"/>
        <v>0</v>
      </c>
      <c r="V87" s="34">
        <f t="shared" si="23"/>
        <v>0</v>
      </c>
      <c r="W87" s="34">
        <f t="shared" si="23"/>
        <v>0</v>
      </c>
    </row>
    <row r="88" spans="2:23" x14ac:dyDescent="0.2">
      <c r="B88" s="105" t="s">
        <v>130</v>
      </c>
      <c r="C88" s="34"/>
      <c r="D88" s="253">
        <f>'Input data'!C69*$D$84</f>
        <v>4.7052606775120811</v>
      </c>
      <c r="E88" s="34">
        <f>IF(E84=0,0,IF(E80=1,'Input data'!$C$58*(E84-D84*E43/((1+E23/100)*(1+E42/100))),0))</f>
        <v>4.4503611438171307</v>
      </c>
      <c r="F88" s="34">
        <f>IF(F84=0,0,IF(F80=1,'Input data'!$C$58*(F84-E84*F43/((1+F23/100)*(1+F42/100))),0))</f>
        <v>5.3616647078296698</v>
      </c>
      <c r="G88" s="34">
        <f>IF(G84=0,0,IF(G80=1,'Input data'!$C$58*(G84-F84*G43/((1+G23/100)*(1+G42/100))),0))</f>
        <v>3.4010328982315796</v>
      </c>
      <c r="H88" s="34">
        <f>IF(H84=0,0,IF(H80=1,'Input data'!$C$58*(H84-G84*H43/((1+H23/100)*(1+H42/100))),0))</f>
        <v>2.1717501285683252</v>
      </c>
      <c r="I88" s="34">
        <f>IF(I84=0,0,IF(I80=1,'Input data'!$C$58*(I84-H84*I43/((1+I23/100)*(1+I42/100))),0))</f>
        <v>0.86130742875519029</v>
      </c>
      <c r="J88" s="34">
        <f>IF(J84=0,0,IF(J80=1,'Input data'!$C$58*(J84-I84*J43/((1+J23/100)*(1+J42/100))),0))</f>
        <v>0</v>
      </c>
      <c r="K88" s="34">
        <f>IF(K84=0,0,IF(K80=1,'Input data'!$C$58*(K84-J84*K43/((1+K23/100)*(1+K42/100))),0))</f>
        <v>0</v>
      </c>
      <c r="L88" s="34">
        <f>IF(L84=0,0,IF(L80=1,'Input data'!$C$58*(L84-K84*L43/((1+L23/100)*(1+L42/100))),0))</f>
        <v>0</v>
      </c>
      <c r="M88" s="34">
        <f>IF(M84=0,0,IF(M80=1,'Input data'!$C$58*(M84-L84*M43/((1+M23/100)*(1+M42/100))),0))</f>
        <v>0</v>
      </c>
      <c r="N88" s="34">
        <f>IF(N84=0,0,IF(N80=1,'Input data'!$C$58*(N84-M84*N43/((1+N23/100)*(1+N42/100))),0))</f>
        <v>0</v>
      </c>
      <c r="O88" s="34">
        <f>IF(O84=0,0,IF(O80=1,'Input data'!$C$58*(O84-N84*O43/((1+O23/100)*(1+O42/100))),0))</f>
        <v>0</v>
      </c>
      <c r="P88" s="34">
        <f>IF(P84=0,0,IF(P80=1,'Input data'!$C$58*(P84-O84*P43/((1+P23/100)*(1+P42/100))),0))</f>
        <v>0</v>
      </c>
      <c r="Q88" s="34">
        <f>IF(Q84=0,0,IF(Q80=1,'Input data'!$C$58*(Q84-P84*Q43/((1+Q23/100)*(1+Q42/100))),0))</f>
        <v>0</v>
      </c>
      <c r="R88" s="34">
        <f>IF(R84=0,0,IF(R80=1,'Input data'!$C$58*(R84-Q84*R43/((1+R23/100)*(1+R42/100))),0))</f>
        <v>0</v>
      </c>
      <c r="S88" s="34">
        <f>IF(S84=0,0,IF(S80=1,'Input data'!$C$58*(S84-R84*S43/((1+S23/100)*(1+S42/100))),0))</f>
        <v>0</v>
      </c>
      <c r="T88" s="34">
        <f>IF(T84=0,0,IF(T80=1,'Input data'!$C$58*(T84-S84*T43/((1+T23/100)*(1+T42/100))),0))</f>
        <v>0</v>
      </c>
      <c r="U88" s="34">
        <f>IF(U84=0,0,IF(U80=1,'Input data'!$C$58*(U84-T84*U43/((1+U23/100)*(1+U42/100))),0))</f>
        <v>0</v>
      </c>
      <c r="V88" s="34">
        <f>IF(V84=0,0,IF(V80=1,'Input data'!$C$58*(V84-U84*V43/((1+V23/100)*(1+V42/100))),0))</f>
        <v>0</v>
      </c>
      <c r="W88" s="34">
        <f>IF(W84=0,0,IF(W80=1,'Input data'!$C$58*(W84-V84*W43/((1+W23/100)*(1+W42/100))),0))</f>
        <v>0</v>
      </c>
    </row>
    <row r="89" spans="2:23" x14ac:dyDescent="0.2">
      <c r="B89" s="107" t="s">
        <v>131</v>
      </c>
      <c r="C89" s="49"/>
      <c r="D89" s="254">
        <f>'Input data'!C70*$D$84</f>
        <v>0.51003587344023849</v>
      </c>
      <c r="E89" s="49">
        <f>IF(E84=0,0,IF(E80=1,'Input data'!$C$57*(E84-D84*E43/((1+E23/100)*(1+E42/100))),0))</f>
        <v>0.54047400838833182</v>
      </c>
      <c r="F89" s="49">
        <f>IF(F84=0,0,IF(F80=1,'Input data'!$C$57*(F84-E84*F43/((1+F23/100)*(1+F42/100))),0))</f>
        <v>0.65114724909480981</v>
      </c>
      <c r="G89" s="49">
        <f>IF(G84=0,0,IF(G80=1,'Input data'!$C$57*(G84-F84*G43/((1+G23/100)*(1+G42/100))),0))</f>
        <v>0.41303836335205502</v>
      </c>
      <c r="H89" s="49">
        <f>IF(H84=0,0,IF(H80=1,'Input data'!$C$57*(H84-G84*H43/((1+H23/100)*(1+H42/100))),0))</f>
        <v>0.26374814521197182</v>
      </c>
      <c r="I89" s="49">
        <f>IF(I84=0,0,IF(I80=1,'Input data'!$C$57*(I84-H84*I43/((1+I23/100)*(1+I42/100))),0))</f>
        <v>0.10460146119168383</v>
      </c>
      <c r="J89" s="49">
        <f>IF(J84=0,0,IF(J80=1,'Input data'!$C$57*(J84-I84*J43/((1+J23/100)*(1+J42/100))),0))</f>
        <v>0</v>
      </c>
      <c r="K89" s="49">
        <f>IF(K84=0,0,IF(K80=1,'Input data'!$C$57*(K84-J84*K43/((1+K23/100)*(1+K42/100))),0))</f>
        <v>0</v>
      </c>
      <c r="L89" s="49">
        <f>IF(L84=0,0,IF(L80=1,'Input data'!$C$57*(L84-K84*L43/((1+L23/100)*(1+L42/100))),0))</f>
        <v>0</v>
      </c>
      <c r="M89" s="49">
        <f>IF(M84=0,0,IF(M80=1,'Input data'!$C$57*(M84-L84*M43/((1+M23/100)*(1+M42/100))),0))</f>
        <v>0</v>
      </c>
      <c r="N89" s="49">
        <f>IF(N84=0,0,IF(N80=1,'Input data'!$C$57*(N84-M84*N43/((1+N23/100)*(1+N42/100))),0))</f>
        <v>0</v>
      </c>
      <c r="O89" s="49">
        <f>IF(O84=0,0,IF(O80=1,'Input data'!$C$57*(O84-N84*O43/((1+O23/100)*(1+O42/100))),0))</f>
        <v>0</v>
      </c>
      <c r="P89" s="49">
        <f>IF(P84=0,0,IF(P80=1,'Input data'!$C$57*(P84-O84*P43/((1+P23/100)*(1+P42/100))),0))</f>
        <v>0</v>
      </c>
      <c r="Q89" s="49">
        <f>IF(Q84=0,0,IF(Q80=1,'Input data'!$C$57*(Q84-P84*Q43/((1+Q23/100)*(1+Q42/100))),0))</f>
        <v>0</v>
      </c>
      <c r="R89" s="49">
        <f>IF(R84=0,0,IF(R80=1,'Input data'!$C$57*(R84-Q84*R43/((1+R23/100)*(1+R42/100))),0))</f>
        <v>0</v>
      </c>
      <c r="S89" s="49">
        <f>IF(S84=0,0,IF(S80=1,'Input data'!$C$57*(S84-R84*S43/((1+S23/100)*(1+S42/100))),0))</f>
        <v>0</v>
      </c>
      <c r="T89" s="49">
        <f>IF(T84=0,0,IF(T80=1,'Input data'!$C$57*(T84-S84*T43/((1+T23/100)*(1+T42/100))),0))</f>
        <v>0</v>
      </c>
      <c r="U89" s="49">
        <f>IF(U84=0,0,IF(U80=1,'Input data'!$C$57*(U84-T84*U43/((1+U23/100)*(1+U42/100))),0))</f>
        <v>0</v>
      </c>
      <c r="V89" s="49">
        <f>IF(V84=0,0,IF(V80=1,'Input data'!$C$57*(V84-U84*V43/((1+V23/100)*(1+V42/100))),0))</f>
        <v>0</v>
      </c>
      <c r="W89" s="49">
        <f>IF(W84=0,0,IF(W80=1,'Input data'!$C$57*(W84-V84*W43/((1+W23/100)*(1+W42/100))),0))</f>
        <v>0</v>
      </c>
    </row>
    <row r="90" spans="2:23" x14ac:dyDescent="0.2">
      <c r="B90" s="26" t="s">
        <v>73</v>
      </c>
      <c r="C90" s="34"/>
      <c r="D90" s="259">
        <f>'Baseline NFPC'!$D$93</f>
        <v>9.7796143737858943E-2</v>
      </c>
      <c r="E90" s="34">
        <f>IF(E84&lt;&gt;0,(E87+E89)/(E85+E86+E87+E88+E89),0)</f>
        <v>9.8487019139161358E-2</v>
      </c>
      <c r="F90" s="34">
        <f>IF(F84&lt;&gt;0,(F87+F89)/(F85+F86+F87+F88+F89),0)</f>
        <v>9.9219596968942905E-2</v>
      </c>
      <c r="G90" s="34">
        <f>IF(G84&lt;&gt;0,(G87+G89)/(G85+G86+G87+G88+G89),0)</f>
        <v>9.9640229777643627E-2</v>
      </c>
      <c r="H90" s="34">
        <f t="shared" ref="H90:W90" si="24">IF(H84&lt;&gt;0,(H87+H89)/(H85+H86+H87+H88+H89),0)</f>
        <v>9.9895549895475444E-2</v>
      </c>
      <c r="I90" s="34">
        <f t="shared" si="24"/>
        <v>9.9995293505520846E-2</v>
      </c>
      <c r="J90" s="34">
        <f t="shared" si="24"/>
        <v>9.4591715030570567E-2</v>
      </c>
      <c r="K90" s="34">
        <f t="shared" si="24"/>
        <v>7.4095888195223822E-2</v>
      </c>
      <c r="L90" s="34">
        <f t="shared" si="24"/>
        <v>3.7471423658846724E-2</v>
      </c>
      <c r="M90" s="34">
        <f t="shared" si="24"/>
        <v>0</v>
      </c>
      <c r="N90" s="34">
        <f t="shared" si="24"/>
        <v>0</v>
      </c>
      <c r="O90" s="34">
        <f t="shared" si="24"/>
        <v>0</v>
      </c>
      <c r="P90" s="34">
        <f t="shared" si="24"/>
        <v>0</v>
      </c>
      <c r="Q90" s="34">
        <f t="shared" si="24"/>
        <v>0</v>
      </c>
      <c r="R90" s="34">
        <f t="shared" si="24"/>
        <v>0</v>
      </c>
      <c r="S90" s="34">
        <f t="shared" si="24"/>
        <v>0</v>
      </c>
      <c r="T90" s="34">
        <f t="shared" si="24"/>
        <v>0</v>
      </c>
      <c r="U90" s="34">
        <f t="shared" si="24"/>
        <v>0</v>
      </c>
      <c r="V90" s="34">
        <f t="shared" si="24"/>
        <v>0</v>
      </c>
      <c r="W90" s="34">
        <f t="shared" si="24"/>
        <v>0</v>
      </c>
    </row>
    <row r="91" spans="2:23" x14ac:dyDescent="0.2">
      <c r="B91" s="35" t="s">
        <v>74</v>
      </c>
      <c r="C91" s="49"/>
      <c r="D91" s="260">
        <f>'Baseline NFPC'!$D$94</f>
        <v>0.90220385626214106</v>
      </c>
      <c r="E91" s="49">
        <f>IF(E84&lt;&gt;0,(E85+E86+E88)/(E85+E86+E87+E88+E89),1)</f>
        <v>0.90151298086083864</v>
      </c>
      <c r="F91" s="49">
        <f>IF(F84&lt;&gt;0,(F85+F86+F88)/(F85+F86+F87+F88+F89),1)</f>
        <v>0.90078040303105722</v>
      </c>
      <c r="G91" s="49">
        <f>IF(G84&lt;&gt;0,(G85+G86+G88)/(G85+G86+G87+G88+G89),1)</f>
        <v>0.90035977022235636</v>
      </c>
      <c r="H91" s="49">
        <f t="shared" ref="H91:W91" si="25">IF(H84&lt;&gt;0,(H85+H86+H88)/(H85+H86+H87+H88+H89),1)</f>
        <v>0.90010445010452445</v>
      </c>
      <c r="I91" s="49">
        <f t="shared" si="25"/>
        <v>0.90000470649447928</v>
      </c>
      <c r="J91" s="49">
        <f t="shared" si="25"/>
        <v>0.90540828496942938</v>
      </c>
      <c r="K91" s="49">
        <f t="shared" si="25"/>
        <v>0.92590411180477616</v>
      </c>
      <c r="L91" s="49">
        <f t="shared" si="25"/>
        <v>0.96252857634115341</v>
      </c>
      <c r="M91" s="49">
        <f t="shared" si="25"/>
        <v>1</v>
      </c>
      <c r="N91" s="49">
        <f t="shared" si="25"/>
        <v>1</v>
      </c>
      <c r="O91" s="49">
        <f t="shared" si="25"/>
        <v>1</v>
      </c>
      <c r="P91" s="49">
        <f t="shared" si="25"/>
        <v>1</v>
      </c>
      <c r="Q91" s="49">
        <f t="shared" si="25"/>
        <v>1</v>
      </c>
      <c r="R91" s="49">
        <f t="shared" si="25"/>
        <v>1</v>
      </c>
      <c r="S91" s="49">
        <f t="shared" si="25"/>
        <v>1</v>
      </c>
      <c r="T91" s="49">
        <f t="shared" si="25"/>
        <v>1</v>
      </c>
      <c r="U91" s="49">
        <f t="shared" si="25"/>
        <v>1</v>
      </c>
      <c r="V91" s="49">
        <f t="shared" si="25"/>
        <v>1</v>
      </c>
      <c r="W91" s="49">
        <f t="shared" si="25"/>
        <v>1</v>
      </c>
    </row>
    <row r="92" spans="2:23" x14ac:dyDescent="0.2">
      <c r="C92" s="38"/>
      <c r="D92" s="38"/>
      <c r="E92" s="38"/>
      <c r="F92" s="38"/>
      <c r="G92" s="38"/>
      <c r="H92" s="38"/>
      <c r="I92" s="38"/>
      <c r="J92" s="38"/>
      <c r="K92" s="38"/>
      <c r="L92" s="38"/>
      <c r="M92" s="38"/>
      <c r="N92" s="38"/>
      <c r="O92" s="38"/>
      <c r="P92" s="38"/>
      <c r="Q92" s="38"/>
      <c r="R92" s="38"/>
      <c r="S92" s="38"/>
      <c r="T92" s="38"/>
      <c r="U92" s="38"/>
      <c r="V92" s="38"/>
      <c r="W92" s="38"/>
    </row>
    <row r="93" spans="2:23" x14ac:dyDescent="0.2">
      <c r="B93" s="113" t="s">
        <v>132</v>
      </c>
      <c r="C93" s="115">
        <f>C105</f>
        <v>0.73297137022018433</v>
      </c>
      <c r="D93" s="115">
        <f>D105</f>
        <v>0.83926922082901001</v>
      </c>
      <c r="E93" s="115">
        <f>E95+E96</f>
        <v>1.5804370000000001</v>
      </c>
      <c r="F93" s="115">
        <f>F95+F96</f>
        <v>1.6625099999999999</v>
      </c>
      <c r="G93" s="115">
        <f>G95+G96</f>
        <v>1.8895660000000001</v>
      </c>
      <c r="H93" s="115">
        <f t="shared" ref="H93:W93" si="26">H95+H96</f>
        <v>1.9756481083374133</v>
      </c>
      <c r="I93" s="115">
        <f t="shared" si="26"/>
        <v>2.0402071271644862</v>
      </c>
      <c r="J93" s="115">
        <f t="shared" si="26"/>
        <v>2.0854652071440771</v>
      </c>
      <c r="K93" s="115">
        <f t="shared" si="26"/>
        <v>2.1129298775510885</v>
      </c>
      <c r="L93" s="115">
        <f t="shared" si="26"/>
        <v>2.1247564401990524</v>
      </c>
      <c r="M93" s="115">
        <f t="shared" si="26"/>
        <v>2.1177128995136347</v>
      </c>
      <c r="N93" s="115">
        <f t="shared" si="26"/>
        <v>2.0931499581848727</v>
      </c>
      <c r="O93" s="115">
        <f t="shared" si="26"/>
        <v>2.0931499581848727</v>
      </c>
      <c r="P93" s="115">
        <f t="shared" si="26"/>
        <v>2.0931499581848727</v>
      </c>
      <c r="Q93" s="115">
        <f t="shared" si="26"/>
        <v>2.0931499581848727</v>
      </c>
      <c r="R93" s="115">
        <f t="shared" si="26"/>
        <v>2.0931499581848727</v>
      </c>
      <c r="S93" s="115">
        <f t="shared" si="26"/>
        <v>2.0931499581848727</v>
      </c>
      <c r="T93" s="115">
        <f t="shared" si="26"/>
        <v>2.0931499581848727</v>
      </c>
      <c r="U93" s="115">
        <f t="shared" si="26"/>
        <v>3.9619660000000008</v>
      </c>
      <c r="V93" s="115">
        <f t="shared" si="26"/>
        <v>4.0003969999999995</v>
      </c>
      <c r="W93" s="115">
        <f t="shared" si="26"/>
        <v>4.0388280000000005</v>
      </c>
    </row>
    <row r="94" spans="2:23" x14ac:dyDescent="0.2">
      <c r="B94" s="33" t="s">
        <v>133</v>
      </c>
      <c r="C94" s="34"/>
      <c r="D94" s="34"/>
      <c r="E94" s="265">
        <f>((E36*D84)-(E38*(D87+D89)))/(D85+D86+D88)</f>
        <v>1.3799500275570342</v>
      </c>
      <c r="F94" s="265">
        <f>((F36*E84)-(F38*(E87+E89)))/(E85+E86+E88)</f>
        <v>1.4547563998864859</v>
      </c>
      <c r="G94" s="265">
        <f>((G36*F84)-(G38*(F87+F89)))/(F85+F86+F88)</f>
        <v>1.787479392500815</v>
      </c>
      <c r="H94" s="34">
        <f t="shared" ref="H94:W94" si="27">IF(G84&gt;0,(G94*G85+H37*(G88+G86))/(G85+G86+G88),H37)</f>
        <v>1.8838562256582159</v>
      </c>
      <c r="I94" s="34">
        <f t="shared" si="27"/>
        <v>1.95657133464198</v>
      </c>
      <c r="J94" s="34">
        <f t="shared" si="27"/>
        <v>2.0080189331336085</v>
      </c>
      <c r="K94" s="34">
        <f t="shared" si="27"/>
        <v>2.0441543040332615</v>
      </c>
      <c r="L94" s="34">
        <f t="shared" si="27"/>
        <v>2.0739250432545595</v>
      </c>
      <c r="M94" s="34">
        <f t="shared" si="27"/>
        <v>2.0931499581848727</v>
      </c>
      <c r="N94" s="34">
        <f t="shared" si="27"/>
        <v>2.0931499581848727</v>
      </c>
      <c r="O94" s="34">
        <f t="shared" si="27"/>
        <v>2.0931499581848727</v>
      </c>
      <c r="P94" s="34">
        <f t="shared" si="27"/>
        <v>2.0931499581848727</v>
      </c>
      <c r="Q94" s="34">
        <f t="shared" si="27"/>
        <v>2.0931499581848727</v>
      </c>
      <c r="R94" s="34">
        <f t="shared" si="27"/>
        <v>2.0931499581848727</v>
      </c>
      <c r="S94" s="34">
        <f t="shared" si="27"/>
        <v>2.0931499581848727</v>
      </c>
      <c r="T94" s="34">
        <f t="shared" si="27"/>
        <v>2.0931499581848727</v>
      </c>
      <c r="U94" s="34">
        <f t="shared" si="27"/>
        <v>3.9619660000000003</v>
      </c>
      <c r="V94" s="34">
        <f t="shared" si="27"/>
        <v>4.0003969999999995</v>
      </c>
      <c r="W94" s="34">
        <f t="shared" si="27"/>
        <v>4.0388280000000005</v>
      </c>
    </row>
    <row r="95" spans="2:23" x14ac:dyDescent="0.2">
      <c r="B95" s="26" t="s">
        <v>134</v>
      </c>
      <c r="C95" s="34"/>
      <c r="D95" s="34"/>
      <c r="E95" s="34">
        <f>(E94*(D85+D86+D88)+E38*(D87+D89))/D84</f>
        <v>1.5804370000000001</v>
      </c>
      <c r="F95" s="34">
        <f>(F94*(E85+E86+E88)+F38*(E87+E89))/E84</f>
        <v>1.6625099999999999</v>
      </c>
      <c r="G95" s="34">
        <f>(G94*(F85+F86+F88)+G38*(F87+F89))/F84</f>
        <v>1.8895660000000001</v>
      </c>
      <c r="H95" s="34">
        <f t="shared" ref="H95:W95" si="28">(H94*(G85+G86+G88)+H38*(G87+G89))/G84</f>
        <v>1.9756481083374133</v>
      </c>
      <c r="I95" s="34">
        <f t="shared" si="28"/>
        <v>2.0402071271644862</v>
      </c>
      <c r="J95" s="34">
        <f t="shared" si="28"/>
        <v>2.0854652071440771</v>
      </c>
      <c r="K95" s="34">
        <f t="shared" si="28"/>
        <v>2.1129298775510885</v>
      </c>
      <c r="L95" s="34">
        <f t="shared" si="28"/>
        <v>2.1247564401990524</v>
      </c>
      <c r="M95" s="34">
        <f t="shared" si="28"/>
        <v>2.1177128995136347</v>
      </c>
      <c r="N95" s="34">
        <f t="shared" si="28"/>
        <v>2.0931499581848727</v>
      </c>
      <c r="O95" s="34">
        <f t="shared" si="28"/>
        <v>2.0931499581848727</v>
      </c>
      <c r="P95" s="34">
        <f t="shared" si="28"/>
        <v>2.0931499581848727</v>
      </c>
      <c r="Q95" s="34">
        <f t="shared" si="28"/>
        <v>2.0931499581848727</v>
      </c>
      <c r="R95" s="34">
        <f t="shared" si="28"/>
        <v>2.0931499581848727</v>
      </c>
      <c r="S95" s="34">
        <f t="shared" si="28"/>
        <v>2.0931499581848727</v>
      </c>
      <c r="T95" s="34">
        <f t="shared" si="28"/>
        <v>2.0931499581848727</v>
      </c>
      <c r="U95" s="34">
        <f t="shared" si="28"/>
        <v>3.9619660000000008</v>
      </c>
      <c r="V95" s="34">
        <f t="shared" si="28"/>
        <v>4.0003969999999995</v>
      </c>
      <c r="W95" s="34">
        <f t="shared" si="28"/>
        <v>4.0388280000000005</v>
      </c>
    </row>
    <row r="96" spans="2:23" x14ac:dyDescent="0.2">
      <c r="B96" s="35" t="s">
        <v>135</v>
      </c>
      <c r="C96" s="114"/>
      <c r="D96" s="114"/>
      <c r="E96" s="49">
        <f>IF('Criteria results'!$F$5=4,E106,E111)</f>
        <v>0</v>
      </c>
      <c r="F96" s="49">
        <f>IF('Criteria results'!$F$5=4,F106,F111)</f>
        <v>0</v>
      </c>
      <c r="G96" s="49">
        <f>IF('Criteria results'!$F$5=4,G106,G111)</f>
        <v>0</v>
      </c>
      <c r="H96" s="49">
        <f>IF('Criteria results'!$F$5=4,H106,H111)</f>
        <v>0</v>
      </c>
      <c r="I96" s="49">
        <f>IF('Criteria results'!$F$5=4,I106,I111)</f>
        <v>0</v>
      </c>
      <c r="J96" s="49">
        <f>IF('Criteria results'!$F$5=4,J106,J111)</f>
        <v>0</v>
      </c>
      <c r="K96" s="49">
        <f>IF('Criteria results'!$F$5=4,K106,K111)</f>
        <v>0</v>
      </c>
      <c r="L96" s="49">
        <f>IF('Criteria results'!$F$5=4,L106,L111)</f>
        <v>0</v>
      </c>
      <c r="M96" s="49">
        <f>IF('Criteria results'!$F$5=4,M106,M111)</f>
        <v>0</v>
      </c>
      <c r="N96" s="49">
        <f>IF('Criteria results'!$F$5=4,N106,N111)</f>
        <v>0</v>
      </c>
      <c r="O96" s="49">
        <f>IF('Criteria results'!$F$5=4,O106,O111)</f>
        <v>0</v>
      </c>
      <c r="P96" s="49">
        <f>IF('Criteria results'!$F$5=4,P106,P111)</f>
        <v>0</v>
      </c>
      <c r="Q96" s="49">
        <f>IF('Criteria results'!$F$5=4,Q106,Q111)</f>
        <v>0</v>
      </c>
      <c r="R96" s="49">
        <f>IF('Criteria results'!$F$5=4,R106,R111)</f>
        <v>0</v>
      </c>
      <c r="S96" s="49">
        <f>IF('Criteria results'!$F$5=4,S106,S111)</f>
        <v>0</v>
      </c>
      <c r="T96" s="49">
        <f>IF('Criteria results'!$F$5=4,T106,T111)</f>
        <v>0</v>
      </c>
      <c r="U96" s="49">
        <f>IF('Criteria results'!$F$5=4,U106,U111)</f>
        <v>0</v>
      </c>
      <c r="V96" s="49">
        <f>IF('Criteria results'!$F$5=4,V106,V111)</f>
        <v>0</v>
      </c>
      <c r="W96" s="49">
        <f>IF('Criteria results'!$F$5=4,W106,W111)</f>
        <v>0</v>
      </c>
    </row>
    <row r="98" spans="1:54" x14ac:dyDescent="0.2">
      <c r="B98" s="113" t="s">
        <v>186</v>
      </c>
      <c r="C98" s="115">
        <f>((1+C93/100)/((1+C23/100)*(1+C42/100))-1)*100</f>
        <v>-4.3409713496385898</v>
      </c>
      <c r="D98" s="115">
        <f t="shared" ref="D98:T98" si="29">((1+D93/100)/((1+D23/100)*(1+D42/100))-1)*100</f>
        <v>-5.5733961598273378</v>
      </c>
      <c r="E98" s="115">
        <f t="shared" si="29"/>
        <v>-2.0557830858901172</v>
      </c>
      <c r="F98" s="115">
        <f t="shared" si="29"/>
        <v>-0.1745813850073441</v>
      </c>
      <c r="G98" s="115">
        <f t="shared" si="29"/>
        <v>-0.68539366212302388</v>
      </c>
      <c r="H98" s="115">
        <f t="shared" si="29"/>
        <v>-0.7130909639026739</v>
      </c>
      <c r="I98" s="115">
        <f t="shared" si="29"/>
        <v>-0.66022675401169462</v>
      </c>
      <c r="J98" s="115">
        <f t="shared" si="29"/>
        <v>-0.7565614811596455</v>
      </c>
      <c r="K98" s="115">
        <f t="shared" si="29"/>
        <v>-0.74930123611997024</v>
      </c>
      <c r="L98" s="115">
        <f t="shared" si="29"/>
        <v>-0.78257791881333194</v>
      </c>
      <c r="M98" s="115">
        <f t="shared" si="29"/>
        <v>-0.87870464426126338</v>
      </c>
      <c r="N98" s="115">
        <f t="shared" si="29"/>
        <v>-1.7109354006321964</v>
      </c>
      <c r="O98" s="115">
        <f t="shared" si="29"/>
        <v>-1.7741760254832095</v>
      </c>
      <c r="P98" s="115">
        <f t="shared" si="29"/>
        <v>-1.935855476426307</v>
      </c>
      <c r="Q98" s="115">
        <f t="shared" si="29"/>
        <v>-0.98153477189812932</v>
      </c>
      <c r="R98" s="115">
        <f t="shared" si="29"/>
        <v>-1.1568142931340453</v>
      </c>
      <c r="S98" s="115">
        <f t="shared" si="29"/>
        <v>-1.203066590017976</v>
      </c>
      <c r="T98" s="115">
        <f t="shared" si="29"/>
        <v>-1.2244676921447706</v>
      </c>
      <c r="U98" s="115">
        <f>((1+U93/100)/((1+U23/100)*(1+U42/100))-1)*100</f>
        <v>0.54877829474748729</v>
      </c>
      <c r="V98" s="115">
        <f>((1+V93/100)/((1+V23/100)*(1+V42/100))-1)*100</f>
        <v>0.5661272049800381</v>
      </c>
      <c r="W98" s="115">
        <f>((1+W93/100)/((1+W23/100)*(1+W42/100))-1)*100</f>
        <v>0.67494538438388485</v>
      </c>
    </row>
    <row r="101" spans="1:54" s="25" customFormat="1" ht="12.75" outlineLevel="1" x14ac:dyDescent="0.2">
      <c r="B101" s="25" t="s">
        <v>136</v>
      </c>
      <c r="C101" s="112"/>
      <c r="D101" s="112"/>
      <c r="E101" s="112"/>
      <c r="F101" s="112"/>
      <c r="G101" s="112"/>
      <c r="H101" s="112"/>
      <c r="I101" s="112"/>
      <c r="J101" s="112"/>
      <c r="K101" s="112"/>
      <c r="L101" s="112"/>
      <c r="M101" s="112"/>
      <c r="N101" s="112"/>
      <c r="O101" s="112"/>
      <c r="P101" s="112"/>
      <c r="Q101" s="112"/>
      <c r="R101" s="112"/>
      <c r="S101" s="112"/>
      <c r="T101" s="112"/>
      <c r="U101" s="112"/>
      <c r="V101" s="112"/>
      <c r="W101" s="112"/>
    </row>
    <row r="102" spans="1:54" s="127" customFormat="1" ht="12.75" outlineLevel="1" x14ac:dyDescent="0.2">
      <c r="C102" s="128"/>
      <c r="D102" s="128"/>
      <c r="E102" s="128"/>
      <c r="F102" s="128"/>
      <c r="G102" s="128"/>
      <c r="H102" s="128"/>
      <c r="I102" s="128"/>
      <c r="J102" s="128"/>
      <c r="K102" s="128"/>
      <c r="L102" s="128"/>
      <c r="M102" s="128"/>
      <c r="N102" s="128"/>
      <c r="O102" s="128"/>
      <c r="P102" s="128"/>
      <c r="Q102" s="128"/>
      <c r="R102" s="128"/>
      <c r="S102" s="128"/>
      <c r="T102" s="128"/>
      <c r="U102" s="128"/>
      <c r="V102" s="128"/>
      <c r="W102" s="128"/>
    </row>
    <row r="103" spans="1:54" s="127" customFormat="1" ht="12.75" outlineLevel="1" x14ac:dyDescent="0.2">
      <c r="B103" s="106" t="s">
        <v>293</v>
      </c>
      <c r="C103" s="129"/>
      <c r="D103" s="129"/>
      <c r="E103" s="129"/>
      <c r="F103" s="129"/>
      <c r="G103" s="129"/>
      <c r="H103" s="129"/>
      <c r="I103" s="129"/>
      <c r="J103" s="129"/>
      <c r="K103" s="129"/>
      <c r="L103" s="129"/>
      <c r="M103" s="129"/>
      <c r="N103" s="129"/>
      <c r="O103" s="129"/>
      <c r="P103" s="129"/>
      <c r="Q103" s="129"/>
      <c r="R103" s="129"/>
      <c r="S103" s="129"/>
      <c r="T103" s="129"/>
      <c r="U103" s="129"/>
      <c r="V103" s="129"/>
      <c r="W103" s="129"/>
    </row>
    <row r="104" spans="1:54" outlineLevel="1" x14ac:dyDescent="0.2">
      <c r="B104" s="120" t="s">
        <v>43</v>
      </c>
      <c r="C104" s="34">
        <v>72.584815979003906</v>
      </c>
      <c r="D104" s="34">
        <v>73.511604309082031</v>
      </c>
      <c r="E104" s="34">
        <v>75.830703735351563</v>
      </c>
      <c r="F104" s="34">
        <v>80.487434387207031</v>
      </c>
      <c r="G104" s="34">
        <v>82.262153625488281</v>
      </c>
      <c r="H104" s="34">
        <v>83.381324768066406</v>
      </c>
      <c r="I104" s="34">
        <v>83.9129638671875</v>
      </c>
      <c r="J104" s="34">
        <v>83.675552368164063</v>
      </c>
      <c r="K104" s="34">
        <v>83.305671691894531</v>
      </c>
      <c r="L104" s="34">
        <v>82.676185607910156</v>
      </c>
      <c r="M104" s="34">
        <v>81.748336791992188</v>
      </c>
      <c r="N104" s="34">
        <v>81.272666931152344</v>
      </c>
      <c r="O104" s="34">
        <v>80.624717712402344</v>
      </c>
      <c r="P104" s="34">
        <v>79.720832824707031</v>
      </c>
      <c r="Q104" s="34">
        <v>78.552940368652344</v>
      </c>
      <c r="R104" s="34">
        <v>77.106605529785156</v>
      </c>
      <c r="S104" s="34">
        <v>75.465126037597656</v>
      </c>
      <c r="T104" s="34">
        <v>73.629974365234375</v>
      </c>
      <c r="U104" s="34">
        <v>71.574882507324219</v>
      </c>
      <c r="V104" s="34">
        <v>69.309661865234375</v>
      </c>
      <c r="W104" s="34">
        <v>66.911262512207031</v>
      </c>
      <c r="X104" s="34"/>
      <c r="Y104" s="34"/>
      <c r="Z104" s="34"/>
    </row>
    <row r="105" spans="1:54" s="5" customFormat="1" ht="12.75" x14ac:dyDescent="0.2">
      <c r="A105" s="26"/>
      <c r="B105" s="26" t="s">
        <v>132</v>
      </c>
      <c r="C105" s="1">
        <v>0.73297137022018433</v>
      </c>
      <c r="D105" s="1">
        <v>0.83926922082901001</v>
      </c>
      <c r="E105" s="1">
        <v>1.580437183380127</v>
      </c>
      <c r="F105" s="1">
        <v>1.6625103950500488</v>
      </c>
      <c r="G105" s="1">
        <v>1.88956618309021</v>
      </c>
      <c r="H105" s="1">
        <v>1.9827291965484619</v>
      </c>
      <c r="I105" s="1">
        <v>2.0615065097808838</v>
      </c>
      <c r="J105" s="1">
        <v>2.1287131309509277</v>
      </c>
      <c r="K105" s="1">
        <v>2.2630736827850342</v>
      </c>
      <c r="L105" s="1">
        <v>2.3417086601257324</v>
      </c>
      <c r="M105" s="1">
        <v>2.414386510848999</v>
      </c>
      <c r="N105" s="1">
        <v>2.4816086292266846</v>
      </c>
      <c r="O105" s="1">
        <v>2.5483345985412598</v>
      </c>
      <c r="P105" s="1">
        <v>2.6098740100860596</v>
      </c>
      <c r="Q105" s="1">
        <v>2.6680870056152344</v>
      </c>
      <c r="R105" s="1">
        <v>2.7230081558227539</v>
      </c>
      <c r="S105" s="1">
        <v>2.7745397090911865</v>
      </c>
      <c r="T105" s="1">
        <v>2.8225250244140625</v>
      </c>
      <c r="U105" s="1">
        <v>2.8668088912963867</v>
      </c>
      <c r="V105" s="1">
        <v>2.9071900844573975</v>
      </c>
      <c r="W105" s="1">
        <v>2.9435980319976807</v>
      </c>
      <c r="X105" s="1"/>
      <c r="Y105" s="1"/>
      <c r="Z105" s="1"/>
      <c r="AA105" s="1"/>
      <c r="AB105" s="1"/>
      <c r="AC105" s="1"/>
      <c r="AD105" s="1"/>
      <c r="AE105" s="1"/>
      <c r="AF105" s="1"/>
      <c r="AG105" s="1"/>
      <c r="AH105" s="1"/>
      <c r="AI105" s="1"/>
      <c r="AJ105" s="1"/>
      <c r="AK105" s="1"/>
      <c r="AL105" s="1"/>
      <c r="AM105" s="1"/>
      <c r="AN105" s="1"/>
      <c r="AO105" s="1"/>
      <c r="AP105" s="1"/>
      <c r="AQ105" s="1"/>
      <c r="AR105" s="1"/>
      <c r="AS105" s="1"/>
      <c r="AT105" s="1"/>
      <c r="AU105" s="1"/>
      <c r="AV105" s="1"/>
      <c r="AW105" s="1"/>
      <c r="AX105" s="1"/>
      <c r="AY105" s="1"/>
      <c r="AZ105" s="1"/>
      <c r="BA105" s="1"/>
      <c r="BB105" s="1"/>
    </row>
    <row r="106" spans="1:54" s="5" customFormat="1" ht="12.75" x14ac:dyDescent="0.2">
      <c r="B106" s="26" t="s">
        <v>185</v>
      </c>
      <c r="C106" s="1"/>
      <c r="D106" s="1"/>
      <c r="E106" s="1"/>
      <c r="F106" s="1"/>
      <c r="G106" s="1">
        <v>0</v>
      </c>
      <c r="H106" s="1">
        <v>0</v>
      </c>
      <c r="I106" s="1">
        <v>0</v>
      </c>
      <c r="J106" s="1">
        <v>0</v>
      </c>
      <c r="K106" s="1">
        <v>0</v>
      </c>
      <c r="L106" s="1">
        <v>0</v>
      </c>
      <c r="M106" s="1">
        <v>0</v>
      </c>
      <c r="N106" s="1">
        <v>0</v>
      </c>
      <c r="O106" s="1">
        <v>0</v>
      </c>
      <c r="P106" s="1">
        <v>0</v>
      </c>
      <c r="Q106" s="1">
        <v>0</v>
      </c>
      <c r="R106" s="1">
        <v>0</v>
      </c>
      <c r="S106" s="1">
        <v>0</v>
      </c>
      <c r="T106" s="1">
        <v>0</v>
      </c>
      <c r="U106" s="1">
        <v>0</v>
      </c>
      <c r="V106" s="1">
        <v>0</v>
      </c>
      <c r="W106" s="1">
        <v>0</v>
      </c>
      <c r="X106" s="1"/>
      <c r="Y106" s="1"/>
      <c r="Z106" s="1"/>
      <c r="AA106" s="1"/>
      <c r="AB106" s="1"/>
      <c r="AC106" s="1"/>
      <c r="AD106" s="1"/>
      <c r="AE106" s="1"/>
      <c r="AF106" s="1"/>
      <c r="AG106" s="1"/>
      <c r="AH106" s="1"/>
      <c r="AI106" s="1"/>
      <c r="AJ106" s="1"/>
      <c r="AK106" s="1"/>
      <c r="AL106" s="1"/>
      <c r="AM106" s="1"/>
      <c r="AN106" s="1"/>
      <c r="AO106" s="1"/>
      <c r="AP106" s="1"/>
      <c r="AQ106" s="1"/>
      <c r="AR106" s="1"/>
      <c r="AS106" s="1"/>
      <c r="AT106" s="1"/>
      <c r="AU106" s="1"/>
      <c r="AV106" s="1"/>
      <c r="AW106" s="1"/>
      <c r="AX106" s="1"/>
      <c r="AY106" s="1"/>
      <c r="AZ106" s="1"/>
      <c r="BA106" s="1"/>
      <c r="BB106" s="1"/>
    </row>
    <row r="107" spans="1:54" s="5" customFormat="1" ht="12.75" x14ac:dyDescent="0.2">
      <c r="B107" s="26"/>
      <c r="C107" s="1"/>
      <c r="D107" s="1"/>
      <c r="E107" s="1"/>
      <c r="F107" s="1"/>
      <c r="G107" s="1"/>
      <c r="H107" s="1"/>
      <c r="I107" s="1"/>
      <c r="J107" s="1"/>
      <c r="K107" s="1"/>
      <c r="L107" s="1"/>
      <c r="M107" s="1"/>
      <c r="N107" s="1"/>
      <c r="O107" s="1"/>
      <c r="P107" s="1"/>
      <c r="Q107" s="1"/>
      <c r="R107" s="1"/>
      <c r="S107" s="1"/>
      <c r="T107" s="1"/>
      <c r="U107" s="1"/>
      <c r="V107" s="1"/>
      <c r="W107" s="1"/>
      <c r="X107" s="1"/>
      <c r="Y107" s="1"/>
      <c r="Z107" s="1"/>
      <c r="AA107" s="1"/>
      <c r="AB107" s="1"/>
      <c r="AC107" s="1"/>
      <c r="AD107" s="1"/>
      <c r="AE107" s="1"/>
      <c r="AF107" s="1"/>
      <c r="AG107" s="1"/>
      <c r="AH107" s="1"/>
      <c r="AI107" s="1"/>
      <c r="AJ107" s="1"/>
      <c r="AK107" s="1"/>
      <c r="AL107" s="1"/>
      <c r="AM107" s="1"/>
      <c r="AN107" s="1"/>
      <c r="AO107" s="1"/>
      <c r="AP107" s="1"/>
      <c r="AQ107" s="1"/>
      <c r="AR107" s="1"/>
      <c r="AS107" s="1"/>
      <c r="AT107" s="1"/>
      <c r="AU107" s="1"/>
      <c r="AV107" s="1"/>
      <c r="AW107" s="1"/>
      <c r="AX107" s="1"/>
      <c r="AY107" s="1"/>
      <c r="AZ107" s="1"/>
      <c r="BA107" s="1"/>
      <c r="BB107" s="1"/>
    </row>
    <row r="108" spans="1:54" s="5" customFormat="1" ht="12.75" x14ac:dyDescent="0.2">
      <c r="B108" s="106" t="s">
        <v>294</v>
      </c>
      <c r="C108" s="37"/>
      <c r="D108" s="37"/>
      <c r="E108" s="37"/>
      <c r="F108" s="37"/>
      <c r="G108" s="37"/>
      <c r="H108" s="37"/>
      <c r="I108" s="37"/>
      <c r="J108" s="37"/>
      <c r="K108" s="37"/>
      <c r="L108" s="37"/>
      <c r="M108" s="37"/>
      <c r="N108" s="37"/>
      <c r="O108" s="37"/>
      <c r="P108" s="37"/>
      <c r="Q108" s="37"/>
      <c r="R108" s="37"/>
      <c r="S108" s="37"/>
      <c r="T108" s="37"/>
      <c r="U108" s="37"/>
      <c r="V108" s="37"/>
      <c r="W108" s="37"/>
      <c r="X108" s="1"/>
      <c r="Y108" s="1"/>
      <c r="Z108" s="1"/>
      <c r="AA108" s="1"/>
      <c r="AB108" s="1"/>
      <c r="AC108" s="1"/>
      <c r="AD108" s="1"/>
      <c r="AE108" s="1"/>
      <c r="AF108" s="1"/>
      <c r="AG108" s="1"/>
      <c r="AH108" s="1"/>
      <c r="AI108" s="1"/>
      <c r="AJ108" s="1"/>
      <c r="AK108" s="1"/>
      <c r="AL108" s="1"/>
      <c r="AM108" s="1"/>
      <c r="AN108" s="1"/>
      <c r="AO108" s="1"/>
      <c r="AP108" s="1"/>
      <c r="AQ108" s="1"/>
      <c r="AR108" s="1"/>
      <c r="AS108" s="1"/>
      <c r="AT108" s="1"/>
      <c r="AU108" s="1"/>
      <c r="AV108" s="1"/>
      <c r="AW108" s="1"/>
      <c r="AX108" s="1"/>
      <c r="AY108" s="1"/>
      <c r="AZ108" s="1"/>
      <c r="BA108" s="1"/>
      <c r="BB108" s="1"/>
    </row>
    <row r="109" spans="1:54" outlineLevel="1" x14ac:dyDescent="0.2">
      <c r="B109" s="120" t="s">
        <v>43</v>
      </c>
      <c r="C109" s="34">
        <v>72.584815979003906</v>
      </c>
      <c r="D109" s="34">
        <v>73.511604309082031</v>
      </c>
      <c r="E109" s="34">
        <v>75.830703735351563</v>
      </c>
      <c r="F109" s="34">
        <v>80.487434387207031</v>
      </c>
      <c r="G109" s="34">
        <v>82.259086608886719</v>
      </c>
      <c r="H109" s="34">
        <v>83.703659057617188</v>
      </c>
      <c r="I109" s="34">
        <v>84.899864196777344</v>
      </c>
      <c r="J109" s="34">
        <v>85.673782348632813</v>
      </c>
      <c r="K109" s="34">
        <v>86.113090515136719</v>
      </c>
      <c r="L109" s="34">
        <v>86.220924377441406</v>
      </c>
      <c r="M109" s="34">
        <v>85.980087280273438</v>
      </c>
      <c r="N109" s="34">
        <v>85.873878479003906</v>
      </c>
      <c r="O109" s="34">
        <v>85.450798034667969</v>
      </c>
      <c r="P109" s="34">
        <v>84.621231079101563</v>
      </c>
      <c r="Q109" s="34">
        <v>83.748558044433594</v>
      </c>
      <c r="R109" s="34">
        <v>82.5936279296875</v>
      </c>
      <c r="S109" s="34">
        <v>81.245834350585938</v>
      </c>
      <c r="T109" s="34">
        <v>79.707801818847656</v>
      </c>
      <c r="U109" s="34">
        <v>77.952346801757813</v>
      </c>
      <c r="V109" s="34">
        <v>75.990013122558594</v>
      </c>
      <c r="W109" s="34">
        <v>73.903724670410156</v>
      </c>
      <c r="X109" s="34"/>
      <c r="Y109" s="34"/>
      <c r="Z109" s="34"/>
    </row>
    <row r="110" spans="1:54" x14ac:dyDescent="0.2">
      <c r="B110" s="26" t="s">
        <v>132</v>
      </c>
      <c r="C110" s="1">
        <v>0.73297137022018433</v>
      </c>
      <c r="D110" s="1">
        <v>0.83926922082901001</v>
      </c>
      <c r="E110" s="1">
        <v>1.580437183380127</v>
      </c>
      <c r="F110" s="1">
        <v>1.6625103950500488</v>
      </c>
      <c r="G110" s="1">
        <v>1.88956618309021</v>
      </c>
      <c r="H110" s="1">
        <v>1.9854403734207153</v>
      </c>
      <c r="I110" s="1">
        <v>2.0695152282714844</v>
      </c>
      <c r="J110" s="1">
        <v>2.1444764137268066</v>
      </c>
      <c r="K110" s="1">
        <v>2.2115991115570068</v>
      </c>
      <c r="L110" s="1">
        <v>2.27219557762146</v>
      </c>
      <c r="M110" s="1">
        <v>2.3275411128997803</v>
      </c>
      <c r="N110" s="1">
        <v>2.4574687480926514</v>
      </c>
      <c r="O110" s="1">
        <v>2.5338475704193115</v>
      </c>
      <c r="P110" s="1">
        <v>2.6024799346923828</v>
      </c>
      <c r="Q110" s="1">
        <v>2.665515661239624</v>
      </c>
      <c r="R110" s="1">
        <v>2.7251317501068115</v>
      </c>
      <c r="S110" s="1">
        <v>2.7813091278076172</v>
      </c>
      <c r="T110" s="1">
        <v>2.8339791297912598</v>
      </c>
      <c r="U110" s="1">
        <v>2.8830845355987549</v>
      </c>
      <c r="V110" s="1">
        <v>2.9285447597503662</v>
      </c>
      <c r="W110" s="1">
        <v>2.9704129695892334</v>
      </c>
      <c r="X110" s="1"/>
      <c r="Y110" s="1"/>
      <c r="Z110" s="1"/>
      <c r="AA110" s="59"/>
      <c r="AB110" s="59"/>
      <c r="AC110" s="59"/>
      <c r="AD110" s="59"/>
      <c r="AE110" s="59"/>
      <c r="AF110" s="59"/>
      <c r="AG110" s="59"/>
      <c r="AH110" s="59"/>
      <c r="AI110" s="59"/>
      <c r="AJ110" s="59"/>
      <c r="AK110" s="59"/>
      <c r="AL110" s="59"/>
      <c r="AM110" s="59"/>
      <c r="AN110" s="59"/>
      <c r="AO110" s="59"/>
      <c r="AP110" s="59"/>
      <c r="AQ110" s="59"/>
      <c r="AR110" s="59"/>
      <c r="AS110" s="59"/>
      <c r="AT110" s="59"/>
      <c r="AU110" s="59"/>
      <c r="AV110" s="59"/>
      <c r="AW110" s="59"/>
      <c r="AX110" s="59"/>
      <c r="AY110" s="60"/>
    </row>
    <row r="111" spans="1:54" x14ac:dyDescent="0.2">
      <c r="B111" s="26" t="s">
        <v>185</v>
      </c>
      <c r="C111" s="34"/>
      <c r="D111" s="34"/>
      <c r="E111" s="34"/>
      <c r="F111" s="34"/>
      <c r="G111" s="34">
        <v>0</v>
      </c>
      <c r="H111" s="34">
        <v>0</v>
      </c>
      <c r="I111" s="34">
        <v>0</v>
      </c>
      <c r="J111" s="34">
        <v>0</v>
      </c>
      <c r="K111" s="34">
        <v>0</v>
      </c>
      <c r="L111" s="34">
        <v>0</v>
      </c>
      <c r="M111" s="34">
        <v>0</v>
      </c>
      <c r="N111" s="34">
        <v>0</v>
      </c>
      <c r="O111" s="34">
        <v>0</v>
      </c>
      <c r="P111" s="34">
        <v>0</v>
      </c>
      <c r="Q111" s="34">
        <v>0</v>
      </c>
      <c r="R111" s="34">
        <v>0</v>
      </c>
      <c r="S111" s="34">
        <v>0</v>
      </c>
      <c r="T111" s="34">
        <v>0</v>
      </c>
      <c r="U111" s="34">
        <v>0</v>
      </c>
      <c r="V111" s="34">
        <v>0</v>
      </c>
      <c r="W111" s="34">
        <v>0</v>
      </c>
    </row>
    <row r="113" spans="2:25" x14ac:dyDescent="0.2">
      <c r="C113" s="34"/>
      <c r="D113" s="34"/>
      <c r="E113" s="34"/>
      <c r="F113" s="34"/>
      <c r="G113" s="34"/>
      <c r="H113" s="34"/>
      <c r="I113" s="34"/>
      <c r="J113" s="34"/>
      <c r="K113" s="34"/>
      <c r="L113" s="34"/>
      <c r="M113" s="34"/>
      <c r="N113" s="34"/>
      <c r="O113" s="34"/>
      <c r="P113" s="34"/>
      <c r="Q113" s="34"/>
      <c r="R113" s="34"/>
      <c r="S113" s="34"/>
      <c r="T113" s="34"/>
      <c r="U113" s="34"/>
      <c r="V113" s="34"/>
      <c r="W113" s="34"/>
    </row>
    <row r="114" spans="2:25" x14ac:dyDescent="0.2">
      <c r="C114" s="34"/>
      <c r="D114" s="34"/>
      <c r="E114" s="34"/>
      <c r="F114" s="34"/>
      <c r="G114" s="34"/>
      <c r="H114" s="34"/>
      <c r="I114" s="34"/>
      <c r="J114" s="34"/>
      <c r="K114" s="34"/>
      <c r="L114" s="34"/>
      <c r="M114" s="34"/>
      <c r="N114" s="34"/>
      <c r="O114" s="34"/>
      <c r="P114" s="34"/>
      <c r="Q114" s="34"/>
      <c r="R114" s="34"/>
      <c r="S114" s="34"/>
      <c r="T114" s="34"/>
      <c r="U114" s="34"/>
      <c r="V114" s="34"/>
      <c r="W114" s="34"/>
    </row>
    <row r="115" spans="2:25" x14ac:dyDescent="0.2">
      <c r="C115" s="34"/>
      <c r="D115" s="34"/>
      <c r="E115" s="34"/>
      <c r="F115" s="34"/>
      <c r="G115" s="122"/>
      <c r="H115" s="122"/>
      <c r="I115" s="122"/>
      <c r="J115" s="122"/>
      <c r="K115" s="122"/>
      <c r="L115" s="122"/>
      <c r="M115" s="122"/>
      <c r="N115" s="122"/>
      <c r="O115" s="122"/>
      <c r="P115" s="122"/>
      <c r="Q115" s="122"/>
      <c r="R115" s="122"/>
      <c r="S115" s="122"/>
      <c r="T115" s="122"/>
      <c r="U115" s="122"/>
      <c r="V115" s="122"/>
      <c r="W115" s="122"/>
    </row>
    <row r="116" spans="2:25" x14ac:dyDescent="0.2">
      <c r="C116" s="34"/>
      <c r="D116" s="34"/>
      <c r="E116" s="34"/>
      <c r="F116" s="34"/>
      <c r="G116" s="122"/>
      <c r="H116" s="122"/>
      <c r="I116" s="122"/>
      <c r="J116" s="122"/>
      <c r="K116" s="122"/>
      <c r="L116" s="122"/>
      <c r="M116" s="122"/>
      <c r="N116" s="122"/>
      <c r="O116" s="122"/>
      <c r="P116" s="122"/>
      <c r="Q116" s="122"/>
      <c r="R116" s="122"/>
      <c r="S116" s="122"/>
      <c r="T116" s="122"/>
      <c r="U116" s="122"/>
      <c r="V116" s="122"/>
      <c r="W116" s="122"/>
    </row>
    <row r="117" spans="2:25" x14ac:dyDescent="0.2">
      <c r="C117" s="36"/>
      <c r="D117" s="123"/>
      <c r="E117" s="123"/>
      <c r="F117" s="123"/>
      <c r="G117" s="123"/>
      <c r="H117" s="123"/>
      <c r="I117" s="123"/>
      <c r="J117" s="123"/>
      <c r="K117" s="123"/>
      <c r="L117" s="123"/>
      <c r="M117" s="123"/>
      <c r="N117" s="123"/>
      <c r="O117" s="123"/>
      <c r="P117" s="123"/>
      <c r="Q117" s="123"/>
      <c r="R117" s="123"/>
      <c r="S117" s="123"/>
      <c r="T117" s="123"/>
      <c r="U117" s="123"/>
      <c r="V117" s="123"/>
      <c r="W117" s="123"/>
    </row>
    <row r="118" spans="2:25" x14ac:dyDescent="0.2">
      <c r="C118" s="36"/>
      <c r="D118" s="36"/>
      <c r="E118" s="34"/>
      <c r="F118" s="34"/>
      <c r="G118" s="122"/>
      <c r="H118" s="122"/>
      <c r="I118" s="122"/>
      <c r="J118" s="122"/>
      <c r="K118" s="122"/>
      <c r="L118" s="122"/>
      <c r="M118" s="122"/>
      <c r="N118" s="122"/>
      <c r="O118" s="122"/>
      <c r="P118" s="122"/>
      <c r="Q118" s="122"/>
      <c r="R118" s="122"/>
      <c r="S118" s="122"/>
      <c r="T118" s="122"/>
      <c r="U118" s="122"/>
      <c r="V118" s="122"/>
      <c r="W118" s="122"/>
    </row>
    <row r="119" spans="2:25" x14ac:dyDescent="0.2">
      <c r="E119" s="34"/>
      <c r="F119" s="34"/>
      <c r="G119" s="122"/>
      <c r="H119" s="122"/>
      <c r="I119" s="122"/>
      <c r="J119" s="122"/>
      <c r="K119" s="122"/>
      <c r="L119" s="122"/>
      <c r="M119" s="122"/>
      <c r="N119" s="122"/>
      <c r="O119" s="122"/>
      <c r="P119" s="122"/>
      <c r="Q119" s="122"/>
      <c r="R119" s="122"/>
      <c r="S119" s="122"/>
      <c r="T119" s="122"/>
      <c r="U119" s="122"/>
      <c r="V119" s="122"/>
      <c r="W119" s="122"/>
      <c r="X119" s="53"/>
      <c r="Y119" s="53"/>
    </row>
    <row r="120" spans="2:25" x14ac:dyDescent="0.2">
      <c r="B120" s="33"/>
      <c r="C120" s="97"/>
      <c r="D120" s="97"/>
      <c r="G120" s="123"/>
      <c r="H120" s="123"/>
      <c r="I120" s="123"/>
      <c r="J120" s="123"/>
      <c r="K120" s="123"/>
      <c r="L120" s="123"/>
      <c r="M120" s="123"/>
      <c r="N120" s="123"/>
      <c r="O120" s="123"/>
      <c r="P120" s="123"/>
      <c r="Q120" s="123"/>
      <c r="R120" s="123"/>
      <c r="S120" s="123"/>
      <c r="T120" s="123"/>
      <c r="U120" s="123"/>
      <c r="V120" s="123"/>
      <c r="W120" s="123"/>
      <c r="X120" s="53"/>
      <c r="Y120" s="53"/>
    </row>
    <row r="121" spans="2:25" x14ac:dyDescent="0.2">
      <c r="C121" s="97"/>
      <c r="D121" s="97"/>
      <c r="E121" s="34"/>
      <c r="F121" s="34"/>
      <c r="G121" s="122"/>
      <c r="H121" s="122"/>
      <c r="I121" s="122"/>
      <c r="J121" s="122"/>
      <c r="K121" s="122"/>
      <c r="L121" s="122"/>
      <c r="M121" s="122"/>
      <c r="N121" s="122"/>
      <c r="O121" s="122"/>
      <c r="P121" s="122"/>
      <c r="Q121" s="122"/>
      <c r="R121" s="122"/>
      <c r="S121" s="122"/>
      <c r="T121" s="122"/>
      <c r="U121" s="122"/>
      <c r="V121" s="122"/>
      <c r="W121" s="122"/>
      <c r="X121" s="53"/>
      <c r="Y121" s="53"/>
    </row>
    <row r="122" spans="2:25" x14ac:dyDescent="0.2">
      <c r="E122" s="34"/>
      <c r="F122" s="34"/>
      <c r="G122" s="122"/>
      <c r="H122" s="122"/>
      <c r="I122" s="122"/>
      <c r="J122" s="122"/>
      <c r="K122" s="122"/>
      <c r="L122" s="122"/>
      <c r="M122" s="122"/>
      <c r="N122" s="122"/>
      <c r="O122" s="122"/>
      <c r="P122" s="122"/>
      <c r="Q122" s="122"/>
      <c r="R122" s="122"/>
      <c r="S122" s="122"/>
      <c r="T122" s="122"/>
      <c r="U122" s="122"/>
      <c r="V122" s="122"/>
      <c r="W122" s="122"/>
      <c r="X122" s="53"/>
      <c r="Y122" s="53"/>
    </row>
    <row r="123" spans="2:25" x14ac:dyDescent="0.2">
      <c r="C123" s="97"/>
      <c r="D123" s="97"/>
      <c r="E123" s="97"/>
      <c r="F123" s="97"/>
      <c r="G123" s="123"/>
      <c r="H123" s="123"/>
      <c r="I123" s="123"/>
      <c r="J123" s="123"/>
      <c r="K123" s="123"/>
      <c r="L123" s="123"/>
      <c r="M123" s="123"/>
      <c r="N123" s="123"/>
      <c r="O123" s="123"/>
      <c r="P123" s="123"/>
      <c r="Q123" s="123"/>
      <c r="R123" s="123"/>
      <c r="S123" s="123"/>
      <c r="T123" s="123"/>
      <c r="U123" s="123"/>
      <c r="V123" s="123"/>
      <c r="W123" s="123"/>
      <c r="X123" s="53"/>
      <c r="Y123" s="53"/>
    </row>
    <row r="124" spans="2:25" x14ac:dyDescent="0.2">
      <c r="E124" s="34"/>
      <c r="F124" s="34"/>
      <c r="G124" s="122"/>
      <c r="H124" s="122"/>
      <c r="I124" s="122"/>
      <c r="J124" s="122"/>
      <c r="K124" s="122"/>
      <c r="L124" s="122"/>
      <c r="M124" s="122"/>
      <c r="N124" s="122"/>
      <c r="O124" s="122"/>
      <c r="P124" s="122"/>
      <c r="Q124" s="122"/>
      <c r="R124" s="122"/>
      <c r="S124" s="122"/>
      <c r="T124" s="122"/>
      <c r="U124" s="122"/>
      <c r="V124" s="122"/>
      <c r="W124" s="122"/>
      <c r="X124" s="53"/>
      <c r="Y124" s="53"/>
    </row>
    <row r="125" spans="2:25" x14ac:dyDescent="0.2">
      <c r="E125" s="34"/>
      <c r="F125" s="34"/>
      <c r="G125" s="122"/>
      <c r="H125" s="122"/>
      <c r="I125" s="122"/>
      <c r="J125" s="122"/>
      <c r="K125" s="122"/>
      <c r="L125" s="122"/>
      <c r="M125" s="122"/>
      <c r="N125" s="122"/>
      <c r="O125" s="122"/>
      <c r="P125" s="122"/>
      <c r="Q125" s="122"/>
      <c r="R125" s="122"/>
      <c r="S125" s="122"/>
      <c r="T125" s="122"/>
      <c r="U125" s="122"/>
      <c r="V125" s="122"/>
      <c r="W125" s="122"/>
      <c r="X125" s="122"/>
      <c r="Y125" s="53"/>
    </row>
    <row r="126" spans="2:25" x14ac:dyDescent="0.2">
      <c r="G126" s="122"/>
      <c r="H126" s="122"/>
      <c r="I126" s="122"/>
      <c r="J126" s="122"/>
      <c r="K126" s="122"/>
      <c r="L126" s="122"/>
      <c r="M126" s="122"/>
      <c r="N126" s="122"/>
      <c r="O126" s="122"/>
      <c r="P126" s="122"/>
      <c r="Q126" s="122"/>
      <c r="R126" s="122"/>
      <c r="S126" s="122"/>
      <c r="T126" s="122"/>
      <c r="U126" s="122"/>
      <c r="V126" s="122"/>
      <c r="W126" s="122"/>
      <c r="X126" s="122"/>
      <c r="Y126" s="53"/>
    </row>
    <row r="127" spans="2:25" x14ac:dyDescent="0.2">
      <c r="C127" s="97"/>
      <c r="D127" s="97"/>
      <c r="E127" s="34"/>
      <c r="F127" s="34"/>
      <c r="G127" s="122"/>
      <c r="H127" s="122"/>
      <c r="I127" s="122"/>
      <c r="J127" s="122"/>
      <c r="K127" s="122"/>
      <c r="L127" s="122"/>
      <c r="M127" s="122"/>
      <c r="N127" s="122"/>
      <c r="O127" s="122"/>
      <c r="P127" s="122"/>
      <c r="Q127" s="122"/>
      <c r="R127" s="122"/>
      <c r="S127" s="122"/>
      <c r="T127" s="122"/>
      <c r="U127" s="122"/>
      <c r="V127" s="122"/>
      <c r="W127" s="122"/>
      <c r="X127" s="122"/>
      <c r="Y127" s="53"/>
    </row>
    <row r="128" spans="2:25" x14ac:dyDescent="0.2">
      <c r="E128" s="34"/>
      <c r="F128" s="34"/>
      <c r="G128" s="122"/>
      <c r="H128" s="122"/>
      <c r="I128" s="122"/>
      <c r="J128" s="122"/>
      <c r="K128" s="122"/>
      <c r="L128" s="122"/>
      <c r="M128" s="122"/>
      <c r="N128" s="122"/>
      <c r="O128" s="122"/>
      <c r="P128" s="122"/>
      <c r="Q128" s="122"/>
      <c r="R128" s="122"/>
      <c r="S128" s="122"/>
      <c r="T128" s="122"/>
      <c r="U128" s="122"/>
      <c r="V128" s="122"/>
      <c r="W128" s="122"/>
      <c r="X128" s="122"/>
      <c r="Y128" s="53"/>
    </row>
    <row r="129" spans="6:25" x14ac:dyDescent="0.2">
      <c r="G129" s="122"/>
      <c r="H129" s="122"/>
      <c r="I129" s="122"/>
      <c r="J129" s="122"/>
      <c r="K129" s="122"/>
      <c r="L129" s="122"/>
      <c r="M129" s="122"/>
      <c r="N129" s="122"/>
      <c r="O129" s="122"/>
      <c r="P129" s="122"/>
      <c r="Q129" s="122"/>
      <c r="R129" s="122"/>
      <c r="S129" s="122"/>
      <c r="T129" s="122"/>
      <c r="U129" s="122"/>
      <c r="V129" s="122"/>
      <c r="W129" s="122"/>
      <c r="X129" s="122"/>
      <c r="Y129" s="53"/>
    </row>
    <row r="130" spans="6:25" x14ac:dyDescent="0.2">
      <c r="F130" s="34"/>
      <c r="G130" s="122"/>
      <c r="H130" s="122"/>
      <c r="I130" s="122"/>
      <c r="J130" s="122"/>
      <c r="K130" s="122"/>
      <c r="L130" s="122"/>
      <c r="M130" s="122"/>
      <c r="N130" s="122"/>
      <c r="O130" s="122"/>
      <c r="P130" s="122"/>
      <c r="Q130" s="122"/>
      <c r="R130" s="122"/>
      <c r="S130" s="122"/>
      <c r="T130" s="122"/>
      <c r="U130" s="122"/>
      <c r="V130" s="122"/>
      <c r="W130" s="122"/>
      <c r="X130" s="122"/>
      <c r="Y130" s="53"/>
    </row>
    <row r="131" spans="6:25" x14ac:dyDescent="0.2">
      <c r="G131" s="122"/>
      <c r="H131" s="122"/>
      <c r="I131" s="122"/>
      <c r="J131" s="122"/>
      <c r="K131" s="122"/>
      <c r="L131" s="122"/>
      <c r="M131" s="122"/>
      <c r="N131" s="122"/>
      <c r="O131" s="122"/>
      <c r="P131" s="122"/>
      <c r="Q131" s="122"/>
      <c r="R131" s="122"/>
      <c r="S131" s="122"/>
      <c r="T131" s="122"/>
      <c r="U131" s="122"/>
      <c r="V131" s="122"/>
      <c r="W131" s="122"/>
      <c r="X131" s="122"/>
      <c r="Y131" s="53"/>
    </row>
    <row r="132" spans="6:25" x14ac:dyDescent="0.2">
      <c r="G132" s="122"/>
      <c r="H132" s="122"/>
      <c r="I132" s="122"/>
      <c r="J132" s="122"/>
      <c r="K132" s="122"/>
      <c r="L132" s="122"/>
      <c r="M132" s="122"/>
      <c r="N132" s="122"/>
      <c r="O132" s="122"/>
      <c r="P132" s="122"/>
      <c r="Q132" s="122"/>
      <c r="R132" s="122"/>
      <c r="S132" s="122"/>
      <c r="T132" s="122"/>
      <c r="U132" s="122"/>
      <c r="V132" s="122"/>
      <c r="W132" s="122"/>
      <c r="X132" s="122"/>
    </row>
  </sheetData>
  <conditionalFormatting sqref="G12:M12">
    <cfRule type="expression" dxfId="10" priority="80">
      <formula>AND(G10&gt;$C$5,G10&lt;=$C$6)</formula>
    </cfRule>
  </conditionalFormatting>
  <conditionalFormatting sqref="K22:M24 K27:M27 K37:M38">
    <cfRule type="expression" dxfId="9" priority="23">
      <formula>K$10&lt;=$C$6</formula>
    </cfRule>
  </conditionalFormatting>
  <conditionalFormatting sqref="U10:W44 U46:W53 U55:W77 U79:W100 U102:W130">
    <cfRule type="expression" dxfId="2" priority="1">
      <formula>U$10&gt;$C$7</formula>
    </cfRule>
  </conditionalFormatting>
  <pageMargins left="0.7" right="0.7" top="0.75" bottom="0.75" header="0.3" footer="0.3"/>
  <pageSetup paperSize="9" orientation="portrait" r:id="rId1"/>
  <ignoredErrors>
    <ignoredError sqref="C5 C47:C48" unlockedFormula="1"/>
  </ignoredErrors>
  <extLst>
    <ext xmlns:x14="http://schemas.microsoft.com/office/spreadsheetml/2009/9/main" uri="{78C0D931-6437-407d-A8EE-F0AAD7539E65}">
      <x14:conditionalFormattings>
        <x14:conditionalFormatting xmlns:xm="http://schemas.microsoft.com/office/excel/2006/main">
          <x14:cfRule type="expression" priority="9" id="{4EACEE69-D13B-4A8D-9236-28646E633B5B}">
            <xm:f>'Criteria results'!$F$5=7</xm:f>
            <x14:dxf>
              <fill>
                <patternFill>
                  <bgColor theme="0"/>
                </patternFill>
              </fill>
            </x14:dxf>
          </x14:cfRule>
          <xm:sqref>K52:M52</xm:sqref>
        </x14:conditionalFormatting>
        <x14:conditionalFormatting xmlns:xm="http://schemas.microsoft.com/office/excel/2006/main">
          <x14:cfRule type="expression" priority="85" id="{3B57B2B3-DFDF-4C5A-9FDD-41F823A47376}">
            <xm:f>OR('Criteria results'!#REF!=7,'Criteria results'!#REF!=10)</xm:f>
            <x14:dxf>
              <font>
                <color theme="0"/>
              </font>
            </x14:dxf>
          </x14:cfRule>
          <xm:sqref>K76:M76</xm:sqref>
        </x14:conditionalFormatting>
        <x14:conditionalFormatting xmlns:xm="http://schemas.microsoft.com/office/excel/2006/main">
          <x14:cfRule type="expression" priority="82" id="{57B4AF88-7351-4B19-BA3B-6B998AD74D0C}">
            <xm:f>AND($N$10&gt;2024,$N$10&lt;=2024+'Criteria results'!$F$5)</xm:f>
            <x14:dxf>
              <fill>
                <patternFill>
                  <bgColor theme="0" tint="-0.14996795556505021"/>
                </patternFill>
              </fill>
            </x14:dxf>
          </x14:cfRule>
          <xm:sqref>N12</xm:sqref>
        </x14:conditionalFormatting>
        <x14:conditionalFormatting xmlns:xm="http://schemas.microsoft.com/office/excel/2006/main">
          <x14:cfRule type="expression" priority="86" id="{AD631567-B5C1-4C77-8394-9CE24A7E7ABD}">
            <xm:f>'Criteria results'!#REF!=10</xm:f>
            <x14:dxf>
              <font>
                <color theme="0"/>
              </font>
            </x14:dxf>
          </x14:cfRule>
          <xm:sqref>N76:P76</xm:sqref>
        </x14:conditionalFormatting>
        <x14:conditionalFormatting xmlns:xm="http://schemas.microsoft.com/office/excel/2006/main">
          <x14:cfRule type="expression" priority="83" id="{354A6338-46EF-4602-BA31-438E78236E93}">
            <xm:f>AND($O$10&gt;2024,$O$10&lt;=2024+'Criteria results'!$F$5)</xm:f>
            <x14:dxf>
              <fill>
                <patternFill>
                  <bgColor theme="0" tint="-0.14996795556505021"/>
                </patternFill>
              </fill>
            </x14:dxf>
          </x14:cfRule>
          <xm:sqref>O12</xm:sqref>
        </x14:conditionalFormatting>
        <x14:conditionalFormatting xmlns:xm="http://schemas.microsoft.com/office/excel/2006/main">
          <x14:cfRule type="expression" priority="84" id="{9F1C1270-F5DB-4E73-982C-3D38BC86117F}">
            <xm:f>AND($P$10&gt;2024,$P$10&lt;=2024+'Criteria results'!#REF!)</xm:f>
            <x14:dxf>
              <fill>
                <patternFill>
                  <bgColor theme="0" tint="-0.14996795556505021"/>
                </patternFill>
              </fill>
            </x14:dxf>
          </x14:cfRule>
          <xm:sqref>P12</xm:sqref>
        </x14:conditionalFormatting>
      </x14:conditionalFormattings>
    </ext>
  </extLst>
</worksheet>
</file>

<file path=xl/worksheets/sheet1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800-000000000000}">
  <sheetPr codeName="Sheet5">
    <tabColor rgb="FF00B050"/>
  </sheetPr>
  <dimension ref="A1:AX31"/>
  <sheetViews>
    <sheetView workbookViewId="0"/>
  </sheetViews>
  <sheetFormatPr defaultColWidth="8.85546875" defaultRowHeight="12.75" x14ac:dyDescent="0.2"/>
  <cols>
    <col min="1" max="1" width="8.85546875" style="5"/>
    <col min="2" max="2" width="43.42578125" style="5" customWidth="1"/>
    <col min="3" max="16384" width="8.85546875" style="5"/>
  </cols>
  <sheetData>
    <row r="1" spans="1:50" s="26" customFormat="1" ht="24.75" customHeight="1" x14ac:dyDescent="0.2">
      <c r="B1" s="39"/>
    </row>
    <row r="2" spans="1:50" s="26" customFormat="1" ht="11.25" customHeight="1" x14ac:dyDescent="0.2">
      <c r="B2" s="27"/>
    </row>
    <row r="3" spans="1:50" s="26" customFormat="1" ht="11.25" customHeight="1" x14ac:dyDescent="0.2">
      <c r="B3" s="19" t="s">
        <v>15</v>
      </c>
      <c r="C3" s="20" t="str">
        <f>'Input data'!C3</f>
        <v>FI</v>
      </c>
    </row>
    <row r="4" spans="1:50" s="26" customFormat="1" ht="11.25" x14ac:dyDescent="0.2">
      <c r="B4" s="64" t="s">
        <v>38</v>
      </c>
      <c r="C4" s="21"/>
    </row>
    <row r="5" spans="1:50" s="26" customFormat="1" ht="11.25" x14ac:dyDescent="0.2">
      <c r="A5" s="29"/>
      <c r="B5" s="22" t="str">
        <f>'Input data'!B5</f>
        <v>Last year before the adjustment</v>
      </c>
      <c r="C5" s="23">
        <f>+'Input data'!C5</f>
        <v>2024</v>
      </c>
    </row>
    <row r="6" spans="1:50" s="26" customFormat="1" ht="11.25" x14ac:dyDescent="0.2">
      <c r="A6" s="29"/>
      <c r="B6" s="65" t="s">
        <v>149</v>
      </c>
      <c r="C6" s="23">
        <f>C5+'Criteria results'!F5+1</f>
        <v>2032</v>
      </c>
      <c r="E6" s="43"/>
      <c r="F6" s="29"/>
    </row>
    <row r="7" spans="1:50" s="26" customFormat="1" ht="11.25" x14ac:dyDescent="0.2">
      <c r="A7" s="29"/>
      <c r="B7" s="24" t="s">
        <v>150</v>
      </c>
      <c r="C7" s="66">
        <f>C6+4</f>
        <v>2036</v>
      </c>
      <c r="E7" s="43"/>
      <c r="F7" s="29"/>
    </row>
    <row r="8" spans="1:50" s="26" customFormat="1" ht="11.25" x14ac:dyDescent="0.2">
      <c r="A8" s="29"/>
      <c r="C8" s="29"/>
      <c r="E8" s="43"/>
      <c r="F8" s="29"/>
    </row>
    <row r="9" spans="1:50" s="67" customFormat="1" ht="11.25" x14ac:dyDescent="0.2">
      <c r="B9" s="90" t="s">
        <v>151</v>
      </c>
    </row>
    <row r="10" spans="1:50" s="26" customFormat="1" ht="11.25" x14ac:dyDescent="0.2">
      <c r="C10" s="31">
        <v>2021</v>
      </c>
      <c r="D10" s="31">
        <v>2022</v>
      </c>
      <c r="E10" s="31">
        <v>2023</v>
      </c>
      <c r="F10" s="31">
        <v>2024</v>
      </c>
      <c r="G10" s="31">
        <v>2025</v>
      </c>
      <c r="H10" s="31">
        <v>2026</v>
      </c>
      <c r="I10" s="31">
        <v>2027</v>
      </c>
      <c r="J10" s="31">
        <v>2028</v>
      </c>
      <c r="K10" s="31">
        <v>2029</v>
      </c>
      <c r="L10" s="31">
        <v>2030</v>
      </c>
      <c r="M10" s="31">
        <v>2031</v>
      </c>
      <c r="N10" s="31">
        <v>2032</v>
      </c>
      <c r="O10" s="31">
        <v>2033</v>
      </c>
      <c r="P10" s="31">
        <v>2034</v>
      </c>
      <c r="Q10" s="31">
        <v>2035</v>
      </c>
      <c r="R10" s="31">
        <v>2036</v>
      </c>
      <c r="S10" s="31">
        <v>2037</v>
      </c>
      <c r="T10" s="31">
        <v>2038</v>
      </c>
      <c r="U10" s="31">
        <v>2039</v>
      </c>
      <c r="V10" s="31">
        <v>2040</v>
      </c>
      <c r="W10" s="31">
        <v>2041</v>
      </c>
      <c r="X10" s="29"/>
      <c r="Y10" s="29"/>
      <c r="Z10" s="29"/>
      <c r="AA10" s="29"/>
      <c r="AB10" s="29"/>
      <c r="AC10" s="29"/>
      <c r="AD10" s="29"/>
      <c r="AE10" s="29"/>
      <c r="AF10" s="29"/>
      <c r="AG10" s="29"/>
      <c r="AH10" s="29"/>
      <c r="AI10" s="29"/>
      <c r="AJ10" s="29"/>
      <c r="AK10" s="29"/>
      <c r="AL10" s="29"/>
      <c r="AM10" s="29"/>
      <c r="AN10" s="29"/>
      <c r="AO10" s="29"/>
      <c r="AP10" s="29"/>
      <c r="AQ10" s="29"/>
      <c r="AR10" s="29"/>
      <c r="AS10" s="29"/>
      <c r="AT10" s="29"/>
      <c r="AU10" s="29"/>
      <c r="AV10" s="29"/>
      <c r="AW10" s="29"/>
      <c r="AX10" s="29"/>
    </row>
    <row r="11" spans="1:50" x14ac:dyDescent="0.2">
      <c r="B11" s="91" t="s">
        <v>188</v>
      </c>
      <c r="C11" s="83">
        <f>'Adjust. no safeguard'!C57</f>
        <v>72.584819999999993</v>
      </c>
      <c r="D11" s="83">
        <f>'Adjust. no safeguard'!D57</f>
        <v>73.511610584961744</v>
      </c>
      <c r="E11" s="83">
        <f>'Adjust. no safeguard'!E57</f>
        <v>75.830716179102311</v>
      </c>
      <c r="F11" s="83">
        <f>'Adjust. no safeguard'!F57</f>
        <v>80.48745186650369</v>
      </c>
      <c r="G11" s="83">
        <f>'Adjust. no safeguard'!G57</f>
        <v>82.275441313739478</v>
      </c>
      <c r="H11" s="83">
        <f>'Adjust. no safeguard'!H57</f>
        <v>82.541625659639379</v>
      </c>
      <c r="I11" s="83">
        <f>'Adjust. no safeguard'!I57</f>
        <v>81.323119123411445</v>
      </c>
      <c r="J11" s="83">
        <f>'Adjust. no safeguard'!J57</f>
        <v>78.420156567126583</v>
      </c>
      <c r="K11" s="83">
        <f>'Adjust. no safeguard'!K57</f>
        <v>73.904721542930275</v>
      </c>
      <c r="L11" s="83">
        <f>'Adjust. no safeguard'!L57</f>
        <v>67.775534644448115</v>
      </c>
      <c r="M11" s="83">
        <f>'Adjust. no safeguard'!M57</f>
        <v>60.02265064705545</v>
      </c>
      <c r="N11" s="83">
        <f>'Adjust. no safeguard'!N57</f>
        <v>50.912795362206339</v>
      </c>
      <c r="O11" s="83">
        <f>'Adjust. no safeguard'!O57</f>
        <v>41.14546213570047</v>
      </c>
      <c r="P11" s="83">
        <f>'Adjust. no safeguard'!P57</f>
        <v>30.707870482134656</v>
      </c>
      <c r="Q11" s="83">
        <f>'Adjust. no safeguard'!Q57</f>
        <v>20.644235955781806</v>
      </c>
      <c r="R11" s="83">
        <f>'Adjust. no safeguard'!R57</f>
        <v>10.506159051487185</v>
      </c>
      <c r="S11" s="83">
        <f>'Adjust. no safeguard'!S57</f>
        <v>0.32439147746383945</v>
      </c>
      <c r="T11" s="83">
        <f>'Adjust. no safeguard'!T57</f>
        <v>-9.9067114452036549</v>
      </c>
      <c r="U11" s="83">
        <f>'Adjust. no safeguard'!U57</f>
        <v>-20.325474122218363</v>
      </c>
      <c r="V11" s="83">
        <f>'Adjust. no safeguard'!V57</f>
        <v>-30.937795087869354</v>
      </c>
      <c r="W11" s="83">
        <f>'Adjust. no safeguard'!W57</f>
        <v>-41.757753136093065</v>
      </c>
    </row>
    <row r="12" spans="1:50" s="26" customFormat="1" ht="11.25" x14ac:dyDescent="0.2">
      <c r="A12" s="29"/>
      <c r="C12" s="29"/>
      <c r="E12" s="43"/>
      <c r="F12" s="29"/>
    </row>
    <row r="13" spans="1:50" s="67" customFormat="1" ht="11.25" x14ac:dyDescent="0.2">
      <c r="B13" s="90" t="s">
        <v>152</v>
      </c>
    </row>
    <row r="14" spans="1:50" x14ac:dyDescent="0.2">
      <c r="B14" s="5" t="s">
        <v>153</v>
      </c>
      <c r="C14" s="83">
        <f>C$11</f>
        <v>72.584819999999993</v>
      </c>
      <c r="D14" s="83">
        <f t="shared" ref="D14:J18" si="0">D$11</f>
        <v>73.511610584961744</v>
      </c>
      <c r="E14" s="83">
        <f t="shared" si="0"/>
        <v>75.830716179102311</v>
      </c>
      <c r="F14" s="83">
        <f t="shared" si="0"/>
        <v>80.48745186650369</v>
      </c>
      <c r="G14" s="83">
        <f t="shared" si="0"/>
        <v>82.275441313739478</v>
      </c>
      <c r="H14" s="83">
        <f t="shared" si="0"/>
        <v>82.541625659639379</v>
      </c>
      <c r="I14" s="83">
        <f t="shared" si="0"/>
        <v>81.323119123411445</v>
      </c>
      <c r="J14" s="83">
        <f>J$11</f>
        <v>78.420156567126583</v>
      </c>
      <c r="K14" s="83">
        <f>IF('Criteria results'!$F$5=4,K$11+'Input data'!C74,K$11)</f>
        <v>73.904721542930275</v>
      </c>
      <c r="L14" s="83">
        <f>IF('Criteria results'!$F$5=4,L$11+'Input data'!D74,L$11)</f>
        <v>67.775534644448115</v>
      </c>
      <c r="M14" s="83">
        <f>IF('Criteria results'!$F$5=4,M$11+'Input data'!E74,M$11)</f>
        <v>60.02265064705545</v>
      </c>
      <c r="N14" s="83">
        <f>IF('Criteria results'!$F$5=4,N$11+'Input data'!F74,N$11+'Input data'!C74)</f>
        <v>45.402877149315714</v>
      </c>
      <c r="O14" s="83">
        <f>IF('Criteria results'!$F$5=4,O$11+'Input data'!G74,O$11+'Input data'!D74)</f>
        <v>33.409874061970001</v>
      </c>
      <c r="P14" s="83">
        <f>IF('Criteria results'!$F$5=4,"",Stochastic!P$11+'Input data'!E74)</f>
        <v>21.387054442095593</v>
      </c>
      <c r="Q14" s="83">
        <f>IF('Criteria results'!$F$5=4,"",Stochastic!Q$11+'Input data'!F74)</f>
        <v>9.8950904479693058</v>
      </c>
      <c r="R14" s="83">
        <f>IF('Criteria results'!$F$5=4,"",Stochastic!R$11+'Input data'!G74)</f>
        <v>-1.104360357692503</v>
      </c>
    </row>
    <row r="15" spans="1:50" x14ac:dyDescent="0.2">
      <c r="B15" s="5" t="s">
        <v>154</v>
      </c>
      <c r="C15" s="83">
        <f>C$11</f>
        <v>72.584819999999993</v>
      </c>
      <c r="D15" s="83">
        <f t="shared" si="0"/>
        <v>73.511610584961744</v>
      </c>
      <c r="E15" s="83">
        <f t="shared" si="0"/>
        <v>75.830716179102311</v>
      </c>
      <c r="F15" s="83">
        <f t="shared" si="0"/>
        <v>80.48745186650369</v>
      </c>
      <c r="G15" s="83">
        <f t="shared" si="0"/>
        <v>82.275441313739478</v>
      </c>
      <c r="H15" s="83">
        <f t="shared" si="0"/>
        <v>82.541625659639379</v>
      </c>
      <c r="I15" s="83">
        <f t="shared" si="0"/>
        <v>81.323119123411445</v>
      </c>
      <c r="J15" s="83">
        <f t="shared" si="0"/>
        <v>78.420156567126583</v>
      </c>
      <c r="K15" s="83">
        <f>IF('Criteria results'!$F$5=4,K$11+'Input data'!C75,K$11)</f>
        <v>73.904721542930275</v>
      </c>
      <c r="L15" s="83">
        <f>IF('Criteria results'!$F$5=4,L$11+'Input data'!D75,L$11)</f>
        <v>67.775534644448115</v>
      </c>
      <c r="M15" s="83">
        <f>IF('Criteria results'!$F$5=4,M$11+'Input data'!E75,M$11)</f>
        <v>60.02265064705545</v>
      </c>
      <c r="N15" s="83">
        <f>IF('Criteria results'!$F$5=4,N$11+'Input data'!F75,N$11+'Input data'!C75)</f>
        <v>48.585509595604776</v>
      </c>
      <c r="O15" s="83">
        <f>IF('Criteria results'!$F$5=4,O$11+'Input data'!G75,O$11+'Input data'!D75)</f>
        <v>37.949394325641876</v>
      </c>
      <c r="P15" s="83">
        <f>IF('Criteria results'!$F$5=4,"",Stochastic!P$11+'Input data'!E75)</f>
        <v>26.866622923540906</v>
      </c>
      <c r="Q15" s="83">
        <f>IF('Criteria results'!$F$5=4,"",Stochastic!Q$11+'Input data'!F75)</f>
        <v>16.206888543672431</v>
      </c>
      <c r="R15" s="83">
        <f>IF('Criteria results'!$F$5=4,"",Stochastic!R$11+'Input data'!G75)</f>
        <v>5.6354086242410908</v>
      </c>
    </row>
    <row r="16" spans="1:50" x14ac:dyDescent="0.2">
      <c r="B16" s="5" t="s">
        <v>189</v>
      </c>
      <c r="C16" s="83">
        <f>C$11</f>
        <v>72.584819999999993</v>
      </c>
      <c r="D16" s="83">
        <f t="shared" si="0"/>
        <v>73.511610584961744</v>
      </c>
      <c r="E16" s="83">
        <f t="shared" si="0"/>
        <v>75.830716179102311</v>
      </c>
      <c r="F16" s="83">
        <f t="shared" si="0"/>
        <v>80.48745186650369</v>
      </c>
      <c r="G16" s="83">
        <f t="shared" si="0"/>
        <v>82.275441313739478</v>
      </c>
      <c r="H16" s="83">
        <f t="shared" si="0"/>
        <v>82.541625659639379</v>
      </c>
      <c r="I16" s="83">
        <f t="shared" si="0"/>
        <v>81.323119123411445</v>
      </c>
      <c r="J16" s="83">
        <f t="shared" si="0"/>
        <v>78.420156567126583</v>
      </c>
      <c r="K16" s="83">
        <f>K11</f>
        <v>73.904721542930275</v>
      </c>
      <c r="L16" s="83">
        <f>L11</f>
        <v>67.775534644448115</v>
      </c>
      <c r="M16" s="83">
        <f>M11</f>
        <v>60.02265064705545</v>
      </c>
      <c r="N16" s="83">
        <f>N11</f>
        <v>50.912795362206339</v>
      </c>
      <c r="O16" s="83">
        <f>O11</f>
        <v>41.14546213570047</v>
      </c>
      <c r="P16" s="83">
        <f>IF('Criteria results'!$F$5=4,"",Stochastic!P$11)</f>
        <v>30.707870482134656</v>
      </c>
      <c r="Q16" s="83">
        <f>IF('Criteria results'!$F$5=4,"",Stochastic!Q$11)</f>
        <v>20.644235955781806</v>
      </c>
      <c r="R16" s="83">
        <f>IF('Criteria results'!$F$5=4,"",Stochastic!R$11)</f>
        <v>10.506159051487185</v>
      </c>
    </row>
    <row r="17" spans="2:18" x14ac:dyDescent="0.2">
      <c r="B17" s="5" t="s">
        <v>155</v>
      </c>
      <c r="C17" s="83">
        <f>C$11</f>
        <v>72.584819999999993</v>
      </c>
      <c r="D17" s="83">
        <f t="shared" si="0"/>
        <v>73.511610584961744</v>
      </c>
      <c r="E17" s="83">
        <f t="shared" si="0"/>
        <v>75.830716179102311</v>
      </c>
      <c r="F17" s="83">
        <f t="shared" si="0"/>
        <v>80.48745186650369</v>
      </c>
      <c r="G17" s="83">
        <f t="shared" si="0"/>
        <v>82.275441313739478</v>
      </c>
      <c r="H17" s="83">
        <f t="shared" si="0"/>
        <v>82.541625659639379</v>
      </c>
      <c r="I17" s="83">
        <f t="shared" si="0"/>
        <v>81.323119123411445</v>
      </c>
      <c r="J17" s="83">
        <f t="shared" si="0"/>
        <v>78.420156567126583</v>
      </c>
      <c r="K17" s="83">
        <f>IF('Criteria results'!$F$5=4,K$11+'Input data'!C76,K$11)</f>
        <v>73.904721542930275</v>
      </c>
      <c r="L17" s="83">
        <f>IF('Criteria results'!$F$5=4,L$11+'Input data'!D76,L$11)</f>
        <v>67.775534644448115</v>
      </c>
      <c r="M17" s="83">
        <f>IF('Criteria results'!$F$5=4,M$11+'Input data'!E76,M$11)</f>
        <v>60.02265064705545</v>
      </c>
      <c r="N17" s="83">
        <f>IF('Criteria results'!$F$5=4,N$11+'Input data'!F76,N$11+'Input data'!C76)</f>
        <v>53.250548658104776</v>
      </c>
      <c r="O17" s="83">
        <f>IF('Criteria results'!$F$5=4,O$11+'Input data'!G76,O$11+'Input data'!D76)</f>
        <v>44.320304970173126</v>
      </c>
      <c r="P17" s="83">
        <f>IF('Criteria results'!$F$5=4,"",Stochastic!P$11+'Input data'!E76)</f>
        <v>34.561302183794808</v>
      </c>
      <c r="Q17" s="83">
        <f>IF('Criteria results'!$F$5=4,"",Stochastic!Q$11+'Input data'!F76)</f>
        <v>25.373308526582587</v>
      </c>
      <c r="R17" s="83">
        <f>IF('Criteria results'!$F$5=4,"",Stochastic!R$11+'Input data'!G76)</f>
        <v>15.672601922580935</v>
      </c>
    </row>
    <row r="18" spans="2:18" x14ac:dyDescent="0.2">
      <c r="B18" s="5" t="s">
        <v>156</v>
      </c>
      <c r="C18" s="83">
        <f>C$11</f>
        <v>72.584819999999993</v>
      </c>
      <c r="D18" s="83">
        <f t="shared" si="0"/>
        <v>73.511610584961744</v>
      </c>
      <c r="E18" s="83">
        <f t="shared" si="0"/>
        <v>75.830716179102311</v>
      </c>
      <c r="F18" s="83">
        <f t="shared" si="0"/>
        <v>80.48745186650369</v>
      </c>
      <c r="G18" s="83">
        <f t="shared" si="0"/>
        <v>82.275441313739478</v>
      </c>
      <c r="H18" s="83">
        <f t="shared" si="0"/>
        <v>82.541625659639379</v>
      </c>
      <c r="I18" s="83">
        <f t="shared" si="0"/>
        <v>81.323119123411445</v>
      </c>
      <c r="J18" s="83">
        <f t="shared" si="0"/>
        <v>78.420156567126583</v>
      </c>
      <c r="K18" s="83">
        <f>IF('Criteria results'!$F$5=4,K$11+'Input data'!C77,K$11)</f>
        <v>73.904721542930275</v>
      </c>
      <c r="L18" s="83">
        <f>IF('Criteria results'!$F$5=4,L$11+'Input data'!D77,L$11)</f>
        <v>67.775534644448115</v>
      </c>
      <c r="M18" s="83">
        <f>IF('Criteria results'!$F$5=4,M$11+'Input data'!E77,M$11)</f>
        <v>60.02265064705545</v>
      </c>
      <c r="N18" s="83">
        <f>IF('Criteria results'!$F$5=4,N$11+'Input data'!F77,N$11+'Input data'!C77)</f>
        <v>56.724852857323526</v>
      </c>
      <c r="O18" s="83">
        <f>IF('Criteria results'!$F$5=4,O$11+'Input data'!G77,O$11+'Input data'!D77)</f>
        <v>49.250755409626251</v>
      </c>
      <c r="P18" s="83">
        <f>IF('Criteria results'!$F$5=4,"",Stochastic!P$11+'Input data'!E77)</f>
        <v>40.480209349322152</v>
      </c>
      <c r="Q18" s="83">
        <f>IF('Criteria results'!$F$5=4,"",Stochastic!Q$11+'Input data'!F77)</f>
        <v>32.185640679902903</v>
      </c>
      <c r="R18" s="83">
        <f>IF('Criteria results'!$F$5=4,"",Stochastic!R$11+'Input data'!G77)</f>
        <v>23.394075616428591</v>
      </c>
    </row>
    <row r="20" spans="2:18" s="67" customFormat="1" ht="11.25" x14ac:dyDescent="0.2">
      <c r="B20" s="90" t="s">
        <v>157</v>
      </c>
    </row>
    <row r="21" spans="2:18" s="26" customFormat="1" x14ac:dyDescent="0.2">
      <c r="B21" s="81" t="str">
        <f>"Stochastic debt projections "&amp;E21&amp;"-"&amp;I21</f>
        <v>Stochastic debt projections 2032-2036</v>
      </c>
      <c r="C21" s="82">
        <f>IF('Criteria results'!$F$5=4,I10,L10)</f>
        <v>2030</v>
      </c>
      <c r="D21" s="82">
        <f>IF('Criteria results'!$F$5=4,J10,M10)</f>
        <v>2031</v>
      </c>
      <c r="E21" s="82">
        <f>IF('Criteria results'!$F$5=4,K10,N10)</f>
        <v>2032</v>
      </c>
      <c r="F21" s="82">
        <f>IF('Criteria results'!$F$5=4,L10,O10)</f>
        <v>2033</v>
      </c>
      <c r="G21" s="82">
        <f>IF('Criteria results'!$F$5=4,M10,P10)</f>
        <v>2034</v>
      </c>
      <c r="H21" s="82">
        <f>IF('Criteria results'!$F$5=4,N10,Q10)</f>
        <v>2035</v>
      </c>
      <c r="I21" s="82">
        <f>IF('Criteria results'!$F$5=4,O10,R10)</f>
        <v>2036</v>
      </c>
    </row>
    <row r="22" spans="2:18" x14ac:dyDescent="0.2">
      <c r="B22" s="5" t="s">
        <v>153</v>
      </c>
      <c r="C22" s="83">
        <f>IF('Criteria results'!$F$5=4,I$11,L$11)</f>
        <v>67.775534644448115</v>
      </c>
      <c r="D22" s="83">
        <f>IF('Criteria results'!$F$5=4,J$11,M$11)</f>
        <v>60.02265064705545</v>
      </c>
      <c r="E22" s="83">
        <f>IF('Criteria results'!$F$5=4,K$11+'Input data'!C74,N$11+'Input data'!C74)</f>
        <v>45.402877149315714</v>
      </c>
      <c r="F22" s="83">
        <f>IF('Criteria results'!$F$5=4,L$11+'Input data'!D74,O$11+'Input data'!D74)</f>
        <v>33.409874061970001</v>
      </c>
      <c r="G22" s="83">
        <f>IF('Criteria results'!$F$5=4,M$11+'Input data'!E74,P$11+'Input data'!E74)</f>
        <v>21.387054442095593</v>
      </c>
      <c r="H22" s="83">
        <f>IF('Criteria results'!$F$5=4,N$11+'Input data'!F74,Q$11+'Input data'!F74)</f>
        <v>9.8950904479693058</v>
      </c>
      <c r="I22" s="83">
        <f>IF('Criteria results'!$F$5=4,O$11+'Input data'!G74,R$11+'Input data'!G74)</f>
        <v>-1.104360357692503</v>
      </c>
      <c r="P22" s="83"/>
      <c r="Q22" s="83"/>
      <c r="R22" s="83"/>
    </row>
    <row r="23" spans="2:18" x14ac:dyDescent="0.2">
      <c r="B23" s="5" t="s">
        <v>158</v>
      </c>
      <c r="C23" s="83">
        <v>0</v>
      </c>
      <c r="D23" s="83">
        <v>0</v>
      </c>
      <c r="E23" s="83">
        <f>'Input data'!C75-'Input data'!C74</f>
        <v>3.1826324462890625</v>
      </c>
      <c r="F23" s="83">
        <f>'Input data'!D75-'Input data'!D74</f>
        <v>4.539520263671875</v>
      </c>
      <c r="G23" s="83">
        <f>'Input data'!E75-'Input data'!E74</f>
        <v>5.4795684814453125</v>
      </c>
      <c r="H23" s="83">
        <f>'Input data'!F75-'Input data'!F74</f>
        <v>6.311798095703125</v>
      </c>
      <c r="I23" s="83">
        <f>'Input data'!G75-'Input data'!G74</f>
        <v>6.7397689819335938</v>
      </c>
      <c r="P23" s="83"/>
      <c r="Q23" s="83"/>
      <c r="R23" s="83"/>
    </row>
    <row r="24" spans="2:18" x14ac:dyDescent="0.2">
      <c r="B24" s="5" t="s">
        <v>159</v>
      </c>
      <c r="C24" s="83">
        <v>0</v>
      </c>
      <c r="D24" s="83">
        <v>0</v>
      </c>
      <c r="E24" s="83">
        <f>-'Input data'!C75</f>
        <v>2.3272857666015625</v>
      </c>
      <c r="F24" s="83">
        <f>-'Input data'!D75</f>
        <v>3.1960678100585938</v>
      </c>
      <c r="G24" s="83">
        <f>-'Input data'!E75</f>
        <v>3.84124755859375</v>
      </c>
      <c r="H24" s="83">
        <f>-'Input data'!F75</f>
        <v>4.437347412109375</v>
      </c>
      <c r="I24" s="83">
        <f>-'Input data'!G75</f>
        <v>4.8707504272460938</v>
      </c>
      <c r="P24" s="83"/>
      <c r="Q24" s="83"/>
      <c r="R24" s="83"/>
    </row>
    <row r="25" spans="2:18" x14ac:dyDescent="0.2">
      <c r="B25" s="5" t="s">
        <v>160</v>
      </c>
      <c r="C25" s="83">
        <v>0</v>
      </c>
      <c r="D25" s="83">
        <v>0</v>
      </c>
      <c r="E25" s="83">
        <f>'Input data'!C76</f>
        <v>2.3377532958984375</v>
      </c>
      <c r="F25" s="83">
        <f>'Input data'!D76</f>
        <v>3.1748428344726563</v>
      </c>
      <c r="G25" s="83">
        <f>'Input data'!E76</f>
        <v>3.8534317016601563</v>
      </c>
      <c r="H25" s="83">
        <f>'Input data'!F76</f>
        <v>4.7290725708007813</v>
      </c>
      <c r="I25" s="83">
        <f>'Input data'!G76</f>
        <v>5.16644287109375</v>
      </c>
      <c r="P25" s="83"/>
      <c r="Q25" s="83"/>
      <c r="R25" s="83"/>
    </row>
    <row r="26" spans="2:18" x14ac:dyDescent="0.2">
      <c r="B26" s="5" t="s">
        <v>161</v>
      </c>
      <c r="C26" s="83">
        <v>0</v>
      </c>
      <c r="D26" s="83">
        <v>0</v>
      </c>
      <c r="E26" s="83">
        <f>'Input data'!C77-'Input data'!C76</f>
        <v>3.47430419921875</v>
      </c>
      <c r="F26" s="83">
        <f>'Input data'!D77-'Input data'!D76</f>
        <v>4.930450439453125</v>
      </c>
      <c r="G26" s="83">
        <f>'Input data'!E77-'Input data'!E76</f>
        <v>5.9189071655273438</v>
      </c>
      <c r="H26" s="83">
        <f>'Input data'!F77-'Input data'!F76</f>
        <v>6.8123321533203125</v>
      </c>
      <c r="I26" s="83">
        <f>'Input data'!G77-'Input data'!G76</f>
        <v>7.7214736938476563</v>
      </c>
      <c r="P26" s="83"/>
      <c r="Q26" s="83"/>
      <c r="R26" s="83"/>
    </row>
    <row r="27" spans="2:18" x14ac:dyDescent="0.2">
      <c r="B27" s="5" t="s">
        <v>153</v>
      </c>
      <c r="C27" s="83">
        <f>IF('Criteria results'!$F$5=4,I$11,L$11)</f>
        <v>67.775534644448115</v>
      </c>
      <c r="D27" s="83">
        <f>IF('Criteria results'!$F$5=4,J$11,M$11)</f>
        <v>60.02265064705545</v>
      </c>
      <c r="E27" s="83">
        <f>IF('Criteria results'!$F$5=4,K$11+'Input data'!C74,N$11+'Input data'!C74)</f>
        <v>45.402877149315714</v>
      </c>
      <c r="F27" s="83">
        <f>IF('Criteria results'!$F$5=4,L$11+'Input data'!D74,O$11+'Input data'!D74)</f>
        <v>33.409874061970001</v>
      </c>
      <c r="G27" s="83">
        <f>IF('Criteria results'!$F$5=4,M$11+'Input data'!E74,P$11+'Input data'!E74)</f>
        <v>21.387054442095593</v>
      </c>
      <c r="H27" s="83">
        <f>IF('Criteria results'!$F$5=4,N$11+'Input data'!F74,Q$11+'Input data'!F74)</f>
        <v>9.8950904479693058</v>
      </c>
      <c r="I27" s="83">
        <f>IF('Criteria results'!$F$5=4,O$11+'Input data'!G74,R$11+'Input data'!G74)</f>
        <v>-1.104360357692503</v>
      </c>
    </row>
    <row r="28" spans="2:18" x14ac:dyDescent="0.2">
      <c r="B28" s="5" t="s">
        <v>154</v>
      </c>
      <c r="C28" s="83">
        <f>IF('Criteria results'!$F$5=4,I$11,L$11)</f>
        <v>67.775534644448115</v>
      </c>
      <c r="D28" s="83">
        <f>IF('Criteria results'!$F$5=4,J$11,M$11)</f>
        <v>60.02265064705545</v>
      </c>
      <c r="E28" s="83">
        <f>IF('Criteria results'!$F$5=4,K$11+'Input data'!C75,N$11+'Input data'!C75)</f>
        <v>48.585509595604776</v>
      </c>
      <c r="F28" s="83">
        <f>IF('Criteria results'!$F$5=4,L$11+'Input data'!D75,O$11+'Input data'!D75)</f>
        <v>37.949394325641876</v>
      </c>
      <c r="G28" s="83">
        <f>IF('Criteria results'!$F$5=4,M$11+'Input data'!E75,P$11+'Input data'!E75)</f>
        <v>26.866622923540906</v>
      </c>
      <c r="H28" s="83">
        <f>IF('Criteria results'!$F$5=4,N$11+'Input data'!F75,Q$11+'Input data'!F75)</f>
        <v>16.206888543672431</v>
      </c>
      <c r="I28" s="83">
        <f>IF('Criteria results'!$F$5=4,O$11+'Input data'!G75,R$11+'Input data'!G75)</f>
        <v>5.6354086242410908</v>
      </c>
      <c r="P28" s="83"/>
      <c r="Q28" s="83"/>
      <c r="R28" s="83"/>
    </row>
    <row r="29" spans="2:18" x14ac:dyDescent="0.2">
      <c r="B29" s="5" t="s">
        <v>162</v>
      </c>
      <c r="C29" s="83">
        <f>IF('Criteria results'!$F$5=4,I$11,L$11)</f>
        <v>67.775534644448115</v>
      </c>
      <c r="D29" s="83">
        <f>IF('Criteria results'!$F$5=4,J$11,M$11)</f>
        <v>60.02265064705545</v>
      </c>
      <c r="E29" s="83">
        <f>IF('Criteria results'!$F$5=4,K$11,N$11)</f>
        <v>50.912795362206339</v>
      </c>
      <c r="F29" s="83">
        <f>IF('Criteria results'!$F$5=4,L$11,O$11)</f>
        <v>41.14546213570047</v>
      </c>
      <c r="G29" s="83">
        <f>IF('Criteria results'!$F$5=4,M$11,P$11)</f>
        <v>30.707870482134656</v>
      </c>
      <c r="H29" s="83">
        <f>IF('Criteria results'!$F$5=4,N$11,Q$11)</f>
        <v>20.644235955781806</v>
      </c>
      <c r="I29" s="83">
        <f>IF('Criteria results'!$F$5=4,O$11,R$11)</f>
        <v>10.506159051487185</v>
      </c>
      <c r="P29" s="83"/>
      <c r="Q29" s="83"/>
      <c r="R29" s="83"/>
    </row>
    <row r="30" spans="2:18" x14ac:dyDescent="0.2">
      <c r="B30" s="5" t="s">
        <v>155</v>
      </c>
      <c r="C30" s="83">
        <f>IF('Criteria results'!$F$5=4,I$11,L$11)</f>
        <v>67.775534644448115</v>
      </c>
      <c r="D30" s="83">
        <f>IF('Criteria results'!$F$5=4,J$11,M$11)</f>
        <v>60.02265064705545</v>
      </c>
      <c r="E30" s="83">
        <f>IF('Criteria results'!$F$5=4,K$11+'Input data'!C76,N$11+'Input data'!C76)</f>
        <v>53.250548658104776</v>
      </c>
      <c r="F30" s="83">
        <f>IF('Criteria results'!$F$5=4,L$11+'Input data'!D76,O$11+'Input data'!D76)</f>
        <v>44.320304970173126</v>
      </c>
      <c r="G30" s="83">
        <f>IF('Criteria results'!$F$5=4,M$11+'Input data'!E76,P$11+'Input data'!E76)</f>
        <v>34.561302183794808</v>
      </c>
      <c r="H30" s="83">
        <f>IF('Criteria results'!$F$5=4,N$11+'Input data'!F76,Q$11+'Input data'!F76)</f>
        <v>25.373308526582587</v>
      </c>
      <c r="I30" s="83">
        <f>IF('Criteria results'!$F$5=4,O$11+'Input data'!G76,R$11+'Input data'!G76)</f>
        <v>15.672601922580935</v>
      </c>
      <c r="J30" s="83"/>
      <c r="K30" s="83"/>
      <c r="L30" s="83"/>
      <c r="M30" s="83"/>
      <c r="N30" s="83"/>
      <c r="O30" s="83"/>
    </row>
    <row r="31" spans="2:18" x14ac:dyDescent="0.2">
      <c r="B31" s="5" t="s">
        <v>156</v>
      </c>
      <c r="C31" s="83">
        <f>IF('Criteria results'!$F$5=4,I$11,L$11)</f>
        <v>67.775534644448115</v>
      </c>
      <c r="D31" s="83">
        <f>IF('Criteria results'!$F$5=4,J$11,M$11)</f>
        <v>60.02265064705545</v>
      </c>
      <c r="E31" s="83">
        <f>IF('Criteria results'!$F$5=4,K$11+'Input data'!C77,N$11+'Input data'!C77)</f>
        <v>56.724852857323526</v>
      </c>
      <c r="F31" s="83">
        <f>IF('Criteria results'!$F$5=4,L$11+'Input data'!D77,O$11+'Input data'!D77)</f>
        <v>49.250755409626251</v>
      </c>
      <c r="G31" s="83">
        <f>IF('Criteria results'!$F$5=4,M$11+'Input data'!E77,P$11+'Input data'!E77)</f>
        <v>40.480209349322152</v>
      </c>
      <c r="H31" s="83">
        <f>IF('Criteria results'!$F$5=4,N$11+'Input data'!F77,Q$11+'Input data'!F77)</f>
        <v>32.185640679902903</v>
      </c>
      <c r="I31" s="83">
        <f>IF('Criteria results'!$F$5=4,O$11+'Input data'!G77,R$11+'Input data'!G77)</f>
        <v>23.394075616428591</v>
      </c>
    </row>
  </sheetData>
  <pageMargins left="0.7" right="0.7" top="0.75" bottom="0.75" header="0.3" footer="0.3"/>
  <pageSetup paperSize="9" orientation="portrait" r:id="rId1"/>
  <ignoredErrors>
    <ignoredError sqref="C5:C6" unlockedFormula="1"/>
  </ignoredErrors>
  <drawing r:id="rId2"/>
</worksheet>
</file>

<file path=xl/worksheets/sheet1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10FFD891-C40B-4DD5-A43C-645C26D0DC6D}">
  <sheetPr codeName="Sheet22">
    <tabColor rgb="FF7030A0"/>
  </sheetPr>
  <dimension ref="A1:Y63"/>
  <sheetViews>
    <sheetView zoomScale="90" zoomScaleNormal="90" workbookViewId="0"/>
  </sheetViews>
  <sheetFormatPr defaultRowHeight="12.75" x14ac:dyDescent="0.2"/>
  <cols>
    <col min="2" max="2" width="4.5703125" customWidth="1"/>
    <col min="3" max="3" width="67" customWidth="1"/>
    <col min="4" max="4" width="16.5703125" customWidth="1"/>
    <col min="5" max="5" width="13.7109375" customWidth="1"/>
    <col min="6" max="24" width="10.7109375" customWidth="1"/>
  </cols>
  <sheetData>
    <row r="1" spans="1:25" x14ac:dyDescent="0.2">
      <c r="A1" s="5"/>
      <c r="B1" s="5"/>
      <c r="C1" s="5"/>
      <c r="D1" s="5"/>
      <c r="E1" s="5"/>
      <c r="F1" s="5"/>
      <c r="G1" s="5"/>
      <c r="H1" s="5"/>
      <c r="I1" s="5"/>
      <c r="J1" s="5"/>
      <c r="K1" s="5"/>
      <c r="L1" s="5"/>
      <c r="M1" s="5"/>
      <c r="N1" s="5"/>
      <c r="O1" s="5"/>
      <c r="P1" s="5"/>
      <c r="Q1" s="5"/>
      <c r="R1" s="5"/>
      <c r="S1" s="5"/>
      <c r="T1" s="5"/>
      <c r="U1" s="5"/>
      <c r="V1" s="5"/>
      <c r="W1" s="5"/>
      <c r="X1" s="5"/>
      <c r="Y1" s="5"/>
    </row>
    <row r="2" spans="1:25" x14ac:dyDescent="0.2">
      <c r="A2" s="5"/>
      <c r="B2" s="330"/>
      <c r="C2" s="331" t="s">
        <v>219</v>
      </c>
      <c r="D2" s="332"/>
      <c r="E2" s="332"/>
      <c r="F2" s="332"/>
      <c r="G2" s="348"/>
      <c r="H2" s="348"/>
      <c r="I2" s="348"/>
      <c r="J2" s="348"/>
      <c r="K2" s="5"/>
      <c r="L2" s="5"/>
      <c r="M2" s="5"/>
      <c r="N2" s="5"/>
      <c r="O2" s="5"/>
      <c r="P2" s="5"/>
      <c r="Q2" s="5"/>
      <c r="R2" s="5"/>
      <c r="S2" s="5"/>
      <c r="T2" s="5"/>
      <c r="U2" s="5"/>
      <c r="V2" s="5"/>
      <c r="W2" s="5"/>
      <c r="X2" s="5"/>
      <c r="Y2" s="5"/>
    </row>
    <row r="3" spans="1:25" x14ac:dyDescent="0.2">
      <c r="A3" s="5"/>
      <c r="B3" s="327"/>
      <c r="C3" s="348"/>
      <c r="D3" s="348"/>
      <c r="E3" s="348"/>
      <c r="F3" s="348"/>
      <c r="G3" s="348"/>
      <c r="H3" s="348"/>
      <c r="I3" s="348"/>
      <c r="J3" s="348"/>
      <c r="K3" s="5"/>
      <c r="L3" s="5"/>
      <c r="M3" s="5"/>
      <c r="N3" s="5"/>
      <c r="O3" s="5"/>
      <c r="P3" s="5"/>
      <c r="Q3" s="5"/>
      <c r="R3" s="5"/>
      <c r="S3" s="5"/>
      <c r="T3" s="5"/>
      <c r="U3" s="5"/>
      <c r="V3" s="5"/>
      <c r="W3" s="5"/>
      <c r="X3" s="5"/>
      <c r="Y3" s="5"/>
    </row>
    <row r="4" spans="1:25" x14ac:dyDescent="0.2">
      <c r="A4" s="5"/>
      <c r="B4" s="333"/>
      <c r="C4" s="331"/>
      <c r="D4" s="334" t="s">
        <v>240</v>
      </c>
      <c r="E4" s="335">
        <f>F4-1</f>
        <v>2022</v>
      </c>
      <c r="F4" s="336">
        <f>'Input data'!$C$5-1</f>
        <v>2023</v>
      </c>
      <c r="G4" s="336">
        <f>F4+1</f>
        <v>2024</v>
      </c>
      <c r="H4" s="336">
        <f t="shared" ref="H4:X4" si="0">G4+1</f>
        <v>2025</v>
      </c>
      <c r="I4" s="336">
        <f t="shared" si="0"/>
        <v>2026</v>
      </c>
      <c r="J4" s="336">
        <f t="shared" si="0"/>
        <v>2027</v>
      </c>
      <c r="K4" s="336">
        <f t="shared" si="0"/>
        <v>2028</v>
      </c>
      <c r="L4" s="336">
        <f t="shared" si="0"/>
        <v>2029</v>
      </c>
      <c r="M4" s="336">
        <f t="shared" si="0"/>
        <v>2030</v>
      </c>
      <c r="N4" s="336">
        <f t="shared" si="0"/>
        <v>2031</v>
      </c>
      <c r="O4" s="336">
        <f t="shared" si="0"/>
        <v>2032</v>
      </c>
      <c r="P4" s="336">
        <f t="shared" si="0"/>
        <v>2033</v>
      </c>
      <c r="Q4" s="336">
        <f t="shared" si="0"/>
        <v>2034</v>
      </c>
      <c r="R4" s="336">
        <f t="shared" si="0"/>
        <v>2035</v>
      </c>
      <c r="S4" s="336">
        <f t="shared" si="0"/>
        <v>2036</v>
      </c>
      <c r="T4" s="336">
        <f t="shared" si="0"/>
        <v>2037</v>
      </c>
      <c r="U4" s="336">
        <f t="shared" si="0"/>
        <v>2038</v>
      </c>
      <c r="V4" s="336">
        <f t="shared" si="0"/>
        <v>2039</v>
      </c>
      <c r="W4" s="336">
        <f t="shared" si="0"/>
        <v>2040</v>
      </c>
      <c r="X4" s="336">
        <f t="shared" si="0"/>
        <v>2041</v>
      </c>
      <c r="Y4" s="5"/>
    </row>
    <row r="5" spans="1:25" x14ac:dyDescent="0.2">
      <c r="A5" s="5"/>
      <c r="B5" s="333">
        <v>1</v>
      </c>
      <c r="C5" s="337" t="s">
        <v>220</v>
      </c>
      <c r="D5" s="338">
        <v>57</v>
      </c>
      <c r="E5" s="339" t="s">
        <v>221</v>
      </c>
      <c r="F5" s="326">
        <f ca="1">INDEX(OFFSET('Adjustment scenario'!$D$1:$W$1,$D5-1,0),MATCH(F$4,'Adjustment scenario'!$D$10:$W$10,0))</f>
        <v>76.578870779976697</v>
      </c>
      <c r="G5" s="326">
        <f ca="1">INDEX(OFFSET('Adjustment scenario'!$D$1:$W$1,$D5-1,0),MATCH(G$4,'Adjustment scenario'!$D$10:$W$10,0))</f>
        <v>81.66850402875248</v>
      </c>
      <c r="H5" s="326">
        <f ca="1">INDEX(OFFSET('Adjustment scenario'!$D$1:$W$1,$D5-1,0),MATCH(H$4,'Adjustment scenario'!$D$10:$W$10,0))</f>
        <v>83.441422258514947</v>
      </c>
      <c r="I5" s="326">
        <f ca="1">INDEX(OFFSET('Adjustment scenario'!$D$1:$W$1,$D5-1,0),MATCH(I$4,'Adjustment scenario'!$D$10:$W$10,0))</f>
        <v>83.908534577415139</v>
      </c>
      <c r="J5" s="326">
        <f ca="1">INDEX(OFFSET('Adjustment scenario'!$D$1:$W$1,$D5-1,0),MATCH(J$4,'Adjustment scenario'!$D$10:$W$10,0))</f>
        <v>84.10902658197098</v>
      </c>
      <c r="K5" s="326">
        <f ca="1">INDEX(OFFSET('Adjustment scenario'!$D$1:$W$1,$D5-1,0),MATCH(K$4,'Adjustment scenario'!$D$10:$W$10,0))</f>
        <v>83.878399410117026</v>
      </c>
      <c r="L5" s="326">
        <f ca="1">INDEX(OFFSET('Adjustment scenario'!$D$1:$W$1,$D5-1,0),MATCH(L$4,'Adjustment scenario'!$D$10:$W$10,0))</f>
        <v>83.20570609783087</v>
      </c>
      <c r="M5" s="326">
        <f ca="1">INDEX(OFFSET('Adjustment scenario'!$D$1:$W$1,$D5-1,0),MATCH(M$4,'Adjustment scenario'!$D$10:$W$10,0))</f>
        <v>82.18827987907585</v>
      </c>
      <c r="N5" s="326">
        <f ca="1">INDEX(OFFSET('Adjustment scenario'!$D$1:$W$1,$D5-1,0),MATCH(N$4,'Adjustment scenario'!$D$10:$W$10,0))</f>
        <v>80.914668079488663</v>
      </c>
      <c r="O5" s="326">
        <f ca="1">INDEX(OFFSET('Adjustment scenario'!$D$1:$W$1,$D5-1,0),MATCH(O$4,'Adjustment scenario'!$D$10:$W$10,0))</f>
        <v>79.29990148872939</v>
      </c>
      <c r="P5" s="326">
        <f ca="1">INDEX(OFFSET('Adjustment scenario'!$D$1:$W$1,$D5-1,0),MATCH(P$4,'Adjustment scenario'!$D$10:$W$10,0))</f>
        <v>77.352546338845627</v>
      </c>
      <c r="Q5" s="326">
        <f ca="1">INDEX(OFFSET('Adjustment scenario'!$D$1:$W$1,$D5-1,0),MATCH(Q$4,'Adjustment scenario'!$D$10:$W$10,0))</f>
        <v>74.998123390225075</v>
      </c>
      <c r="R5" s="326">
        <f ca="1">INDEX(OFFSET('Adjustment scenario'!$D$1:$W$1,$D5-1,0),MATCH(R$4,'Adjustment scenario'!$D$10:$W$10,0))</f>
        <v>72.599115049883636</v>
      </c>
      <c r="S5" s="326">
        <f ca="1">INDEX(OFFSET('Adjustment scenario'!$D$1:$W$1,$D5-1,0),MATCH(S$4,'Adjustment scenario'!$D$10:$W$10,0))</f>
        <v>69.935944132772903</v>
      </c>
      <c r="T5" s="326">
        <f ca="1">INDEX(OFFSET('Adjustment scenario'!$D$1:$W$1,$D5-1,0),MATCH(T$4,'Adjustment scenario'!$D$10:$W$10,0))</f>
        <v>67.088369119182886</v>
      </c>
      <c r="U5" s="326">
        <f ca="1">INDEX(OFFSET('Adjustment scenario'!$D$1:$W$1,$D5-1,0),MATCH(U$4,'Adjustment scenario'!$D$10:$W$10,0))</f>
        <v>64.060122058661051</v>
      </c>
      <c r="V5" s="326">
        <f ca="1">INDEX(OFFSET('Adjustment scenario'!$D$1:$W$1,$D5-1,0),MATCH(V$4,'Adjustment scenario'!$D$10:$W$10,0))</f>
        <v>60.83057974090174</v>
      </c>
      <c r="W5" s="326">
        <f ca="1">INDEX(OFFSET('Adjustment scenario'!$D$1:$W$1,$D5-1,0),MATCH(W$4,'Adjustment scenario'!$D$10:$W$10,0))</f>
        <v>57.412777952403559</v>
      </c>
      <c r="X5" s="326">
        <f ca="1">INDEX(OFFSET('Adjustment scenario'!$D$1:$W$1,$D5-1,0),MATCH(X$4,'Adjustment scenario'!$D$10:$W$10,0))</f>
        <v>53.876830744856107</v>
      </c>
      <c r="Y5" s="5"/>
    </row>
    <row r="6" spans="1:25" x14ac:dyDescent="0.2">
      <c r="A6" s="5"/>
      <c r="B6" s="333">
        <v>2</v>
      </c>
      <c r="C6" s="337" t="s">
        <v>222</v>
      </c>
      <c r="D6" s="338">
        <v>77</v>
      </c>
      <c r="E6" s="339" t="s">
        <v>221</v>
      </c>
      <c r="F6" s="326">
        <f ca="1">INDEX(OFFSET('Adjustment scenario'!$D$1:$W$1,$D6-1,0),MATCH(F$4,'Adjustment scenario'!$D$10:$W$10,0))</f>
        <v>-2.6726757914889614</v>
      </c>
      <c r="G6" s="326">
        <f ca="1">INDEX(OFFSET('Adjustment scenario'!$D$1:$W$1,$D6-1,0),MATCH(G$4,'Adjustment scenario'!$D$10:$W$10,0))</f>
        <v>-3.4219467638675867</v>
      </c>
      <c r="H6" s="326">
        <f ca="1">INDEX(OFFSET('Adjustment scenario'!$D$1:$W$1,$D6-1,0),MATCH(H$4,'Adjustment scenario'!$D$10:$W$10,0))</f>
        <v>-2.326768753785426</v>
      </c>
      <c r="I6" s="326">
        <f ca="1">INDEX(OFFSET('Adjustment scenario'!$D$1:$W$1,$D6-1,0),MATCH(I$4,'Adjustment scenario'!$D$10:$W$10,0))</f>
        <v>-1.7021517594360196</v>
      </c>
      <c r="J6" s="326">
        <f ca="1">INDEX(OFFSET('Adjustment scenario'!$D$1:$W$1,$D6-1,0),MATCH(J$4,'Adjustment scenario'!$D$10:$W$10,0))</f>
        <v>-1.201329116817921</v>
      </c>
      <c r="K6" s="326">
        <f ca="1">INDEX(OFFSET('Adjustment scenario'!$D$1:$W$1,$D6-1,0),MATCH(K$4,'Adjustment scenario'!$D$10:$W$10,0))</f>
        <v>-0.72127460976883762</v>
      </c>
      <c r="L6" s="326">
        <f ca="1">INDEX(OFFSET('Adjustment scenario'!$D$1:$W$1,$D6-1,0),MATCH(L$4,'Adjustment scenario'!$D$10:$W$10,0))</f>
        <v>-0.32831297484091371</v>
      </c>
      <c r="M6" s="326">
        <f ca="1">INDEX(OFFSET('Adjustment scenario'!$D$1:$W$1,$D6-1,0),MATCH(M$4,'Adjustment scenario'!$D$10:$W$10,0))</f>
        <v>-2.2529149008824634E-2</v>
      </c>
      <c r="N6" s="326">
        <f ca="1">INDEX(OFFSET('Adjustment scenario'!$D$1:$W$1,$D6-1,0),MATCH(N$4,'Adjustment scenario'!$D$10:$W$10,0))</f>
        <v>0.30576841222814455</v>
      </c>
      <c r="O6" s="326">
        <f ca="1">INDEX(OFFSET('Adjustment scenario'!$D$1:$W$1,$D6-1,0),MATCH(O$4,'Adjustment scenario'!$D$10:$W$10,0))</f>
        <v>0.43743075054684422</v>
      </c>
      <c r="P6" s="326">
        <f ca="1">INDEX(OFFSET('Adjustment scenario'!$D$1:$W$1,$D6-1,0),MATCH(P$4,'Adjustment scenario'!$D$10:$W$10,0))</f>
        <v>0.61230499405420069</v>
      </c>
      <c r="Q6" s="326">
        <f ca="1">INDEX(OFFSET('Adjustment scenario'!$D$1:$W$1,$D6-1,0),MATCH(Q$4,'Adjustment scenario'!$D$10:$W$10,0))</f>
        <v>0.8017108834321558</v>
      </c>
      <c r="R6" s="326">
        <f ca="1">INDEX(OFFSET('Adjustment scenario'!$D$1:$W$1,$D6-1,0),MATCH(R$4,'Adjustment scenario'!$D$10:$W$10,0))</f>
        <v>0.84886824357458868</v>
      </c>
      <c r="S6" s="326">
        <f ca="1">INDEX(OFFSET('Adjustment scenario'!$D$1:$W$1,$D6-1,0),MATCH(S$4,'Adjustment scenario'!$D$10:$W$10,0))</f>
        <v>0.92085322811608328</v>
      </c>
      <c r="T6" s="326">
        <f ca="1">INDEX(OFFSET('Adjustment scenario'!$D$1:$W$1,$D6-1,0),MATCH(T$4,'Adjustment scenario'!$D$10:$W$10,0))</f>
        <v>1.0188651346183759</v>
      </c>
      <c r="U6" s="326">
        <f ca="1">INDEX(OFFSET('Adjustment scenario'!$D$1:$W$1,$D6-1,0),MATCH(U$4,'Adjustment scenario'!$D$10:$W$10,0))</f>
        <v>1.1386134110963988</v>
      </c>
      <c r="V6" s="326">
        <f ca="1">INDEX(OFFSET('Adjustment scenario'!$D$1:$W$1,$D6-1,0),MATCH(V$4,'Adjustment scenario'!$D$10:$W$10,0))</f>
        <v>1.2789686505531022</v>
      </c>
      <c r="W6" s="326">
        <f ca="1">INDEX(OFFSET('Adjustment scenario'!$D$1:$W$1,$D6-1,0),MATCH(W$4,'Adjustment scenario'!$D$10:$W$10,0))</f>
        <v>1.4246313013184415</v>
      </c>
      <c r="X6" s="326">
        <f ca="1">INDEX(OFFSET('Adjustment scenario'!$D$1:$W$1,$D6-1,0),MATCH(X$4,'Adjustment scenario'!$D$10:$W$10,0))</f>
        <v>1.5585273602175431</v>
      </c>
      <c r="Y6" s="5"/>
    </row>
    <row r="7" spans="1:25" x14ac:dyDescent="0.2">
      <c r="A7" s="5"/>
      <c r="B7" s="333">
        <v>3</v>
      </c>
      <c r="C7" s="337" t="s">
        <v>40</v>
      </c>
      <c r="D7" s="338">
        <v>12</v>
      </c>
      <c r="E7" s="339" t="s">
        <v>223</v>
      </c>
      <c r="F7" s="326">
        <f ca="1">INDEX(OFFSET('Adjustment scenario'!$D$1:$W$1,$D7-1,0),MATCH(F$4,'Adjustment scenario'!$D$10:$W$10,0))</f>
        <v>-0.2445959</v>
      </c>
      <c r="G7" s="326">
        <f ca="1">INDEX(OFFSET('Adjustment scenario'!$D$1:$W$1,$D7-1,0),MATCH(G$4,'Adjustment scenario'!$D$10:$W$10,0))</f>
        <v>-0.53010330000000006</v>
      </c>
      <c r="H7" s="326">
        <f ca="1">INDEX(OFFSET('Adjustment scenario'!$D$1:$W$1,$D7-1,0),MATCH(H$4,'Adjustment scenario'!$D$10:$W$10,0))</f>
        <v>0.8</v>
      </c>
      <c r="I7" s="326">
        <f ca="1">INDEX(OFFSET('Adjustment scenario'!$D$1:$W$1,$D7-1,0),MATCH(I$4,'Adjustment scenario'!$D$10:$W$10,0))</f>
        <v>1.1000000000000001</v>
      </c>
      <c r="J7" s="326">
        <f ca="1">INDEX(OFFSET('Adjustment scenario'!$D$1:$W$1,$D7-1,0),MATCH(J$4,'Adjustment scenario'!$D$10:$W$10,0))</f>
        <v>1.4</v>
      </c>
      <c r="K7" s="326">
        <f ca="1">INDEX(OFFSET('Adjustment scenario'!$D$1:$W$1,$D7-1,0),MATCH(K$4,'Adjustment scenario'!$D$10:$W$10,0))</f>
        <v>1.8</v>
      </c>
      <c r="L7" s="326">
        <f ca="1">INDEX(OFFSET('Adjustment scenario'!$D$1:$W$1,$D7-1,0),MATCH(L$4,'Adjustment scenario'!$D$10:$W$10,0))</f>
        <v>2.1</v>
      </c>
      <c r="M7" s="326">
        <f ca="1">INDEX(OFFSET('Adjustment scenario'!$D$1:$W$1,$D7-1,0),MATCH(M$4,'Adjustment scenario'!$D$10:$W$10,0))</f>
        <v>2.2999999999999998</v>
      </c>
      <c r="N7" s="326">
        <f ca="1">INDEX(OFFSET('Adjustment scenario'!$D$1:$W$1,$D7-1,0),MATCH(N$4,'Adjustment scenario'!$D$10:$W$10,0))</f>
        <v>2.6</v>
      </c>
      <c r="O7" s="326">
        <f ca="1">INDEX(OFFSET('Adjustment scenario'!$D$1:$W$1,$D7-1,0),MATCH(O$4,'Adjustment scenario'!$D$10:$W$10,0))</f>
        <v>2.6</v>
      </c>
      <c r="P7" s="326">
        <f ca="1">INDEX(OFFSET('Adjustment scenario'!$D$1:$W$1,$D7-1,0),MATCH(P$4,'Adjustment scenario'!$D$10:$W$10,0))</f>
        <v>2.6</v>
      </c>
      <c r="Q7" s="326">
        <f ca="1">INDEX(OFFSET('Adjustment scenario'!$D$1:$W$1,$D7-1,0),MATCH(Q$4,'Adjustment scenario'!$D$10:$W$10,0))</f>
        <v>2.6</v>
      </c>
      <c r="R7" s="326">
        <f ca="1">INDEX(OFFSET('Adjustment scenario'!$D$1:$W$1,$D7-1,0),MATCH(R$4,'Adjustment scenario'!$D$10:$W$10,0))</f>
        <v>2.6</v>
      </c>
      <c r="S7" s="326">
        <f ca="1">INDEX(OFFSET('Adjustment scenario'!$D$1:$W$1,$D7-1,0),MATCH(S$4,'Adjustment scenario'!$D$10:$W$10,0))</f>
        <v>2.6</v>
      </c>
      <c r="T7" s="326">
        <f ca="1">INDEX(OFFSET('Adjustment scenario'!$D$1:$W$1,$D7-1,0),MATCH(T$4,'Adjustment scenario'!$D$10:$W$10,0))</f>
        <v>2.6</v>
      </c>
      <c r="U7" s="326">
        <f ca="1">INDEX(OFFSET('Adjustment scenario'!$D$1:$W$1,$D7-1,0),MATCH(U$4,'Adjustment scenario'!$D$10:$W$10,0))</f>
        <v>2.6</v>
      </c>
      <c r="V7" s="326">
        <f ca="1">INDEX(OFFSET('Adjustment scenario'!$D$1:$W$1,$D7-1,0),MATCH(V$4,'Adjustment scenario'!$D$10:$W$10,0))</f>
        <v>2.6</v>
      </c>
      <c r="W7" s="326">
        <f ca="1">INDEX(OFFSET('Adjustment scenario'!$D$1:$W$1,$D7-1,0),MATCH(W$4,'Adjustment scenario'!$D$10:$W$10,0))</f>
        <v>2.6</v>
      </c>
      <c r="X7" s="326">
        <f ca="1">INDEX(OFFSET('Adjustment scenario'!$D$1:$W$1,$D7-1,0),MATCH(X$4,'Adjustment scenario'!$D$10:$W$10,0))</f>
        <v>2.6</v>
      </c>
      <c r="Y7" s="5"/>
    </row>
    <row r="8" spans="1:25" x14ac:dyDescent="0.2">
      <c r="A8" s="5"/>
      <c r="B8" s="333">
        <v>4</v>
      </c>
      <c r="C8" s="337" t="s">
        <v>224</v>
      </c>
      <c r="D8" s="338">
        <v>62</v>
      </c>
      <c r="E8" s="339" t="s">
        <v>223</v>
      </c>
      <c r="F8" s="326">
        <f ca="1">INDEX(OFFSET('Adjustment scenario'!$D$1:$W$1,$D8-1,0),MATCH(F$4,'Adjustment scenario'!$D$10:$W$10,0))</f>
        <v>1.3078636941405704</v>
      </c>
      <c r="G8" s="326">
        <f ca="1">INDEX(OFFSET('Adjustment scenario'!$D$1:$W$1,$D8-1,0),MATCH(G$4,'Adjustment scenario'!$D$10:$W$10,0))</f>
        <v>1.6417181874013795</v>
      </c>
      <c r="H8" s="326">
        <f ca="1">INDEX(OFFSET('Adjustment scenario'!$D$1:$W$1,$D8-1,0),MATCH(H$4,'Adjustment scenario'!$D$10:$W$10,0))</f>
        <v>1.6256126436668916</v>
      </c>
      <c r="I8" s="326">
        <f ca="1">INDEX(OFFSET('Adjustment scenario'!$D$1:$W$1,$D8-1,0),MATCH(I$4,'Adjustment scenario'!$D$10:$W$10,0))</f>
        <v>1.2101684515168492</v>
      </c>
      <c r="J8" s="326">
        <f ca="1">INDEX(OFFSET('Adjustment scenario'!$D$1:$W$1,$D8-1,0),MATCH(J$4,'Adjustment scenario'!$D$10:$W$10,0))</f>
        <v>0.93425841494733952</v>
      </c>
      <c r="K8" s="326">
        <f ca="1">INDEX(OFFSET('Adjustment scenario'!$D$1:$W$1,$D8-1,0),MATCH(K$4,'Adjustment scenario'!$D$10:$W$10,0))</f>
        <v>0.79354720078881147</v>
      </c>
      <c r="L8" s="326">
        <f ca="1">INDEX(OFFSET('Adjustment scenario'!$D$1:$W$1,$D8-1,0),MATCH(L$4,'Adjustment scenario'!$D$10:$W$10,0))</f>
        <v>0.65744938936117936</v>
      </c>
      <c r="M8" s="326">
        <f ca="1">INDEX(OFFSET('Adjustment scenario'!$D$1:$W$1,$D8-1,0),MATCH(M$4,'Adjustment scenario'!$D$10:$W$10,0))</f>
        <v>0.52413408699218966</v>
      </c>
      <c r="N8" s="326">
        <f ca="1">INDEX(OFFSET('Adjustment scenario'!$D$1:$W$1,$D8-1,0),MATCH(N$4,'Adjustment scenario'!$D$10:$W$10,0))</f>
        <v>0.47843783744273222</v>
      </c>
      <c r="O8" s="326">
        <f ca="1">INDEX(OFFSET('Adjustment scenario'!$D$1:$W$1,$D8-1,0),MATCH(O$4,'Adjustment scenario'!$D$10:$W$10,0))</f>
        <v>0.31895855829515696</v>
      </c>
      <c r="P8" s="326">
        <f ca="1">INDEX(OFFSET('Adjustment scenario'!$D$1:$W$1,$D8-1,0),MATCH(P$4,'Adjustment scenario'!$D$10:$W$10,0))</f>
        <v>0.15947927914756879</v>
      </c>
      <c r="Q8" s="326">
        <f ca="1">INDEX(OFFSET('Adjustment scenario'!$D$1:$W$1,$D8-1,0),MATCH(Q$4,'Adjustment scenario'!$D$10:$W$10,0))</f>
        <v>0</v>
      </c>
      <c r="R8" s="326">
        <f ca="1">INDEX(OFFSET('Adjustment scenario'!$D$1:$W$1,$D8-1,0),MATCH(R$4,'Adjustment scenario'!$D$10:$W$10,0))</f>
        <v>1.7270830364513045E-6</v>
      </c>
      <c r="S8" s="326">
        <f ca="1">INDEX(OFFSET('Adjustment scenario'!$D$1:$W$1,$D8-1,0),MATCH(S$4,'Adjustment scenario'!$D$10:$W$10,0))</f>
        <v>2.3016099033990043E-6</v>
      </c>
      <c r="T8" s="326">
        <f ca="1">INDEX(OFFSET('Adjustment scenario'!$D$1:$W$1,$D8-1,0),MATCH(T$4,'Adjustment scenario'!$D$10:$W$10,0))</f>
        <v>4.5980337761930553E-6</v>
      </c>
      <c r="U8" s="326">
        <f ca="1">INDEX(OFFSET('Adjustment scenario'!$D$1:$W$1,$D8-1,0),MATCH(U$4,'Adjustment scenario'!$D$10:$W$10,0))</f>
        <v>3.4503759778647944E-6</v>
      </c>
      <c r="V8" s="326">
        <f ca="1">INDEX(OFFSET('Adjustment scenario'!$D$1:$W$1,$D8-1,0),MATCH(V$4,'Adjustment scenario'!$D$10:$W$10,0))</f>
        <v>4.0238538076886593E-6</v>
      </c>
      <c r="W8" s="326">
        <f ca="1">INDEX(OFFSET('Adjustment scenario'!$D$1:$W$1,$D8-1,0),MATCH(W$4,'Adjustment scenario'!$D$10:$W$10,0))</f>
        <v>1.7310051334318287E-6</v>
      </c>
      <c r="X8" s="326">
        <f ca="1">INDEX(OFFSET('Adjustment scenario'!$D$1:$W$1,$D8-1,0),MATCH(X$4,'Adjustment scenario'!$D$10:$W$10,0))</f>
        <v>1.1575400521435242E-6</v>
      </c>
      <c r="Y8" s="5"/>
    </row>
    <row r="9" spans="1:25" x14ac:dyDescent="0.2">
      <c r="A9" s="5"/>
      <c r="B9" s="333">
        <v>5</v>
      </c>
      <c r="C9" s="337" t="s">
        <v>225</v>
      </c>
      <c r="D9" s="338">
        <v>14</v>
      </c>
      <c r="E9" s="339" t="s">
        <v>221</v>
      </c>
      <c r="F9" s="326">
        <f ca="1">INDEX(OFFSET('Adjustment scenario'!$D$1:$W$1,$D9-1,0),MATCH(F$4,'Adjustment scenario'!$D$10:$W$10,0))</f>
        <v>0</v>
      </c>
      <c r="G9" s="326">
        <f ca="1">INDEX(OFFSET('Adjustment scenario'!$D$1:$W$1,$D9-1,0),MATCH(G$4,'Adjustment scenario'!$D$10:$W$10,0))</f>
        <v>0</v>
      </c>
      <c r="H9" s="326">
        <f ca="1">INDEX(OFFSET('Adjustment scenario'!$D$1:$W$1,$D9-1,0),MATCH(H$4,'Adjustment scenario'!$D$10:$W$10,0))</f>
        <v>0</v>
      </c>
      <c r="I9" s="326">
        <f ca="1">INDEX(OFFSET('Adjustment scenario'!$D$1:$W$1,$D9-1,0),MATCH(I$4,'Adjustment scenario'!$D$10:$W$10,0))</f>
        <v>0</v>
      </c>
      <c r="J9" s="326">
        <f ca="1">INDEX(OFFSET('Adjustment scenario'!$D$1:$W$1,$D9-1,0),MATCH(J$4,'Adjustment scenario'!$D$10:$W$10,0))</f>
        <v>0</v>
      </c>
      <c r="K9" s="326">
        <f ca="1">INDEX(OFFSET('Adjustment scenario'!$D$1:$W$1,$D9-1,0),MATCH(K$4,'Adjustment scenario'!$D$10:$W$10,0))</f>
        <v>0</v>
      </c>
      <c r="L9" s="326">
        <f ca="1">INDEX(OFFSET('Adjustment scenario'!$D$1:$W$1,$D9-1,0),MATCH(L$4,'Adjustment scenario'!$D$10:$W$10,0))</f>
        <v>0</v>
      </c>
      <c r="M9" s="326">
        <f ca="1">INDEX(OFFSET('Adjustment scenario'!$D$1:$W$1,$D9-1,0),MATCH(M$4,'Adjustment scenario'!$D$10:$W$10,0))</f>
        <v>0</v>
      </c>
      <c r="N9" s="326">
        <f ca="1">INDEX(OFFSET('Adjustment scenario'!$D$1:$W$1,$D9-1,0),MATCH(N$4,'Adjustment scenario'!$D$10:$W$10,0))</f>
        <v>0</v>
      </c>
      <c r="O9" s="326">
        <f ca="1">INDEX(OFFSET('Adjustment scenario'!$D$1:$W$1,$D9-1,0),MATCH(O$4,'Adjustment scenario'!$D$10:$W$10,0))</f>
        <v>0</v>
      </c>
      <c r="P9" s="326">
        <f ca="1">INDEX(OFFSET('Adjustment scenario'!$D$1:$W$1,$D9-1,0),MATCH(P$4,'Adjustment scenario'!$D$10:$W$10,0))</f>
        <v>0</v>
      </c>
      <c r="Q9" s="326">
        <f ca="1">INDEX(OFFSET('Adjustment scenario'!$D$1:$W$1,$D9-1,0),MATCH(Q$4,'Adjustment scenario'!$D$10:$W$10,0))</f>
        <v>0</v>
      </c>
      <c r="R9" s="326">
        <f ca="1">INDEX(OFFSET('Adjustment scenario'!$D$1:$W$1,$D9-1,0),MATCH(R$4,'Adjustment scenario'!$D$10:$W$10,0))</f>
        <v>0</v>
      </c>
      <c r="S9" s="326">
        <f ca="1">INDEX(OFFSET('Adjustment scenario'!$D$1:$W$1,$D9-1,0),MATCH(S$4,'Adjustment scenario'!$D$10:$W$10,0))</f>
        <v>0</v>
      </c>
      <c r="T9" s="326">
        <f ca="1">INDEX(OFFSET('Adjustment scenario'!$D$1:$W$1,$D9-1,0),MATCH(T$4,'Adjustment scenario'!$D$10:$W$10,0))</f>
        <v>0</v>
      </c>
      <c r="U9" s="326">
        <f ca="1">INDEX(OFFSET('Adjustment scenario'!$D$1:$W$1,$D9-1,0),MATCH(U$4,'Adjustment scenario'!$D$10:$W$10,0))</f>
        <v>0</v>
      </c>
      <c r="V9" s="326">
        <f ca="1">INDEX(OFFSET('Adjustment scenario'!$D$1:$W$1,$D9-1,0),MATCH(V$4,'Adjustment scenario'!$D$10:$W$10,0))</f>
        <v>0</v>
      </c>
      <c r="W9" s="326">
        <f ca="1">INDEX(OFFSET('Adjustment scenario'!$D$1:$W$1,$D9-1,0),MATCH(W$4,'Adjustment scenario'!$D$10:$W$10,0))</f>
        <v>0</v>
      </c>
      <c r="X9" s="326">
        <f ca="1">INDEX(OFFSET('Adjustment scenario'!$D$1:$W$1,$D9-1,0),MATCH(X$4,'Adjustment scenario'!$D$10:$W$10,0))</f>
        <v>0</v>
      </c>
      <c r="Y9" s="5"/>
    </row>
    <row r="10" spans="1:25" x14ac:dyDescent="0.2">
      <c r="A10" s="5"/>
      <c r="B10" s="333">
        <v>6</v>
      </c>
      <c r="C10" s="337" t="s">
        <v>226</v>
      </c>
      <c r="D10" s="338">
        <v>68</v>
      </c>
      <c r="E10" s="339" t="s">
        <v>221</v>
      </c>
      <c r="F10" s="326">
        <f ca="1">INDEX(OFFSET('Adjustment scenario'!$D$1:$W$1,$D10-1,0),MATCH(F$4,'Adjustment scenario'!$D$10:$W$10,0))</f>
        <v>1.1202161973483911</v>
      </c>
      <c r="G10" s="326">
        <f ca="1">INDEX(OFFSET('Adjustment scenario'!$D$1:$W$1,$D10-1,0),MATCH(G$4,'Adjustment scenario'!$D$10:$W$10,0))</f>
        <v>1.250125276466207</v>
      </c>
      <c r="H10" s="326">
        <f ca="1">INDEX(OFFSET('Adjustment scenario'!$D$1:$W$1,$D10-1,0),MATCH(H$4,'Adjustment scenario'!$D$10:$W$10,0))</f>
        <v>1.5011561101185344</v>
      </c>
      <c r="I10" s="326">
        <f ca="1">INDEX(OFFSET('Adjustment scenario'!$D$1:$W$1,$D10-1,0),MATCH(I$4,'Adjustment scenario'!$D$10:$W$10,0))</f>
        <v>1.5919833079191705</v>
      </c>
      <c r="J10" s="326">
        <f ca="1">INDEX(OFFSET('Adjustment scenario'!$D$1:$W$1,$D10-1,0),MATCH(J$4,'Adjustment scenario'!$D$10:$W$10,0))</f>
        <v>1.6670707018705813</v>
      </c>
      <c r="K10" s="326">
        <f ca="1">INDEX(OFFSET('Adjustment scenario'!$D$1:$W$1,$D10-1,0),MATCH(K$4,'Adjustment scenario'!$D$10:$W$10,0))</f>
        <v>1.7277274089800263</v>
      </c>
      <c r="L10" s="326">
        <f ca="1">INDEX(OFFSET('Adjustment scenario'!$D$1:$W$1,$D10-1,0),MATCH(L$4,'Adjustment scenario'!$D$10:$W$10,0))</f>
        <v>1.7708635854797343</v>
      </c>
      <c r="M10" s="326">
        <f ca="1">INDEX(OFFSET('Adjustment scenario'!$D$1:$W$1,$D10-1,0),MATCH(M$4,'Adjustment scenario'!$D$10:$W$10,0))</f>
        <v>1.7983950620166349</v>
      </c>
      <c r="N10" s="326">
        <f ca="1">INDEX(OFFSET('Adjustment scenario'!$D$1:$W$1,$D10-1,0),MATCH(N$4,'Adjustment scenario'!$D$10:$W$10,0))</f>
        <v>1.8157937503291235</v>
      </c>
      <c r="O10" s="326">
        <f ca="1">INDEX(OFFSET('Adjustment scenario'!$D$1:$W$1,$D10-1,0),MATCH(O$4,'Adjustment scenario'!$D$10:$W$10,0))</f>
        <v>1.8160916911579994</v>
      </c>
      <c r="P10" s="326">
        <f ca="1">INDEX(OFFSET('Adjustment scenario'!$D$1:$W$1,$D10-1,0),MATCH(P$4,'Adjustment scenario'!$D$10:$W$10,0))</f>
        <v>1.8107367267982344</v>
      </c>
      <c r="Q10" s="326">
        <f ca="1">INDEX(OFFSET('Adjustment scenario'!$D$1:$W$1,$D10-1,0),MATCH(Q$4,'Adjustment scenario'!$D$10:$W$10,0))</f>
        <v>1.7904101165678465</v>
      </c>
      <c r="R10" s="326">
        <f ca="1">INDEX(OFFSET('Adjustment scenario'!$D$1:$W$1,$D10-1,0),MATCH(R$4,'Adjustment scenario'!$D$10:$W$10,0))</f>
        <v>1.7613710293423794</v>
      </c>
      <c r="S10" s="326">
        <f ca="1">INDEX(OFFSET('Adjustment scenario'!$D$1:$W$1,$D10-1,0),MATCH(S$4,'Adjustment scenario'!$D$10:$W$10,0))</f>
        <v>1.7234754702740129</v>
      </c>
      <c r="T10" s="326">
        <f ca="1">INDEX(OFFSET('Adjustment scenario'!$D$1:$W$1,$D10-1,0),MATCH(T$4,'Adjustment scenario'!$D$10:$W$10,0))</f>
        <v>1.6784822673478472</v>
      </c>
      <c r="U10" s="326">
        <f ca="1">INDEX(OFFSET('Adjustment scenario'!$D$1:$W$1,$D10-1,0),MATCH(U$4,'Adjustment scenario'!$D$10:$W$10,0))</f>
        <v>1.6274951385276235</v>
      </c>
      <c r="V10" s="326">
        <f ca="1">INDEX(OFFSET('Adjustment scenario'!$D$1:$W$1,$D10-1,0),MATCH(V$4,'Adjustment scenario'!$D$10:$W$10,0))</f>
        <v>1.5701193255930892</v>
      </c>
      <c r="W10" s="326">
        <f ca="1">INDEX(OFFSET('Adjustment scenario'!$D$1:$W$1,$D10-1,0),MATCH(W$4,'Adjustment scenario'!$D$10:$W$10,0))</f>
        <v>1.5063989676764264</v>
      </c>
      <c r="X10" s="326">
        <f ca="1">INDEX(OFFSET('Adjustment scenario'!$D$1:$W$1,$D10-1,0),MATCH(X$4,'Adjustment scenario'!$D$10:$W$10,0))</f>
        <v>1.4377334822424053</v>
      </c>
      <c r="Y10" s="5"/>
    </row>
    <row r="11" spans="1:25" x14ac:dyDescent="0.2">
      <c r="A11" s="5"/>
      <c r="B11" s="333">
        <v>7</v>
      </c>
      <c r="C11" s="340" t="s">
        <v>94</v>
      </c>
      <c r="D11" s="338">
        <v>37</v>
      </c>
      <c r="E11" s="339" t="s">
        <v>227</v>
      </c>
      <c r="F11" s="326">
        <f ca="1">INDEX(OFFSET('Adjustment scenario'!$D$1:$W$1,$D11-1,0),MATCH(F$4,'Adjustment scenario'!$D$10:$W$10,0))</f>
        <v>3.04</v>
      </c>
      <c r="G11" s="326">
        <f ca="1">INDEX(OFFSET('Adjustment scenario'!$D$1:$W$1,$D11-1,0),MATCH(G$4,'Adjustment scenario'!$D$10:$W$10,0))</f>
        <v>2.9418000000000002</v>
      </c>
      <c r="H11" s="326">
        <f ca="1">INDEX(OFFSET('Adjustment scenario'!$D$1:$W$1,$D11-1,0),MATCH(H$4,'Adjustment scenario'!$D$10:$W$10,0))</f>
        <v>3.0140359999999999</v>
      </c>
      <c r="I11" s="326">
        <f ca="1">INDEX(OFFSET('Adjustment scenario'!$D$1:$W$1,$D11-1,0),MATCH(I$4,'Adjustment scenario'!$D$10:$W$10,0))</f>
        <v>3.041204</v>
      </c>
      <c r="J11" s="326">
        <f ca="1">INDEX(OFFSET('Adjustment scenario'!$D$1:$W$1,$D11-1,0),MATCH(J$4,'Adjustment scenario'!$D$10:$W$10,0))</f>
        <v>3.0683720000000001</v>
      </c>
      <c r="K11" s="326">
        <f ca="1">INDEX(OFFSET('Adjustment scenario'!$D$1:$W$1,$D11-1,0),MATCH(K$4,'Adjustment scenario'!$D$10:$W$10,0))</f>
        <v>3.0955400000000002</v>
      </c>
      <c r="L11" s="326">
        <f ca="1">INDEX(OFFSET('Adjustment scenario'!$D$1:$W$1,$D11-1,0),MATCH(L$4,'Adjustment scenario'!$D$10:$W$10,0))</f>
        <v>3.1227080000000003</v>
      </c>
      <c r="M11" s="326">
        <f ca="1">INDEX(OFFSET('Adjustment scenario'!$D$1:$W$1,$D11-1,0),MATCH(M$4,'Adjustment scenario'!$D$10:$W$10,0))</f>
        <v>3.1498760000000003</v>
      </c>
      <c r="N11" s="326">
        <f ca="1">INDEX(OFFSET('Adjustment scenario'!$D$1:$W$1,$D11-1,0),MATCH(N$4,'Adjustment scenario'!$D$10:$W$10,0))</f>
        <v>3.1770440000000004</v>
      </c>
      <c r="O11" s="326">
        <f ca="1">INDEX(OFFSET('Adjustment scenario'!$D$1:$W$1,$D11-1,0),MATCH(O$4,'Adjustment scenario'!$D$10:$W$10,0))</f>
        <v>3.2042120000000005</v>
      </c>
      <c r="P11" s="326">
        <f ca="1">INDEX(OFFSET('Adjustment scenario'!$D$1:$W$1,$D11-1,0),MATCH(P$4,'Adjustment scenario'!$D$10:$W$10,0))</f>
        <v>3.2313800000000001</v>
      </c>
      <c r="Q11" s="326">
        <f ca="1">INDEX(OFFSET('Adjustment scenario'!$D$1:$W$1,$D11-1,0),MATCH(Q$4,'Adjustment scenario'!$D$10:$W$10,0))</f>
        <v>3.2698110000000002</v>
      </c>
      <c r="R11" s="326">
        <f ca="1">INDEX(OFFSET('Adjustment scenario'!$D$1:$W$1,$D11-1,0),MATCH(R$4,'Adjustment scenario'!$D$10:$W$10,0))</f>
        <v>3.3082419999999999</v>
      </c>
      <c r="S11" s="326">
        <f ca="1">INDEX(OFFSET('Adjustment scenario'!$D$1:$W$1,$D11-1,0),MATCH(S$4,'Adjustment scenario'!$D$10:$W$10,0))</f>
        <v>3.346673</v>
      </c>
      <c r="T11" s="326">
        <f ca="1">INDEX(OFFSET('Adjustment scenario'!$D$1:$W$1,$D11-1,0),MATCH(T$4,'Adjustment scenario'!$D$10:$W$10,0))</f>
        <v>3.3851040000000001</v>
      </c>
      <c r="U11" s="326">
        <f ca="1">INDEX(OFFSET('Adjustment scenario'!$D$1:$W$1,$D11-1,0),MATCH(U$4,'Adjustment scenario'!$D$10:$W$10,0))</f>
        <v>3.4235350000000002</v>
      </c>
      <c r="V11" s="326">
        <f ca="1">INDEX(OFFSET('Adjustment scenario'!$D$1:$W$1,$D11-1,0),MATCH(V$4,'Adjustment scenario'!$D$10:$W$10,0))</f>
        <v>3.4619660000000003</v>
      </c>
      <c r="W11" s="326">
        <f ca="1">INDEX(OFFSET('Adjustment scenario'!$D$1:$W$1,$D11-1,0),MATCH(W$4,'Adjustment scenario'!$D$10:$W$10,0))</f>
        <v>3.500397</v>
      </c>
      <c r="X11" s="326">
        <f ca="1">INDEX(OFFSET('Adjustment scenario'!$D$1:$W$1,$D11-1,0),MATCH(X$4,'Adjustment scenario'!$D$10:$W$10,0))</f>
        <v>3.5388280000000001</v>
      </c>
      <c r="Y11" s="5"/>
    </row>
    <row r="12" spans="1:25" x14ac:dyDescent="0.2">
      <c r="A12" s="5"/>
      <c r="B12" s="333">
        <v>8</v>
      </c>
      <c r="C12" s="340" t="s">
        <v>95</v>
      </c>
      <c r="D12" s="338">
        <v>38</v>
      </c>
      <c r="E12" s="339" t="s">
        <v>227</v>
      </c>
      <c r="F12" s="326">
        <f ca="1">INDEX(OFFSET('Adjustment scenario'!$D$1:$W$1,$D12-1,0),MATCH(F$4,'Adjustment scenario'!$D$10:$W$10,0))</f>
        <v>3.43</v>
      </c>
      <c r="G12" s="326">
        <f ca="1">INDEX(OFFSET('Adjustment scenario'!$D$1:$W$1,$D12-1,0),MATCH(G$4,'Adjustment scenario'!$D$10:$W$10,0))</f>
        <v>3.5642079999999998</v>
      </c>
      <c r="H12" s="326">
        <f ca="1">INDEX(OFFSET('Adjustment scenario'!$D$1:$W$1,$D12-1,0),MATCH(H$4,'Adjustment scenario'!$D$10:$W$10,0))</f>
        <v>2.8163749999999999</v>
      </c>
      <c r="I12" s="326">
        <f ca="1">INDEX(OFFSET('Adjustment scenario'!$D$1:$W$1,$D12-1,0),MATCH(I$4,'Adjustment scenario'!$D$10:$W$10,0))</f>
        <v>2.8050893749999997</v>
      </c>
      <c r="J12" s="326">
        <f ca="1">INDEX(OFFSET('Adjustment scenario'!$D$1:$W$1,$D12-1,0),MATCH(J$4,'Adjustment scenario'!$D$10:$W$10,0))</f>
        <v>2.7938037499999995</v>
      </c>
      <c r="K12" s="326">
        <f ca="1">INDEX(OFFSET('Adjustment scenario'!$D$1:$W$1,$D12-1,0),MATCH(K$4,'Adjustment scenario'!$D$10:$W$10,0))</f>
        <v>2.7825181249999993</v>
      </c>
      <c r="L12" s="326">
        <f ca="1">INDEX(OFFSET('Adjustment scenario'!$D$1:$W$1,$D12-1,0),MATCH(L$4,'Adjustment scenario'!$D$10:$W$10,0))</f>
        <v>2.7712324999999991</v>
      </c>
      <c r="M12" s="326">
        <f ca="1">INDEX(OFFSET('Adjustment scenario'!$D$1:$W$1,$D12-1,0),MATCH(M$4,'Adjustment scenario'!$D$10:$W$10,0))</f>
        <v>2.7599468749999989</v>
      </c>
      <c r="N12" s="326">
        <f ca="1">INDEX(OFFSET('Adjustment scenario'!$D$1:$W$1,$D12-1,0),MATCH(N$4,'Adjustment scenario'!$D$10:$W$10,0))</f>
        <v>2.7486612499999987</v>
      </c>
      <c r="O12" s="326">
        <f ca="1">INDEX(OFFSET('Adjustment scenario'!$D$1:$W$1,$D12-1,0),MATCH(O$4,'Adjustment scenario'!$D$10:$W$10,0))</f>
        <v>2.7373756249999985</v>
      </c>
      <c r="P12" s="326">
        <f ca="1">INDEX(OFFSET('Adjustment scenario'!$D$1:$W$1,$D12-1,0),MATCH(P$4,'Adjustment scenario'!$D$10:$W$10,0))</f>
        <v>2.7260900000000001</v>
      </c>
      <c r="Q12" s="326">
        <f ca="1">INDEX(OFFSET('Adjustment scenario'!$D$1:$W$1,$D12-1,0),MATCH(Q$4,'Adjustment scenario'!$D$10:$W$10,0))</f>
        <v>2.6897855000000002</v>
      </c>
      <c r="R12" s="326">
        <f ca="1">INDEX(OFFSET('Adjustment scenario'!$D$1:$W$1,$D12-1,0),MATCH(R$4,'Adjustment scenario'!$D$10:$W$10,0))</f>
        <v>2.6534810000000002</v>
      </c>
      <c r="S12" s="326">
        <f ca="1">INDEX(OFFSET('Adjustment scenario'!$D$1:$W$1,$D12-1,0),MATCH(S$4,'Adjustment scenario'!$D$10:$W$10,0))</f>
        <v>2.6171765000000002</v>
      </c>
      <c r="T12" s="326">
        <f ca="1">INDEX(OFFSET('Adjustment scenario'!$D$1:$W$1,$D12-1,0),MATCH(T$4,'Adjustment scenario'!$D$10:$W$10,0))</f>
        <v>2.5808720000000003</v>
      </c>
      <c r="U12" s="326">
        <f ca="1">INDEX(OFFSET('Adjustment scenario'!$D$1:$W$1,$D12-1,0),MATCH(U$4,'Adjustment scenario'!$D$10:$W$10,0))</f>
        <v>2.5445675000000003</v>
      </c>
      <c r="V12" s="326">
        <f ca="1">INDEX(OFFSET('Adjustment scenario'!$D$1:$W$1,$D12-1,0),MATCH(V$4,'Adjustment scenario'!$D$10:$W$10,0))</f>
        <v>2.5082629999999999</v>
      </c>
      <c r="W12" s="326">
        <f ca="1">INDEX(OFFSET('Adjustment scenario'!$D$1:$W$1,$D12-1,0),MATCH(W$4,'Adjustment scenario'!$D$10:$W$10,0))</f>
        <v>2.4719584999999999</v>
      </c>
      <c r="X12" s="326">
        <f ca="1">INDEX(OFFSET('Adjustment scenario'!$D$1:$W$1,$D12-1,0),MATCH(X$4,'Adjustment scenario'!$D$10:$W$10,0))</f>
        <v>2.435654</v>
      </c>
      <c r="Y12" s="5"/>
    </row>
    <row r="13" spans="1:25" x14ac:dyDescent="0.2">
      <c r="A13" s="5"/>
      <c r="B13" s="333">
        <v>9</v>
      </c>
      <c r="C13" s="337" t="s">
        <v>228</v>
      </c>
      <c r="D13" s="338">
        <v>36</v>
      </c>
      <c r="E13" s="339" t="s">
        <v>227</v>
      </c>
      <c r="F13" s="326">
        <f ca="1">INDEX(OFFSET('Adjustment scenario'!$D$1:$W$1,$D13-1,0),MATCH(F$4,'Adjustment scenario'!$D$10:$W$10,0))</f>
        <v>1.5804370000000001</v>
      </c>
      <c r="G13" s="326">
        <f ca="1">INDEX(OFFSET('Adjustment scenario'!$D$1:$W$1,$D13-1,0),MATCH(G$4,'Adjustment scenario'!$D$10:$W$10,0))</f>
        <v>1.6625099999999999</v>
      </c>
      <c r="H13" s="326">
        <f ca="1">INDEX(OFFSET('Adjustment scenario'!$D$1:$W$1,$D13-1,0),MATCH(H$4,'Adjustment scenario'!$D$10:$W$10,0))</f>
        <v>1.8895660000000001</v>
      </c>
      <c r="I13" s="326">
        <f ca="1">INDEX(OFFSET('Adjustment scenario'!$D$1:$W$1,$D13-1,0),MATCH(I$4,'Adjustment scenario'!$D$10:$W$10,0))</f>
        <v>1.9772233302355637</v>
      </c>
      <c r="J13" s="326">
        <f ca="1">INDEX(OFFSET('Adjustment scenario'!$D$1:$W$1,$D13-1,0),MATCH(J$4,'Adjustment scenario'!$D$10:$W$10,0))</f>
        <v>2.0529041282230609</v>
      </c>
      <c r="K13" s="326">
        <f ca="1">INDEX(OFFSET('Adjustment scenario'!$D$1:$W$1,$D13-1,0),MATCH(K$4,'Adjustment scenario'!$D$10:$W$10,0))</f>
        <v>2.1196748592944994</v>
      </c>
      <c r="L13" s="326">
        <f ca="1">INDEX(OFFSET('Adjustment scenario'!$D$1:$W$1,$D13-1,0),MATCH(L$4,'Adjustment scenario'!$D$10:$W$10,0))</f>
        <v>2.1782899291321702</v>
      </c>
      <c r="M13" s="326">
        <f ca="1">INDEX(OFFSET('Adjustment scenario'!$D$1:$W$1,$D13-1,0),MATCH(M$4,'Adjustment scenario'!$D$10:$W$10,0))</f>
        <v>2.2305689648788061</v>
      </c>
      <c r="N13" s="326">
        <f ca="1">INDEX(OFFSET('Adjustment scenario'!$D$1:$W$1,$D13-1,0),MATCH(N$4,'Adjustment scenario'!$D$10:$W$10,0))</f>
        <v>2.2783584985568885</v>
      </c>
      <c r="O13" s="326">
        <f ca="1">INDEX(OFFSET('Adjustment scenario'!$D$1:$W$1,$D13-1,0),MATCH(O$4,'Adjustment scenario'!$D$10:$W$10,0))</f>
        <v>2.3220354057513282</v>
      </c>
      <c r="P13" s="326">
        <f ca="1">INDEX(OFFSET('Adjustment scenario'!$D$1:$W$1,$D13-1,0),MATCH(P$4,'Adjustment scenario'!$D$10:$W$10,0))</f>
        <v>2.3641536745340601</v>
      </c>
      <c r="Q13" s="326">
        <f ca="1">INDEX(OFFSET('Adjustment scenario'!$D$1:$W$1,$D13-1,0),MATCH(Q$4,'Adjustment scenario'!$D$10:$W$10,0))</f>
        <v>2.4006917316001308</v>
      </c>
      <c r="R13" s="326">
        <f ca="1">INDEX(OFFSET('Adjustment scenario'!$D$1:$W$1,$D13-1,0),MATCH(R$4,'Adjustment scenario'!$D$10:$W$10,0))</f>
        <v>2.4335156324534415</v>
      </c>
      <c r="S13" s="326">
        <f ca="1">INDEX(OFFSET('Adjustment scenario'!$D$1:$W$1,$D13-1,0),MATCH(S$4,'Adjustment scenario'!$D$10:$W$10,0))</f>
        <v>2.464180670753175</v>
      </c>
      <c r="T13" s="326">
        <f ca="1">INDEX(OFFSET('Adjustment scenario'!$D$1:$W$1,$D13-1,0),MATCH(T$4,'Adjustment scenario'!$D$10:$W$10,0))</f>
        <v>2.4923944392750315</v>
      </c>
      <c r="U13" s="326">
        <f ca="1">INDEX(OFFSET('Adjustment scenario'!$D$1:$W$1,$D13-1,0),MATCH(U$4,'Adjustment scenario'!$D$10:$W$10,0))</f>
        <v>2.5197994148360721</v>
      </c>
      <c r="V13" s="326">
        <f ca="1">INDEX(OFFSET('Adjustment scenario'!$D$1:$W$1,$D13-1,0),MATCH(V$4,'Adjustment scenario'!$D$10:$W$10,0))</f>
        <v>2.5467572258622106</v>
      </c>
      <c r="W13" s="326">
        <f ca="1">INDEX(OFFSET('Adjustment scenario'!$D$1:$W$1,$D13-1,0),MATCH(W$4,'Adjustment scenario'!$D$10:$W$10,0))</f>
        <v>2.5736251574331761</v>
      </c>
      <c r="X13" s="326">
        <f ca="1">INDEX(OFFSET('Adjustment scenario'!$D$1:$W$1,$D13-1,0),MATCH(X$4,'Adjustment scenario'!$D$10:$W$10,0))</f>
        <v>2.6006912147962633</v>
      </c>
      <c r="Y13" s="5"/>
    </row>
    <row r="14" spans="1:25" x14ac:dyDescent="0.2">
      <c r="A14" s="5"/>
      <c r="B14" s="333">
        <v>10</v>
      </c>
      <c r="C14" s="337" t="s">
        <v>229</v>
      </c>
      <c r="D14" s="338">
        <v>72</v>
      </c>
      <c r="E14" s="339" t="s">
        <v>221</v>
      </c>
      <c r="F14" s="326">
        <f ca="1">INDEX(OFFSET('Adjustment scenario'!$D$1:$W$1,$D14-1,0),MATCH(F$4,'Adjustment scenario'!$D$10:$W$10,0))</f>
        <v>2.2785220000000002</v>
      </c>
      <c r="G14" s="326">
        <f ca="1">INDEX(OFFSET('Adjustment scenario'!$D$1:$W$1,$D14-1,0),MATCH(G$4,'Adjustment scenario'!$D$10:$W$10,0))</f>
        <v>2.6170640000000001</v>
      </c>
      <c r="H14" s="326">
        <f ca="1">INDEX(OFFSET('Adjustment scenario'!$D$1:$W$1,$D14-1,0),MATCH(H$4,'Adjustment scenario'!$D$10:$W$10,0))</f>
        <v>1.6700109999999999</v>
      </c>
      <c r="I14" s="326">
        <f ca="1">INDEX(OFFSET('Adjustment scenario'!$D$1:$W$1,$D14-1,0),MATCH(I$4,'Adjustment scenario'!$D$10:$W$10,0))</f>
        <v>1.6902729999999999</v>
      </c>
      <c r="J14" s="326">
        <f ca="1">INDEX(OFFSET('Adjustment scenario'!$D$1:$W$1,$D14-1,0),MATCH(J$4,'Adjustment scenario'!$D$10:$W$10,0))</f>
        <v>1.702215</v>
      </c>
      <c r="K14" s="326">
        <f ca="1">INDEX(OFFSET('Adjustment scenario'!$D$1:$W$1,$D14-1,0),MATCH(K$4,'Adjustment scenario'!$D$10:$W$10,0))</f>
        <v>1.648048</v>
      </c>
      <c r="L14" s="326">
        <f ca="1">INDEX(OFFSET('Adjustment scenario'!$D$1:$W$1,$D14-1,0),MATCH(L$4,'Adjustment scenario'!$D$10:$W$10,0))</f>
        <v>1.5813470000000001</v>
      </c>
      <c r="M14" s="326">
        <f ca="1">INDEX(OFFSET('Adjustment scenario'!$D$1:$W$1,$D14-1,0),MATCH(M$4,'Adjustment scenario'!$D$10:$W$10,0))</f>
        <v>1.5408029999999999</v>
      </c>
      <c r="N14" s="326">
        <f ca="1">INDEX(OFFSET('Adjustment scenario'!$D$1:$W$1,$D14-1,0),MATCH(N$4,'Adjustment scenario'!$D$10:$W$10,0))</f>
        <v>1.5229809999999999</v>
      </c>
      <c r="O14" s="326">
        <f ca="1">INDEX(OFFSET('Adjustment scenario'!$D$1:$W$1,$D14-1,0),MATCH(O$4,'Adjustment scenario'!$D$10:$W$10,0))</f>
        <v>1.526135</v>
      </c>
      <c r="P14" s="326">
        <f ca="1">INDEX(OFFSET('Adjustment scenario'!$D$1:$W$1,$D14-1,0),MATCH(P$4,'Adjustment scenario'!$D$10:$W$10,0))</f>
        <v>1.3735219999999999</v>
      </c>
      <c r="Q14" s="326">
        <f ca="1">INDEX(OFFSET('Adjustment scenario'!$D$1:$W$1,$D14-1,0),MATCH(Q$4,'Adjustment scenario'!$D$10:$W$10,0))</f>
        <v>1.2209080000000001</v>
      </c>
      <c r="R14" s="326">
        <f ca="1">INDEX(OFFSET('Adjustment scenario'!$D$1:$W$1,$D14-1,0),MATCH(R$4,'Adjustment scenario'!$D$10:$W$10,0))</f>
        <v>1.068295</v>
      </c>
      <c r="S14" s="326">
        <f ca="1">INDEX(OFFSET('Adjustment scenario'!$D$1:$W$1,$D14-1,0),MATCH(S$4,'Adjustment scenario'!$D$10:$W$10,0))</f>
        <v>0.91568099999999997</v>
      </c>
      <c r="T14" s="326">
        <f ca="1">INDEX(OFFSET('Adjustment scenario'!$D$1:$W$1,$D14-1,0),MATCH(T$4,'Adjustment scenario'!$D$10:$W$10,0))</f>
        <v>0.76306750000000001</v>
      </c>
      <c r="U14" s="326">
        <f ca="1">INDEX(OFFSET('Adjustment scenario'!$D$1:$W$1,$D14-1,0),MATCH(U$4,'Adjustment scenario'!$D$10:$W$10,0))</f>
        <v>0.61045400000000005</v>
      </c>
      <c r="V14" s="326">
        <f ca="1">INDEX(OFFSET('Adjustment scenario'!$D$1:$W$1,$D14-1,0),MATCH(V$4,'Adjustment scenario'!$D$10:$W$10,0))</f>
        <v>0.45784049999999998</v>
      </c>
      <c r="W14" s="326">
        <f ca="1">INDEX(OFFSET('Adjustment scenario'!$D$1:$W$1,$D14-1,0),MATCH(W$4,'Adjustment scenario'!$D$10:$W$10,0))</f>
        <v>0.30522700000000003</v>
      </c>
      <c r="X14" s="326">
        <f ca="1">INDEX(OFFSET('Adjustment scenario'!$D$1:$W$1,$D14-1,0),MATCH(X$4,'Adjustment scenario'!$D$10:$W$10,0))</f>
        <v>0.15261350000000001</v>
      </c>
      <c r="Y14" s="5"/>
    </row>
    <row r="15" spans="1:25" x14ac:dyDescent="0.2">
      <c r="A15" s="5"/>
      <c r="B15" s="333">
        <v>11</v>
      </c>
      <c r="C15" s="341" t="s">
        <v>62</v>
      </c>
      <c r="D15" s="338">
        <v>27</v>
      </c>
      <c r="E15" s="339" t="s">
        <v>230</v>
      </c>
      <c r="F15" s="326">
        <f ca="1">(INDEX(OFFSET('Adjustment scenario'!$D$1:$W$1,$D15-1,0),MATCH(F$4,'Adjustment scenario'!$D$10:$W$10,0))/INDEX(OFFSET('Adjustment scenario'!$D$1:$W$1,$D15-1,0),MATCH(E$4,'Adjustment scenario'!$D$10:$W$10,0))-1)*100</f>
        <v>1.0916300000000101</v>
      </c>
      <c r="G15" s="326">
        <f ca="1">(INDEX(OFFSET('Adjustment scenario'!$D$1:$W$1,$D15-1,0),MATCH(G$4,'Adjustment scenario'!$D$10:$W$10,0))/INDEX(OFFSET('Adjustment scenario'!$D$1:$W$1,$D15-1,0),MATCH(F$4,'Adjustment scenario'!$D$10:$W$10,0))-1)*100</f>
        <v>0.63010729999999349</v>
      </c>
      <c r="H15" s="326">
        <f ca="1">(INDEX(OFFSET('Adjustment scenario'!$D$1:$W$1,$D15-1,0),MATCH(H$4,'Adjustment scenario'!$D$10:$W$10,0))/INDEX(OFFSET('Adjustment scenario'!$D$1:$W$1,$D15-1,0),MATCH(G$4,'Adjustment scenario'!$D$10:$W$10,0))-1)*100</f>
        <v>0.63180160000000374</v>
      </c>
      <c r="I15" s="326">
        <f ca="1">(INDEX(OFFSET('Adjustment scenario'!$D$1:$W$1,$D15-1,0),MATCH(I$4,'Adjustment scenario'!$D$10:$W$10,0))/INDEX(OFFSET('Adjustment scenario'!$D$1:$W$1,$D15-1,0),MATCH(H$4,'Adjustment scenario'!$D$10:$W$10,0))-1)*100</f>
        <v>0.68473079999999964</v>
      </c>
      <c r="J15" s="326">
        <f ca="1">(INDEX(OFFSET('Adjustment scenario'!$D$1:$W$1,$D15-1,0),MATCH(J$4,'Adjustment scenario'!$D$10:$W$10,0))/INDEX(OFFSET('Adjustment scenario'!$D$1:$W$1,$D15-1,0),MATCH(I$4,'Adjustment scenario'!$D$10:$W$10,0))-1)*100</f>
        <v>0.58650529999999534</v>
      </c>
      <c r="K15" s="326">
        <f ca="1">(INDEX(OFFSET('Adjustment scenario'!$D$1:$W$1,$D15-1,0),MATCH(K$4,'Adjustment scenario'!$D$10:$W$10,0))/INDEX(OFFSET('Adjustment scenario'!$D$1:$W$1,$D15-1,0),MATCH(J$4,'Adjustment scenario'!$D$10:$W$10,0))-1)*100</f>
        <v>0.63791129999999363</v>
      </c>
      <c r="L15" s="326">
        <f ca="1">(INDEX(OFFSET('Adjustment scenario'!$D$1:$W$1,$D15-1,0),MATCH(L$4,'Adjustment scenario'!$D$10:$W$10,0))/INDEX(OFFSET('Adjustment scenario'!$D$1:$W$1,$D15-1,0),MATCH(K$4,'Adjustment scenario'!$D$10:$W$10,0))-1)*100</f>
        <v>0.5813803999999978</v>
      </c>
      <c r="M15" s="326">
        <f ca="1">(INDEX(OFFSET('Adjustment scenario'!$D$1:$W$1,$D15-1,0),MATCH(M$4,'Adjustment scenario'!$D$10:$W$10,0))/INDEX(OFFSET('Adjustment scenario'!$D$1:$W$1,$D15-1,0),MATCH(L$4,'Adjustment scenario'!$D$10:$W$10,0))-1)*100</f>
        <v>0.55843730000000313</v>
      </c>
      <c r="N15" s="326">
        <f ca="1">(INDEX(OFFSET('Adjustment scenario'!$D$1:$W$1,$D15-1,0),MATCH(N$4,'Adjustment scenario'!$D$10:$W$10,0))/INDEX(OFFSET('Adjustment scenario'!$D$1:$W$1,$D15-1,0),MATCH(M$4,'Adjustment scenario'!$D$10:$W$10,0))-1)*100</f>
        <v>0.5856566000000063</v>
      </c>
      <c r="O15" s="326">
        <f ca="1">(INDEX(OFFSET('Adjustment scenario'!$D$1:$W$1,$D15-1,0),MATCH(O$4,'Adjustment scenario'!$D$10:$W$10,0))/INDEX(OFFSET('Adjustment scenario'!$D$1:$W$1,$D15-1,0),MATCH(N$4,'Adjustment scenario'!$D$10:$W$10,0))-1)*100</f>
        <v>0.65826909999999739</v>
      </c>
      <c r="P15" s="326">
        <f ca="1">(INDEX(OFFSET('Adjustment scenario'!$D$1:$W$1,$D15-1,0),MATCH(P$4,'Adjustment scenario'!$D$10:$W$10,0))/INDEX(OFFSET('Adjustment scenario'!$D$1:$W$1,$D15-1,0),MATCH(O$4,'Adjustment scenario'!$D$10:$W$10,0))-1)*100</f>
        <v>0.68445239999999075</v>
      </c>
      <c r="Q15" s="326">
        <f ca="1">(INDEX(OFFSET('Adjustment scenario'!$D$1:$W$1,$D15-1,0),MATCH(Q$4,'Adjustment scenario'!$D$10:$W$10,0))/INDEX(OFFSET('Adjustment scenario'!$D$1:$W$1,$D15-1,0),MATCH(P$4,'Adjustment scenario'!$D$10:$W$10,0))-1)*100</f>
        <v>0.88988240000000829</v>
      </c>
      <c r="R15" s="326">
        <f ca="1">(INDEX(OFFSET('Adjustment scenario'!$D$1:$W$1,$D15-1,0),MATCH(R$4,'Adjustment scenario'!$D$10:$W$10,0))/INDEX(OFFSET('Adjustment scenario'!$D$1:$W$1,$D15-1,0),MATCH(Q$4,'Adjustment scenario'!$D$10:$W$10,0))-1)*100</f>
        <v>1.0953130000000089</v>
      </c>
      <c r="S15" s="326">
        <f ca="1">(INDEX(OFFSET('Adjustment scenario'!$D$1:$W$1,$D15-1,0),MATCH(S$4,'Adjustment scenario'!$D$10:$W$10,0))/INDEX(OFFSET('Adjustment scenario'!$D$1:$W$1,$D15-1,0),MATCH(R$4,'Adjustment scenario'!$D$10:$W$10,0))-1)*100</f>
        <v>1.3007430000000042</v>
      </c>
      <c r="T15" s="326">
        <f ca="1">(INDEX(OFFSET('Adjustment scenario'!$D$1:$W$1,$D15-1,0),MATCH(T$4,'Adjustment scenario'!$D$10:$W$10,0))/INDEX(OFFSET('Adjustment scenario'!$D$1:$W$1,$D15-1,0),MATCH(S$4,'Adjustment scenario'!$D$10:$W$10,0))-1)*100</f>
        <v>1.3750090000000048</v>
      </c>
      <c r="U15" s="326">
        <f ca="1">(INDEX(OFFSET('Adjustment scenario'!$D$1:$W$1,$D15-1,0),MATCH(U$4,'Adjustment scenario'!$D$10:$W$10,0))/INDEX(OFFSET('Adjustment scenario'!$D$1:$W$1,$D15-1,0),MATCH(T$4,'Adjustment scenario'!$D$10:$W$10,0))-1)*100</f>
        <v>1.4239520000000061</v>
      </c>
      <c r="V15" s="326">
        <f ca="1">(INDEX(OFFSET('Adjustment scenario'!$D$1:$W$1,$D15-1,0),MATCH(V$4,'Adjustment scenario'!$D$10:$W$10,0))/INDEX(OFFSET('Adjustment scenario'!$D$1:$W$1,$D15-1,0),MATCH(U$4,'Adjustment scenario'!$D$10:$W$10,0))-1)*100</f>
        <v>1.4860429999999925</v>
      </c>
      <c r="W15" s="326">
        <f ca="1">(INDEX(OFFSET('Adjustment scenario'!$D$1:$W$1,$D15-1,0),MATCH(W$4,'Adjustment scenario'!$D$10:$W$10,0))/INDEX(OFFSET('Adjustment scenario'!$D$1:$W$1,$D15-1,0),MATCH(V$4,'Adjustment scenario'!$D$10:$W$10,0))-1)*100</f>
        <v>1.5330779999999988</v>
      </c>
      <c r="X15" s="326">
        <f ca="1">(INDEX(OFFSET('Adjustment scenario'!$D$1:$W$1,$D15-1,0),MATCH(X$4,'Adjustment scenario'!$D$10:$W$10,0))/INDEX(OFFSET('Adjustment scenario'!$D$1:$W$1,$D15-1,0),MATCH(W$4,'Adjustment scenario'!$D$10:$W$10,0))-1)*100</f>
        <v>1.488302000000008</v>
      </c>
      <c r="Y15" s="5"/>
    </row>
    <row r="16" spans="1:25" x14ac:dyDescent="0.2">
      <c r="A16" s="5"/>
      <c r="B16" s="333">
        <v>12</v>
      </c>
      <c r="C16" s="329" t="s">
        <v>231</v>
      </c>
      <c r="D16" s="338">
        <v>24</v>
      </c>
      <c r="E16" s="339" t="s">
        <v>230</v>
      </c>
      <c r="F16" s="326">
        <f ca="1">INDEX(OFFSET('Adjustment scenario'!$D$1:$W$1,$D16-1,0),MATCH(F$4,'Adjustment scenario'!$D$10:$W$10,0))</f>
        <v>-1.0353760000000001</v>
      </c>
      <c r="G16" s="326">
        <f ca="1">INDEX(OFFSET('Adjustment scenario'!$D$1:$W$1,$D16-1,0),MATCH(G$4,'Adjustment scenario'!$D$10:$W$10,0))</f>
        <v>3.9589600000000003E-2</v>
      </c>
      <c r="H16" s="326">
        <f ca="1">INDEX(OFFSET('Adjustment scenario'!$D$1:$W$1,$D16-1,0),MATCH(H$4,'Adjustment scenario'!$D$10:$W$10,0))</f>
        <v>0.66045752499999111</v>
      </c>
      <c r="I16" s="326">
        <f ca="1">INDEX(OFFSET('Adjustment scenario'!$D$1:$W$1,$D16-1,0),MATCH(I$4,'Adjustment scenario'!$D$10:$W$10,0))</f>
        <v>1.42409164160473</v>
      </c>
      <c r="J16" s="326">
        <f ca="1">INDEX(OFFSET('Adjustment scenario'!$D$1:$W$1,$D16-1,0),MATCH(J$4,'Adjustment scenario'!$D$10:$W$10,0))</f>
        <v>1.0734838644498979</v>
      </c>
      <c r="K16" s="326">
        <f ca="1">INDEX(OFFSET('Adjustment scenario'!$D$1:$W$1,$D16-1,0),MATCH(K$4,'Adjustment scenario'!$D$10:$W$10,0))</f>
        <v>0.88519496903916028</v>
      </c>
      <c r="L16" s="326">
        <f ca="1">INDEX(OFFSET('Adjustment scenario'!$D$1:$W$1,$D16-1,0),MATCH(L$4,'Adjustment scenario'!$D$10:$W$10,0))</f>
        <v>0.81983627168902284</v>
      </c>
      <c r="M16" s="326">
        <f ca="1">INDEX(OFFSET('Adjustment scenario'!$D$1:$W$1,$D16-1,0),MATCH(M$4,'Adjustment scenario'!$D$10:$W$10,0))</f>
        <v>0.79141234771928914</v>
      </c>
      <c r="N16" s="326">
        <f ca="1">INDEX(OFFSET('Adjustment scenario'!$D$1:$W$1,$D16-1,0),MATCH(N$4,'Adjustment scenario'!$D$10:$W$10,0))</f>
        <v>0.6653500244909738</v>
      </c>
      <c r="O16" s="326">
        <f ca="1">INDEX(OFFSET('Adjustment scenario'!$D$1:$W$1,$D16-1,0),MATCH(O$4,'Adjustment scenario'!$D$10:$W$10,0))</f>
        <v>0.93637848572836191</v>
      </c>
      <c r="P16" s="326">
        <f ca="1">INDEX(OFFSET('Adjustment scenario'!$D$1:$W$1,$D16-1,0),MATCH(P$4,'Adjustment scenario'!$D$10:$W$10,0))</f>
        <v>0.96186765532662033</v>
      </c>
      <c r="Q16" s="326">
        <f ca="1">INDEX(OFFSET('Adjustment scenario'!$D$1:$W$1,$D16-1,0),MATCH(Q$4,'Adjustment scenario'!$D$10:$W$10,0))</f>
        <v>1.1670998597781423</v>
      </c>
      <c r="R16" s="326">
        <f ca="1">INDEX(OFFSET('Adjustment scenario'!$D$1:$W$1,$D16-1,0),MATCH(R$4,'Adjustment scenario'!$D$10:$W$10,0))</f>
        <v>1.0953100000000049</v>
      </c>
      <c r="S16" s="326">
        <f ca="1">INDEX(OFFSET('Adjustment scenario'!$D$1:$W$1,$D16-1,0),MATCH(S$4,'Adjustment scenario'!$D$10:$W$10,0))</f>
        <v>1.3007420000000103</v>
      </c>
      <c r="T16" s="326">
        <f ca="1">INDEX(OFFSET('Adjustment scenario'!$D$1:$W$1,$D16-1,0),MATCH(T$4,'Adjustment scenario'!$D$10:$W$10,0))</f>
        <v>1.3750050000000069</v>
      </c>
      <c r="U16" s="326">
        <f ca="1">INDEX(OFFSET('Adjustment scenario'!$D$1:$W$1,$D16-1,0),MATCH(U$4,'Adjustment scenario'!$D$10:$W$10,0))</f>
        <v>1.4239539999999939</v>
      </c>
      <c r="V16" s="326">
        <f ca="1">INDEX(OFFSET('Adjustment scenario'!$D$1:$W$1,$D16-1,0),MATCH(V$4,'Adjustment scenario'!$D$10:$W$10,0))</f>
        <v>1.4860419999999985</v>
      </c>
      <c r="W16" s="326">
        <f ca="1">INDEX(OFFSET('Adjustment scenario'!$D$1:$W$1,$D16-1,0),MATCH(W$4,'Adjustment scenario'!$D$10:$W$10,0))</f>
        <v>1.5330819999999967</v>
      </c>
      <c r="X16" s="326">
        <f ca="1">INDEX(OFFSET('Adjustment scenario'!$D$1:$W$1,$D16-1,0),MATCH(X$4,'Adjustment scenario'!$D$10:$W$10,0))</f>
        <v>1.4883030000000019</v>
      </c>
      <c r="Y16" s="5"/>
    </row>
    <row r="17" spans="1:25" x14ac:dyDescent="0.2">
      <c r="A17" s="5"/>
      <c r="B17" s="333">
        <v>13</v>
      </c>
      <c r="C17" s="342" t="s">
        <v>232</v>
      </c>
      <c r="D17" s="338">
        <v>42</v>
      </c>
      <c r="E17" s="339" t="s">
        <v>230</v>
      </c>
      <c r="F17" s="326">
        <f ca="1">INDEX(OFFSET('Adjustment scenario'!$D$1:$W$1,$D17-1,0),MATCH(F$4,'Adjustment scenario'!$D$10:$W$10,0))</f>
        <v>4.7975909999999997</v>
      </c>
      <c r="G17" s="326">
        <f ca="1">INDEX(OFFSET('Adjustment scenario'!$D$1:$W$1,$D17-1,0),MATCH(G$4,'Adjustment scenario'!$D$10:$W$10,0))</f>
        <v>1.8000020000000001</v>
      </c>
      <c r="H17" s="326">
        <f ca="1">INDEX(OFFSET('Adjustment scenario'!$D$1:$W$1,$D17-1,0),MATCH(H$4,'Adjustment scenario'!$D$10:$W$10,0))</f>
        <v>2.124962</v>
      </c>
      <c r="I17" s="326">
        <f ca="1">INDEX(OFFSET('Adjustment scenario'!$D$1:$W$1,$D17-1,0),MATCH(I$4,'Adjustment scenario'!$D$10:$W$10,0))</f>
        <v>2.1780917500000001</v>
      </c>
      <c r="J17" s="326">
        <f ca="1">INDEX(OFFSET('Adjustment scenario'!$D$1:$W$1,$D17-1,0),MATCH(J$4,'Adjustment scenario'!$D$10:$W$10,0))</f>
        <v>2.2312215000000002</v>
      </c>
      <c r="K17" s="326">
        <f ca="1">INDEX(OFFSET('Adjustment scenario'!$D$1:$W$1,$D17-1,0),MATCH(K$4,'Adjustment scenario'!$D$10:$W$10,0))</f>
        <v>2.2843512499999998</v>
      </c>
      <c r="L17" s="326">
        <f ca="1">INDEX(OFFSET('Adjustment scenario'!$D$1:$W$1,$D17-1,0),MATCH(L$4,'Adjustment scenario'!$D$10:$W$10,0))</f>
        <v>2.3374809999999999</v>
      </c>
      <c r="M17" s="326">
        <f ca="1">INDEX(OFFSET('Adjustment scenario'!$D$1:$W$1,$D17-1,0),MATCH(M$4,'Adjustment scenario'!$D$10:$W$10,0))</f>
        <v>2.39061075</v>
      </c>
      <c r="N17" s="326">
        <f ca="1">INDEX(OFFSET('Adjustment scenario'!$D$1:$W$1,$D17-1,0),MATCH(N$4,'Adjustment scenario'!$D$10:$W$10,0))</f>
        <v>2.4437404999999996</v>
      </c>
      <c r="O17" s="326">
        <f ca="1">INDEX(OFFSET('Adjustment scenario'!$D$1:$W$1,$D17-1,0),MATCH(O$4,'Adjustment scenario'!$D$10:$W$10,0))</f>
        <v>2.4968702499999997</v>
      </c>
      <c r="P17" s="326">
        <f ca="1">INDEX(OFFSET('Adjustment scenario'!$D$1:$W$1,$D17-1,0),MATCH(P$4,'Adjustment scenario'!$D$10:$W$10,0))</f>
        <v>2.5499999999999998</v>
      </c>
      <c r="Q17" s="326">
        <f ca="1">INDEX(OFFSET('Adjustment scenario'!$D$1:$W$1,$D17-1,0),MATCH(Q$4,'Adjustment scenario'!$D$10:$W$10,0))</f>
        <v>2.5225</v>
      </c>
      <c r="R17" s="326">
        <f ca="1">INDEX(OFFSET('Adjustment scenario'!$D$1:$W$1,$D17-1,0),MATCH(R$4,'Adjustment scenario'!$D$10:$W$10,0))</f>
        <v>2.4949999999999997</v>
      </c>
      <c r="S17" s="326">
        <f ca="1">INDEX(OFFSET('Adjustment scenario'!$D$1:$W$1,$D17-1,0),MATCH(S$4,'Adjustment scenario'!$D$10:$W$10,0))</f>
        <v>2.4674999999999998</v>
      </c>
      <c r="T17" s="326">
        <f ca="1">INDEX(OFFSET('Adjustment scenario'!$D$1:$W$1,$D17-1,0),MATCH(T$4,'Adjustment scenario'!$D$10:$W$10,0))</f>
        <v>2.44</v>
      </c>
      <c r="U17" s="326">
        <f ca="1">INDEX(OFFSET('Adjustment scenario'!$D$1:$W$1,$D17-1,0),MATCH(U$4,'Adjustment scenario'!$D$10:$W$10,0))</f>
        <v>2.4124999999999996</v>
      </c>
      <c r="V17" s="326">
        <f ca="1">INDEX(OFFSET('Adjustment scenario'!$D$1:$W$1,$D17-1,0),MATCH(V$4,'Adjustment scenario'!$D$10:$W$10,0))</f>
        <v>2.3849999999999998</v>
      </c>
      <c r="W17" s="326">
        <f ca="1">INDEX(OFFSET('Adjustment scenario'!$D$1:$W$1,$D17-1,0),MATCH(W$4,'Adjustment scenario'!$D$10:$W$10,0))</f>
        <v>2.3574999999999999</v>
      </c>
      <c r="X17" s="326">
        <f ca="1">INDEX(OFFSET('Adjustment scenario'!$D$1:$W$1,$D17-1,0),MATCH(X$4,'Adjustment scenario'!$D$10:$W$10,0))</f>
        <v>2.33</v>
      </c>
      <c r="Y17" s="5"/>
    </row>
    <row r="18" spans="1:25" x14ac:dyDescent="0.2">
      <c r="A18" s="5"/>
      <c r="B18" s="333">
        <v>14</v>
      </c>
      <c r="C18" s="329" t="s">
        <v>233</v>
      </c>
      <c r="D18" s="338">
        <v>33</v>
      </c>
      <c r="E18" s="339" t="s">
        <v>230</v>
      </c>
      <c r="F18" s="326">
        <f ca="1">INDEX(OFFSET('Adjustment scenario'!$D$1:$W$1,$D18-1,0),MATCH(F$4,'Adjustment scenario'!$D$10:$W$10,0))</f>
        <v>3.7125418942078214</v>
      </c>
      <c r="G18" s="326">
        <f ca="1">INDEX(OFFSET('Adjustment scenario'!$D$1:$W$1,$D18-1,0),MATCH(G$4,'Adjustment scenario'!$D$10:$W$10,0))</f>
        <v>1.8403042135917813</v>
      </c>
      <c r="H18" s="326">
        <f ca="1">INDEX(OFFSET('Adjustment scenario'!$D$1:$W$1,$D18-1,0),MATCH(H$4,'Adjustment scenario'!$D$10:$W$10,0))</f>
        <v>2.7994539964323994</v>
      </c>
      <c r="I18" s="326">
        <f ca="1">INDEX(OFFSET('Adjustment scenario'!$D$1:$W$1,$D18-1,0),MATCH(I$4,'Adjustment scenario'!$D$10:$W$10,0))</f>
        <v>3.6332014141629676</v>
      </c>
      <c r="J18" s="326">
        <f ca="1">INDEX(OFFSET('Adjustment scenario'!$D$1:$W$1,$D18-1,0),MATCH(J$4,'Adjustment scenario'!$D$10:$W$10,0))</f>
        <v>3.3286571672325183</v>
      </c>
      <c r="K18" s="326">
        <f ca="1">INDEX(OFFSET('Adjustment scenario'!$D$1:$W$1,$D18-1,0),MATCH(K$4,'Adjustment scenario'!$D$10:$W$10,0))</f>
        <v>3.1897671813793327</v>
      </c>
      <c r="L18" s="326">
        <f ca="1">INDEX(OFFSET('Adjustment scenario'!$D$1:$W$1,$D18-1,0),MATCH(L$4,'Adjustment scenario'!$D$10:$W$10,0))</f>
        <v>3.1764807887708635</v>
      </c>
      <c r="M18" s="326">
        <f ca="1">INDEX(OFFSET('Adjustment scenario'!$D$1:$W$1,$D18-1,0),MATCH(M$4,'Adjustment scenario'!$D$10:$W$10,0))</f>
        <v>3.2009426863806922</v>
      </c>
      <c r="N18" s="326">
        <f ca="1">INDEX(OFFSET('Adjustment scenario'!$D$1:$W$1,$D18-1,0),MATCH(N$4,'Adjustment scenario'!$D$10:$W$10,0))</f>
        <v>3.1253499525062178</v>
      </c>
      <c r="O18" s="326">
        <f ca="1">INDEX(OFFSET('Adjustment scenario'!$D$1:$W$1,$D18-1,0),MATCH(O$4,'Adjustment scenario'!$D$10:$W$10,0))</f>
        <v>3.4566288915659271</v>
      </c>
      <c r="P18" s="326">
        <f ca="1">INDEX(OFFSET('Adjustment scenario'!$D$1:$W$1,$D18-1,0),MATCH(P$4,'Adjustment scenario'!$D$10:$W$10,0))</f>
        <v>3.5363952805374632</v>
      </c>
      <c r="Q18" s="326">
        <f ca="1">INDEX(OFFSET('Adjustment scenario'!$D$1:$W$1,$D18-1,0),MATCH(Q$4,'Adjustment scenario'!$D$10:$W$10,0))</f>
        <v>3.7190399537410546</v>
      </c>
      <c r="R18" s="326">
        <f ca="1">INDEX(OFFSET('Adjustment scenario'!$D$1:$W$1,$D18-1,0),MATCH(R$4,'Adjustment scenario'!$D$10:$W$10,0))</f>
        <v>3.6176379845000106</v>
      </c>
      <c r="S18" s="326">
        <f ca="1">INDEX(OFFSET('Adjustment scenario'!$D$1:$W$1,$D18-1,0),MATCH(S$4,'Adjustment scenario'!$D$10:$W$10,0))</f>
        <v>3.8003378088500073</v>
      </c>
      <c r="T18" s="326">
        <f ca="1">INDEX(OFFSET('Adjustment scenario'!$D$1:$W$1,$D18-1,0),MATCH(T$4,'Adjustment scenario'!$D$10:$W$10,0))</f>
        <v>3.8485551219999969</v>
      </c>
      <c r="U18" s="326">
        <f ca="1">INDEX(OFFSET('Adjustment scenario'!$D$1:$W$1,$D18-1,0),MATCH(U$4,'Adjustment scenario'!$D$10:$W$10,0))</f>
        <v>3.8708068902499893</v>
      </c>
      <c r="V18" s="326">
        <f ca="1">INDEX(OFFSET('Adjustment scenario'!$D$1:$W$1,$D18-1,0),MATCH(V$4,'Adjustment scenario'!$D$10:$W$10,0))</f>
        <v>3.9064841016999807</v>
      </c>
      <c r="W18" s="326">
        <f ca="1">INDEX(OFFSET('Adjustment scenario'!$D$1:$W$1,$D18-1,0),MATCH(W$4,'Adjustment scenario'!$D$10:$W$10,0))</f>
        <v>3.9267244081499841</v>
      </c>
      <c r="X18" s="326">
        <f ca="1">INDEX(OFFSET('Adjustment scenario'!$D$1:$W$1,$D18-1,0),MATCH(X$4,'Adjustment scenario'!$D$10:$W$10,0))</f>
        <v>3.8529804599000128</v>
      </c>
      <c r="Y18" s="5"/>
    </row>
    <row r="19" spans="1:25" x14ac:dyDescent="0.2">
      <c r="A19" s="5"/>
      <c r="B19" s="327"/>
      <c r="C19" s="348"/>
      <c r="D19" s="348"/>
      <c r="E19" s="348"/>
      <c r="F19" s="348"/>
      <c r="G19" s="348"/>
      <c r="H19" s="348"/>
      <c r="I19" s="348"/>
      <c r="J19" s="348"/>
      <c r="K19" s="5"/>
      <c r="L19" s="5"/>
      <c r="M19" s="5"/>
      <c r="N19" s="5"/>
      <c r="O19" s="5"/>
      <c r="P19" s="5"/>
      <c r="Q19" s="5"/>
      <c r="R19" s="5"/>
      <c r="S19" s="5"/>
      <c r="T19" s="5"/>
      <c r="U19" s="5"/>
      <c r="V19" s="5"/>
      <c r="W19" s="5"/>
      <c r="X19" s="5"/>
      <c r="Y19" s="5"/>
    </row>
    <row r="20" spans="1:25" x14ac:dyDescent="0.2">
      <c r="A20" s="5"/>
      <c r="B20" s="349"/>
      <c r="C20" s="331" t="s">
        <v>234</v>
      </c>
      <c r="D20" s="332"/>
      <c r="E20" s="332"/>
      <c r="F20" s="332"/>
      <c r="G20" s="348"/>
      <c r="H20" s="348"/>
      <c r="I20" s="348"/>
      <c r="J20" s="348"/>
      <c r="K20" s="5"/>
      <c r="L20" s="5"/>
      <c r="M20" s="5"/>
      <c r="N20" s="5"/>
      <c r="O20" s="5"/>
      <c r="P20" s="5"/>
      <c r="Q20" s="5"/>
      <c r="R20" s="5"/>
      <c r="S20" s="5"/>
      <c r="T20" s="5"/>
      <c r="U20" s="5"/>
      <c r="V20" s="5"/>
      <c r="W20" s="5"/>
      <c r="X20" s="5"/>
      <c r="Y20" s="5"/>
    </row>
    <row r="21" spans="1:25" x14ac:dyDescent="0.2">
      <c r="A21" s="5"/>
      <c r="B21" s="327"/>
      <c r="C21" s="348"/>
      <c r="D21" s="348"/>
      <c r="E21" s="348"/>
      <c r="F21" s="348"/>
      <c r="G21" s="348"/>
      <c r="H21" s="348"/>
      <c r="I21" s="348"/>
      <c r="J21" s="348"/>
      <c r="K21" s="5"/>
      <c r="L21" s="5"/>
      <c r="M21" s="5"/>
      <c r="N21" s="5"/>
      <c r="O21" s="5"/>
      <c r="P21" s="5"/>
      <c r="Q21" s="5"/>
      <c r="R21" s="5"/>
      <c r="S21" s="5"/>
      <c r="T21" s="5"/>
      <c r="U21" s="5"/>
      <c r="V21" s="5"/>
      <c r="W21" s="5"/>
      <c r="X21" s="5"/>
      <c r="Y21" s="5"/>
    </row>
    <row r="22" spans="1:25" x14ac:dyDescent="0.2">
      <c r="A22" s="5"/>
      <c r="B22" s="333"/>
      <c r="C22" s="331" t="s">
        <v>26</v>
      </c>
      <c r="D22" s="331"/>
      <c r="E22" s="335">
        <f>F22-1</f>
        <v>2022</v>
      </c>
      <c r="F22" s="336">
        <f>'Input data'!$C$5-1</f>
        <v>2023</v>
      </c>
      <c r="G22" s="336">
        <f>F22+1</f>
        <v>2024</v>
      </c>
      <c r="H22" s="336">
        <f t="shared" ref="H22:X22" si="1">G22+1</f>
        <v>2025</v>
      </c>
      <c r="I22" s="336">
        <f t="shared" si="1"/>
        <v>2026</v>
      </c>
      <c r="J22" s="336">
        <f t="shared" si="1"/>
        <v>2027</v>
      </c>
      <c r="K22" s="336">
        <f t="shared" si="1"/>
        <v>2028</v>
      </c>
      <c r="L22" s="336">
        <f t="shared" si="1"/>
        <v>2029</v>
      </c>
      <c r="M22" s="336">
        <f t="shared" si="1"/>
        <v>2030</v>
      </c>
      <c r="N22" s="336">
        <f t="shared" si="1"/>
        <v>2031</v>
      </c>
      <c r="O22" s="336">
        <f t="shared" si="1"/>
        <v>2032</v>
      </c>
      <c r="P22" s="336">
        <f t="shared" si="1"/>
        <v>2033</v>
      </c>
      <c r="Q22" s="336">
        <f t="shared" si="1"/>
        <v>2034</v>
      </c>
      <c r="R22" s="336">
        <f t="shared" si="1"/>
        <v>2035</v>
      </c>
      <c r="S22" s="336">
        <f t="shared" si="1"/>
        <v>2036</v>
      </c>
      <c r="T22" s="336">
        <f t="shared" si="1"/>
        <v>2037</v>
      </c>
      <c r="U22" s="336">
        <f t="shared" si="1"/>
        <v>2038</v>
      </c>
      <c r="V22" s="336">
        <f t="shared" si="1"/>
        <v>2039</v>
      </c>
      <c r="W22" s="336">
        <f t="shared" si="1"/>
        <v>2040</v>
      </c>
      <c r="X22" s="336">
        <f t="shared" si="1"/>
        <v>2041</v>
      </c>
      <c r="Y22" s="5"/>
    </row>
    <row r="23" spans="1:25" x14ac:dyDescent="0.2">
      <c r="A23" s="5"/>
      <c r="B23" s="333">
        <v>1</v>
      </c>
      <c r="C23" s="337" t="s">
        <v>220</v>
      </c>
      <c r="D23" s="338">
        <v>56</v>
      </c>
      <c r="E23" s="339" t="s">
        <v>221</v>
      </c>
      <c r="F23" s="326">
        <f ca="1">INDEX(OFFSET('Financial stress'!$D$1:$W$1,$D23-1,0),MATCH(F$4,'Financial stress'!$D$10:$W$10,0))</f>
        <v>75.830716179102311</v>
      </c>
      <c r="G23" s="326">
        <f ca="1">INDEX(OFFSET('Financial stress'!$D$1:$W$1,$D23-1,0),MATCH(G$4,'Financial stress'!$D$10:$W$10,0))</f>
        <v>80.48745186650369</v>
      </c>
      <c r="H23" s="326">
        <f ca="1">INDEX(OFFSET('Financial stress'!$D$1:$W$1,$D23-1,0),MATCH(H$4,'Financial stress'!$D$10:$W$10,0))</f>
        <v>82.275441313739478</v>
      </c>
      <c r="I23" s="326">
        <f ca="1">INDEX(OFFSET('Financial stress'!$D$1:$W$1,$D23-1,0),MATCH(I$4,'Financial stress'!$D$10:$W$10,0))</f>
        <v>82.541625659639379</v>
      </c>
      <c r="J23" s="326">
        <f ca="1">INDEX(OFFSET('Financial stress'!$D$1:$W$1,$D23-1,0),MATCH(J$4,'Financial stress'!$D$10:$W$10,0))</f>
        <v>81.323119123411445</v>
      </c>
      <c r="K23" s="326">
        <f ca="1">INDEX(OFFSET('Financial stress'!$D$1:$W$1,$D23-1,0),MATCH(K$4,'Financial stress'!$D$10:$W$10,0))</f>
        <v>78.420156567126583</v>
      </c>
      <c r="L23" s="326">
        <f ca="1">INDEX(OFFSET('Financial stress'!$D$1:$W$1,$D23-1,0),MATCH(L$4,'Financial stress'!$D$10:$W$10,0))</f>
        <v>73.904721542930275</v>
      </c>
      <c r="M23" s="326">
        <f ca="1">INDEX(OFFSET('Financial stress'!$D$1:$W$1,$D23-1,0),MATCH(M$4,'Financial stress'!$D$10:$W$10,0))</f>
        <v>67.775534644448115</v>
      </c>
      <c r="N23" s="326">
        <f ca="1">INDEX(OFFSET('Financial stress'!$D$1:$W$1,$D23-1,0),MATCH(N$4,'Financial stress'!$D$10:$W$10,0))</f>
        <v>60.02265064705545</v>
      </c>
      <c r="O23" s="326">
        <f ca="1">INDEX(OFFSET('Financial stress'!$D$1:$W$1,$D23-1,0),MATCH(O$4,'Financial stress'!$D$10:$W$10,0))</f>
        <v>50.912795362206339</v>
      </c>
      <c r="P23" s="326">
        <f ca="1">INDEX(OFFSET('Financial stress'!$D$1:$W$1,$D23-1,0),MATCH(P$4,'Financial stress'!$D$10:$W$10,0))</f>
        <v>41.14546213570047</v>
      </c>
      <c r="Q23" s="326">
        <f ca="1">INDEX(OFFSET('Financial stress'!$D$1:$W$1,$D23-1,0),MATCH(Q$4,'Financial stress'!$D$10:$W$10,0))</f>
        <v>30.707870482134656</v>
      </c>
      <c r="R23" s="326">
        <f ca="1">INDEX(OFFSET('Financial stress'!$D$1:$W$1,$D23-1,0),MATCH(R$4,'Financial stress'!$D$10:$W$10,0))</f>
        <v>20.644235955781806</v>
      </c>
      <c r="S23" s="326">
        <f ca="1">INDEX(OFFSET('Financial stress'!$D$1:$W$1,$D23-1,0),MATCH(S$4,'Financial stress'!$D$10:$W$10,0))</f>
        <v>10.506159051487185</v>
      </c>
      <c r="T23" s="326">
        <f ca="1">INDEX(OFFSET('Financial stress'!$D$1:$W$1,$D23-1,0),MATCH(T$4,'Financial stress'!$D$10:$W$10,0))</f>
        <v>0.32439147746383945</v>
      </c>
      <c r="U23" s="326">
        <f ca="1">INDEX(OFFSET('Financial stress'!$D$1:$W$1,$D23-1,0),MATCH(U$4,'Financial stress'!$D$10:$W$10,0))</f>
        <v>-9.9067114452036549</v>
      </c>
      <c r="V23" s="326">
        <f ca="1">INDEX(OFFSET('Financial stress'!$D$1:$W$1,$D23-1,0),MATCH(V$4,'Financial stress'!$D$10:$W$10,0))</f>
        <v>-20.325474122218363</v>
      </c>
      <c r="W23" s="326">
        <f ca="1">INDEX(OFFSET('Financial stress'!$D$1:$W$1,$D23-1,0),MATCH(W$4,'Financial stress'!$D$10:$W$10,0))</f>
        <v>-30.937795087869354</v>
      </c>
      <c r="X23" s="326">
        <f ca="1">INDEX(OFFSET('Financial stress'!$D$1:$W$1,$D23-1,0),MATCH(X$4,'Financial stress'!$D$10:$W$10,0))</f>
        <v>-41.757753136093065</v>
      </c>
      <c r="Y23" s="5"/>
    </row>
    <row r="24" spans="1:25" x14ac:dyDescent="0.2">
      <c r="A24" s="5"/>
      <c r="B24" s="333">
        <v>2</v>
      </c>
      <c r="C24" s="337" t="s">
        <v>94</v>
      </c>
      <c r="D24" s="338">
        <v>36</v>
      </c>
      <c r="E24" s="339" t="s">
        <v>227</v>
      </c>
      <c r="F24" s="326">
        <f ca="1">INDEX(OFFSET('Financial stress'!$D$1:$W$1,$D24-1,0),MATCH(F$4,'Financial stress'!$D$10:$W$10,0))</f>
        <v>3.04</v>
      </c>
      <c r="G24" s="326">
        <f ca="1">INDEX(OFFSET('Financial stress'!$D$1:$W$1,$D24-1,0),MATCH(G$4,'Financial stress'!$D$10:$W$10,0))</f>
        <v>2.9418000000000002</v>
      </c>
      <c r="H24" s="326">
        <f ca="1">INDEX(OFFSET('Financial stress'!$D$1:$W$1,$D24-1,0),MATCH(H$4,'Financial stress'!$D$10:$W$10,0))</f>
        <v>3.0140359999999999</v>
      </c>
      <c r="I24" s="326">
        <f ca="1">INDEX(OFFSET('Financial stress'!$D$1:$W$1,$D24-1,0),MATCH(I$4,'Financial stress'!$D$10:$W$10,0))</f>
        <v>3.041204</v>
      </c>
      <c r="J24" s="326">
        <f ca="1">INDEX(OFFSET('Financial stress'!$D$1:$W$1,$D24-1,0),MATCH(J$4,'Financial stress'!$D$10:$W$10,0))</f>
        <v>3.0683720000000001</v>
      </c>
      <c r="K24" s="326">
        <f ca="1">INDEX(OFFSET('Financial stress'!$D$1:$W$1,$D24-1,0),MATCH(K$4,'Financial stress'!$D$10:$W$10,0))</f>
        <v>3.0955400000000002</v>
      </c>
      <c r="L24" s="326">
        <f ca="1">INDEX(OFFSET('Financial stress'!$D$1:$W$1,$D24-1,0),MATCH(L$4,'Financial stress'!$D$10:$W$10,0))</f>
        <v>3.1227080000000003</v>
      </c>
      <c r="M24" s="326">
        <f ca="1">INDEX(OFFSET('Financial stress'!$D$1:$W$1,$D24-1,0),MATCH(M$4,'Financial stress'!$D$10:$W$10,0))</f>
        <v>3.1498759999999999</v>
      </c>
      <c r="N24" s="326">
        <f ca="1">INDEX(OFFSET('Financial stress'!$D$1:$W$1,$D24-1,0),MATCH(N$4,'Financial stress'!$D$10:$W$10,0))</f>
        <v>3.177044</v>
      </c>
      <c r="O24" s="326">
        <f ca="1">INDEX(OFFSET('Financial stress'!$D$1:$W$1,$D24-1,0),MATCH(O$4,'Financial stress'!$D$10:$W$10,0))</f>
        <v>4.2042120000000001</v>
      </c>
      <c r="P24" s="326">
        <f ca="1">INDEX(OFFSET('Financial stress'!$D$1:$W$1,$D24-1,0),MATCH(P$4,'Financial stress'!$D$10:$W$10,0))</f>
        <v>3.2313800000000001</v>
      </c>
      <c r="Q24" s="326">
        <f ca="1">INDEX(OFFSET('Financial stress'!$D$1:$W$1,$D24-1,0),MATCH(Q$4,'Financial stress'!$D$10:$W$10,0))</f>
        <v>3.2698110000000002</v>
      </c>
      <c r="R24" s="326">
        <f ca="1">INDEX(OFFSET('Financial stress'!$D$1:$W$1,$D24-1,0),MATCH(R$4,'Financial stress'!$D$10:$W$10,0))</f>
        <v>3.3082419999999999</v>
      </c>
      <c r="S24" s="326">
        <f ca="1">INDEX(OFFSET('Financial stress'!$D$1:$W$1,$D24-1,0),MATCH(S$4,'Financial stress'!$D$10:$W$10,0))</f>
        <v>3.346673</v>
      </c>
      <c r="T24" s="326">
        <f ca="1">INDEX(OFFSET('Financial stress'!$D$1:$W$1,$D24-1,0),MATCH(T$4,'Financial stress'!$D$10:$W$10,0))</f>
        <v>3.3851040000000001</v>
      </c>
      <c r="U24" s="326">
        <f ca="1">INDEX(OFFSET('Financial stress'!$D$1:$W$1,$D24-1,0),MATCH(U$4,'Financial stress'!$D$10:$W$10,0))</f>
        <v>3.4235350000000002</v>
      </c>
      <c r="V24" s="326">
        <f ca="1">INDEX(OFFSET('Financial stress'!$D$1:$W$1,$D24-1,0),MATCH(V$4,'Financial stress'!$D$10:$W$10,0))</f>
        <v>3.4619660000000003</v>
      </c>
      <c r="W24" s="326">
        <f ca="1">INDEX(OFFSET('Financial stress'!$D$1:$W$1,$D24-1,0),MATCH(W$4,'Financial stress'!$D$10:$W$10,0))</f>
        <v>3.500397</v>
      </c>
      <c r="X24" s="326">
        <f ca="1">INDEX(OFFSET('Financial stress'!$D$1:$W$1,$D24-1,0),MATCH(X$4,'Financial stress'!$D$10:$W$10,0))</f>
        <v>3.5388280000000001</v>
      </c>
      <c r="Y24" s="5"/>
    </row>
    <row r="25" spans="1:25" x14ac:dyDescent="0.2">
      <c r="A25" s="5"/>
      <c r="B25" s="333">
        <v>3</v>
      </c>
      <c r="C25" s="337" t="s">
        <v>95</v>
      </c>
      <c r="D25" s="338">
        <v>37</v>
      </c>
      <c r="E25" s="339" t="s">
        <v>227</v>
      </c>
      <c r="F25" s="326">
        <f ca="1">INDEX(OFFSET('Financial stress'!$D$1:$W$1,$D25-1,0),MATCH(F$4,'Financial stress'!$D$10:$W$10,0))</f>
        <v>3.43</v>
      </c>
      <c r="G25" s="326">
        <f ca="1">INDEX(OFFSET('Financial stress'!$D$1:$W$1,$D25-1,0),MATCH(G$4,'Financial stress'!$D$10:$W$10,0))</f>
        <v>3.5642079999999998</v>
      </c>
      <c r="H25" s="326">
        <f ca="1">INDEX(OFFSET('Financial stress'!$D$1:$W$1,$D25-1,0),MATCH(H$4,'Financial stress'!$D$10:$W$10,0))</f>
        <v>2.8163749999999999</v>
      </c>
      <c r="I25" s="326">
        <f ca="1">INDEX(OFFSET('Financial stress'!$D$1:$W$1,$D25-1,0),MATCH(I$4,'Financial stress'!$D$10:$W$10,0))</f>
        <v>2.8050893749999997</v>
      </c>
      <c r="J25" s="326">
        <f ca="1">INDEX(OFFSET('Financial stress'!$D$1:$W$1,$D25-1,0),MATCH(J$4,'Financial stress'!$D$10:$W$10,0))</f>
        <v>2.7938037499999995</v>
      </c>
      <c r="K25" s="326">
        <f ca="1">INDEX(OFFSET('Financial stress'!$D$1:$W$1,$D25-1,0),MATCH(K$4,'Financial stress'!$D$10:$W$10,0))</f>
        <v>2.7825181249999993</v>
      </c>
      <c r="L25" s="326">
        <f ca="1">INDEX(OFFSET('Financial stress'!$D$1:$W$1,$D25-1,0),MATCH(L$4,'Financial stress'!$D$10:$W$10,0))</f>
        <v>2.7712325</v>
      </c>
      <c r="M25" s="326">
        <f ca="1">INDEX(OFFSET('Financial stress'!$D$1:$W$1,$D25-1,0),MATCH(M$4,'Financial stress'!$D$10:$W$10,0))</f>
        <v>2.7599468749999998</v>
      </c>
      <c r="N25" s="326">
        <f ca="1">INDEX(OFFSET('Financial stress'!$D$1:$W$1,$D25-1,0),MATCH(N$4,'Financial stress'!$D$10:$W$10,0))</f>
        <v>2.7486612500000001</v>
      </c>
      <c r="O25" s="326">
        <f ca="1">INDEX(OFFSET('Financial stress'!$D$1:$W$1,$D25-1,0),MATCH(O$4,'Financial stress'!$D$10:$W$10,0))</f>
        <v>3.7373756250000003</v>
      </c>
      <c r="P25" s="326">
        <f ca="1">INDEX(OFFSET('Financial stress'!$D$1:$W$1,$D25-1,0),MATCH(P$4,'Financial stress'!$D$10:$W$10,0))</f>
        <v>2.7260900000000001</v>
      </c>
      <c r="Q25" s="326">
        <f ca="1">INDEX(OFFSET('Financial stress'!$D$1:$W$1,$D25-1,0),MATCH(Q$4,'Financial stress'!$D$10:$W$10,0))</f>
        <v>2.6897855000000002</v>
      </c>
      <c r="R25" s="326">
        <f ca="1">INDEX(OFFSET('Financial stress'!$D$1:$W$1,$D25-1,0),MATCH(R$4,'Financial stress'!$D$10:$W$10,0))</f>
        <v>2.6534810000000002</v>
      </c>
      <c r="S25" s="326">
        <f ca="1">INDEX(OFFSET('Financial stress'!$D$1:$W$1,$D25-1,0),MATCH(S$4,'Financial stress'!$D$10:$W$10,0))</f>
        <v>2.6171765000000002</v>
      </c>
      <c r="T25" s="326">
        <f ca="1">INDEX(OFFSET('Financial stress'!$D$1:$W$1,$D25-1,0),MATCH(T$4,'Financial stress'!$D$10:$W$10,0))</f>
        <v>2.5808720000000003</v>
      </c>
      <c r="U25" s="326">
        <f ca="1">INDEX(OFFSET('Financial stress'!$D$1:$W$1,$D25-1,0),MATCH(U$4,'Financial stress'!$D$10:$W$10,0))</f>
        <v>2.5445675000000003</v>
      </c>
      <c r="V25" s="326">
        <f ca="1">INDEX(OFFSET('Financial stress'!$D$1:$W$1,$D25-1,0),MATCH(V$4,'Financial stress'!$D$10:$W$10,0))</f>
        <v>2.5082629999999999</v>
      </c>
      <c r="W25" s="326">
        <f ca="1">INDEX(OFFSET('Financial stress'!$D$1:$W$1,$D25-1,0),MATCH(W$4,'Financial stress'!$D$10:$W$10,0))</f>
        <v>2.4719584999999999</v>
      </c>
      <c r="X25" s="326">
        <f ca="1">INDEX(OFFSET('Financial stress'!$D$1:$W$1,$D25-1,0),MATCH(X$4,'Financial stress'!$D$10:$W$10,0))</f>
        <v>2.435654</v>
      </c>
      <c r="Y25" s="5"/>
    </row>
    <row r="26" spans="1:25" x14ac:dyDescent="0.2">
      <c r="A26" s="5"/>
      <c r="B26" s="333"/>
      <c r="C26" s="331" t="s">
        <v>27</v>
      </c>
      <c r="D26" s="331"/>
      <c r="E26" s="335">
        <f>F26-1</f>
        <v>2022</v>
      </c>
      <c r="F26" s="336">
        <f>'Input data'!$C$5-1</f>
        <v>2023</v>
      </c>
      <c r="G26" s="336">
        <f>F26+1</f>
        <v>2024</v>
      </c>
      <c r="H26" s="336">
        <f t="shared" ref="H26:X26" si="2">G26+1</f>
        <v>2025</v>
      </c>
      <c r="I26" s="336">
        <f t="shared" si="2"/>
        <v>2026</v>
      </c>
      <c r="J26" s="336">
        <f t="shared" si="2"/>
        <v>2027</v>
      </c>
      <c r="K26" s="336">
        <f t="shared" si="2"/>
        <v>2028</v>
      </c>
      <c r="L26" s="336">
        <f t="shared" si="2"/>
        <v>2029</v>
      </c>
      <c r="M26" s="336">
        <f t="shared" si="2"/>
        <v>2030</v>
      </c>
      <c r="N26" s="336">
        <f t="shared" si="2"/>
        <v>2031</v>
      </c>
      <c r="O26" s="336">
        <f t="shared" si="2"/>
        <v>2032</v>
      </c>
      <c r="P26" s="336">
        <f t="shared" si="2"/>
        <v>2033</v>
      </c>
      <c r="Q26" s="336">
        <f t="shared" si="2"/>
        <v>2034</v>
      </c>
      <c r="R26" s="336">
        <f t="shared" si="2"/>
        <v>2035</v>
      </c>
      <c r="S26" s="336">
        <f t="shared" si="2"/>
        <v>2036</v>
      </c>
      <c r="T26" s="336">
        <f t="shared" si="2"/>
        <v>2037</v>
      </c>
      <c r="U26" s="336">
        <f t="shared" si="2"/>
        <v>2038</v>
      </c>
      <c r="V26" s="336">
        <f t="shared" si="2"/>
        <v>2039</v>
      </c>
      <c r="W26" s="336">
        <f t="shared" si="2"/>
        <v>2040</v>
      </c>
      <c r="X26" s="336">
        <f t="shared" si="2"/>
        <v>2041</v>
      </c>
      <c r="Y26" s="5"/>
    </row>
    <row r="27" spans="1:25" x14ac:dyDescent="0.2">
      <c r="A27" s="5"/>
      <c r="B27" s="333">
        <v>4</v>
      </c>
      <c r="C27" s="337" t="s">
        <v>220</v>
      </c>
      <c r="D27" s="338">
        <v>56</v>
      </c>
      <c r="E27" s="339" t="s">
        <v>221</v>
      </c>
      <c r="F27" s="326">
        <f ca="1">INDEX(OFFSET('Lower SPB'!$D$1:$W$1,$D27-1,0),MATCH(F$4,'Lower SPB'!$D$10:$W$10,0))</f>
        <v>75.830716179102311</v>
      </c>
      <c r="G27" s="326">
        <f ca="1">INDEX(OFFSET('Lower SPB'!$D$1:$W$1,$D27-1,0),MATCH(G$4,'Lower SPB'!$D$10:$W$10,0))</f>
        <v>80.487451866503704</v>
      </c>
      <c r="H27" s="326">
        <f ca="1">INDEX(OFFSET('Lower SPB'!$D$1:$W$1,$D27-1,0),MATCH(H$4,'Lower SPB'!$D$10:$W$10,0))</f>
        <v>82.275441313739492</v>
      </c>
      <c r="I27" s="326">
        <f ca="1">INDEX(OFFSET('Lower SPB'!$D$1:$W$1,$D27-1,0),MATCH(I$4,'Lower SPB'!$D$10:$W$10,0))</f>
        <v>82.541625659639394</v>
      </c>
      <c r="J27" s="326">
        <f ca="1">INDEX(OFFSET('Lower SPB'!$D$1:$W$1,$D27-1,0),MATCH(J$4,'Lower SPB'!$D$10:$W$10,0))</f>
        <v>81.323119123411459</v>
      </c>
      <c r="K27" s="326">
        <f ca="1">INDEX(OFFSET('Lower SPB'!$D$1:$W$1,$D27-1,0),MATCH(K$4,'Lower SPB'!$D$10:$W$10,0))</f>
        <v>78.420156567126583</v>
      </c>
      <c r="L27" s="326">
        <f ca="1">INDEX(OFFSET('Lower SPB'!$D$1:$W$1,$D27-1,0),MATCH(L$4,'Lower SPB'!$D$10:$W$10,0))</f>
        <v>73.904721542930275</v>
      </c>
      <c r="M27" s="326">
        <f ca="1">INDEX(OFFSET('Lower SPB'!$D$1:$W$1,$D27-1,0),MATCH(M$4,'Lower SPB'!$D$10:$W$10,0))</f>
        <v>67.775534644448115</v>
      </c>
      <c r="N27" s="326">
        <f ca="1">INDEX(OFFSET('Lower SPB'!$D$1:$W$1,$D27-1,0),MATCH(N$4,'Lower SPB'!$D$10:$W$10,0))</f>
        <v>60.02265064705545</v>
      </c>
      <c r="O27" s="326">
        <f ca="1">INDEX(OFFSET('Lower SPB'!$D$1:$W$1,$D27-1,0),MATCH(O$4,'Lower SPB'!$D$10:$W$10,0))</f>
        <v>50.950216074198906</v>
      </c>
      <c r="P27" s="326">
        <f ca="1">INDEX(OFFSET('Lower SPB'!$D$1:$W$1,$D27-1,0),MATCH(P$4,'Lower SPB'!$D$10:$W$10,0))</f>
        <v>41.858049574488867</v>
      </c>
      <c r="Q27" s="326">
        <f ca="1">INDEX(OFFSET('Lower SPB'!$D$1:$W$1,$D27-1,0),MATCH(Q$4,'Lower SPB'!$D$10:$W$10,0))</f>
        <v>32.677233795126796</v>
      </c>
      <c r="R27" s="326">
        <f ca="1">INDEX(OFFSET('Lower SPB'!$D$1:$W$1,$D27-1,0),MATCH(R$4,'Lower SPB'!$D$10:$W$10,0))</f>
        <v>23.189585334434437</v>
      </c>
      <c r="S27" s="326">
        <f ca="1">INDEX(OFFSET('Lower SPB'!$D$1:$W$1,$D27-1,0),MATCH(S$4,'Lower SPB'!$D$10:$W$10,0))</f>
        <v>13.417110994780511</v>
      </c>
      <c r="T27" s="326">
        <f ca="1">INDEX(OFFSET('Lower SPB'!$D$1:$W$1,$D27-1,0),MATCH(T$4,'Lower SPB'!$D$10:$W$10,0))</f>
        <v>3.6861358117950171</v>
      </c>
      <c r="U27" s="326">
        <f ca="1">INDEX(OFFSET('Lower SPB'!$D$1:$W$1,$D27-1,0),MATCH(U$4,'Lower SPB'!$D$10:$W$10,0))</f>
        <v>-6.1025026915495655</v>
      </c>
      <c r="V27" s="326">
        <f ca="1">INDEX(OFFSET('Lower SPB'!$D$1:$W$1,$D27-1,0),MATCH(V$4,'Lower SPB'!$D$10:$W$10,0))</f>
        <v>-16.037542300850575</v>
      </c>
      <c r="W27" s="326">
        <f ca="1">INDEX(OFFSET('Lower SPB'!$D$1:$W$1,$D27-1,0),MATCH(W$4,'Lower SPB'!$D$10:$W$10,0))</f>
        <v>-26.167455488992175</v>
      </c>
      <c r="X27" s="326">
        <f ca="1">INDEX(OFFSET('Lower SPB'!$D$1:$W$1,$D27-1,0),MATCH(X$4,'Lower SPB'!$D$10:$W$10,0))</f>
        <v>-36.50184598722322</v>
      </c>
      <c r="Y27" s="5"/>
    </row>
    <row r="28" spans="1:25" x14ac:dyDescent="0.2">
      <c r="A28" s="5"/>
      <c r="B28" s="333">
        <v>5</v>
      </c>
      <c r="C28" s="337" t="s">
        <v>40</v>
      </c>
      <c r="D28" s="338">
        <v>12</v>
      </c>
      <c r="E28" s="339" t="s">
        <v>223</v>
      </c>
      <c r="F28" s="326">
        <f ca="1">INDEX(OFFSET('Lower SPB'!$D$1:$W$1,$D28-1,0),MATCH(F$4,'Lower SPB'!$D$10:$W$10,0))</f>
        <v>-0.2445959</v>
      </c>
      <c r="G28" s="326">
        <f ca="1">INDEX(OFFSET('Lower SPB'!$D$1:$W$1,$D28-1,0),MATCH(G$4,'Lower SPB'!$D$10:$W$10,0))</f>
        <v>-0.53010330000000006</v>
      </c>
      <c r="H28" s="326">
        <f ca="1">INDEX(OFFSET('Lower SPB'!$D$1:$W$1,$D28-1,0),MATCH(H$4,'Lower SPB'!$D$10:$W$10,0))</f>
        <v>1.0698967000000001</v>
      </c>
      <c r="I28" s="326">
        <f ca="1">INDEX(OFFSET('Lower SPB'!$D$1:$W$1,$D28-1,0),MATCH(I$4,'Lower SPB'!$D$10:$W$10,0))</f>
        <v>2.6698967000000002</v>
      </c>
      <c r="J28" s="326">
        <f ca="1">INDEX(OFFSET('Lower SPB'!$D$1:$W$1,$D28-1,0),MATCH(J$4,'Lower SPB'!$D$10:$W$10,0))</f>
        <v>4.2698967000000003</v>
      </c>
      <c r="K28" s="326">
        <f ca="1">INDEX(OFFSET('Lower SPB'!$D$1:$W$1,$D28-1,0),MATCH(K$4,'Lower SPB'!$D$10:$W$10,0))</f>
        <v>5.8698967</v>
      </c>
      <c r="L28" s="326">
        <f ca="1">INDEX(OFFSET('Lower SPB'!$D$1:$W$1,$D28-1,0),MATCH(L$4,'Lower SPB'!$D$10:$W$10,0))</f>
        <v>7.4698966999999996</v>
      </c>
      <c r="M28" s="326">
        <f ca="1">INDEX(OFFSET('Lower SPB'!$D$1:$W$1,$D28-1,0),MATCH(M$4,'Lower SPB'!$D$10:$W$10,0))</f>
        <v>9.0698966999999993</v>
      </c>
      <c r="N28" s="326">
        <f ca="1">INDEX(OFFSET('Lower SPB'!$D$1:$W$1,$D28-1,0),MATCH(N$4,'Lower SPB'!$D$10:$W$10,0))</f>
        <v>10.669896699999999</v>
      </c>
      <c r="O28" s="326">
        <f ca="1">INDEX(OFFSET('Lower SPB'!$D$1:$W$1,$D28-1,0),MATCH(O$4,'Lower SPB'!$D$10:$W$10,0))</f>
        <v>10.419896699999999</v>
      </c>
      <c r="P28" s="326">
        <f ca="1">INDEX(OFFSET('Lower SPB'!$D$1:$W$1,$D28-1,0),MATCH(P$4,'Lower SPB'!$D$10:$W$10,0))</f>
        <v>10.169896699999999</v>
      </c>
      <c r="Q28" s="326">
        <f ca="1">INDEX(OFFSET('Lower SPB'!$D$1:$W$1,$D28-1,0),MATCH(Q$4,'Lower SPB'!$D$10:$W$10,0))</f>
        <v>10.169896699999999</v>
      </c>
      <c r="R28" s="326">
        <f ca="1">INDEX(OFFSET('Lower SPB'!$D$1:$W$1,$D28-1,0),MATCH(R$4,'Lower SPB'!$D$10:$W$10,0))</f>
        <v>10.169896699999999</v>
      </c>
      <c r="S28" s="326">
        <f ca="1">INDEX(OFFSET('Lower SPB'!$D$1:$W$1,$D28-1,0),MATCH(S$4,'Lower SPB'!$D$10:$W$10,0))</f>
        <v>10.169896699999999</v>
      </c>
      <c r="T28" s="326">
        <f ca="1">INDEX(OFFSET('Lower SPB'!$D$1:$W$1,$D28-1,0),MATCH(T$4,'Lower SPB'!$D$10:$W$10,0))</f>
        <v>10.169896699999999</v>
      </c>
      <c r="U28" s="326">
        <f ca="1">INDEX(OFFSET('Lower SPB'!$D$1:$W$1,$D28-1,0),MATCH(U$4,'Lower SPB'!$D$10:$W$10,0))</f>
        <v>10.169896699999999</v>
      </c>
      <c r="V28" s="326">
        <f ca="1">INDEX(OFFSET('Lower SPB'!$D$1:$W$1,$D28-1,0),MATCH(V$4,'Lower SPB'!$D$10:$W$10,0))</f>
        <v>10.169896699999999</v>
      </c>
      <c r="W28" s="326">
        <f ca="1">INDEX(OFFSET('Lower SPB'!$D$1:$W$1,$D28-1,0),MATCH(W$4,'Lower SPB'!$D$10:$W$10,0))</f>
        <v>10.169896699999999</v>
      </c>
      <c r="X28" s="326">
        <f ca="1">INDEX(OFFSET('Lower SPB'!$D$1:$W$1,$D28-1,0),MATCH(X$4,'Lower SPB'!$D$10:$W$10,0))</f>
        <v>10.169896699999999</v>
      </c>
      <c r="Y28" s="5"/>
    </row>
    <row r="29" spans="1:25" x14ac:dyDescent="0.2">
      <c r="A29" s="5"/>
      <c r="B29" s="333"/>
      <c r="C29" s="331" t="s">
        <v>235</v>
      </c>
      <c r="D29" s="331"/>
      <c r="E29" s="335">
        <f>F29-1</f>
        <v>2022</v>
      </c>
      <c r="F29" s="336">
        <f>'Input data'!$C$5-1</f>
        <v>2023</v>
      </c>
      <c r="G29" s="336">
        <f>F29+1</f>
        <v>2024</v>
      </c>
      <c r="H29" s="336">
        <f t="shared" ref="H29:X29" si="3">G29+1</f>
        <v>2025</v>
      </c>
      <c r="I29" s="336">
        <f t="shared" si="3"/>
        <v>2026</v>
      </c>
      <c r="J29" s="336">
        <f t="shared" si="3"/>
        <v>2027</v>
      </c>
      <c r="K29" s="336">
        <f t="shared" si="3"/>
        <v>2028</v>
      </c>
      <c r="L29" s="336">
        <f t="shared" si="3"/>
        <v>2029</v>
      </c>
      <c r="M29" s="336">
        <f t="shared" si="3"/>
        <v>2030</v>
      </c>
      <c r="N29" s="336">
        <f t="shared" si="3"/>
        <v>2031</v>
      </c>
      <c r="O29" s="336">
        <f t="shared" si="3"/>
        <v>2032</v>
      </c>
      <c r="P29" s="336">
        <f t="shared" si="3"/>
        <v>2033</v>
      </c>
      <c r="Q29" s="336">
        <f t="shared" si="3"/>
        <v>2034</v>
      </c>
      <c r="R29" s="336">
        <f t="shared" si="3"/>
        <v>2035</v>
      </c>
      <c r="S29" s="336">
        <f t="shared" si="3"/>
        <v>2036</v>
      </c>
      <c r="T29" s="336">
        <f t="shared" si="3"/>
        <v>2037</v>
      </c>
      <c r="U29" s="336">
        <f t="shared" si="3"/>
        <v>2038</v>
      </c>
      <c r="V29" s="336">
        <f t="shared" si="3"/>
        <v>2039</v>
      </c>
      <c r="W29" s="336">
        <f t="shared" si="3"/>
        <v>2040</v>
      </c>
      <c r="X29" s="336">
        <f t="shared" si="3"/>
        <v>2041</v>
      </c>
      <c r="Y29" s="5"/>
    </row>
    <row r="30" spans="1:25" x14ac:dyDescent="0.2">
      <c r="A30" s="5"/>
      <c r="B30" s="333">
        <v>6</v>
      </c>
      <c r="C30" s="337" t="s">
        <v>220</v>
      </c>
      <c r="D30" s="338">
        <v>57</v>
      </c>
      <c r="E30" s="339" t="s">
        <v>221</v>
      </c>
      <c r="F30" s="326">
        <f ca="1">INDEX(OFFSET('Adverse (r-g)'!$D$1:$W$1,$D30-1,0),MATCH(F$4,'Adverse (r-g)'!$D$10:$W$10,0))</f>
        <v>75.830716179102311</v>
      </c>
      <c r="G30" s="326">
        <f ca="1">INDEX(OFFSET('Adverse (r-g)'!$D$1:$W$1,$D30-1,0),MATCH(G$4,'Adverse (r-g)'!$D$10:$W$10,0))</f>
        <v>80.487451866503704</v>
      </c>
      <c r="H30" s="326">
        <f ca="1">INDEX(OFFSET('Adverse (r-g)'!$D$1:$W$1,$D30-1,0),MATCH(H$4,'Adverse (r-g)'!$D$10:$W$10,0))</f>
        <v>82.275441313739492</v>
      </c>
      <c r="I30" s="326">
        <f ca="1">INDEX(OFFSET('Adverse (r-g)'!$D$1:$W$1,$D30-1,0),MATCH(I$4,'Adverse (r-g)'!$D$10:$W$10,0))</f>
        <v>82.541625659639394</v>
      </c>
      <c r="J30" s="326">
        <f ca="1">INDEX(OFFSET('Adverse (r-g)'!$D$1:$W$1,$D30-1,0),MATCH(J$4,'Adverse (r-g)'!$D$10:$W$10,0))</f>
        <v>81.323119123411459</v>
      </c>
      <c r="K30" s="326">
        <f ca="1">INDEX(OFFSET('Adverse (r-g)'!$D$1:$W$1,$D30-1,0),MATCH(K$4,'Adverse (r-g)'!$D$10:$W$10,0))</f>
        <v>78.420156567126583</v>
      </c>
      <c r="L30" s="326">
        <f ca="1">INDEX(OFFSET('Adverse (r-g)'!$D$1:$W$1,$D30-1,0),MATCH(L$4,'Adverse (r-g)'!$D$10:$W$10,0))</f>
        <v>73.904721542930275</v>
      </c>
      <c r="M30" s="326">
        <f ca="1">INDEX(OFFSET('Adverse (r-g)'!$D$1:$W$1,$D30-1,0),MATCH(M$4,'Adverse (r-g)'!$D$10:$W$10,0))</f>
        <v>67.775534644448115</v>
      </c>
      <c r="N30" s="326">
        <f ca="1">INDEX(OFFSET('Adverse (r-g)'!$D$1:$W$1,$D30-1,0),MATCH(N$4,'Adverse (r-g)'!$D$10:$W$10,0))</f>
        <v>60.02265064705545</v>
      </c>
      <c r="O30" s="326">
        <f ca="1">INDEX(OFFSET('Adverse (r-g)'!$D$1:$W$1,$D30-1,0),MATCH(O$4,'Adverse (r-g)'!$D$10:$W$10,0))</f>
        <v>51.205844817537852</v>
      </c>
      <c r="P30" s="326">
        <f ca="1">INDEX(OFFSET('Adverse (r-g)'!$D$1:$W$1,$D30-1,0),MATCH(P$4,'Adverse (r-g)'!$D$10:$W$10,0))</f>
        <v>41.681660119539281</v>
      </c>
      <c r="Q30" s="326">
        <f ca="1">INDEX(OFFSET('Adverse (r-g)'!$D$1:$W$1,$D30-1,0),MATCH(Q$4,'Adverse (r-g)'!$D$10:$W$10,0))</f>
        <v>31.433653719449772</v>
      </c>
      <c r="R30" s="326">
        <f ca="1">INDEX(OFFSET('Adverse (r-g)'!$D$1:$W$1,$D30-1,0),MATCH(R$4,'Adverse (r-g)'!$D$10:$W$10,0))</f>
        <v>21.513280513782679</v>
      </c>
      <c r="S30" s="326">
        <f ca="1">INDEX(OFFSET('Adverse (r-g)'!$D$1:$W$1,$D30-1,0),MATCH(S$4,'Adverse (r-g)'!$D$10:$W$10,0))</f>
        <v>11.465867422921265</v>
      </c>
      <c r="T30" s="326">
        <f ca="1">INDEX(OFFSET('Adverse (r-g)'!$D$1:$W$1,$D30-1,0),MATCH(T$4,'Adverse (r-g)'!$D$10:$W$10,0))</f>
        <v>1.3237488235507957</v>
      </c>
      <c r="U30" s="326">
        <f ca="1">INDEX(OFFSET('Adverse (r-g)'!$D$1:$W$1,$D30-1,0),MATCH(U$4,'Adverse (r-g)'!$D$10:$W$10,0))</f>
        <v>-8.918011285611847</v>
      </c>
      <c r="V30" s="326">
        <f ca="1">INDEX(OFFSET('Adverse (r-g)'!$D$1:$W$1,$D30-1,0),MATCH(V$4,'Adverse (r-g)'!$D$10:$W$10,0))</f>
        <v>-19.428095552046308</v>
      </c>
      <c r="W30" s="326">
        <f ca="1">INDEX(OFFSET('Adverse (r-g)'!$D$1:$W$1,$D30-1,0),MATCH(W$4,'Adverse (r-g)'!$D$10:$W$10,0))</f>
        <v>-30.233783246747564</v>
      </c>
      <c r="X30" s="326">
        <f ca="1">INDEX(OFFSET('Adverse (r-g)'!$D$1:$W$1,$D30-1,0),MATCH(X$4,'Adverse (r-g)'!$D$10:$W$10,0))</f>
        <v>-41.35138880797205</v>
      </c>
      <c r="Y30" s="5"/>
    </row>
    <row r="31" spans="1:25" x14ac:dyDescent="0.2">
      <c r="A31" s="5"/>
      <c r="B31" s="333">
        <v>7</v>
      </c>
      <c r="C31" s="337" t="s">
        <v>94</v>
      </c>
      <c r="D31" s="338">
        <v>37</v>
      </c>
      <c r="E31" s="339" t="s">
        <v>227</v>
      </c>
      <c r="F31" s="326">
        <f ca="1">INDEX(OFFSET('Adverse (r-g)'!$D$1:$W$1,$D31-1,0),MATCH(F$4,'Adverse (r-g)'!$D$10:$W$10,0))</f>
        <v>3.04</v>
      </c>
      <c r="G31" s="326">
        <f ca="1">INDEX(OFFSET('Adverse (r-g)'!$D$1:$W$1,$D31-1,0),MATCH(G$4,'Adverse (r-g)'!$D$10:$W$10,0))</f>
        <v>2.9418000000000002</v>
      </c>
      <c r="H31" s="326">
        <f ca="1">INDEX(OFFSET('Adverse (r-g)'!$D$1:$W$1,$D31-1,0),MATCH(H$4,'Adverse (r-g)'!$D$10:$W$10,0))</f>
        <v>3.0140359999999999</v>
      </c>
      <c r="I31" s="326">
        <f ca="1">INDEX(OFFSET('Adverse (r-g)'!$D$1:$W$1,$D31-1,0),MATCH(I$4,'Adverse (r-g)'!$D$10:$W$10,0))</f>
        <v>3.041204</v>
      </c>
      <c r="J31" s="326">
        <f ca="1">INDEX(OFFSET('Adverse (r-g)'!$D$1:$W$1,$D31-1,0),MATCH(J$4,'Adverse (r-g)'!$D$10:$W$10,0))</f>
        <v>3.0683720000000001</v>
      </c>
      <c r="K31" s="326">
        <f ca="1">INDEX(OFFSET('Adverse (r-g)'!$D$1:$W$1,$D31-1,0),MATCH(K$4,'Adverse (r-g)'!$D$10:$W$10,0))</f>
        <v>3.0955400000000002</v>
      </c>
      <c r="L31" s="326">
        <f ca="1">INDEX(OFFSET('Adverse (r-g)'!$D$1:$W$1,$D31-1,0),MATCH(L$4,'Adverse (r-g)'!$D$10:$W$10,0))</f>
        <v>3.1227080000000003</v>
      </c>
      <c r="M31" s="326">
        <f ca="1">INDEX(OFFSET('Adverse (r-g)'!$D$1:$W$1,$D31-1,0),MATCH(M$4,'Adverse (r-g)'!$D$10:$W$10,0))</f>
        <v>3.1498759999999999</v>
      </c>
      <c r="N31" s="326">
        <f ca="1">INDEX(OFFSET('Adverse (r-g)'!$D$1:$W$1,$D31-1,0),MATCH(N$4,'Adverse (r-g)'!$D$10:$W$10,0))</f>
        <v>3.177044</v>
      </c>
      <c r="O31" s="326">
        <f ca="1">INDEX(OFFSET('Adverse (r-g)'!$D$1:$W$1,$D31-1,0),MATCH(O$4,'Adverse (r-g)'!$D$10:$W$10,0))</f>
        <v>3.7042120000000001</v>
      </c>
      <c r="P31" s="326">
        <f ca="1">INDEX(OFFSET('Adverse (r-g)'!$D$1:$W$1,$D31-1,0),MATCH(P$4,'Adverse (r-g)'!$D$10:$W$10,0))</f>
        <v>3.7313800000000001</v>
      </c>
      <c r="Q31" s="326">
        <f ca="1">INDEX(OFFSET('Adverse (r-g)'!$D$1:$W$1,$D31-1,0),MATCH(Q$4,'Adverse (r-g)'!$D$10:$W$10,0))</f>
        <v>3.7698110000000002</v>
      </c>
      <c r="R31" s="326">
        <f ca="1">INDEX(OFFSET('Adverse (r-g)'!$D$1:$W$1,$D31-1,0),MATCH(R$4,'Adverse (r-g)'!$D$10:$W$10,0))</f>
        <v>3.8082419999999999</v>
      </c>
      <c r="S31" s="326">
        <f ca="1">INDEX(OFFSET('Adverse (r-g)'!$D$1:$W$1,$D31-1,0),MATCH(S$4,'Adverse (r-g)'!$D$10:$W$10,0))</f>
        <v>3.846673</v>
      </c>
      <c r="T31" s="326">
        <f ca="1">INDEX(OFFSET('Adverse (r-g)'!$D$1:$W$1,$D31-1,0),MATCH(T$4,'Adverse (r-g)'!$D$10:$W$10,0))</f>
        <v>3.8851040000000001</v>
      </c>
      <c r="U31" s="326">
        <f ca="1">INDEX(OFFSET('Adverse (r-g)'!$D$1:$W$1,$D31-1,0),MATCH(U$4,'Adverse (r-g)'!$D$10:$W$10,0))</f>
        <v>3.9235350000000002</v>
      </c>
      <c r="V31" s="326">
        <f ca="1">INDEX(OFFSET('Adverse (r-g)'!$D$1:$W$1,$D31-1,0),MATCH(V$4,'Adverse (r-g)'!$D$10:$W$10,0))</f>
        <v>3.9619660000000003</v>
      </c>
      <c r="W31" s="326">
        <f ca="1">INDEX(OFFSET('Adverse (r-g)'!$D$1:$W$1,$D31-1,0),MATCH(W$4,'Adverse (r-g)'!$D$10:$W$10,0))</f>
        <v>4.0003969999999995</v>
      </c>
      <c r="X31" s="326">
        <f ca="1">INDEX(OFFSET('Adverse (r-g)'!$D$1:$W$1,$D31-1,0),MATCH(X$4,'Adverse (r-g)'!$D$10:$W$10,0))</f>
        <v>4.0388280000000005</v>
      </c>
      <c r="Y31" s="5"/>
    </row>
    <row r="32" spans="1:25" x14ac:dyDescent="0.2">
      <c r="A32" s="5"/>
      <c r="B32" s="333">
        <v>8</v>
      </c>
      <c r="C32" s="337" t="s">
        <v>95</v>
      </c>
      <c r="D32" s="338">
        <v>38</v>
      </c>
      <c r="E32" s="339" t="s">
        <v>227</v>
      </c>
      <c r="F32" s="326">
        <f ca="1">INDEX(OFFSET('Adverse (r-g)'!$D$1:$W$1,$D32-1,0),MATCH(F$4,'Adverse (r-g)'!$D$10:$W$10,0))</f>
        <v>3.43</v>
      </c>
      <c r="G32" s="326">
        <f ca="1">INDEX(OFFSET('Adverse (r-g)'!$D$1:$W$1,$D32-1,0),MATCH(G$4,'Adverse (r-g)'!$D$10:$W$10,0))</f>
        <v>3.5642079999999998</v>
      </c>
      <c r="H32" s="326">
        <f ca="1">INDEX(OFFSET('Adverse (r-g)'!$D$1:$W$1,$D32-1,0),MATCH(H$4,'Adverse (r-g)'!$D$10:$W$10,0))</f>
        <v>2.8163749999999999</v>
      </c>
      <c r="I32" s="326">
        <f ca="1">INDEX(OFFSET('Adverse (r-g)'!$D$1:$W$1,$D32-1,0),MATCH(I$4,'Adverse (r-g)'!$D$10:$W$10,0))</f>
        <v>2.8050893749999997</v>
      </c>
      <c r="J32" s="326">
        <f ca="1">INDEX(OFFSET('Adverse (r-g)'!$D$1:$W$1,$D32-1,0),MATCH(J$4,'Adverse (r-g)'!$D$10:$W$10,0))</f>
        <v>2.7938037499999999</v>
      </c>
      <c r="K32" s="326">
        <f ca="1">INDEX(OFFSET('Adverse (r-g)'!$D$1:$W$1,$D32-1,0),MATCH(K$4,'Adverse (r-g)'!$D$10:$W$10,0))</f>
        <v>2.7825181250000002</v>
      </c>
      <c r="L32" s="326">
        <f ca="1">INDEX(OFFSET('Adverse (r-g)'!$D$1:$W$1,$D32-1,0),MATCH(L$4,'Adverse (r-g)'!$D$10:$W$10,0))</f>
        <v>2.7712325</v>
      </c>
      <c r="M32" s="326">
        <f ca="1">INDEX(OFFSET('Adverse (r-g)'!$D$1:$W$1,$D32-1,0),MATCH(M$4,'Adverse (r-g)'!$D$10:$W$10,0))</f>
        <v>2.7599468749999998</v>
      </c>
      <c r="N32" s="326">
        <f ca="1">INDEX(OFFSET('Adverse (r-g)'!$D$1:$W$1,$D32-1,0),MATCH(N$4,'Adverse (r-g)'!$D$10:$W$10,0))</f>
        <v>2.7486612500000001</v>
      </c>
      <c r="O32" s="326">
        <f ca="1">INDEX(OFFSET('Adverse (r-g)'!$D$1:$W$1,$D32-1,0),MATCH(O$4,'Adverse (r-g)'!$D$10:$W$10,0))</f>
        <v>3.2373756250000003</v>
      </c>
      <c r="P32" s="326">
        <f ca="1">INDEX(OFFSET('Adverse (r-g)'!$D$1:$W$1,$D32-1,0),MATCH(P$4,'Adverse (r-g)'!$D$10:$W$10,0))</f>
        <v>3.2260900000000001</v>
      </c>
      <c r="Q32" s="326">
        <f ca="1">INDEX(OFFSET('Adverse (r-g)'!$D$1:$W$1,$D32-1,0),MATCH(Q$4,'Adverse (r-g)'!$D$10:$W$10,0))</f>
        <v>3.1897855000000002</v>
      </c>
      <c r="R32" s="326">
        <f ca="1">INDEX(OFFSET('Adverse (r-g)'!$D$1:$W$1,$D32-1,0),MATCH(R$4,'Adverse (r-g)'!$D$10:$W$10,0))</f>
        <v>3.1534810000000002</v>
      </c>
      <c r="S32" s="326">
        <f ca="1">INDEX(OFFSET('Adverse (r-g)'!$D$1:$W$1,$D32-1,0),MATCH(S$4,'Adverse (r-g)'!$D$10:$W$10,0))</f>
        <v>3.1171765000000002</v>
      </c>
      <c r="T32" s="326">
        <f ca="1">INDEX(OFFSET('Adverse (r-g)'!$D$1:$W$1,$D32-1,0),MATCH(T$4,'Adverse (r-g)'!$D$10:$W$10,0))</f>
        <v>3.0808720000000003</v>
      </c>
      <c r="U32" s="326">
        <f ca="1">INDEX(OFFSET('Adverse (r-g)'!$D$1:$W$1,$D32-1,0),MATCH(U$4,'Adverse (r-g)'!$D$10:$W$10,0))</f>
        <v>3.0445675000000003</v>
      </c>
      <c r="V32" s="326">
        <f ca="1">INDEX(OFFSET('Adverse (r-g)'!$D$1:$W$1,$D32-1,0),MATCH(V$4,'Adverse (r-g)'!$D$10:$W$10,0))</f>
        <v>3.0082629999999999</v>
      </c>
      <c r="W32" s="326">
        <f ca="1">INDEX(OFFSET('Adverse (r-g)'!$D$1:$W$1,$D32-1,0),MATCH(W$4,'Adverse (r-g)'!$D$10:$W$10,0))</f>
        <v>2.9719584999999999</v>
      </c>
      <c r="X32" s="326">
        <f ca="1">INDEX(OFFSET('Adverse (r-g)'!$D$1:$W$1,$D32-1,0),MATCH(X$4,'Adverse (r-g)'!$D$10:$W$10,0))</f>
        <v>2.935654</v>
      </c>
      <c r="Y32" s="5"/>
    </row>
    <row r="33" spans="1:25" x14ac:dyDescent="0.2">
      <c r="A33" s="5"/>
      <c r="B33" s="333">
        <v>9</v>
      </c>
      <c r="C33" s="329" t="s">
        <v>231</v>
      </c>
      <c r="D33" s="338">
        <v>23</v>
      </c>
      <c r="E33" s="339" t="s">
        <v>230</v>
      </c>
      <c r="F33" s="326">
        <f ca="1">INDEX(OFFSET('Adverse (r-g)'!$D$1:$W$1,$D33-1,0),MATCH(F$4,'Adverse (r-g)'!$D$10:$W$10,0))</f>
        <v>-1.035375999999999</v>
      </c>
      <c r="G33" s="326">
        <f ca="1">INDEX(OFFSET('Adverse (r-g)'!$D$1:$W$1,$D33-1,0),MATCH(G$4,'Adverse (r-g)'!$D$10:$W$10,0))</f>
        <v>3.9589599999989566E-2</v>
      </c>
      <c r="H33" s="326">
        <f ca="1">INDEX(OFFSET('Adverse (r-g)'!$D$1:$W$1,$D33-1,0),MATCH(H$4,'Adverse (r-g)'!$D$10:$W$10,0))</f>
        <v>0.45803499999998998</v>
      </c>
      <c r="I33" s="326">
        <f ca="1">INDEX(OFFSET('Adverse (r-g)'!$D$1:$W$1,$D33-1,0),MATCH(I$4,'Adverse (r-g)'!$D$10:$W$10,0))</f>
        <v>0.51866126341146845</v>
      </c>
      <c r="J33" s="326">
        <f ca="1">INDEX(OFFSET('Adverse (r-g)'!$D$1:$W$1,$D33-1,0),MATCH(J$4,'Adverse (r-g)'!$D$10:$W$10,0))</f>
        <v>0.47652747864852518</v>
      </c>
      <c r="K33" s="326">
        <f ca="1">INDEX(OFFSET('Adverse (r-g)'!$D$1:$W$1,$D33-1,0),MATCH(K$4,'Adverse (r-g)'!$D$10:$W$10,0))</f>
        <v>0.5664024104968135</v>
      </c>
      <c r="L33" s="326">
        <f ca="1">INDEX(OFFSET('Adverse (r-g)'!$D$1:$W$1,$D33-1,0),MATCH(L$4,'Adverse (r-g)'!$D$10:$W$10,0))</f>
        <v>0.53387943039686636</v>
      </c>
      <c r="M33" s="326">
        <f ca="1">INDEX(OFFSET('Adverse (r-g)'!$D$1:$W$1,$D33-1,0),MATCH(M$4,'Adverse (r-g)'!$D$10:$W$10,0))</f>
        <v>0.52705538088937409</v>
      </c>
      <c r="N33" s="326">
        <f ca="1">INDEX(OFFSET('Adverse (r-g)'!$D$1:$W$1,$D33-1,0),MATCH(N$4,'Adverse (r-g)'!$D$10:$W$10,0))</f>
        <v>0.56542265247776502</v>
      </c>
      <c r="O33" s="326">
        <f ca="1">INDEX(OFFSET('Adverse (r-g)'!$D$1:$W$1,$D33-1,0),MATCH(O$4,'Adverse (r-g)'!$D$10:$W$10,0))</f>
        <v>1.3399760427207363</v>
      </c>
      <c r="P33" s="326">
        <f ca="1">INDEX(OFFSET('Adverse (r-g)'!$D$1:$W$1,$D33-1,0),MATCH(P$4,'Adverse (r-g)'!$D$10:$W$10,0))</f>
        <v>1.3526849926724926</v>
      </c>
      <c r="Q33" s="326">
        <f ca="1">INDEX(OFFSET('Adverse (r-g)'!$D$1:$W$1,$D33-1,0),MATCH(Q$4,'Adverse (r-g)'!$D$10:$W$10,0))</f>
        <v>1.5470173353272498</v>
      </c>
      <c r="R33" s="326">
        <f ca="1">INDEX(OFFSET('Adverse (r-g)'!$D$1:$W$1,$D33-1,0),MATCH(R$4,'Adverse (r-g)'!$D$10:$W$10,0))</f>
        <v>0.59530999999999334</v>
      </c>
      <c r="S33" s="326">
        <f ca="1">INDEX(OFFSET('Adverse (r-g)'!$D$1:$W$1,$D33-1,0),MATCH(S$4,'Adverse (r-g)'!$D$10:$W$10,0))</f>
        <v>0.80074199999999873</v>
      </c>
      <c r="T33" s="326">
        <f ca="1">INDEX(OFFSET('Adverse (r-g)'!$D$1:$W$1,$D33-1,0),MATCH(T$4,'Adverse (r-g)'!$D$10:$W$10,0))</f>
        <v>0.87500499999999537</v>
      </c>
      <c r="U33" s="326">
        <f ca="1">INDEX(OFFSET('Adverse (r-g)'!$D$1:$W$1,$D33-1,0),MATCH(U$4,'Adverse (r-g)'!$D$10:$W$10,0))</f>
        <v>0.9239540000000046</v>
      </c>
      <c r="V33" s="326">
        <f ca="1">INDEX(OFFSET('Adverse (r-g)'!$D$1:$W$1,$D33-1,0),MATCH(V$4,'Adverse (r-g)'!$D$10:$W$10,0))</f>
        <v>0.98604200000000919</v>
      </c>
      <c r="W33" s="326">
        <f ca="1">INDEX(OFFSET('Adverse (r-g)'!$D$1:$W$1,$D33-1,0),MATCH(W$4,'Adverse (r-g)'!$D$10:$W$10,0))</f>
        <v>1.0330820000000074</v>
      </c>
      <c r="X33" s="326">
        <f ca="1">INDEX(OFFSET('Adverse (r-g)'!$D$1:$W$1,$D33-1,0),MATCH(X$4,'Adverse (r-g)'!$D$10:$W$10,0))</f>
        <v>0.98830299999999038</v>
      </c>
      <c r="Y33" s="5"/>
    </row>
    <row r="34" spans="1:25" x14ac:dyDescent="0.2">
      <c r="A34" s="5"/>
      <c r="B34" s="333">
        <v>10</v>
      </c>
      <c r="C34" s="341" t="s">
        <v>62</v>
      </c>
      <c r="D34" s="338">
        <v>27</v>
      </c>
      <c r="E34" s="339" t="s">
        <v>230</v>
      </c>
      <c r="F34" s="326">
        <f ca="1">(INDEX(OFFSET('Adverse (r-g)'!$D$1:$W$1,$D34-1,0),MATCH(F$4,'Adverse (r-g)'!$D$10:$W$10,0))/INDEX(OFFSET('Adverse (r-g)'!$D$1:$W$1,$D34-1,0),MATCH(E$4,'Adverse (r-g)'!$D$10:$W$10,0))-1)*100</f>
        <v>1.0916300000000101</v>
      </c>
      <c r="G34" s="326">
        <f ca="1">(INDEX(OFFSET('Adverse (r-g)'!$D$1:$W$1,$D34-1,0),MATCH(G$4,'Adverse (r-g)'!$D$10:$W$10,0))/INDEX(OFFSET('Adverse (r-g)'!$D$1:$W$1,$D34-1,0),MATCH(F$4,'Adverse (r-g)'!$D$10:$W$10,0))-1)*100</f>
        <v>0.63010729999999349</v>
      </c>
      <c r="H34" s="326">
        <f ca="1">(INDEX(OFFSET('Adverse (r-g)'!$D$1:$W$1,$D34-1,0),MATCH(H$4,'Adverse (r-g)'!$D$10:$W$10,0))/INDEX(OFFSET('Adverse (r-g)'!$D$1:$W$1,$D34-1,0),MATCH(G$4,'Adverse (r-g)'!$D$10:$W$10,0))-1)*100</f>
        <v>0.63180160000000374</v>
      </c>
      <c r="I34" s="326">
        <f ca="1">(INDEX(OFFSET('Adverse (r-g)'!$D$1:$W$1,$D34-1,0),MATCH(I$4,'Adverse (r-g)'!$D$10:$W$10,0))/INDEX(OFFSET('Adverse (r-g)'!$D$1:$W$1,$D34-1,0),MATCH(H$4,'Adverse (r-g)'!$D$10:$W$10,0))-1)*100</f>
        <v>0.68473079999999964</v>
      </c>
      <c r="J34" s="326">
        <f ca="1">(INDEX(OFFSET('Adverse (r-g)'!$D$1:$W$1,$D34-1,0),MATCH(J$4,'Adverse (r-g)'!$D$10:$W$10,0))/INDEX(OFFSET('Adverse (r-g)'!$D$1:$W$1,$D34-1,0),MATCH(I$4,'Adverse (r-g)'!$D$10:$W$10,0))-1)*100</f>
        <v>0.58650529999999534</v>
      </c>
      <c r="K34" s="326">
        <f ca="1">(INDEX(OFFSET('Adverse (r-g)'!$D$1:$W$1,$D34-1,0),MATCH(K$4,'Adverse (r-g)'!$D$10:$W$10,0))/INDEX(OFFSET('Adverse (r-g)'!$D$1:$W$1,$D34-1,0),MATCH(J$4,'Adverse (r-g)'!$D$10:$W$10,0))-1)*100</f>
        <v>0.63791129999999363</v>
      </c>
      <c r="L34" s="326">
        <f ca="1">(INDEX(OFFSET('Adverse (r-g)'!$D$1:$W$1,$D34-1,0),MATCH(L$4,'Adverse (r-g)'!$D$10:$W$10,0))/INDEX(OFFSET('Adverse (r-g)'!$D$1:$W$1,$D34-1,0),MATCH(K$4,'Adverse (r-g)'!$D$10:$W$10,0))-1)*100</f>
        <v>0.5813803999999978</v>
      </c>
      <c r="M34" s="326">
        <f ca="1">(INDEX(OFFSET('Adverse (r-g)'!$D$1:$W$1,$D34-1,0),MATCH(M$4,'Adverse (r-g)'!$D$10:$W$10,0))/INDEX(OFFSET('Adverse (r-g)'!$D$1:$W$1,$D34-1,0),MATCH(L$4,'Adverse (r-g)'!$D$10:$W$10,0))-1)*100</f>
        <v>0.55843730000000313</v>
      </c>
      <c r="N34" s="326">
        <f ca="1">(INDEX(OFFSET('Adverse (r-g)'!$D$1:$W$1,$D34-1,0),MATCH(N$4,'Adverse (r-g)'!$D$10:$W$10,0))/INDEX(OFFSET('Adverse (r-g)'!$D$1:$W$1,$D34-1,0),MATCH(M$4,'Adverse (r-g)'!$D$10:$W$10,0))-1)*100</f>
        <v>0.5856566000000063</v>
      </c>
      <c r="O34" s="326">
        <f ca="1">(INDEX(OFFSET('Adverse (r-g)'!$D$1:$W$1,$D34-1,0),MATCH(O$4,'Adverse (r-g)'!$D$10:$W$10,0))/INDEX(OFFSET('Adverse (r-g)'!$D$1:$W$1,$D34-1,0),MATCH(N$4,'Adverse (r-g)'!$D$10:$W$10,0))-1)*100</f>
        <v>0.15826910000000805</v>
      </c>
      <c r="P34" s="326">
        <f ca="1">(INDEX(OFFSET('Adverse (r-g)'!$D$1:$W$1,$D34-1,0),MATCH(P$4,'Adverse (r-g)'!$D$10:$W$10,0))/INDEX(OFFSET('Adverse (r-g)'!$D$1:$W$1,$D34-1,0),MATCH(O$4,'Adverse (r-g)'!$D$10:$W$10,0))-1)*100</f>
        <v>0.1844524000000014</v>
      </c>
      <c r="Q34" s="326">
        <f ca="1">(INDEX(OFFSET('Adverse (r-g)'!$D$1:$W$1,$D34-1,0),MATCH(Q$4,'Adverse (r-g)'!$D$10:$W$10,0))/INDEX(OFFSET('Adverse (r-g)'!$D$1:$W$1,$D34-1,0),MATCH(P$4,'Adverse (r-g)'!$D$10:$W$10,0))-1)*100</f>
        <v>0.38988240000001895</v>
      </c>
      <c r="R34" s="326">
        <f ca="1">(INDEX(OFFSET('Adverse (r-g)'!$D$1:$W$1,$D34-1,0),MATCH(R$4,'Adverse (r-g)'!$D$10:$W$10,0))/INDEX(OFFSET('Adverse (r-g)'!$D$1:$W$1,$D34-1,0),MATCH(Q$4,'Adverse (r-g)'!$D$10:$W$10,0))-1)*100</f>
        <v>0.59531300000001952</v>
      </c>
      <c r="S34" s="326">
        <f ca="1">(INDEX(OFFSET('Adverse (r-g)'!$D$1:$W$1,$D34-1,0),MATCH(S$4,'Adverse (r-g)'!$D$10:$W$10,0))/INDEX(OFFSET('Adverse (r-g)'!$D$1:$W$1,$D34-1,0),MATCH(R$4,'Adverse (r-g)'!$D$10:$W$10,0))-1)*100</f>
        <v>0.80074300000001486</v>
      </c>
      <c r="T34" s="326">
        <f ca="1">(INDEX(OFFSET('Adverse (r-g)'!$D$1:$W$1,$D34-1,0),MATCH(T$4,'Adverse (r-g)'!$D$10:$W$10,0))/INDEX(OFFSET('Adverse (r-g)'!$D$1:$W$1,$D34-1,0),MATCH(S$4,'Adverse (r-g)'!$D$10:$W$10,0))-1)*100</f>
        <v>0.87500900000001547</v>
      </c>
      <c r="U34" s="326">
        <f ca="1">(INDEX(OFFSET('Adverse (r-g)'!$D$1:$W$1,$D34-1,0),MATCH(U$4,'Adverse (r-g)'!$D$10:$W$10,0))/INDEX(OFFSET('Adverse (r-g)'!$D$1:$W$1,$D34-1,0),MATCH(T$4,'Adverse (r-g)'!$D$10:$W$10,0))-1)*100</f>
        <v>0.92395200000001676</v>
      </c>
      <c r="V34" s="326">
        <f ca="1">(INDEX(OFFSET('Adverse (r-g)'!$D$1:$W$1,$D34-1,0),MATCH(V$4,'Adverse (r-g)'!$D$10:$W$10,0))/INDEX(OFFSET('Adverse (r-g)'!$D$1:$W$1,$D34-1,0),MATCH(U$4,'Adverse (r-g)'!$D$10:$W$10,0))-1)*100</f>
        <v>0.98604300000000311</v>
      </c>
      <c r="W34" s="326">
        <f ca="1">(INDEX(OFFSET('Adverse (r-g)'!$D$1:$W$1,$D34-1,0),MATCH(W$4,'Adverse (r-g)'!$D$10:$W$10,0))/INDEX(OFFSET('Adverse (r-g)'!$D$1:$W$1,$D34-1,0),MATCH(V$4,'Adverse (r-g)'!$D$10:$W$10,0))-1)*100</f>
        <v>1.0330780000000095</v>
      </c>
      <c r="X34" s="326">
        <f ca="1">(INDEX(OFFSET('Adverse (r-g)'!$D$1:$W$1,$D34-1,0),MATCH(X$4,'Adverse (r-g)'!$D$10:$W$10,0))/INDEX(OFFSET('Adverse (r-g)'!$D$1:$W$1,$D34-1,0),MATCH(W$4,'Adverse (r-g)'!$D$10:$W$10,0))-1)*100</f>
        <v>0.98830200000001867</v>
      </c>
      <c r="Y34" s="5"/>
    </row>
    <row r="35" spans="1:25" x14ac:dyDescent="0.2">
      <c r="A35" s="5"/>
      <c r="B35" s="333"/>
      <c r="C35" s="331" t="s">
        <v>236</v>
      </c>
      <c r="D35" s="331"/>
      <c r="E35" s="335">
        <f>F35-1</f>
        <v>2035</v>
      </c>
      <c r="F35" s="344">
        <f>'Input data'!$C$6+5</f>
        <v>2036</v>
      </c>
      <c r="G35" s="5"/>
      <c r="H35" s="5"/>
      <c r="I35" s="5"/>
      <c r="J35" s="5"/>
      <c r="K35" s="5"/>
      <c r="L35" s="5"/>
      <c r="M35" s="5"/>
      <c r="N35" s="5"/>
      <c r="O35" s="5"/>
      <c r="P35" s="5"/>
      <c r="Q35" s="5"/>
      <c r="R35" s="5"/>
      <c r="S35" s="5"/>
      <c r="T35" s="5"/>
      <c r="U35" s="5"/>
      <c r="V35" s="5"/>
      <c r="W35" s="5"/>
      <c r="X35" s="5"/>
      <c r="Y35" s="5"/>
    </row>
    <row r="36" spans="1:25" x14ac:dyDescent="0.2">
      <c r="A36" s="5"/>
      <c r="B36" s="333">
        <v>11</v>
      </c>
      <c r="C36" s="337" t="s">
        <v>237</v>
      </c>
      <c r="D36" s="350" t="s">
        <v>241</v>
      </c>
      <c r="E36" s="339" t="s">
        <v>227</v>
      </c>
      <c r="F36" s="326" t="str">
        <f ca="1">IF(ISERROR(I36),"&lt;10",IF(I36=5,"90&lt;",V36+(H36-W36)*$T$36))</f>
        <v>90&lt;</v>
      </c>
      <c r="G36" s="355"/>
      <c r="H36" s="346">
        <f>INDEX(Stochastic!$C$11:$W$11,MATCH('Input data'!$C$6,Stochastic!$C$10:$W$10,0))</f>
        <v>60.02265064705545</v>
      </c>
      <c r="I36" s="347">
        <f ca="1">MATCH($H$36,OFFSET(Stochastic!$F$14:$F$18,0,'Input data'!$C$6-'Input data'!$C$5+5),1)</f>
        <v>5</v>
      </c>
      <c r="J36" s="347" t="str" cm="1">
        <f t="array" aca="1" ref="J36" ca="1">MID(INDEX(Stochastic!$B$14:$B$18,$I$36),2,2)</f>
        <v>90</v>
      </c>
      <c r="K36" s="346" cm="1">
        <f t="array" aca="1" ref="K36" ca="1">INDEX(OFFSET(Stochastic!$F$14:$F$18,0,'Input data'!$C$6-'Input data'!$C$5+5),$I$36)</f>
        <v>23.394075616428591</v>
      </c>
      <c r="L36" s="347" t="e" cm="1">
        <f t="array" aca="1" ref="L36" ca="1">MID(INDEX(Stochastic!$B$14:$B$18,$I$36+1),2,2)</f>
        <v>#REF!</v>
      </c>
      <c r="M36" s="346" t="e" cm="1">
        <f t="array" aca="1" ref="M36" ca="1">INDEX(OFFSET(Stochastic!$F$14:$F$18,0,'Input data'!$C$6-'Input data'!$C$5+5),$I$36+1)</f>
        <v>#REF!</v>
      </c>
      <c r="N36" s="346"/>
      <c r="O36" s="347">
        <f ca="1">IF(ISERROR($I$36),1,4)</f>
        <v>4</v>
      </c>
      <c r="P36" s="347">
        <f ca="1">IF(ISERROR($I$36),10,70)</f>
        <v>70</v>
      </c>
      <c r="Q36" s="346" cm="1">
        <f t="array" aca="1" ref="Q36" ca="1">INDEX(OFFSET(Stochastic!$F$14:$F$18,0,'Input data'!$C$6-'Input data'!$C$5+5),$O$36)</f>
        <v>15.672601922580935</v>
      </c>
      <c r="R36" s="347">
        <f ca="1">P36+20</f>
        <v>90</v>
      </c>
      <c r="S36" s="346" cm="1">
        <f t="array" aca="1" ref="S36" ca="1">INDEX(OFFSET(Stochastic!$F$14:$F$18,0,'Input data'!$C$6-'Input data'!$C$5+5),$O$36+1)</f>
        <v>23.394075616428591</v>
      </c>
      <c r="T36" s="351">
        <f ca="1">IF($I$36=5,20/(S36-Q36),IF(ISERROR($I$36),20/(S36-Q36),20/(M36-K36)))</f>
        <v>2.5901791281029256</v>
      </c>
      <c r="U36" s="109"/>
      <c r="V36" s="356" t="str">
        <f ca="1">IFERROR($J$36,10)</f>
        <v>90</v>
      </c>
      <c r="W36" s="357">
        <f ca="1">IF($V$36=10,$Q$36,$K$36)</f>
        <v>23.394075616428591</v>
      </c>
      <c r="X36" s="356"/>
      <c r="Y36" s="109"/>
    </row>
    <row r="37" spans="1:25" x14ac:dyDescent="0.2">
      <c r="A37" s="5"/>
      <c r="B37" s="327"/>
      <c r="C37" s="348"/>
      <c r="D37" s="348"/>
      <c r="E37" s="348"/>
      <c r="F37" s="348"/>
      <c r="G37" s="348"/>
      <c r="H37" s="348"/>
      <c r="I37" s="348"/>
      <c r="J37" s="348"/>
      <c r="K37" s="5"/>
      <c r="L37" s="5"/>
      <c r="M37" s="5"/>
      <c r="N37" s="5"/>
      <c r="O37" s="5"/>
      <c r="P37" s="5"/>
      <c r="Q37" s="355"/>
      <c r="R37" s="355"/>
      <c r="S37" s="355"/>
      <c r="T37" s="355"/>
      <c r="U37" s="355"/>
      <c r="V37" s="355"/>
      <c r="W37" s="5"/>
      <c r="X37" s="5"/>
      <c r="Y37" s="5"/>
    </row>
    <row r="38" spans="1:25" x14ac:dyDescent="0.2">
      <c r="A38" s="5"/>
      <c r="B38" s="349"/>
      <c r="C38" s="331" t="s">
        <v>238</v>
      </c>
      <c r="D38" s="332"/>
      <c r="E38" s="332"/>
      <c r="F38" s="343"/>
      <c r="G38" s="5"/>
      <c r="H38" s="5"/>
      <c r="I38" s="5"/>
      <c r="J38" s="5"/>
      <c r="K38" s="5"/>
      <c r="L38" s="5"/>
      <c r="M38" s="5"/>
      <c r="N38" s="5"/>
      <c r="O38" s="5"/>
      <c r="P38" s="5"/>
      <c r="Q38" s="5"/>
      <c r="R38" s="5"/>
      <c r="S38" s="5"/>
      <c r="T38" s="5"/>
      <c r="U38" s="5"/>
      <c r="V38" s="5"/>
      <c r="W38" s="5"/>
      <c r="X38" s="5"/>
      <c r="Y38" s="5"/>
    </row>
    <row r="39" spans="1:25" x14ac:dyDescent="0.2">
      <c r="A39" s="5"/>
      <c r="B39" s="327"/>
      <c r="C39" s="348"/>
      <c r="D39" s="348"/>
      <c r="E39" s="348"/>
      <c r="F39" s="348"/>
      <c r="G39" s="348"/>
      <c r="H39" s="348"/>
      <c r="I39" s="348"/>
      <c r="J39" s="348"/>
      <c r="K39" s="5"/>
      <c r="L39" s="5"/>
      <c r="M39" s="5"/>
      <c r="N39" s="5"/>
      <c r="O39" s="5"/>
      <c r="P39" s="5"/>
      <c r="Q39" s="5"/>
      <c r="R39" s="5"/>
      <c r="S39" s="5"/>
      <c r="T39" s="5"/>
      <c r="U39" s="5"/>
      <c r="V39" s="5"/>
      <c r="W39" s="5"/>
      <c r="X39" s="5"/>
      <c r="Y39" s="5"/>
    </row>
    <row r="40" spans="1:25" x14ac:dyDescent="0.2">
      <c r="A40" s="5"/>
      <c r="B40" s="333"/>
      <c r="C40" s="331"/>
      <c r="D40" s="331"/>
      <c r="E40" s="336"/>
      <c r="F40" s="336">
        <f>'Input data'!$C$5-1</f>
        <v>2023</v>
      </c>
      <c r="G40" s="336">
        <f>F40+1</f>
        <v>2024</v>
      </c>
      <c r="H40" s="336">
        <f t="shared" ref="H40:X40" si="4">G40+1</f>
        <v>2025</v>
      </c>
      <c r="I40" s="336">
        <f t="shared" si="4"/>
        <v>2026</v>
      </c>
      <c r="J40" s="336">
        <f t="shared" si="4"/>
        <v>2027</v>
      </c>
      <c r="K40" s="336">
        <f t="shared" si="4"/>
        <v>2028</v>
      </c>
      <c r="L40" s="336">
        <f t="shared" si="4"/>
        <v>2029</v>
      </c>
      <c r="M40" s="336">
        <f t="shared" si="4"/>
        <v>2030</v>
      </c>
      <c r="N40" s="336">
        <f t="shared" si="4"/>
        <v>2031</v>
      </c>
      <c r="O40" s="336">
        <f t="shared" si="4"/>
        <v>2032</v>
      </c>
      <c r="P40" s="336">
        <f t="shared" si="4"/>
        <v>2033</v>
      </c>
      <c r="Q40" s="336">
        <f t="shared" si="4"/>
        <v>2034</v>
      </c>
      <c r="R40" s="336">
        <f t="shared" si="4"/>
        <v>2035</v>
      </c>
      <c r="S40" s="336">
        <f t="shared" si="4"/>
        <v>2036</v>
      </c>
      <c r="T40" s="336">
        <f t="shared" si="4"/>
        <v>2037</v>
      </c>
      <c r="U40" s="336">
        <f t="shared" si="4"/>
        <v>2038</v>
      </c>
      <c r="V40" s="336">
        <f t="shared" si="4"/>
        <v>2039</v>
      </c>
      <c r="W40" s="336">
        <f t="shared" si="4"/>
        <v>2040</v>
      </c>
      <c r="X40" s="336">
        <f t="shared" si="4"/>
        <v>2041</v>
      </c>
      <c r="Y40" s="5"/>
    </row>
    <row r="41" spans="1:25" x14ac:dyDescent="0.2">
      <c r="A41" s="5"/>
      <c r="B41" s="333">
        <v>1</v>
      </c>
      <c r="C41" s="337" t="s">
        <v>220</v>
      </c>
      <c r="D41" s="338">
        <v>56</v>
      </c>
      <c r="E41" s="339" t="s">
        <v>221</v>
      </c>
      <c r="F41" s="326">
        <f ca="1">INDEX(OFFSET('Baseline NFPC'!$D$1:$W$1,$D41-1,0),MATCH(F$4,'Baseline NFPC'!$D$10:$W$10,0))</f>
        <v>76.63</v>
      </c>
      <c r="G41" s="326">
        <f ca="1">INDEX(OFFSET('Baseline NFPC'!$D$1:$W$1,$D41-1,0),MATCH(G$4,'Baseline NFPC'!$D$10:$W$10,0))</f>
        <v>81.66850402875248</v>
      </c>
      <c r="H41" s="326">
        <f ca="1">INDEX(OFFSET('Baseline NFPC'!$D$1:$W$1,$D41-1,0),MATCH(H$4,'Baseline NFPC'!$D$10:$W$10,0))</f>
        <v>83.703874634914953</v>
      </c>
      <c r="I41" s="326">
        <f ca="1">INDEX(OFFSET('Baseline NFPC'!$D$1:$W$1,$D41-1,0),MATCH(I$4,'Baseline NFPC'!$D$10:$W$10,0))</f>
        <v>85.833782946456154</v>
      </c>
      <c r="J41" s="326">
        <f ca="1">INDEX(OFFSET('Baseline NFPC'!$D$1:$W$1,$D41-1,0),MATCH(J$4,'Baseline NFPC'!$D$10:$W$10,0))</f>
        <v>87.651529218535416</v>
      </c>
      <c r="K41" s="326">
        <f ca="1">INDEX(OFFSET('Baseline NFPC'!$D$1:$W$1,$D41-1,0),MATCH(K$4,'Baseline NFPC'!$D$10:$W$10,0))</f>
        <v>89.751915697117241</v>
      </c>
      <c r="L41" s="326">
        <f ca="1">INDEX(OFFSET('Baseline NFPC'!$D$1:$W$1,$D41-1,0),MATCH(L$4,'Baseline NFPC'!$D$10:$W$10,0))</f>
        <v>92.503659928560182</v>
      </c>
      <c r="M41" s="326">
        <f ca="1">INDEX(OFFSET('Baseline NFPC'!$D$1:$W$1,$D41-1,0),MATCH(M$4,'Baseline NFPC'!$D$10:$W$10,0))</f>
        <v>95.517579324702609</v>
      </c>
      <c r="N41" s="326">
        <f ca="1">INDEX(OFFSET('Baseline NFPC'!$D$1:$W$1,$D41-1,0),MATCH(N$4,'Baseline NFPC'!$D$10:$W$10,0))</f>
        <v>98.734628335522899</v>
      </c>
      <c r="O41" s="326">
        <f ca="1">INDEX(OFFSET('Baseline NFPC'!$D$1:$W$1,$D41-1,0),MATCH(O$4,'Baseline NFPC'!$D$10:$W$10,0))</f>
        <v>102.06371940363989</v>
      </c>
      <c r="P41" s="326">
        <f ca="1">INDEX(OFFSET('Baseline NFPC'!$D$1:$W$1,$D41-1,0),MATCH(P$4,'Baseline NFPC'!$D$10:$W$10,0))</f>
        <v>105.33563090814532</v>
      </c>
      <c r="Q41" s="326">
        <f ca="1">INDEX(OFFSET('Baseline NFPC'!$D$1:$W$1,$D41-1,0),MATCH(Q$4,'Baseline NFPC'!$D$10:$W$10,0))</f>
        <v>108.32537321129342</v>
      </c>
      <c r="R41" s="326">
        <f ca="1">INDEX(OFFSET('Baseline NFPC'!$D$1:$W$1,$D41-1,0),MATCH(R$4,'Baseline NFPC'!$D$10:$W$10,0))</f>
        <v>110.90094794186102</v>
      </c>
      <c r="S41" s="326">
        <f ca="1">INDEX(OFFSET('Baseline NFPC'!$D$1:$W$1,$D41-1,0),MATCH(S$4,'Baseline NFPC'!$D$10:$W$10,0))</f>
        <v>112.92464733336413</v>
      </c>
      <c r="T41" s="326">
        <f ca="1">INDEX(OFFSET('Baseline NFPC'!$D$1:$W$1,$D41-1,0),MATCH(T$4,'Baseline NFPC'!$D$10:$W$10,0))</f>
        <v>114.47578330611367</v>
      </c>
      <c r="U41" s="326">
        <f ca="1">INDEX(OFFSET('Baseline NFPC'!$D$1:$W$1,$D41-1,0),MATCH(U$4,'Baseline NFPC'!$D$10:$W$10,0))</f>
        <v>115.53910397932074</v>
      </c>
      <c r="V41" s="326">
        <f ca="1">INDEX(OFFSET('Baseline NFPC'!$D$1:$W$1,$D41-1,0),MATCH(V$4,'Baseline NFPC'!$D$10:$W$10,0))</f>
        <v>116.0508504183473</v>
      </c>
      <c r="W41" s="326">
        <f ca="1">INDEX(OFFSET('Baseline NFPC'!$D$1:$W$1,$D41-1,0),MATCH(W$4,'Baseline NFPC'!$D$10:$W$10,0))</f>
        <v>116.00275359010053</v>
      </c>
      <c r="X41" s="326">
        <f ca="1">INDEX(OFFSET('Baseline NFPC'!$D$1:$W$1,$D41-1,0),MATCH(X$4,'Baseline NFPC'!$D$10:$W$10,0))</f>
        <v>115.54151292377406</v>
      </c>
      <c r="Y41" s="5"/>
    </row>
    <row r="42" spans="1:25" x14ac:dyDescent="0.2">
      <c r="A42" s="5"/>
      <c r="B42" s="333">
        <v>2</v>
      </c>
      <c r="C42" s="337" t="s">
        <v>222</v>
      </c>
      <c r="D42" s="338">
        <v>76</v>
      </c>
      <c r="E42" s="339" t="s">
        <v>221</v>
      </c>
      <c r="F42" s="326">
        <f ca="1">INDEX(OFFSET('Baseline NFPC'!$D$1:$W$1,$D42-1,0),MATCH(F$4,'Baseline NFPC'!$D$10:$W$10,0))</f>
        <v>-2.6726757914889614</v>
      </c>
      <c r="G42" s="326">
        <f ca="1">INDEX(OFFSET('Baseline NFPC'!$D$1:$W$1,$D42-1,0),MATCH(G$4,'Baseline NFPC'!$D$10:$W$10,0))</f>
        <v>-3.5936749730172002</v>
      </c>
      <c r="H42" s="326">
        <f ca="1">INDEX(OFFSET('Baseline NFPC'!$D$1:$W$1,$D42-1,0),MATCH(H$4,'Baseline NFPC'!$D$10:$W$10,0))</f>
        <v>-3.3688155395586374</v>
      </c>
      <c r="I42" s="326">
        <f ca="1">INDEX(OFFSET('Baseline NFPC'!$D$1:$W$1,$D42-1,0),MATCH(I$4,'Baseline NFPC'!$D$10:$W$10,0))</f>
        <v>-3.2834168311683936</v>
      </c>
      <c r="J42" s="326">
        <f ca="1">INDEX(OFFSET('Baseline NFPC'!$D$1:$W$1,$D42-1,0),MATCH(J$4,'Baseline NFPC'!$D$10:$W$10,0))</f>
        <v>-3.160024363877612</v>
      </c>
      <c r="K42" s="326">
        <f ca="1">INDEX(OFFSET('Baseline NFPC'!$D$1:$W$1,$D42-1,0),MATCH(K$4,'Baseline NFPC'!$D$10:$W$10,0))</f>
        <v>-3.2993183483390398</v>
      </c>
      <c r="L42" s="326">
        <f ca="1">INDEX(OFFSET('Baseline NFPC'!$D$1:$W$1,$D42-1,0),MATCH(L$4,'Baseline NFPC'!$D$10:$W$10,0))</f>
        <v>-3.7273476264272905</v>
      </c>
      <c r="M42" s="326">
        <f ca="1">INDEX(OFFSET('Baseline NFPC'!$D$1:$W$1,$D42-1,0),MATCH(M$4,'Baseline NFPC'!$D$10:$W$10,0))</f>
        <v>-4.1346015842938666</v>
      </c>
      <c r="N42" s="326">
        <f ca="1">INDEX(OFFSET('Baseline NFPC'!$D$1:$W$1,$D42-1,0),MATCH(N$4,'Baseline NFPC'!$D$10:$W$10,0))</f>
        <v>-4.515469469880447</v>
      </c>
      <c r="O42" s="326">
        <f ca="1">INDEX(OFFSET('Baseline NFPC'!$D$1:$W$1,$D42-1,0),MATCH(O$4,'Baseline NFPC'!$D$10:$W$10,0))</f>
        <v>-4.8381357239282501</v>
      </c>
      <c r="P42" s="326">
        <f ca="1">INDEX(OFFSET('Baseline NFPC'!$D$1:$W$1,$D42-1,0),MATCH(P$4,'Baseline NFPC'!$D$10:$W$10,0))</f>
        <v>-5.1128721809762432</v>
      </c>
      <c r="Q42" s="326">
        <f ca="1">INDEX(OFFSET('Baseline NFPC'!$D$1:$W$1,$D42-1,0),MATCH(Q$4,'Baseline NFPC'!$D$10:$W$10,0))</f>
        <v>-5.2667870842092608</v>
      </c>
      <c r="R42" s="326">
        <f ca="1">INDEX(OFFSET('Baseline NFPC'!$D$1:$W$1,$D42-1,0),MATCH(R$4,'Baseline NFPC'!$D$10:$W$10,0))</f>
        <v>-5.2892804829195832</v>
      </c>
      <c r="S42" s="326">
        <f ca="1">INDEX(OFFSET('Baseline NFPC'!$D$1:$W$1,$D42-1,0),MATCH(S$4,'Baseline NFPC'!$D$10:$W$10,0))</f>
        <v>-5.1683237276657801</v>
      </c>
      <c r="T42" s="326">
        <f ca="1">INDEX(OFFSET('Baseline NFPC'!$D$1:$W$1,$D42-1,0),MATCH(T$4,'Baseline NFPC'!$D$10:$W$10,0))</f>
        <v>-4.9729772505780208</v>
      </c>
      <c r="U42" s="326">
        <f ca="1">INDEX(OFFSET('Baseline NFPC'!$D$1:$W$1,$D42-1,0),MATCH(U$4,'Baseline NFPC'!$D$10:$W$10,0))</f>
        <v>-4.7188742652754021</v>
      </c>
      <c r="V42" s="326">
        <f ca="1">INDEX(OFFSET('Baseline NFPC'!$D$1:$W$1,$D42-1,0),MATCH(V$4,'Baseline NFPC'!$D$10:$W$10,0))</f>
        <v>-4.3977318005398018</v>
      </c>
      <c r="W42" s="326">
        <f ca="1">INDEX(OFFSET('Baseline NFPC'!$D$1:$W$1,$D42-1,0),MATCH(W$4,'Baseline NFPC'!$D$10:$W$10,0))</f>
        <v>-4.031493546874426</v>
      </c>
      <c r="X42" s="326">
        <f ca="1">INDEX(OFFSET('Baseline NFPC'!$D$1:$W$1,$D42-1,0),MATCH(X$4,'Baseline NFPC'!$D$10:$W$10,0))</f>
        <v>-3.6898869578854909</v>
      </c>
      <c r="Y42" s="5"/>
    </row>
    <row r="43" spans="1:25" x14ac:dyDescent="0.2">
      <c r="A43" s="5"/>
      <c r="B43" s="333">
        <v>3</v>
      </c>
      <c r="C43" s="337" t="s">
        <v>40</v>
      </c>
      <c r="D43" s="338">
        <v>12</v>
      </c>
      <c r="E43" s="339" t="s">
        <v>223</v>
      </c>
      <c r="F43" s="326">
        <f ca="1">INDEX(OFFSET('Baseline NFPC'!$D$1:$W$1,$D43-1,0),MATCH(F$4,'Baseline NFPC'!$D$10:$W$10,0))</f>
        <v>-0.2445959</v>
      </c>
      <c r="G43" s="326">
        <f ca="1">INDEX(OFFSET('Baseline NFPC'!$D$1:$W$1,$D43-1,0),MATCH(G$4,'Baseline NFPC'!$D$10:$W$10,0))</f>
        <v>-0.53010330000000006</v>
      </c>
      <c r="H43" s="326">
        <f ca="1">INDEX(OFFSET('Baseline NFPC'!$D$1:$W$1,$D43-1,0),MATCH(H$4,'Baseline NFPC'!$D$10:$W$10,0))</f>
        <v>-0.53010330000000006</v>
      </c>
      <c r="I43" s="326">
        <f ca="1">INDEX(OFFSET('Baseline NFPC'!$D$1:$W$1,$D43-1,0),MATCH(I$4,'Baseline NFPC'!$D$10:$W$10,0))</f>
        <v>-0.53010330000000006</v>
      </c>
      <c r="J43" s="326">
        <f ca="1">INDEX(OFFSET('Baseline NFPC'!$D$1:$W$1,$D43-1,0),MATCH(J$4,'Baseline NFPC'!$D$10:$W$10,0))</f>
        <v>-0.53010330000000006</v>
      </c>
      <c r="K43" s="326">
        <f ca="1">INDEX(OFFSET('Baseline NFPC'!$D$1:$W$1,$D43-1,0),MATCH(K$4,'Baseline NFPC'!$D$10:$W$10,0))</f>
        <v>-0.53010330000000006</v>
      </c>
      <c r="L43" s="326">
        <f ca="1">INDEX(OFFSET('Baseline NFPC'!$D$1:$W$1,$D43-1,0),MATCH(L$4,'Baseline NFPC'!$D$10:$W$10,0))</f>
        <v>-0.53010330000000006</v>
      </c>
      <c r="M43" s="326">
        <f ca="1">INDEX(OFFSET('Baseline NFPC'!$D$1:$W$1,$D43-1,0),MATCH(M$4,'Baseline NFPC'!$D$10:$W$10,0))</f>
        <v>-0.53010330000000006</v>
      </c>
      <c r="N43" s="326">
        <f ca="1">INDEX(OFFSET('Baseline NFPC'!$D$1:$W$1,$D43-1,0),MATCH(N$4,'Baseline NFPC'!$D$10:$W$10,0))</f>
        <v>-0.53010330000000006</v>
      </c>
      <c r="O43" s="326">
        <f ca="1">INDEX(OFFSET('Baseline NFPC'!$D$1:$W$1,$D43-1,0),MATCH(O$4,'Baseline NFPC'!$D$10:$W$10,0))</f>
        <v>-0.53010330000000006</v>
      </c>
      <c r="P43" s="326">
        <f ca="1">INDEX(OFFSET('Baseline NFPC'!$D$1:$W$1,$D43-1,0),MATCH(P$4,'Baseline NFPC'!$D$10:$W$10,0))</f>
        <v>-0.53010330000000006</v>
      </c>
      <c r="Q43" s="326">
        <f ca="1">INDEX(OFFSET('Baseline NFPC'!$D$1:$W$1,$D43-1,0),MATCH(Q$4,'Baseline NFPC'!$D$10:$W$10,0))</f>
        <v>-0.53010330000000006</v>
      </c>
      <c r="R43" s="326">
        <f ca="1">INDEX(OFFSET('Baseline NFPC'!$D$1:$W$1,$D43-1,0),MATCH(R$4,'Baseline NFPC'!$D$10:$W$10,0))</f>
        <v>-0.53010330000000006</v>
      </c>
      <c r="S43" s="326">
        <f ca="1">INDEX(OFFSET('Baseline NFPC'!$D$1:$W$1,$D43-1,0),MATCH(S$4,'Baseline NFPC'!$D$10:$W$10,0))</f>
        <v>-0.53010330000000006</v>
      </c>
      <c r="T43" s="326">
        <f ca="1">INDEX(OFFSET('Baseline NFPC'!$D$1:$W$1,$D43-1,0),MATCH(T$4,'Baseline NFPC'!$D$10:$W$10,0))</f>
        <v>-0.53010330000000006</v>
      </c>
      <c r="U43" s="326">
        <f ca="1">INDEX(OFFSET('Baseline NFPC'!$D$1:$W$1,$D43-1,0),MATCH(U$4,'Baseline NFPC'!$D$10:$W$10,0))</f>
        <v>-0.53010330000000006</v>
      </c>
      <c r="V43" s="326">
        <f ca="1">INDEX(OFFSET('Baseline NFPC'!$D$1:$W$1,$D43-1,0),MATCH(V$4,'Baseline NFPC'!$D$10:$W$10,0))</f>
        <v>-0.53010330000000006</v>
      </c>
      <c r="W43" s="326">
        <f ca="1">INDEX(OFFSET('Baseline NFPC'!$D$1:$W$1,$D43-1,0),MATCH(W$4,'Baseline NFPC'!$D$10:$W$10,0))</f>
        <v>-0.53010330000000006</v>
      </c>
      <c r="X43" s="326">
        <f ca="1">INDEX(OFFSET('Baseline NFPC'!$D$1:$W$1,$D43-1,0),MATCH(X$4,'Baseline NFPC'!$D$10:$W$10,0))</f>
        <v>-0.53010330000000006</v>
      </c>
      <c r="Y43" s="5"/>
    </row>
    <row r="44" spans="1:25" x14ac:dyDescent="0.2">
      <c r="A44" s="5"/>
      <c r="B44" s="333">
        <v>4</v>
      </c>
      <c r="C44" s="337" t="s">
        <v>224</v>
      </c>
      <c r="D44" s="338">
        <v>61</v>
      </c>
      <c r="E44" s="339" t="s">
        <v>223</v>
      </c>
      <c r="F44" s="326">
        <f ca="1">INDEX(OFFSET('Baseline NFPC'!$D$1:$W$1,$D44-1,0),MATCH(F$4,'Baseline NFPC'!$D$10:$W$10,0))</f>
        <v>1.3078636941405704</v>
      </c>
      <c r="G44" s="326">
        <f ca="1">INDEX(OFFSET('Baseline NFPC'!$D$1:$W$1,$D44-1,0),MATCH(G$4,'Baseline NFPC'!$D$10:$W$10,0))</f>
        <v>1.8126117285849326</v>
      </c>
      <c r="H44" s="326">
        <f ca="1">INDEX(OFFSET('Baseline NFPC'!$D$1:$W$1,$D44-1,0),MATCH(H$4,'Baseline NFPC'!$D$10:$W$10,0))</f>
        <v>1.4087370803375203</v>
      </c>
      <c r="I44" s="326">
        <f ca="1">INDEX(OFFSET('Baseline NFPC'!$D$1:$W$1,$D44-1,0),MATCH(I$4,'Baseline NFPC'!$D$10:$W$10,0))</f>
        <v>1.1976316859651277</v>
      </c>
      <c r="J44" s="326">
        <f ca="1">INDEX(OFFSET('Baseline NFPC'!$D$1:$W$1,$D44-1,0),MATCH(J$4,'Baseline NFPC'!$D$10:$W$10,0))</f>
        <v>0.92682194636263338</v>
      </c>
      <c r="K44" s="326">
        <f ca="1">INDEX(OFFSET('Baseline NFPC'!$D$1:$W$1,$D44-1,0),MATCH(K$4,'Baseline NFPC'!$D$10:$W$10,0))</f>
        <v>0.86229965320286051</v>
      </c>
      <c r="L44" s="326">
        <f ca="1">INDEX(OFFSET('Baseline NFPC'!$D$1:$W$1,$D44-1,0),MATCH(L$4,'Baseline NFPC'!$D$10:$W$10,0))</f>
        <v>1.0632278413618321</v>
      </c>
      <c r="M44" s="326">
        <f ca="1">INDEX(OFFSET('Baseline NFPC'!$D$1:$W$1,$D44-1,0),MATCH(M$4,'Baseline NFPC'!$D$10:$W$10,0))</f>
        <v>1.2764384579154064</v>
      </c>
      <c r="N44" s="326">
        <f ca="1">INDEX(OFFSET('Baseline NFPC'!$D$1:$W$1,$D44-1,0),MATCH(N$4,'Baseline NFPC'!$D$10:$W$10,0))</f>
        <v>1.4735045002557352</v>
      </c>
      <c r="O44" s="326">
        <f ca="1">INDEX(OFFSET('Baseline NFPC'!$D$1:$W$1,$D44-1,0),MATCH(O$4,'Baseline NFPC'!$D$10:$W$10,0))</f>
        <v>1.6290794403015374</v>
      </c>
      <c r="P44" s="326">
        <f ca="1">INDEX(OFFSET('Baseline NFPC'!$D$1:$W$1,$D44-1,0),MATCH(P$4,'Baseline NFPC'!$D$10:$W$10,0))</f>
        <v>1.7695533029753148</v>
      </c>
      <c r="Q44" s="326">
        <f ca="1">INDEX(OFFSET('Baseline NFPC'!$D$1:$W$1,$D44-1,0),MATCH(Q$4,'Baseline NFPC'!$D$10:$W$10,0))</f>
        <v>1.7948253393355489</v>
      </c>
      <c r="R44" s="326">
        <f ca="1">INDEX(OFFSET('Baseline NFPC'!$D$1:$W$1,$D44-1,0),MATCH(R$4,'Baseline NFPC'!$D$10:$W$10,0))</f>
        <v>1.7052887877734739</v>
      </c>
      <c r="S44" s="326">
        <f ca="1">INDEX(OFFSET('Baseline NFPC'!$D$1:$W$1,$D44-1,0),MATCH(S$4,'Baseline NFPC'!$D$10:$W$10,0))</f>
        <v>1.5006270842213236</v>
      </c>
      <c r="T44" s="326">
        <f ca="1">INDEX(OFFSET('Baseline NFPC'!$D$1:$W$1,$D44-1,0),MATCH(T$4,'Baseline NFPC'!$D$10:$W$10,0))</f>
        <v>1.2535073899274578</v>
      </c>
      <c r="U44" s="326">
        <f ca="1">INDEX(OFFSET('Baseline NFPC'!$D$1:$W$1,$D44-1,0),MATCH(U$4,'Baseline NFPC'!$D$10:$W$10,0))</f>
        <v>0.97769414392348175</v>
      </c>
      <c r="V44" s="326">
        <f ca="1">INDEX(OFFSET('Baseline NFPC'!$D$1:$W$1,$D44-1,0),MATCH(V$4,'Baseline NFPC'!$D$10:$W$10,0))</f>
        <v>0.66534598739201056</v>
      </c>
      <c r="W44" s="326">
        <f ca="1">INDEX(OFFSET('Baseline NFPC'!$D$1:$W$1,$D44-1,0),MATCH(W$4,'Baseline NFPC'!$D$10:$W$10,0))</f>
        <v>0.3244793064511966</v>
      </c>
      <c r="X44" s="326">
        <f ca="1">INDEX(OFFSET('Baseline NFPC'!$D$1:$W$1,$D44-1,0),MATCH(X$4,'Baseline NFPC'!$D$10:$W$10,0))</f>
        <v>7.269131796054395E-3</v>
      </c>
      <c r="Y44" s="5"/>
    </row>
    <row r="45" spans="1:25" x14ac:dyDescent="0.2">
      <c r="A45" s="5"/>
      <c r="B45" s="333">
        <v>5</v>
      </c>
      <c r="C45" s="337" t="s">
        <v>226</v>
      </c>
      <c r="D45" s="338">
        <v>67</v>
      </c>
      <c r="E45" s="339" t="s">
        <v>221</v>
      </c>
      <c r="F45" s="326">
        <f ca="1">INDEX(OFFSET('Baseline NFPC'!$D$1:$W$1,$D45-1,0),MATCH(F$4,'Baseline NFPC'!$D$10:$W$10,0))</f>
        <v>1.1202161973483911</v>
      </c>
      <c r="G45" s="326">
        <f ca="1">INDEX(OFFSET('Baseline NFPC'!$D$1:$W$1,$D45-1,0),MATCH(G$4,'Baseline NFPC'!$D$10:$W$10,0))</f>
        <v>1.2509599444322677</v>
      </c>
      <c r="H45" s="326">
        <f ca="1">INDEX(OFFSET('Baseline NFPC'!$D$1:$W$1,$D45-1,0),MATCH(H$4,'Baseline NFPC'!$D$10:$W$10,0))</f>
        <v>1.4864251592211182</v>
      </c>
      <c r="I45" s="326">
        <f ca="1">INDEX(OFFSET('Baseline NFPC'!$D$1:$W$1,$D45-1,0),MATCH(I$4,'Baseline NFPC'!$D$10:$W$10,0))</f>
        <v>1.6209818452032692</v>
      </c>
      <c r="J45" s="326">
        <f ca="1">INDEX(OFFSET('Baseline NFPC'!$D$1:$W$1,$D45-1,0),MATCH(J$4,'Baseline NFPC'!$D$10:$W$10,0))</f>
        <v>1.7351801175149815</v>
      </c>
      <c r="K45" s="326">
        <f ca="1">INDEX(OFFSET('Baseline NFPC'!$D$1:$W$1,$D45-1,0),MATCH(K$4,'Baseline NFPC'!$D$10:$W$10,0))</f>
        <v>1.848186395136177</v>
      </c>
      <c r="L45" s="326">
        <f ca="1">INDEX(OFFSET('Baseline NFPC'!$D$1:$W$1,$D45-1,0),MATCH(L$4,'Baseline NFPC'!$D$10:$W$10,0))</f>
        <v>1.9686774850654589</v>
      </c>
      <c r="M45" s="326">
        <f ca="1">INDEX(OFFSET('Baseline NFPC'!$D$1:$W$1,$D45-1,0),MATCH(M$4,'Baseline NFPC'!$D$10:$W$10,0))</f>
        <v>2.0967108263784611</v>
      </c>
      <c r="N45" s="326">
        <f ca="1">INDEX(OFFSET('Baseline NFPC'!$D$1:$W$1,$D45-1,0),MATCH(N$4,'Baseline NFPC'!$D$10:$W$10,0))</f>
        <v>2.2312226696247102</v>
      </c>
      <c r="O45" s="326">
        <f ca="1">INDEX(OFFSET('Baseline NFPC'!$D$1:$W$1,$D45-1,0),MATCH(O$4,'Baseline NFPC'!$D$10:$W$10,0))</f>
        <v>2.3707949836267117</v>
      </c>
      <c r="P45" s="326">
        <f ca="1">INDEX(OFFSET('Baseline NFPC'!$D$1:$W$1,$D45-1,0),MATCH(P$4,'Baseline NFPC'!$D$10:$W$10,0))</f>
        <v>2.5150975780009301</v>
      </c>
      <c r="Q45" s="326">
        <f ca="1">INDEX(OFFSET('Baseline NFPC'!$D$1:$W$1,$D45-1,0),MATCH(Q$4,'Baseline NFPC'!$D$10:$W$10,0))</f>
        <v>2.6533404448737121</v>
      </c>
      <c r="R45" s="326">
        <f ca="1">INDEX(OFFSET('Baseline NFPC'!$D$1:$W$1,$D45-1,0),MATCH(R$4,'Baseline NFPC'!$D$10:$W$10,0))</f>
        <v>2.7834903951461123</v>
      </c>
      <c r="S45" s="326">
        <f ca="1">INDEX(OFFSET('Baseline NFPC'!$D$1:$W$1,$D45-1,0),MATCH(S$4,'Baseline NFPC'!$D$10:$W$10,0))</f>
        <v>2.9012853434444543</v>
      </c>
      <c r="T45" s="326">
        <f ca="1">INDEX(OFFSET('Baseline NFPC'!$D$1:$W$1,$D45-1,0),MATCH(T$4,'Baseline NFPC'!$D$10:$W$10,0))</f>
        <v>3.0060795606505608</v>
      </c>
      <c r="U45" s="326">
        <f ca="1">INDEX(OFFSET('Baseline NFPC'!$D$1:$W$1,$D45-1,0),MATCH(U$4,'Baseline NFPC'!$D$10:$W$10,0))</f>
        <v>3.0965498213519185</v>
      </c>
      <c r="V45" s="326">
        <f ca="1">INDEX(OFFSET('Baseline NFPC'!$D$1:$W$1,$D45-1,0),MATCH(V$4,'Baseline NFPC'!$D$10:$W$10,0))</f>
        <v>3.1707355131477883</v>
      </c>
      <c r="W45" s="326">
        <f ca="1">INDEX(OFFSET('Baseline NFPC'!$D$1:$W$1,$D45-1,0),MATCH(W$4,'Baseline NFPC'!$D$10:$W$10,0))</f>
        <v>3.2273039404232287</v>
      </c>
      <c r="X45" s="326">
        <f ca="1">INDEX(OFFSET('Baseline NFPC'!$D$1:$W$1,$D45-1,0),MATCH(X$4,'Baseline NFPC'!$D$10:$W$10,0))</f>
        <v>3.2681375260894354</v>
      </c>
      <c r="Y45" s="5"/>
    </row>
    <row r="46" spans="1:25" x14ac:dyDescent="0.2">
      <c r="A46" s="5"/>
      <c r="B46" s="333">
        <v>6</v>
      </c>
      <c r="C46" s="340" t="s">
        <v>94</v>
      </c>
      <c r="D46" s="338">
        <v>36</v>
      </c>
      <c r="E46" s="339" t="s">
        <v>227</v>
      </c>
      <c r="F46" s="326">
        <f ca="1">INDEX(OFFSET('Baseline NFPC'!$D$1:$W$1,$D46-1,0),MATCH(F$4,'Baseline NFPC'!$D$10:$W$10,0))</f>
        <v>3.04</v>
      </c>
      <c r="G46" s="326">
        <f ca="1">INDEX(OFFSET('Baseline NFPC'!$D$1:$W$1,$D46-1,0),MATCH(G$4,'Baseline NFPC'!$D$10:$W$10,0))</f>
        <v>2.9418000000000002</v>
      </c>
      <c r="H46" s="326">
        <f ca="1">INDEX(OFFSET('Baseline NFPC'!$D$1:$W$1,$D46-1,0),MATCH(H$4,'Baseline NFPC'!$D$10:$W$10,0))</f>
        <v>3.0140359999999999</v>
      </c>
      <c r="I46" s="326">
        <f ca="1">INDEX(OFFSET('Baseline NFPC'!$D$1:$W$1,$D46-1,0),MATCH(I$4,'Baseline NFPC'!$D$10:$W$10,0))</f>
        <v>3.041204</v>
      </c>
      <c r="J46" s="326">
        <f ca="1">INDEX(OFFSET('Baseline NFPC'!$D$1:$W$1,$D46-1,0),MATCH(J$4,'Baseline NFPC'!$D$10:$W$10,0))</f>
        <v>3.0683720000000001</v>
      </c>
      <c r="K46" s="326">
        <f ca="1">INDEX(OFFSET('Baseline NFPC'!$D$1:$W$1,$D46-1,0),MATCH(K$4,'Baseline NFPC'!$D$10:$W$10,0))</f>
        <v>3.0955400000000002</v>
      </c>
      <c r="L46" s="326">
        <f ca="1">INDEX(OFFSET('Baseline NFPC'!$D$1:$W$1,$D46-1,0),MATCH(L$4,'Baseline NFPC'!$D$10:$W$10,0))</f>
        <v>3.1227080000000003</v>
      </c>
      <c r="M46" s="326">
        <f ca="1">INDEX(OFFSET('Baseline NFPC'!$D$1:$W$1,$D46-1,0),MATCH(M$4,'Baseline NFPC'!$D$10:$W$10,0))</f>
        <v>3.1498760000000003</v>
      </c>
      <c r="N46" s="326">
        <f ca="1">INDEX(OFFSET('Baseline NFPC'!$D$1:$W$1,$D46-1,0),MATCH(N$4,'Baseline NFPC'!$D$10:$W$10,0))</f>
        <v>3.1770440000000004</v>
      </c>
      <c r="O46" s="326">
        <f ca="1">INDEX(OFFSET('Baseline NFPC'!$D$1:$W$1,$D46-1,0),MATCH(O$4,'Baseline NFPC'!$D$10:$W$10,0))</f>
        <v>3.2042120000000005</v>
      </c>
      <c r="P46" s="326">
        <f ca="1">INDEX(OFFSET('Baseline NFPC'!$D$1:$W$1,$D46-1,0),MATCH(P$4,'Baseline NFPC'!$D$10:$W$10,0))</f>
        <v>3.2313800000000001</v>
      </c>
      <c r="Q46" s="326">
        <f ca="1">INDEX(OFFSET('Baseline NFPC'!$D$1:$W$1,$D46-1,0),MATCH(Q$4,'Baseline NFPC'!$D$10:$W$10,0))</f>
        <v>3.2698110000000002</v>
      </c>
      <c r="R46" s="326">
        <f ca="1">INDEX(OFFSET('Baseline NFPC'!$D$1:$W$1,$D46-1,0),MATCH(R$4,'Baseline NFPC'!$D$10:$W$10,0))</f>
        <v>3.3082419999999999</v>
      </c>
      <c r="S46" s="326">
        <f ca="1">INDEX(OFFSET('Baseline NFPC'!$D$1:$W$1,$D46-1,0),MATCH(S$4,'Baseline NFPC'!$D$10:$W$10,0))</f>
        <v>3.346673</v>
      </c>
      <c r="T46" s="326">
        <f ca="1">INDEX(OFFSET('Baseline NFPC'!$D$1:$W$1,$D46-1,0),MATCH(T$4,'Baseline NFPC'!$D$10:$W$10,0))</f>
        <v>3.3851040000000001</v>
      </c>
      <c r="U46" s="326">
        <f ca="1">INDEX(OFFSET('Baseline NFPC'!$D$1:$W$1,$D46-1,0),MATCH(U$4,'Baseline NFPC'!$D$10:$W$10,0))</f>
        <v>3.4235350000000002</v>
      </c>
      <c r="V46" s="326">
        <f ca="1">INDEX(OFFSET('Baseline NFPC'!$D$1:$W$1,$D46-1,0),MATCH(V$4,'Baseline NFPC'!$D$10:$W$10,0))</f>
        <v>3.4619660000000003</v>
      </c>
      <c r="W46" s="326">
        <f ca="1">INDEX(OFFSET('Baseline NFPC'!$D$1:$W$1,$D46-1,0),MATCH(W$4,'Baseline NFPC'!$D$10:$W$10,0))</f>
        <v>3.500397</v>
      </c>
      <c r="X46" s="326">
        <f ca="1">INDEX(OFFSET('Baseline NFPC'!$D$1:$W$1,$D46-1,0),MATCH(X$4,'Baseline NFPC'!$D$10:$W$10,0))</f>
        <v>3.5388280000000001</v>
      </c>
      <c r="Y46" s="5"/>
    </row>
    <row r="47" spans="1:25" x14ac:dyDescent="0.2">
      <c r="A47" s="5"/>
      <c r="B47" s="333">
        <v>7</v>
      </c>
      <c r="C47" s="340" t="s">
        <v>95</v>
      </c>
      <c r="D47" s="338">
        <v>37</v>
      </c>
      <c r="E47" s="339" t="s">
        <v>227</v>
      </c>
      <c r="F47" s="326">
        <f ca="1">INDEX(OFFSET('Baseline NFPC'!$D$1:$W$1,$D47-1,0),MATCH(F$4,'Baseline NFPC'!$D$10:$W$10,0))</f>
        <v>3.43</v>
      </c>
      <c r="G47" s="326">
        <f ca="1">INDEX(OFFSET('Baseline NFPC'!$D$1:$W$1,$D47-1,0),MATCH(G$4,'Baseline NFPC'!$D$10:$W$10,0))</f>
        <v>3.5642079999999998</v>
      </c>
      <c r="H47" s="326">
        <f ca="1">INDEX(OFFSET('Baseline NFPC'!$D$1:$W$1,$D47-1,0),MATCH(H$4,'Baseline NFPC'!$D$10:$W$10,0))</f>
        <v>2.8163749999999999</v>
      </c>
      <c r="I47" s="326">
        <f ca="1">INDEX(OFFSET('Baseline NFPC'!$D$1:$W$1,$D47-1,0),MATCH(I$4,'Baseline NFPC'!$D$10:$W$10,0))</f>
        <v>2.8050893749999997</v>
      </c>
      <c r="J47" s="326">
        <f ca="1">INDEX(OFFSET('Baseline NFPC'!$D$1:$W$1,$D47-1,0),MATCH(J$4,'Baseline NFPC'!$D$10:$W$10,0))</f>
        <v>2.7938037499999995</v>
      </c>
      <c r="K47" s="326">
        <f ca="1">INDEX(OFFSET('Baseline NFPC'!$D$1:$W$1,$D47-1,0),MATCH(K$4,'Baseline NFPC'!$D$10:$W$10,0))</f>
        <v>2.7825181249999993</v>
      </c>
      <c r="L47" s="326">
        <f ca="1">INDEX(OFFSET('Baseline NFPC'!$D$1:$W$1,$D47-1,0),MATCH(L$4,'Baseline NFPC'!$D$10:$W$10,0))</f>
        <v>2.7712324999999991</v>
      </c>
      <c r="M47" s="326">
        <f ca="1">INDEX(OFFSET('Baseline NFPC'!$D$1:$W$1,$D47-1,0),MATCH(M$4,'Baseline NFPC'!$D$10:$W$10,0))</f>
        <v>2.7599468749999989</v>
      </c>
      <c r="N47" s="326">
        <f ca="1">INDEX(OFFSET('Baseline NFPC'!$D$1:$W$1,$D47-1,0),MATCH(N$4,'Baseline NFPC'!$D$10:$W$10,0))</f>
        <v>2.7486612499999987</v>
      </c>
      <c r="O47" s="326">
        <f ca="1">INDEX(OFFSET('Baseline NFPC'!$D$1:$W$1,$D47-1,0),MATCH(O$4,'Baseline NFPC'!$D$10:$W$10,0))</f>
        <v>2.7373756249999985</v>
      </c>
      <c r="P47" s="326">
        <f ca="1">INDEX(OFFSET('Baseline NFPC'!$D$1:$W$1,$D47-1,0),MATCH(P$4,'Baseline NFPC'!$D$10:$W$10,0))</f>
        <v>2.7260900000000001</v>
      </c>
      <c r="Q47" s="326">
        <f ca="1">INDEX(OFFSET('Baseline NFPC'!$D$1:$W$1,$D47-1,0),MATCH(Q$4,'Baseline NFPC'!$D$10:$W$10,0))</f>
        <v>2.6897855000000002</v>
      </c>
      <c r="R47" s="326">
        <f ca="1">INDEX(OFFSET('Baseline NFPC'!$D$1:$W$1,$D47-1,0),MATCH(R$4,'Baseline NFPC'!$D$10:$W$10,0))</f>
        <v>2.6534810000000002</v>
      </c>
      <c r="S47" s="326">
        <f ca="1">INDEX(OFFSET('Baseline NFPC'!$D$1:$W$1,$D47-1,0),MATCH(S$4,'Baseline NFPC'!$D$10:$W$10,0))</f>
        <v>2.6171765000000002</v>
      </c>
      <c r="T47" s="326">
        <f ca="1">INDEX(OFFSET('Baseline NFPC'!$D$1:$W$1,$D47-1,0),MATCH(T$4,'Baseline NFPC'!$D$10:$W$10,0))</f>
        <v>2.5808720000000003</v>
      </c>
      <c r="U47" s="326">
        <f ca="1">INDEX(OFFSET('Baseline NFPC'!$D$1:$W$1,$D47-1,0),MATCH(U$4,'Baseline NFPC'!$D$10:$W$10,0))</f>
        <v>2.5445675000000003</v>
      </c>
      <c r="V47" s="326">
        <f ca="1">INDEX(OFFSET('Baseline NFPC'!$D$1:$W$1,$D47-1,0),MATCH(V$4,'Baseline NFPC'!$D$10:$W$10,0))</f>
        <v>2.5082629999999999</v>
      </c>
      <c r="W47" s="326">
        <f ca="1">INDEX(OFFSET('Baseline NFPC'!$D$1:$W$1,$D47-1,0),MATCH(W$4,'Baseline NFPC'!$D$10:$W$10,0))</f>
        <v>2.4719584999999999</v>
      </c>
      <c r="X47" s="326">
        <f ca="1">INDEX(OFFSET('Baseline NFPC'!$D$1:$W$1,$D47-1,0),MATCH(X$4,'Baseline NFPC'!$D$10:$W$10,0))</f>
        <v>2.435654</v>
      </c>
      <c r="Y47" s="5"/>
    </row>
    <row r="48" spans="1:25" x14ac:dyDescent="0.2">
      <c r="A48" s="5"/>
      <c r="B48" s="333">
        <v>8</v>
      </c>
      <c r="C48" s="337" t="s">
        <v>228</v>
      </c>
      <c r="D48" s="338">
        <v>35</v>
      </c>
      <c r="E48" s="339" t="s">
        <v>227</v>
      </c>
      <c r="F48" s="326">
        <f ca="1">INDEX(OFFSET('Baseline NFPC'!$D$1:$W$1,$D48-1,0),MATCH(F$4,'Baseline NFPC'!$D$10:$W$10,0))</f>
        <v>1.5804370000000001</v>
      </c>
      <c r="G48" s="326">
        <f ca="1">INDEX(OFFSET('Baseline NFPC'!$D$1:$W$1,$D48-1,0),MATCH(G$4,'Baseline NFPC'!$D$10:$W$10,0))</f>
        <v>1.6625099999999999</v>
      </c>
      <c r="H48" s="326">
        <f ca="1">INDEX(OFFSET('Baseline NFPC'!$D$1:$W$1,$D48-1,0),MATCH(H$4,'Baseline NFPC'!$D$10:$W$10,0))</f>
        <v>1.8895660000000001</v>
      </c>
      <c r="I48" s="326">
        <f ca="1">INDEX(OFFSET('Baseline NFPC'!$D$1:$W$1,$D48-1,0),MATCH(I$4,'Baseline NFPC'!$D$10:$W$10,0))</f>
        <v>2.0046747199414239</v>
      </c>
      <c r="J48" s="326">
        <f ca="1">INDEX(OFFSET('Baseline NFPC'!$D$1:$W$1,$D48-1,0),MATCH(J$4,'Baseline NFPC'!$D$10:$W$10,0))</f>
        <v>2.095899264942612</v>
      </c>
      <c r="K48" s="326">
        <f ca="1">INDEX(OFFSET('Baseline NFPC'!$D$1:$W$1,$D48-1,0),MATCH(K$4,'Baseline NFPC'!$D$10:$W$10,0))</f>
        <v>2.1793481709749853</v>
      </c>
      <c r="L48" s="326">
        <f ca="1">INDEX(OFFSET('Baseline NFPC'!$D$1:$W$1,$D48-1,0),MATCH(L$4,'Baseline NFPC'!$D$10:$W$10,0))</f>
        <v>2.2577880250814242</v>
      </c>
      <c r="M48" s="326">
        <f ca="1">INDEX(OFFSET('Baseline NFPC'!$D$1:$W$1,$D48-1,0),MATCH(M$4,'Baseline NFPC'!$D$10:$W$10,0))</f>
        <v>2.3337712298669606</v>
      </c>
      <c r="N48" s="326">
        <f ca="1">INDEX(OFFSET('Baseline NFPC'!$D$1:$W$1,$D48-1,0),MATCH(N$4,'Baseline NFPC'!$D$10:$W$10,0))</f>
        <v>2.4070276908922112</v>
      </c>
      <c r="O48" s="326">
        <f ca="1">INDEX(OFFSET('Baseline NFPC'!$D$1:$W$1,$D48-1,0),MATCH(O$4,'Baseline NFPC'!$D$10:$W$10,0))</f>
        <v>2.4773340038366616</v>
      </c>
      <c r="P48" s="326">
        <f ca="1">INDEX(OFFSET('Baseline NFPC'!$D$1:$W$1,$D48-1,0),MATCH(P$4,'Baseline NFPC'!$D$10:$W$10,0))</f>
        <v>2.5443773379280388</v>
      </c>
      <c r="Q48" s="326">
        <f ca="1">INDEX(OFFSET('Baseline NFPC'!$D$1:$W$1,$D48-1,0),MATCH(Q$4,'Baseline NFPC'!$D$10:$W$10,0))</f>
        <v>2.605460467748081</v>
      </c>
      <c r="R48" s="326">
        <f ca="1">INDEX(OFFSET('Baseline NFPC'!$D$1:$W$1,$D48-1,0),MATCH(R$4,'Baseline NFPC'!$D$10:$W$10,0))</f>
        <v>2.662522099370102</v>
      </c>
      <c r="S48" s="326">
        <f ca="1">INDEX(OFFSET('Baseline NFPC'!$D$1:$W$1,$D48-1,0),MATCH(S$4,'Baseline NFPC'!$D$10:$W$10,0))</f>
        <v>2.7155259203670439</v>
      </c>
      <c r="T48" s="326">
        <f ca="1">INDEX(OFFSET('Baseline NFPC'!$D$1:$W$1,$D48-1,0),MATCH(T$4,'Baseline NFPC'!$D$10:$W$10,0))</f>
        <v>2.7644719406008993</v>
      </c>
      <c r="U48" s="326">
        <f ca="1">INDEX(OFFSET('Baseline NFPC'!$D$1:$W$1,$D48-1,0),MATCH(U$4,'Baseline NFPC'!$D$10:$W$10,0))</f>
        <v>2.8096870729383836</v>
      </c>
      <c r="V48" s="326">
        <f ca="1">INDEX(OFFSET('Baseline NFPC'!$D$1:$W$1,$D48-1,0),MATCH(V$4,'Baseline NFPC'!$D$10:$W$10,0))</f>
        <v>2.8515019403868074</v>
      </c>
      <c r="W48" s="326">
        <f ca="1">INDEX(OFFSET('Baseline NFPC'!$D$1:$W$1,$D48-1,0),MATCH(W$4,'Baseline NFPC'!$D$10:$W$10,0))</f>
        <v>2.8901393310658166</v>
      </c>
      <c r="X48" s="326">
        <f ca="1">INDEX(OFFSET('Baseline NFPC'!$D$1:$W$1,$D48-1,0),MATCH(X$4,'Baseline NFPC'!$D$10:$W$10,0))</f>
        <v>2.925842810908899</v>
      </c>
      <c r="Y48" s="5"/>
    </row>
    <row r="49" spans="1:25" x14ac:dyDescent="0.2">
      <c r="A49" s="5"/>
      <c r="B49" s="333">
        <v>9</v>
      </c>
      <c r="C49" s="341" t="s">
        <v>62</v>
      </c>
      <c r="D49" s="338">
        <v>26</v>
      </c>
      <c r="E49" s="339" t="s">
        <v>230</v>
      </c>
      <c r="F49" s="326">
        <f ca="1">(INDEX(OFFSET('Baseline NFPC'!$D$1:$W$1,$D49-1,0),MATCH(F$4,'Baseline NFPC'!$D$10:$W$10,0))/INDEX(OFFSET('Baseline NFPC'!$D$1:$W$1,$D49-1,0),MATCH(E$4,'Baseline NFPC'!$D$10:$W$10,0))-1)*100</f>
        <v>1.0916300000000101</v>
      </c>
      <c r="G49" s="326">
        <f ca="1">(INDEX(OFFSET('Baseline NFPC'!$D$1:$W$1,$D49-1,0),MATCH(G$4,'Baseline NFPC'!$D$10:$W$10,0))/INDEX(OFFSET('Baseline NFPC'!$D$1:$W$1,$D49-1,0),MATCH(F$4,'Baseline NFPC'!$D$10:$W$10,0))-1)*100</f>
        <v>0.935087472222218</v>
      </c>
      <c r="H49" s="326">
        <f ca="1">(INDEX(OFFSET('Baseline NFPC'!$D$1:$W$1,$D49-1,0),MATCH(H$4,'Baseline NFPC'!$D$10:$W$10,0))/INDEX(OFFSET('Baseline NFPC'!$D$1:$W$1,$D49-1,0),MATCH(G$4,'Baseline NFPC'!$D$10:$W$10,0))-1)*100</f>
        <v>0.935087472222218</v>
      </c>
      <c r="I49" s="326">
        <f ca="1">(INDEX(OFFSET('Baseline NFPC'!$D$1:$W$1,$D49-1,0),MATCH(I$4,'Baseline NFPC'!$D$10:$W$10,0))/INDEX(OFFSET('Baseline NFPC'!$D$1:$W$1,$D49-1,0),MATCH(H$4,'Baseline NFPC'!$D$10:$W$10,0))-1)*100</f>
        <v>0.935087472222218</v>
      </c>
      <c r="J49" s="326">
        <f ca="1">(INDEX(OFFSET('Baseline NFPC'!$D$1:$W$1,$D49-1,0),MATCH(J$4,'Baseline NFPC'!$D$10:$W$10,0))/INDEX(OFFSET('Baseline NFPC'!$D$1:$W$1,$D49-1,0),MATCH(I$4,'Baseline NFPC'!$D$10:$W$10,0))-1)*100</f>
        <v>0.935087472222218</v>
      </c>
      <c r="K49" s="326">
        <f ca="1">(INDEX(OFFSET('Baseline NFPC'!$D$1:$W$1,$D49-1,0),MATCH(K$4,'Baseline NFPC'!$D$10:$W$10,0))/INDEX(OFFSET('Baseline NFPC'!$D$1:$W$1,$D49-1,0),MATCH(J$4,'Baseline NFPC'!$D$10:$W$10,0))-1)*100</f>
        <v>0.935087472222218</v>
      </c>
      <c r="L49" s="326">
        <f ca="1">(INDEX(OFFSET('Baseline NFPC'!$D$1:$W$1,$D49-1,0),MATCH(L$4,'Baseline NFPC'!$D$10:$W$10,0))/INDEX(OFFSET('Baseline NFPC'!$D$1:$W$1,$D49-1,0),MATCH(K$4,'Baseline NFPC'!$D$10:$W$10,0))-1)*100</f>
        <v>0.935087472222218</v>
      </c>
      <c r="M49" s="326">
        <f ca="1">(INDEX(OFFSET('Baseline NFPC'!$D$1:$W$1,$D49-1,0),MATCH(M$4,'Baseline NFPC'!$D$10:$W$10,0))/INDEX(OFFSET('Baseline NFPC'!$D$1:$W$1,$D49-1,0),MATCH(L$4,'Baseline NFPC'!$D$10:$W$10,0))-1)*100</f>
        <v>0.935087472222218</v>
      </c>
      <c r="N49" s="326">
        <f ca="1">(INDEX(OFFSET('Baseline NFPC'!$D$1:$W$1,$D49-1,0),MATCH(N$4,'Baseline NFPC'!$D$10:$W$10,0))/INDEX(OFFSET('Baseline NFPC'!$D$1:$W$1,$D49-1,0),MATCH(M$4,'Baseline NFPC'!$D$10:$W$10,0))-1)*100</f>
        <v>0.935087472222218</v>
      </c>
      <c r="O49" s="326">
        <f ca="1">(INDEX(OFFSET('Baseline NFPC'!$D$1:$W$1,$D49-1,0),MATCH(O$4,'Baseline NFPC'!$D$10:$W$10,0))/INDEX(OFFSET('Baseline NFPC'!$D$1:$W$1,$D49-1,0),MATCH(N$4,'Baseline NFPC'!$D$10:$W$10,0))-1)*100</f>
        <v>0.935087472222218</v>
      </c>
      <c r="P49" s="326">
        <f ca="1">(INDEX(OFFSET('Baseline NFPC'!$D$1:$W$1,$D49-1,0),MATCH(P$4,'Baseline NFPC'!$D$10:$W$10,0))/INDEX(OFFSET('Baseline NFPC'!$D$1:$W$1,$D49-1,0),MATCH(O$4,'Baseline NFPC'!$D$10:$W$10,0))-1)*100</f>
        <v>0.935087472222218</v>
      </c>
      <c r="Q49" s="326">
        <f ca="1">(INDEX(OFFSET('Baseline NFPC'!$D$1:$W$1,$D49-1,0),MATCH(Q$4,'Baseline NFPC'!$D$10:$W$10,0))/INDEX(OFFSET('Baseline NFPC'!$D$1:$W$1,$D49-1,0),MATCH(P$4,'Baseline NFPC'!$D$10:$W$10,0))-1)*100</f>
        <v>0.935087472222218</v>
      </c>
      <c r="R49" s="326">
        <f ca="1">(INDEX(OFFSET('Baseline NFPC'!$D$1:$W$1,$D49-1,0),MATCH(R$4,'Baseline NFPC'!$D$10:$W$10,0))/INDEX(OFFSET('Baseline NFPC'!$D$1:$W$1,$D49-1,0),MATCH(Q$4,'Baseline NFPC'!$D$10:$W$10,0))-1)*100</f>
        <v>0.935087472222218</v>
      </c>
      <c r="S49" s="326">
        <f ca="1">(INDEX(OFFSET('Baseline NFPC'!$D$1:$W$1,$D49-1,0),MATCH(S$4,'Baseline NFPC'!$D$10:$W$10,0))/INDEX(OFFSET('Baseline NFPC'!$D$1:$W$1,$D49-1,0),MATCH(R$4,'Baseline NFPC'!$D$10:$W$10,0))-1)*100</f>
        <v>0.935087472222218</v>
      </c>
      <c r="T49" s="326">
        <f ca="1">(INDEX(OFFSET('Baseline NFPC'!$D$1:$W$1,$D49-1,0),MATCH(T$4,'Baseline NFPC'!$D$10:$W$10,0))/INDEX(OFFSET('Baseline NFPC'!$D$1:$W$1,$D49-1,0),MATCH(S$4,'Baseline NFPC'!$D$10:$W$10,0))-1)*100</f>
        <v>0.935087472222218</v>
      </c>
      <c r="U49" s="326">
        <f ca="1">(INDEX(OFFSET('Baseline NFPC'!$D$1:$W$1,$D49-1,0),MATCH(U$4,'Baseline NFPC'!$D$10:$W$10,0))/INDEX(OFFSET('Baseline NFPC'!$D$1:$W$1,$D49-1,0),MATCH(T$4,'Baseline NFPC'!$D$10:$W$10,0))-1)*100</f>
        <v>0.935087472222218</v>
      </c>
      <c r="V49" s="326">
        <f ca="1">(INDEX(OFFSET('Baseline NFPC'!$D$1:$W$1,$D49-1,0),MATCH(V$4,'Baseline NFPC'!$D$10:$W$10,0))/INDEX(OFFSET('Baseline NFPC'!$D$1:$W$1,$D49-1,0),MATCH(U$4,'Baseline NFPC'!$D$10:$W$10,0))-1)*100</f>
        <v>0.935087472222218</v>
      </c>
      <c r="W49" s="326">
        <f ca="1">(INDEX(OFFSET('Baseline NFPC'!$D$1:$W$1,$D49-1,0),MATCH(W$4,'Baseline NFPC'!$D$10:$W$10,0))/INDEX(OFFSET('Baseline NFPC'!$D$1:$W$1,$D49-1,0),MATCH(V$4,'Baseline NFPC'!$D$10:$W$10,0))-1)*100</f>
        <v>0.935087472222218</v>
      </c>
      <c r="X49" s="326">
        <f ca="1">(INDEX(OFFSET('Baseline NFPC'!$D$1:$W$1,$D49-1,0),MATCH(X$4,'Baseline NFPC'!$D$10:$W$10,0))/INDEX(OFFSET('Baseline NFPC'!$D$1:$W$1,$D49-1,0),MATCH(W$4,'Baseline NFPC'!$D$10:$W$10,0))-1)*100</f>
        <v>0.935087472222218</v>
      </c>
      <c r="Y49" s="5"/>
    </row>
    <row r="50" spans="1:25" x14ac:dyDescent="0.2">
      <c r="A50" s="5"/>
      <c r="B50" s="333">
        <v>10</v>
      </c>
      <c r="C50" s="329" t="s">
        <v>231</v>
      </c>
      <c r="D50" s="338">
        <v>23</v>
      </c>
      <c r="E50" s="339" t="s">
        <v>230</v>
      </c>
      <c r="F50" s="326">
        <f ca="1">INDEX(OFFSET('Baseline NFPC'!$D$1:$W$1,$D50-1,0),MATCH(F$4,'Baseline NFPC'!$D$10:$W$10,0))</f>
        <v>-1.0353760000000001</v>
      </c>
      <c r="G50" s="326">
        <f ca="1">INDEX(OFFSET('Baseline NFPC'!$D$1:$W$1,$D50-1,0),MATCH(G$4,'Baseline NFPC'!$D$10:$W$10,0))</f>
        <v>3.9589600000000003E-2</v>
      </c>
      <c r="H50" s="326">
        <f ca="1">INDEX(OFFSET('Baseline NFPC'!$D$1:$W$1,$D50-1,0),MATCH(H$4,'Baseline NFPC'!$D$10:$W$10,0))</f>
        <v>1.6580349999999999</v>
      </c>
      <c r="I50" s="326">
        <f ca="1">INDEX(OFFSET('Baseline NFPC'!$D$1:$W$1,$D50-1,0),MATCH(I$4,'Baseline NFPC'!$D$10:$W$10,0))</f>
        <v>1.310285000000011</v>
      </c>
      <c r="J50" s="326">
        <f ca="1">INDEX(OFFSET('Baseline NFPC'!$D$1:$W$1,$D50-1,0),MATCH(J$4,'Baseline NFPC'!$D$10:$W$10,0))</f>
        <v>1.4146149999999968</v>
      </c>
      <c r="K50" s="326">
        <f ca="1">INDEX(OFFSET('Baseline NFPC'!$D$1:$W$1,$D50-1,0),MATCH(K$4,'Baseline NFPC'!$D$10:$W$10,0))</f>
        <v>1.0487979999999952</v>
      </c>
      <c r="L50" s="326">
        <f ca="1">INDEX(OFFSET('Baseline NFPC'!$D$1:$W$1,$D50-1,0),MATCH(L$4,'Baseline NFPC'!$D$10:$W$10,0))</f>
        <v>0.58138119999999738</v>
      </c>
      <c r="M50" s="326">
        <f ca="1">INDEX(OFFSET('Baseline NFPC'!$D$1:$W$1,$D50-1,0),MATCH(M$4,'Baseline NFPC'!$D$10:$W$10,0))</f>
        <v>0.55843980000001014</v>
      </c>
      <c r="N50" s="326">
        <f ca="1">INDEX(OFFSET('Baseline NFPC'!$D$1:$W$1,$D50-1,0),MATCH(N$4,'Baseline NFPC'!$D$10:$W$10,0))</f>
        <v>0.58565610000000934</v>
      </c>
      <c r="O50" s="326">
        <f ca="1">INDEX(OFFSET('Baseline NFPC'!$D$1:$W$1,$D50-1,0),MATCH(O$4,'Baseline NFPC'!$D$10:$W$10,0))</f>
        <v>0.65826849999999215</v>
      </c>
      <c r="P50" s="326">
        <f ca="1">INDEX(OFFSET('Baseline NFPC'!$D$1:$W$1,$D50-1,0),MATCH(P$4,'Baseline NFPC'!$D$10:$W$10,0))</f>
        <v>0.68445089999999986</v>
      </c>
      <c r="Q50" s="326">
        <f ca="1">INDEX(OFFSET('Baseline NFPC'!$D$1:$W$1,$D50-1,0),MATCH(Q$4,'Baseline NFPC'!$D$10:$W$10,0))</f>
        <v>0.88988430000001006</v>
      </c>
      <c r="R50" s="326">
        <f ca="1">INDEX(OFFSET('Baseline NFPC'!$D$1:$W$1,$D50-1,0),MATCH(R$4,'Baseline NFPC'!$D$10:$W$10,0))</f>
        <v>1.0953100000000049</v>
      </c>
      <c r="S50" s="326">
        <f ca="1">INDEX(OFFSET('Baseline NFPC'!$D$1:$W$1,$D50-1,0),MATCH(S$4,'Baseline NFPC'!$D$10:$W$10,0))</f>
        <v>1.3007420000000103</v>
      </c>
      <c r="T50" s="326">
        <f ca="1">INDEX(OFFSET('Baseline NFPC'!$D$1:$W$1,$D50-1,0),MATCH(T$4,'Baseline NFPC'!$D$10:$W$10,0))</f>
        <v>1.3750050000000069</v>
      </c>
      <c r="U50" s="326">
        <f ca="1">INDEX(OFFSET('Baseline NFPC'!$D$1:$W$1,$D50-1,0),MATCH(U$4,'Baseline NFPC'!$D$10:$W$10,0))</f>
        <v>1.4239539999999939</v>
      </c>
      <c r="V50" s="326">
        <f ca="1">INDEX(OFFSET('Baseline NFPC'!$D$1:$W$1,$D50-1,0),MATCH(V$4,'Baseline NFPC'!$D$10:$W$10,0))</f>
        <v>1.4860419999999985</v>
      </c>
      <c r="W50" s="326">
        <f ca="1">INDEX(OFFSET('Baseline NFPC'!$D$1:$W$1,$D50-1,0),MATCH(W$4,'Baseline NFPC'!$D$10:$W$10,0))</f>
        <v>1.5330819999999967</v>
      </c>
      <c r="X50" s="326">
        <f ca="1">INDEX(OFFSET('Baseline NFPC'!$D$1:$W$1,$D50-1,0),MATCH(X$4,'Baseline NFPC'!$D$10:$W$10,0))</f>
        <v>1.4883030000000019</v>
      </c>
      <c r="Y50" s="5"/>
    </row>
    <row r="51" spans="1:25" x14ac:dyDescent="0.2">
      <c r="A51" s="5"/>
      <c r="B51" s="333">
        <v>11</v>
      </c>
      <c r="C51" s="342" t="s">
        <v>232</v>
      </c>
      <c r="D51" s="338">
        <v>41</v>
      </c>
      <c r="E51" s="339" t="s">
        <v>230</v>
      </c>
      <c r="F51" s="326">
        <f ca="1">INDEX(OFFSET('Baseline NFPC'!$D$1:$W$1,$D51-1,0),MATCH(F$4,'Baseline NFPC'!$D$10:$W$10,0))</f>
        <v>4.7975909999999997</v>
      </c>
      <c r="G51" s="326">
        <f ca="1">INDEX(OFFSET('Baseline NFPC'!$D$1:$W$1,$D51-1,0),MATCH(G$4,'Baseline NFPC'!$D$10:$W$10,0))</f>
        <v>1.8000020000000001</v>
      </c>
      <c r="H51" s="326">
        <f ca="1">INDEX(OFFSET('Baseline NFPC'!$D$1:$W$1,$D51-1,0),MATCH(H$4,'Baseline NFPC'!$D$10:$W$10,0))</f>
        <v>2.124962</v>
      </c>
      <c r="I51" s="326">
        <f ca="1">INDEX(OFFSET('Baseline NFPC'!$D$1:$W$1,$D51-1,0),MATCH(I$4,'Baseline NFPC'!$D$10:$W$10,0))</f>
        <v>2.1780917500000001</v>
      </c>
      <c r="J51" s="326">
        <f ca="1">INDEX(OFFSET('Baseline NFPC'!$D$1:$W$1,$D51-1,0),MATCH(J$4,'Baseline NFPC'!$D$10:$W$10,0))</f>
        <v>2.2312215000000002</v>
      </c>
      <c r="K51" s="326">
        <f ca="1">INDEX(OFFSET('Baseline NFPC'!$D$1:$W$1,$D51-1,0),MATCH(K$4,'Baseline NFPC'!$D$10:$W$10,0))</f>
        <v>2.2843512499999998</v>
      </c>
      <c r="L51" s="326">
        <f ca="1">INDEX(OFFSET('Baseline NFPC'!$D$1:$W$1,$D51-1,0),MATCH(L$4,'Baseline NFPC'!$D$10:$W$10,0))</f>
        <v>2.3374809999999999</v>
      </c>
      <c r="M51" s="326">
        <f ca="1">INDEX(OFFSET('Baseline NFPC'!$D$1:$W$1,$D51-1,0),MATCH(M$4,'Baseline NFPC'!$D$10:$W$10,0))</f>
        <v>2.39061075</v>
      </c>
      <c r="N51" s="326">
        <f ca="1">INDEX(OFFSET('Baseline NFPC'!$D$1:$W$1,$D51-1,0),MATCH(N$4,'Baseline NFPC'!$D$10:$W$10,0))</f>
        <v>2.4437404999999996</v>
      </c>
      <c r="O51" s="326">
        <f ca="1">INDEX(OFFSET('Baseline NFPC'!$D$1:$W$1,$D51-1,0),MATCH(O$4,'Baseline NFPC'!$D$10:$W$10,0))</f>
        <v>2.4968702499999997</v>
      </c>
      <c r="P51" s="326">
        <f ca="1">INDEX(OFFSET('Baseline NFPC'!$D$1:$W$1,$D51-1,0),MATCH(P$4,'Baseline NFPC'!$D$10:$W$10,0))</f>
        <v>2.5499999999999998</v>
      </c>
      <c r="Q51" s="326">
        <f ca="1">INDEX(OFFSET('Baseline NFPC'!$D$1:$W$1,$D51-1,0),MATCH(Q$4,'Baseline NFPC'!$D$10:$W$10,0))</f>
        <v>2.5225</v>
      </c>
      <c r="R51" s="326">
        <f ca="1">INDEX(OFFSET('Baseline NFPC'!$D$1:$W$1,$D51-1,0),MATCH(R$4,'Baseline NFPC'!$D$10:$W$10,0))</f>
        <v>2.4949999999999997</v>
      </c>
      <c r="S51" s="326">
        <f ca="1">INDEX(OFFSET('Baseline NFPC'!$D$1:$W$1,$D51-1,0),MATCH(S$4,'Baseline NFPC'!$D$10:$W$10,0))</f>
        <v>2.4674999999999998</v>
      </c>
      <c r="T51" s="326">
        <f ca="1">INDEX(OFFSET('Baseline NFPC'!$D$1:$W$1,$D51-1,0),MATCH(T$4,'Baseline NFPC'!$D$10:$W$10,0))</f>
        <v>2.44</v>
      </c>
      <c r="U51" s="326">
        <f ca="1">INDEX(OFFSET('Baseline NFPC'!$D$1:$W$1,$D51-1,0),MATCH(U$4,'Baseline NFPC'!$D$10:$W$10,0))</f>
        <v>2.4124999999999996</v>
      </c>
      <c r="V51" s="326">
        <f ca="1">INDEX(OFFSET('Baseline NFPC'!$D$1:$W$1,$D51-1,0),MATCH(V$4,'Baseline NFPC'!$D$10:$W$10,0))</f>
        <v>2.3849999999999998</v>
      </c>
      <c r="W51" s="326">
        <f ca="1">INDEX(OFFSET('Baseline NFPC'!$D$1:$W$1,$D51-1,0),MATCH(W$4,'Baseline NFPC'!$D$10:$W$10,0))</f>
        <v>2.3574999999999999</v>
      </c>
      <c r="X51" s="326">
        <f ca="1">INDEX(OFFSET('Baseline NFPC'!$D$1:$W$1,$D51-1,0),MATCH(X$4,'Baseline NFPC'!$D$10:$W$10,0))</f>
        <v>2.33</v>
      </c>
      <c r="Y51" s="5"/>
    </row>
    <row r="52" spans="1:25" x14ac:dyDescent="0.2">
      <c r="A52" s="5"/>
      <c r="B52" s="333">
        <v>12</v>
      </c>
      <c r="C52" s="329" t="s">
        <v>233</v>
      </c>
      <c r="D52" s="338">
        <v>32</v>
      </c>
      <c r="E52" s="339" t="s">
        <v>230</v>
      </c>
      <c r="F52" s="326">
        <f ca="1">INDEX(OFFSET('Baseline NFPC'!$D$1:$W$1,$D52-1,0),MATCH(F$4,'Baseline NFPC'!$D$10:$W$10,0))</f>
        <v>3.7125418942078214</v>
      </c>
      <c r="G52" s="326">
        <f ca="1">INDEX(OFFSET('Baseline NFPC'!$D$1:$W$1,$D52-1,0),MATCH(G$4,'Baseline NFPC'!$D$10:$W$10,0))</f>
        <v>1.8403042135917813</v>
      </c>
      <c r="H52" s="326">
        <f ca="1">INDEX(OFFSET('Baseline NFPC'!$D$1:$W$1,$D52-1,0),MATCH(H$4,'Baseline NFPC'!$D$10:$W$10,0))</f>
        <v>3.8182296136966887</v>
      </c>
      <c r="I52" s="326">
        <f ca="1">INDEX(OFFSET('Baseline NFPC'!$D$1:$W$1,$D52-1,0),MATCH(I$4,'Baseline NFPC'!$D$10:$W$10,0))</f>
        <v>3.5169159594865107</v>
      </c>
      <c r="J52" s="326">
        <f ca="1">INDEX(OFFSET('Baseline NFPC'!$D$1:$W$1,$D52-1,0),MATCH(J$4,'Baseline NFPC'!$D$10:$W$10,0))</f>
        <v>3.6773996940222098</v>
      </c>
      <c r="K52" s="326">
        <f ca="1">INDEX(OFFSET('Baseline NFPC'!$D$1:$W$1,$D52-1,0),MATCH(K$4,'Baseline NFPC'!$D$10:$W$10,0))</f>
        <v>3.3571074802229539</v>
      </c>
      <c r="L52" s="326">
        <f ca="1">INDEX(OFFSET('Baseline NFPC'!$D$1:$W$1,$D52-1,0),MATCH(L$4,'Baseline NFPC'!$D$10:$W$10,0))</f>
        <v>2.9324518750875717</v>
      </c>
      <c r="M52" s="326">
        <f ca="1">INDEX(OFFSET('Baseline NFPC'!$D$1:$W$1,$D52-1,0),MATCH(M$4,'Baseline NFPC'!$D$10:$W$10,0))</f>
        <v>2.9624006718910856</v>
      </c>
      <c r="N52" s="326">
        <f ca="1">INDEX(OFFSET('Baseline NFPC'!$D$1:$W$1,$D52-1,0),MATCH(N$4,'Baseline NFPC'!$D$10:$W$10,0))</f>
        <v>3.0437085153064425</v>
      </c>
      <c r="O52" s="326">
        <f ca="1">INDEX(OFFSET('Baseline NFPC'!$D$1:$W$1,$D52-1,0),MATCH(O$4,'Baseline NFPC'!$D$10:$W$10,0))</f>
        <v>3.1715748603416083</v>
      </c>
      <c r="P52" s="326">
        <f ca="1">INDEX(OFFSET('Baseline NFPC'!$D$1:$W$1,$D52-1,0),MATCH(P$4,'Baseline NFPC'!$D$10:$W$10,0))</f>
        <v>3.2519043979500006</v>
      </c>
      <c r="Q52" s="326">
        <f ca="1">INDEX(OFFSET('Baseline NFPC'!$D$1:$W$1,$D52-1,0),MATCH(Q$4,'Baseline NFPC'!$D$10:$W$10,0))</f>
        <v>3.4348316314675165</v>
      </c>
      <c r="R52" s="326">
        <f ca="1">INDEX(OFFSET('Baseline NFPC'!$D$1:$W$1,$D52-1,0),MATCH(R$4,'Baseline NFPC'!$D$10:$W$10,0))</f>
        <v>3.6176379845000106</v>
      </c>
      <c r="S52" s="326">
        <f ca="1">INDEX(OFFSET('Baseline NFPC'!$D$1:$W$1,$D52-1,0),MATCH(S$4,'Baseline NFPC'!$D$10:$W$10,0))</f>
        <v>3.8003378088500073</v>
      </c>
      <c r="T52" s="326">
        <f ca="1">INDEX(OFFSET('Baseline NFPC'!$D$1:$W$1,$D52-1,0),MATCH(T$4,'Baseline NFPC'!$D$10:$W$10,0))</f>
        <v>3.8485551219999969</v>
      </c>
      <c r="U52" s="326">
        <f ca="1">INDEX(OFFSET('Baseline NFPC'!$D$1:$W$1,$D52-1,0),MATCH(U$4,'Baseline NFPC'!$D$10:$W$10,0))</f>
        <v>3.8708068902499893</v>
      </c>
      <c r="V52" s="326">
        <f ca="1">INDEX(OFFSET('Baseline NFPC'!$D$1:$W$1,$D52-1,0),MATCH(V$4,'Baseline NFPC'!$D$10:$W$10,0))</f>
        <v>3.9064841016999807</v>
      </c>
      <c r="W52" s="326">
        <f ca="1">INDEX(OFFSET('Baseline NFPC'!$D$1:$W$1,$D52-1,0),MATCH(W$4,'Baseline NFPC'!$D$10:$W$10,0))</f>
        <v>3.9267244081499841</v>
      </c>
      <c r="X52" s="326">
        <f ca="1">INDEX(OFFSET('Baseline NFPC'!$D$1:$W$1,$D52-1,0),MATCH(X$4,'Baseline NFPC'!$D$10:$W$10,0))</f>
        <v>3.8529804599000128</v>
      </c>
      <c r="Y52" s="5"/>
    </row>
    <row r="53" spans="1:25" x14ac:dyDescent="0.2">
      <c r="A53" s="5"/>
      <c r="B53" s="333">
        <v>13</v>
      </c>
      <c r="C53" s="329" t="s">
        <v>68</v>
      </c>
      <c r="D53" s="328"/>
      <c r="E53" s="339" t="s">
        <v>227</v>
      </c>
      <c r="F53" s="345">
        <f>'Input data'!$C$49</f>
        <v>0.75</v>
      </c>
      <c r="G53" s="5"/>
      <c r="H53" s="5"/>
      <c r="I53" s="5"/>
      <c r="J53" s="5"/>
      <c r="K53" s="5"/>
      <c r="L53" s="5"/>
      <c r="M53" s="5"/>
      <c r="N53" s="5"/>
      <c r="O53" s="5"/>
      <c r="P53" s="5"/>
      <c r="Q53" s="5"/>
      <c r="R53" s="5"/>
      <c r="S53" s="5"/>
      <c r="T53" s="5"/>
      <c r="U53" s="5"/>
      <c r="V53" s="5"/>
      <c r="W53" s="5"/>
      <c r="X53" s="5"/>
      <c r="Y53" s="5"/>
    </row>
    <row r="54" spans="1:25" x14ac:dyDescent="0.2">
      <c r="A54" s="5"/>
      <c r="B54" s="327"/>
      <c r="C54" s="348"/>
      <c r="D54" s="348"/>
      <c r="E54" s="348"/>
      <c r="F54" s="348"/>
      <c r="G54" s="348"/>
      <c r="H54" s="348"/>
      <c r="I54" s="348"/>
      <c r="J54" s="348"/>
      <c r="K54" s="5"/>
      <c r="L54" s="5"/>
      <c r="M54" s="5"/>
      <c r="N54" s="5"/>
      <c r="O54" s="5"/>
      <c r="P54" s="5"/>
      <c r="Q54" s="5"/>
      <c r="R54" s="5"/>
      <c r="S54" s="5"/>
      <c r="T54" s="5"/>
      <c r="U54" s="5"/>
      <c r="V54" s="5"/>
      <c r="W54" s="5"/>
      <c r="X54" s="5"/>
      <c r="Y54" s="5"/>
    </row>
    <row r="55" spans="1:25" x14ac:dyDescent="0.2">
      <c r="A55" s="5"/>
      <c r="B55" s="349"/>
      <c r="C55" s="331" t="s">
        <v>239</v>
      </c>
      <c r="D55" s="332"/>
      <c r="E55" s="332"/>
      <c r="F55" s="332"/>
      <c r="G55" s="348"/>
      <c r="H55" s="348"/>
      <c r="I55" s="348"/>
      <c r="J55" s="348"/>
      <c r="K55" s="5"/>
      <c r="L55" s="5"/>
      <c r="M55" s="5"/>
      <c r="N55" s="5"/>
      <c r="O55" s="5"/>
      <c r="P55" s="5"/>
      <c r="Q55" s="5"/>
      <c r="R55" s="5"/>
      <c r="S55" s="5"/>
      <c r="T55" s="5"/>
      <c r="U55" s="5"/>
      <c r="V55" s="5"/>
      <c r="W55" s="5"/>
      <c r="X55" s="5"/>
      <c r="Y55" s="5"/>
    </row>
    <row r="56" spans="1:25" x14ac:dyDescent="0.2">
      <c r="A56" s="5"/>
      <c r="B56" s="327"/>
      <c r="C56" s="348"/>
      <c r="D56" s="348"/>
      <c r="E56" s="348"/>
      <c r="F56" s="348"/>
      <c r="G56" s="348"/>
      <c r="H56" s="348"/>
      <c r="I56" s="348"/>
      <c r="J56" s="348"/>
      <c r="K56" s="5"/>
      <c r="L56" s="5"/>
      <c r="M56" s="5"/>
      <c r="N56" s="5"/>
      <c r="O56" s="5"/>
      <c r="P56" s="5"/>
      <c r="Q56" s="5"/>
      <c r="R56" s="5"/>
      <c r="S56" s="5"/>
      <c r="T56" s="5"/>
      <c r="U56" s="5"/>
      <c r="V56" s="5"/>
      <c r="W56" s="5"/>
      <c r="X56" s="5"/>
      <c r="Y56" s="5"/>
    </row>
    <row r="57" spans="1:25" x14ac:dyDescent="0.2">
      <c r="A57" s="5"/>
      <c r="B57" s="333"/>
      <c r="C57" s="331"/>
      <c r="D57" s="331"/>
      <c r="E57" s="336"/>
      <c r="F57" s="336">
        <f>'Input data'!$C$5-1</f>
        <v>2023</v>
      </c>
      <c r="G57" s="336">
        <f>F57+1</f>
        <v>2024</v>
      </c>
      <c r="H57" s="336">
        <f t="shared" ref="H57:X57" si="5">G57+1</f>
        <v>2025</v>
      </c>
      <c r="I57" s="336">
        <f t="shared" si="5"/>
        <v>2026</v>
      </c>
      <c r="J57" s="336">
        <f t="shared" si="5"/>
        <v>2027</v>
      </c>
      <c r="K57" s="336">
        <f t="shared" si="5"/>
        <v>2028</v>
      </c>
      <c r="L57" s="336">
        <f t="shared" si="5"/>
        <v>2029</v>
      </c>
      <c r="M57" s="336">
        <f t="shared" si="5"/>
        <v>2030</v>
      </c>
      <c r="N57" s="336">
        <f t="shared" si="5"/>
        <v>2031</v>
      </c>
      <c r="O57" s="336">
        <f t="shared" si="5"/>
        <v>2032</v>
      </c>
      <c r="P57" s="336">
        <f t="shared" si="5"/>
        <v>2033</v>
      </c>
      <c r="Q57" s="336">
        <f t="shared" si="5"/>
        <v>2034</v>
      </c>
      <c r="R57" s="336">
        <f t="shared" si="5"/>
        <v>2035</v>
      </c>
      <c r="S57" s="336">
        <f t="shared" si="5"/>
        <v>2036</v>
      </c>
      <c r="T57" s="336">
        <f t="shared" si="5"/>
        <v>2037</v>
      </c>
      <c r="U57" s="336">
        <f t="shared" si="5"/>
        <v>2038</v>
      </c>
      <c r="V57" s="336">
        <f t="shared" si="5"/>
        <v>2039</v>
      </c>
      <c r="W57" s="336">
        <f t="shared" si="5"/>
        <v>2040</v>
      </c>
      <c r="X57" s="336">
        <f t="shared" si="5"/>
        <v>2041</v>
      </c>
      <c r="Y57" s="5"/>
    </row>
    <row r="58" spans="1:25" x14ac:dyDescent="0.2">
      <c r="A58" s="5"/>
      <c r="B58" s="333">
        <v>1</v>
      </c>
      <c r="C58" s="337" t="s">
        <v>220</v>
      </c>
      <c r="D58" s="338">
        <v>100</v>
      </c>
      <c r="E58" s="339" t="s">
        <v>221</v>
      </c>
      <c r="F58" s="326">
        <f ca="1">INDEX(OFFSET('Adjustment scenario'!$D$1:$W$1,$D58-1,0),MATCH(F$4,'Adjustment scenario'!$D$10:$W$10,0))</f>
        <v>76.578870779976697</v>
      </c>
      <c r="G58" s="326">
        <f ca="1">INDEX(OFFSET('Adjustment scenario'!$D$1:$W$1,$D58-1,0),MATCH(G$4,'Adjustment scenario'!$D$10:$W$10,0))</f>
        <v>81.66850402875248</v>
      </c>
      <c r="H58" s="326">
        <f ca="1">INDEX(OFFSET('Adjustment scenario'!$D$1:$W$1,$D58-1,0),MATCH(H$4,'Adjustment scenario'!$D$10:$W$10,0))</f>
        <v>83.441422258514947</v>
      </c>
      <c r="I58" s="326">
        <f ca="1">INDEX(OFFSET('Adjustment scenario'!$D$1:$W$1,$D58-1,0),MATCH(I$4,'Adjustment scenario'!$D$10:$W$10,0))</f>
        <v>83.908534577415139</v>
      </c>
      <c r="J58" s="326">
        <f ca="1">INDEX(OFFSET('Adjustment scenario'!$D$1:$W$1,$D58-1,0),MATCH(J$4,'Adjustment scenario'!$D$10:$W$10,0))</f>
        <v>84.10902658197098</v>
      </c>
      <c r="K58" s="326">
        <f ca="1">INDEX(OFFSET('Adjustment scenario'!$D$1:$W$1,$D58-1,0),MATCH(K$4,'Adjustment scenario'!$D$10:$W$10,0))</f>
        <v>83.878399410117041</v>
      </c>
      <c r="L58" s="326">
        <f ca="1">INDEX(OFFSET('Adjustment scenario'!$D$1:$W$1,$D58-1,0),MATCH(L$4,'Adjustment scenario'!$D$10:$W$10,0))</f>
        <v>83.205706097830856</v>
      </c>
      <c r="M58" s="326">
        <f ca="1">INDEX(OFFSET('Adjustment scenario'!$D$1:$W$1,$D58-1,0),MATCH(M$4,'Adjustment scenario'!$D$10:$W$10,0))</f>
        <v>82.18827987907585</v>
      </c>
      <c r="N58" s="326">
        <f ca="1">INDEX(OFFSET('Adjustment scenario'!$D$1:$W$1,$D58-1,0),MATCH(N$4,'Adjustment scenario'!$D$10:$W$10,0))</f>
        <v>80.914668079488663</v>
      </c>
      <c r="O58" s="326">
        <f ca="1">INDEX(OFFSET('Adjustment scenario'!$D$1:$W$1,$D58-1,0),MATCH(O$4,'Adjustment scenario'!$D$10:$W$10,0))</f>
        <v>79.29990148872939</v>
      </c>
      <c r="P58" s="326">
        <f ca="1">INDEX(OFFSET('Adjustment scenario'!$D$1:$W$1,$D58-1,0),MATCH(P$4,'Adjustment scenario'!$D$10:$W$10,0))</f>
        <v>77.352546338845627</v>
      </c>
      <c r="Q58" s="326">
        <f ca="1">INDEX(OFFSET('Adjustment scenario'!$D$1:$W$1,$D58-1,0),MATCH(Q$4,'Adjustment scenario'!$D$10:$W$10,0))</f>
        <v>74.998123390225061</v>
      </c>
      <c r="R58" s="326">
        <f ca="1">INDEX(OFFSET('Adjustment scenario'!$D$1:$W$1,$D58-1,0),MATCH(R$4,'Adjustment scenario'!$D$10:$W$10,0))</f>
        <v>72.599115049883622</v>
      </c>
      <c r="S58" s="326">
        <f ca="1">INDEX(OFFSET('Adjustment scenario'!$D$1:$W$1,$D58-1,0),MATCH(S$4,'Adjustment scenario'!$D$10:$W$10,0))</f>
        <v>69.935944132772903</v>
      </c>
      <c r="T58" s="326">
        <f ca="1">INDEX(OFFSET('Adjustment scenario'!$D$1:$W$1,$D58-1,0),MATCH(T$4,'Adjustment scenario'!$D$10:$W$10,0))</f>
        <v>67.0883691191829</v>
      </c>
      <c r="U58" s="326">
        <f ca="1">INDEX(OFFSET('Adjustment scenario'!$D$1:$W$1,$D58-1,0),MATCH(U$4,'Adjustment scenario'!$D$10:$W$10,0))</f>
        <v>64.060122058661079</v>
      </c>
      <c r="V58" s="326">
        <f ca="1">INDEX(OFFSET('Adjustment scenario'!$D$1:$W$1,$D58-1,0),MATCH(V$4,'Adjustment scenario'!$D$10:$W$10,0))</f>
        <v>60.830579740901783</v>
      </c>
      <c r="W58" s="326">
        <f ca="1">INDEX(OFFSET('Adjustment scenario'!$D$1:$W$1,$D58-1,0),MATCH(W$4,'Adjustment scenario'!$D$10:$W$10,0))</f>
        <v>57.412777952403616</v>
      </c>
      <c r="X58" s="326">
        <f ca="1">INDEX(OFFSET('Adjustment scenario'!$D$1:$W$1,$D58-1,0),MATCH(X$4,'Adjustment scenario'!$D$10:$W$10,0))</f>
        <v>53.876830744856164</v>
      </c>
      <c r="Y58" s="5"/>
    </row>
    <row r="59" spans="1:25" x14ac:dyDescent="0.2">
      <c r="A59" s="5"/>
      <c r="B59" s="333">
        <f>B58+1</f>
        <v>2</v>
      </c>
      <c r="C59" s="340" t="s">
        <v>128</v>
      </c>
      <c r="D59" s="338">
        <v>102</v>
      </c>
      <c r="E59" s="339" t="s">
        <v>221</v>
      </c>
      <c r="F59" s="326">
        <f ca="1">INDEX(OFFSET('Adjustment scenario'!$D$1:$W$1,$D59-1,0),MATCH(F$4,'Adjustment scenario'!$D$10:$W$10,0))</f>
        <v>2.5200411188940466</v>
      </c>
      <c r="G59" s="326">
        <f ca="1">INDEX(OFFSET('Adjustment scenario'!$D$1:$W$1,$D59-1,0),MATCH(G$4,'Adjustment scenario'!$D$10:$W$10,0))</f>
        <v>2.1542273134517593</v>
      </c>
      <c r="H59" s="326">
        <f ca="1">INDEX(OFFSET('Adjustment scenario'!$D$1:$W$1,$D59-1,0),MATCH(H$4,'Adjustment scenario'!$D$10:$W$10,0))</f>
        <v>2.3221188382855202</v>
      </c>
      <c r="I59" s="326">
        <f ca="1">INDEX(OFFSET('Adjustment scenario'!$D$1:$W$1,$D59-1,0),MATCH(I$4,'Adjustment scenario'!$D$10:$W$10,0))</f>
        <v>2.4010006849486185</v>
      </c>
      <c r="J59" s="326">
        <f ca="1">INDEX(OFFSET('Adjustment scenario'!$D$1:$W$1,$D59-1,0),MATCH(J$4,'Adjustment scenario'!$D$10:$W$10,0))</f>
        <v>2.4699477666099585</v>
      </c>
      <c r="K59" s="326">
        <f ca="1">INDEX(OFFSET('Adjustment scenario'!$D$1:$W$1,$D59-1,0),MATCH(K$4,'Adjustment scenario'!$D$10:$W$10,0))</f>
        <v>2.5278896142967313</v>
      </c>
      <c r="L59" s="326">
        <f ca="1">INDEX(OFFSET('Adjustment scenario'!$D$1:$W$1,$D59-1,0),MATCH(L$4,'Adjustment scenario'!$D$10:$W$10,0))</f>
        <v>2.5700014870276271</v>
      </c>
      <c r="M59" s="326">
        <f ca="1">INDEX(OFFSET('Adjustment scenario'!$D$1:$W$1,$D59-1,0),MATCH(M$4,'Adjustment scenario'!$D$10:$W$10,0))</f>
        <v>2.5972138822125328</v>
      </c>
      <c r="N59" s="326">
        <f ca="1">INDEX(OFFSET('Adjustment scenario'!$D$1:$W$1,$D59-1,0),MATCH(N$4,'Adjustment scenario'!$D$10:$W$10,0))</f>
        <v>2.6152851662164891</v>
      </c>
      <c r="O59" s="326">
        <f ca="1">INDEX(OFFSET('Adjustment scenario'!$D$1:$W$1,$D59-1,0),MATCH(O$4,'Adjustment scenario'!$D$10:$W$10,0))</f>
        <v>2.6136460683786726</v>
      </c>
      <c r="P59" s="326">
        <f ca="1">INDEX(OFFSET('Adjustment scenario'!$D$1:$W$1,$D59-1,0),MATCH(P$4,'Adjustment scenario'!$D$10:$W$10,0))</f>
        <v>2.6056911384867947</v>
      </c>
      <c r="Q59" s="326">
        <f ca="1">INDEX(OFFSET('Adjustment scenario'!$D$1:$W$1,$D59-1,0),MATCH(Q$4,'Adjustment scenario'!$D$10:$W$10,0))</f>
        <v>2.5370294941247629</v>
      </c>
      <c r="R59" s="326">
        <f ca="1">INDEX(OFFSET('Adjustment scenario'!$D$1:$W$1,$D59-1,0),MATCH(R$4,'Adjustment scenario'!$D$10:$W$10,0))</f>
        <v>2.4621074934171676</v>
      </c>
      <c r="S59" s="326">
        <f ca="1">INDEX(OFFSET('Adjustment scenario'!$D$1:$W$1,$D59-1,0),MATCH(S$4,'Adjustment scenario'!$D$10:$W$10,0))</f>
        <v>2.3777991270745504</v>
      </c>
      <c r="T59" s="326">
        <f ca="1">INDEX(OFFSET('Adjustment scenario'!$D$1:$W$1,$D59-1,0),MATCH(T$4,'Adjustment scenario'!$D$10:$W$10,0))</f>
        <v>2.2265501065214131</v>
      </c>
      <c r="U59" s="326">
        <f ca="1">INDEX(OFFSET('Adjustment scenario'!$D$1:$W$1,$D59-1,0),MATCH(U$4,'Adjustment scenario'!$D$10:$W$10,0))</f>
        <v>2.0675896515620202</v>
      </c>
      <c r="V59" s="326">
        <f ca="1">INDEX(OFFSET('Adjustment scenario'!$D$1:$W$1,$D59-1,0),MATCH(V$4,'Adjustment scenario'!$D$10:$W$10,0))</f>
        <v>1.8948874503697146</v>
      </c>
      <c r="W59" s="326">
        <f ca="1">INDEX(OFFSET('Adjustment scenario'!$D$1:$W$1,$D59-1,0),MATCH(W$4,'Adjustment scenario'!$D$10:$W$10,0))</f>
        <v>1.7029265633436836</v>
      </c>
      <c r="X59" s="326">
        <f ca="1">INDEX(OFFSET('Adjustment scenario'!$D$1:$W$1,$D59-1,0),MATCH(X$4,'Adjustment scenario'!$D$10:$W$10,0))</f>
        <v>1.48243515577633</v>
      </c>
      <c r="Y59" s="5"/>
    </row>
    <row r="60" spans="1:25" x14ac:dyDescent="0.2">
      <c r="A60" s="5"/>
      <c r="B60" s="333">
        <f>B59+1</f>
        <v>3</v>
      </c>
      <c r="C60" s="340" t="s">
        <v>129</v>
      </c>
      <c r="D60" s="338">
        <v>103</v>
      </c>
      <c r="E60" s="339" t="s">
        <v>221</v>
      </c>
      <c r="F60" s="326">
        <f ca="1">INDEX(OFFSET('Adjustment scenario'!$D$1:$W$1,$D60-1,0),MATCH(F$4,'Adjustment scenario'!$D$10:$W$10,0))</f>
        <v>6.9278671872792303</v>
      </c>
      <c r="G60" s="326">
        <f ca="1">INDEX(OFFSET('Adjustment scenario'!$D$1:$W$1,$D60-1,0),MATCH(G$4,'Adjustment scenario'!$D$10:$W$10,0))</f>
        <v>7.4143565385304591</v>
      </c>
      <c r="H60" s="326">
        <f ca="1">INDEX(OFFSET('Adjustment scenario'!$D$1:$W$1,$D60-1,0),MATCH(H$4,'Adjustment scenario'!$D$10:$W$10,0))</f>
        <v>7.8936802354783246</v>
      </c>
      <c r="I60" s="326">
        <f ca="1">INDEX(OFFSET('Adjustment scenario'!$D$1:$W$1,$D60-1,0),MATCH(I$4,'Adjustment scenario'!$D$10:$W$10,0))</f>
        <v>8.0337607541091813</v>
      </c>
      <c r="J60" s="326">
        <f ca="1">INDEX(OFFSET('Adjustment scenario'!$D$1:$W$1,$D60-1,0),MATCH(J$4,'Adjustment scenario'!$D$10:$W$10,0))</f>
        <v>8.1305011181103204</v>
      </c>
      <c r="K60" s="326">
        <f ca="1">INDEX(OFFSET('Adjustment scenario'!$D$1:$W$1,$D60-1,0),MATCH(K$4,'Adjustment scenario'!$D$10:$W$10,0))</f>
        <v>8.1838885025995189</v>
      </c>
      <c r="L60" s="326">
        <f ca="1">INDEX(OFFSET('Adjustment scenario'!$D$1:$W$1,$D60-1,0),MATCH(L$4,'Adjustment scenario'!$D$10:$W$10,0))</f>
        <v>8.1806146151232202</v>
      </c>
      <c r="M60" s="326">
        <f ca="1">INDEX(OFFSET('Adjustment scenario'!$D$1:$W$1,$D60-1,0),MATCH(M$4,'Adjustment scenario'!$D$10:$W$10,0))</f>
        <v>8.1272687800588646</v>
      </c>
      <c r="N60" s="326">
        <f ca="1">INDEX(OFFSET('Adjustment scenario'!$D$1:$W$1,$D60-1,0),MATCH(N$4,'Adjustment scenario'!$D$10:$W$10,0))</f>
        <v>8.0451287499068531</v>
      </c>
      <c r="O60" s="326">
        <f ca="1">INDEX(OFFSET('Adjustment scenario'!$D$1:$W$1,$D60-1,0),MATCH(O$4,'Adjustment scenario'!$D$10:$W$10,0))</f>
        <v>7.9037416987639943</v>
      </c>
      <c r="P60" s="326">
        <f ca="1">INDEX(OFFSET('Adjustment scenario'!$D$1:$W$1,$D60-1,0),MATCH(P$4,'Adjustment scenario'!$D$10:$W$10,0))</f>
        <v>7.7476534246013005</v>
      </c>
      <c r="Q60" s="326">
        <f ca="1">INDEX(OFFSET('Adjustment scenario'!$D$1:$W$1,$D60-1,0),MATCH(Q$4,'Adjustment scenario'!$D$10:$W$10,0))</f>
        <v>7.549325687630275</v>
      </c>
      <c r="R60" s="326">
        <f ca="1">INDEX(OFFSET('Adjustment scenario'!$D$1:$W$1,$D60-1,0),MATCH(R$4,'Adjustment scenario'!$D$10:$W$10,0))</f>
        <v>7.3295648062060312</v>
      </c>
      <c r="S60" s="326">
        <f ca="1">INDEX(OFFSET('Adjustment scenario'!$D$1:$W$1,$D60-1,0),MATCH(S$4,'Adjustment scenario'!$D$10:$W$10,0))</f>
        <v>7.0802353445881181</v>
      </c>
      <c r="T60" s="326">
        <f ca="1">INDEX(OFFSET('Adjustment scenario'!$D$1:$W$1,$D60-1,0),MATCH(T$4,'Adjustment scenario'!$D$10:$W$10,0))</f>
        <v>6.6263833039151141</v>
      </c>
      <c r="U60" s="326">
        <f ca="1">INDEX(OFFSET('Adjustment scenario'!$D$1:$W$1,$D60-1,0),MATCH(U$4,'Adjustment scenario'!$D$10:$W$10,0))</f>
        <v>5.9868670275690068</v>
      </c>
      <c r="V60" s="326">
        <f ca="1">INDEX(OFFSET('Adjustment scenario'!$D$1:$W$1,$D60-1,0),MATCH(V$4,'Adjustment scenario'!$D$10:$W$10,0))</f>
        <v>5.1611677881322695</v>
      </c>
      <c r="W60" s="326">
        <f ca="1">INDEX(OFFSET('Adjustment scenario'!$D$1:$W$1,$D60-1,0),MATCH(W$4,'Adjustment scenario'!$D$10:$W$10,0))</f>
        <v>4.1712707460832785</v>
      </c>
      <c r="X60" s="326">
        <f ca="1">INDEX(OFFSET('Adjustment scenario'!$D$1:$W$1,$D60-1,0),MATCH(X$4,'Adjustment scenario'!$D$10:$W$10,0))</f>
        <v>3.0685616948276047</v>
      </c>
      <c r="Y60" s="5"/>
    </row>
    <row r="61" spans="1:25" x14ac:dyDescent="0.2">
      <c r="A61" s="5"/>
      <c r="B61" s="333">
        <f>B60+1</f>
        <v>4</v>
      </c>
      <c r="C61" s="340" t="s">
        <v>130</v>
      </c>
      <c r="D61" s="338">
        <v>104</v>
      </c>
      <c r="E61" s="339" t="s">
        <v>221</v>
      </c>
      <c r="F61" s="326">
        <f ca="1">INDEX(OFFSET('Adjustment scenario'!$D$1:$W$1,$D61-1,0),MATCH(F$4,'Adjustment scenario'!$D$10:$W$10,0))</f>
        <v>5.1174956140526469</v>
      </c>
      <c r="G61" s="326">
        <f ca="1">INDEX(OFFSET('Adjustment scenario'!$D$1:$W$1,$D61-1,0),MATCH(G$4,'Adjustment scenario'!$D$10:$W$10,0))</f>
        <v>5.7596126904967768</v>
      </c>
      <c r="H61" s="326">
        <f ca="1">INDEX(OFFSET('Adjustment scenario'!$D$1:$W$1,$D61-1,0),MATCH(H$4,'Adjustment scenario'!$D$10:$W$10,0))</f>
        <v>3.5568636704691148</v>
      </c>
      <c r="I61" s="326">
        <f ca="1">INDEX(OFFSET('Adjustment scenario'!$D$1:$W$1,$D61-1,0),MATCH(I$4,'Adjustment scenario'!$D$10:$W$10,0))</f>
        <v>3.0250478872349791</v>
      </c>
      <c r="J61" s="326">
        <f ca="1">INDEX(OFFSET('Adjustment scenario'!$D$1:$W$1,$D61-1,0),MATCH(J$4,'Adjustment scenario'!$D$10:$W$10,0))</f>
        <v>2.5891097427121021</v>
      </c>
      <c r="K61" s="326">
        <f ca="1">INDEX(OFFSET('Adjustment scenario'!$D$1:$W$1,$D61-1,0),MATCH(K$4,'Adjustment scenario'!$D$10:$W$10,0))</f>
        <v>2.1127408455923633</v>
      </c>
      <c r="L61" s="326">
        <f ca="1">INDEX(OFFSET('Adjustment scenario'!$D$1:$W$1,$D61-1,0),MATCH(L$4,'Adjustment scenario'!$D$10:$W$10,0))</f>
        <v>1.7028565942874547</v>
      </c>
      <c r="M61" s="326">
        <f ca="1">INDEX(OFFSET('Adjustment scenario'!$D$1:$W$1,$D61-1,0),MATCH(M$4,'Adjustment scenario'!$D$10:$W$10,0))</f>
        <v>1.3940337515965713</v>
      </c>
      <c r="N61" s="326">
        <f ca="1">INDEX(OFFSET('Adjustment scenario'!$D$1:$W$1,$D61-1,0),MATCH(N$4,'Adjustment scenario'!$D$10:$W$10,0))</f>
        <v>1.0853966198405005</v>
      </c>
      <c r="O61" s="326">
        <f ca="1">INDEX(OFFSET('Adjustment scenario'!$D$1:$W$1,$D61-1,0),MATCH(O$4,'Adjustment scenario'!$D$10:$W$10,0))</f>
        <v>0.97080487355585265</v>
      </c>
      <c r="P61" s="326">
        <f ca="1">INDEX(OFFSET('Adjustment scenario'!$D$1:$W$1,$D61-1,0),MATCH(P$4,'Adjustment scenario'!$D$10:$W$10,0))</f>
        <v>0.6787823043558181</v>
      </c>
      <c r="Q61" s="326">
        <f ca="1">INDEX(OFFSET('Adjustment scenario'!$D$1:$W$1,$D61-1,0),MATCH(Q$4,'Adjustment scenario'!$D$10:$W$10,0))</f>
        <v>0.3738008774642147</v>
      </c>
      <c r="R61" s="326">
        <f ca="1">INDEX(OFFSET('Adjustment scenario'!$D$1:$W$1,$D61-1,0),MATCH(R$4,'Adjustment scenario'!$D$10:$W$10,0))</f>
        <v>0.19566430886380276</v>
      </c>
      <c r="S61" s="326">
        <f ca="1">INDEX(OFFSET('Adjustment scenario'!$D$1:$W$1,$D61-1,0),MATCH(S$4,'Adjustment scenario'!$D$10:$W$10,0))</f>
        <v>0</v>
      </c>
      <c r="T61" s="326">
        <f ca="1">INDEX(OFFSET('Adjustment scenario'!$D$1:$W$1,$D61-1,0),MATCH(T$4,'Adjustment scenario'!$D$10:$W$10,0))</f>
        <v>0</v>
      </c>
      <c r="U61" s="326">
        <f ca="1">INDEX(OFFSET('Adjustment scenario'!$D$1:$W$1,$D61-1,0),MATCH(U$4,'Adjustment scenario'!$D$10:$W$10,0))</f>
        <v>0</v>
      </c>
      <c r="V61" s="326">
        <f ca="1">INDEX(OFFSET('Adjustment scenario'!$D$1:$W$1,$D61-1,0),MATCH(V$4,'Adjustment scenario'!$D$10:$W$10,0))</f>
        <v>0</v>
      </c>
      <c r="W61" s="326">
        <f ca="1">INDEX(OFFSET('Adjustment scenario'!$D$1:$W$1,$D61-1,0),MATCH(W$4,'Adjustment scenario'!$D$10:$W$10,0))</f>
        <v>0</v>
      </c>
      <c r="X61" s="326">
        <f ca="1">INDEX(OFFSET('Adjustment scenario'!$D$1:$W$1,$D61-1,0),MATCH(X$4,'Adjustment scenario'!$D$10:$W$10,0))</f>
        <v>0</v>
      </c>
      <c r="Y61" s="5"/>
    </row>
    <row r="62" spans="1:25" x14ac:dyDescent="0.2">
      <c r="A62" s="5"/>
      <c r="B62" s="333">
        <f>B61+1</f>
        <v>5</v>
      </c>
      <c r="C62" s="340" t="s">
        <v>131</v>
      </c>
      <c r="D62" s="338">
        <v>105</v>
      </c>
      <c r="E62" s="339" t="s">
        <v>221</v>
      </c>
      <c r="F62" s="326">
        <f ca="1">INDEX(OFFSET('Adjustment scenario'!$D$1:$W$1,$D62-1,0),MATCH(F$4,'Adjustment scenario'!$D$10:$W$10,0))</f>
        <v>0.62149413902720196</v>
      </c>
      <c r="G62" s="326">
        <f ca="1">INDEX(OFFSET('Adjustment scenario'!$D$1:$W$1,$D62-1,0),MATCH(G$4,'Adjustment scenario'!$D$10:$W$10,0))</f>
        <v>0.69947603284328197</v>
      </c>
      <c r="H62" s="326">
        <f ca="1">INDEX(OFFSET('Adjustment scenario'!$D$1:$W$1,$D62-1,0),MATCH(H$4,'Adjustment scenario'!$D$10:$W$10,0))</f>
        <v>0.43196322795961156</v>
      </c>
      <c r="I62" s="326">
        <f ca="1">INDEX(OFFSET('Adjustment scenario'!$D$1:$W$1,$D62-1,0),MATCH(I$4,'Adjustment scenario'!$D$10:$W$10,0))</f>
        <v>0.36737687220103177</v>
      </c>
      <c r="J62" s="326">
        <f ca="1">INDEX(OFFSET('Adjustment scenario'!$D$1:$W$1,$D62-1,0),MATCH(J$4,'Adjustment scenario'!$D$10:$W$10,0))</f>
        <v>0.31443437410579561</v>
      </c>
      <c r="K62" s="326">
        <f ca="1">INDEX(OFFSET('Adjustment scenario'!$D$1:$W$1,$D62-1,0),MATCH(K$4,'Adjustment scenario'!$D$10:$W$10,0))</f>
        <v>0.25658176417648032</v>
      </c>
      <c r="L62" s="326">
        <f ca="1">INDEX(OFFSET('Adjustment scenario'!$D$1:$W$1,$D62-1,0),MATCH(L$4,'Adjustment scenario'!$D$10:$W$10,0))</f>
        <v>0.20680338055343717</v>
      </c>
      <c r="M62" s="326">
        <f ca="1">INDEX(OFFSET('Adjustment scenario'!$D$1:$W$1,$D62-1,0),MATCH(M$4,'Adjustment scenario'!$D$10:$W$10,0))</f>
        <v>0.16929839741225783</v>
      </c>
      <c r="N62" s="326">
        <f ca="1">INDEX(OFFSET('Adjustment scenario'!$D$1:$W$1,$D62-1,0),MATCH(N$4,'Adjustment scenario'!$D$10:$W$10,0))</f>
        <v>0.13181596793135375</v>
      </c>
      <c r="O62" s="326">
        <f ca="1">INDEX(OFFSET('Adjustment scenario'!$D$1:$W$1,$D62-1,0),MATCH(O$4,'Adjustment scenario'!$D$10:$W$10,0))</f>
        <v>0.11789937589730572</v>
      </c>
      <c r="P62" s="326">
        <f ca="1">INDEX(OFFSET('Adjustment scenario'!$D$1:$W$1,$D62-1,0),MATCH(P$4,'Adjustment scenario'!$D$10:$W$10,0))</f>
        <v>8.2434701589991319E-2</v>
      </c>
      <c r="Q62" s="326">
        <f ca="1">INDEX(OFFSET('Adjustment scenario'!$D$1:$W$1,$D62-1,0),MATCH(Q$4,'Adjustment scenario'!$D$10:$W$10,0))</f>
        <v>4.5396239103614948E-2</v>
      </c>
      <c r="R62" s="326">
        <f ca="1">INDEX(OFFSET('Adjustment scenario'!$D$1:$W$1,$D62-1,0),MATCH(R$4,'Adjustment scenario'!$D$10:$W$10,0))</f>
        <v>2.376244756160344E-2</v>
      </c>
      <c r="S62" s="326">
        <f ca="1">INDEX(OFFSET('Adjustment scenario'!$D$1:$W$1,$D62-1,0),MATCH(S$4,'Adjustment scenario'!$D$10:$W$10,0))</f>
        <v>0</v>
      </c>
      <c r="T62" s="326">
        <f ca="1">INDEX(OFFSET('Adjustment scenario'!$D$1:$W$1,$D62-1,0),MATCH(T$4,'Adjustment scenario'!$D$10:$W$10,0))</f>
        <v>0</v>
      </c>
      <c r="U62" s="326">
        <f ca="1">INDEX(OFFSET('Adjustment scenario'!$D$1:$W$1,$D62-1,0),MATCH(U$4,'Adjustment scenario'!$D$10:$W$10,0))</f>
        <v>0</v>
      </c>
      <c r="V62" s="326">
        <f ca="1">INDEX(OFFSET('Adjustment scenario'!$D$1:$W$1,$D62-1,0),MATCH(V$4,'Adjustment scenario'!$D$10:$W$10,0))</f>
        <v>0</v>
      </c>
      <c r="W62" s="326">
        <f ca="1">INDEX(OFFSET('Adjustment scenario'!$D$1:$W$1,$D62-1,0),MATCH(W$4,'Adjustment scenario'!$D$10:$W$10,0))</f>
        <v>0</v>
      </c>
      <c r="X62" s="326">
        <f ca="1">INDEX(OFFSET('Adjustment scenario'!$D$1:$W$1,$D62-1,0),MATCH(X$4,'Adjustment scenario'!$D$10:$W$10,0))</f>
        <v>0</v>
      </c>
      <c r="Y62" s="5"/>
    </row>
    <row r="63" spans="1:25" x14ac:dyDescent="0.2">
      <c r="A63" s="5"/>
      <c r="B63" s="5"/>
      <c r="C63" s="5"/>
      <c r="D63" s="5"/>
      <c r="E63" s="5"/>
      <c r="F63" s="5"/>
      <c r="G63" s="5"/>
      <c r="H63" s="5"/>
      <c r="I63" s="5"/>
      <c r="J63" s="5"/>
      <c r="K63" s="5"/>
      <c r="L63" s="5"/>
      <c r="M63" s="5"/>
      <c r="N63" s="5"/>
      <c r="O63" s="5"/>
      <c r="P63" s="5"/>
      <c r="Q63" s="5"/>
      <c r="R63" s="5"/>
      <c r="S63" s="5"/>
      <c r="T63" s="5"/>
      <c r="U63" s="5"/>
      <c r="V63" s="5"/>
      <c r="W63" s="5"/>
      <c r="X63" s="5"/>
      <c r="Y63" s="5"/>
    </row>
  </sheetData>
  <conditionalFormatting sqref="V4:X63">
    <cfRule type="expression" dxfId="0" priority="2">
      <formula>#REF!=4</formula>
    </cfRule>
  </conditionalFormatting>
  <pageMargins left="0.7" right="0.7" top="0.75" bottom="0.75" header="0.3" footer="0.3"/>
  <pageSetup paperSize="9" orientation="portrait" r:id="rId1"/>
  <extLst>
    <ext xmlns:x14="http://schemas.microsoft.com/office/spreadsheetml/2009/9/main" uri="{78C0D931-6437-407d-A8EE-F0AAD7539E65}">
      <x14:conditionalFormattings>
        <x14:conditionalFormatting xmlns:xm="http://schemas.microsoft.com/office/excel/2006/main">
          <x14:cfRule type="expression" priority="1" id="{D4889C7C-2BC4-4F4B-831C-552B8B76840F}">
            <xm:f>'Criteria results'!$F$5=4</xm:f>
            <x14:dxf>
              <font>
                <color theme="0"/>
              </font>
              <fill>
                <patternFill>
                  <bgColor theme="0"/>
                </patternFill>
              </fill>
            </x14:dxf>
          </x14:cfRule>
          <xm:sqref>V4:X63</xm:sqref>
        </x14:conditionalFormatting>
      </x14:conditionalFormattings>
    </ext>
  </extLst>
</worksheet>
</file>

<file path=xl/worksheets/sheet1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5883268F-3CB2-413A-8DD9-4FF4DFCEE105}">
  <sheetPr codeName="Sheet21"/>
  <dimension ref="A1:N23"/>
  <sheetViews>
    <sheetView workbookViewId="0"/>
  </sheetViews>
  <sheetFormatPr defaultRowHeight="12.75" x14ac:dyDescent="0.2"/>
  <cols>
    <col min="13" max="13" width="9.85546875" customWidth="1"/>
  </cols>
  <sheetData>
    <row r="1" spans="1:14" x14ac:dyDescent="0.2">
      <c r="A1" t="s">
        <v>206</v>
      </c>
      <c r="B1" t="s">
        <v>207</v>
      </c>
      <c r="C1" t="s">
        <v>208</v>
      </c>
      <c r="D1" t="s">
        <v>209</v>
      </c>
      <c r="E1" t="s">
        <v>210</v>
      </c>
      <c r="F1" t="s">
        <v>211</v>
      </c>
      <c r="G1" t="s">
        <v>212</v>
      </c>
      <c r="H1" t="s">
        <v>213</v>
      </c>
      <c r="I1" t="s">
        <v>214</v>
      </c>
      <c r="J1" t="s">
        <v>215</v>
      </c>
      <c r="K1" t="s">
        <v>216</v>
      </c>
      <c r="L1" t="s">
        <v>217</v>
      </c>
    </row>
    <row r="2" spans="1:14" x14ac:dyDescent="0.2">
      <c r="A2" t="str">
        <f>'Adjustment scenario'!C$3</f>
        <v>FI</v>
      </c>
      <c r="B2">
        <v>2021</v>
      </c>
      <c r="C2" s="7" cm="1">
        <f t="array" ref="C2:C22">TRANSPOSE('Adjust. no safeguard'!C12:W12)</f>
        <v>-2.1345519999999998</v>
      </c>
      <c r="D2" s="7">
        <v>1</v>
      </c>
      <c r="E2" s="7" cm="1">
        <f t="array" ref="E2:E22">TRANSPOSE('Adjust. no safeguard'!C62:W62)</f>
        <v>0</v>
      </c>
      <c r="F2" s="7" cm="1">
        <f t="array" ref="F2:F22">TRANSPOSE('Adjust. no safeguard'!C24:W24)</f>
        <v>2.8381799999999999</v>
      </c>
      <c r="G2" s="7" cm="1">
        <f t="array" ref="G2:G22">TRANSPOSE('Adjust. no safeguard'!C42:W42)</f>
        <v>2.397958</v>
      </c>
      <c r="H2" s="7" cm="1">
        <f t="array" ref="H2:H22">TRANSPOSE('Adjust. no safeguard'!C14:W14)</f>
        <v>0</v>
      </c>
      <c r="I2" s="7" cm="1">
        <f t="array" ref="I2:I22">TRANSPOSE('Adjust. no safeguard'!C15:W15)</f>
        <v>-1.1351690000000001</v>
      </c>
      <c r="J2" s="7" cm="1">
        <f t="array" ref="J2:J22">TRANSPOSE('Adjust. no safeguard'!C64:W64)+TRANSPOSE('Adjust. no safeguard'!C65:W65)+TRANSPOSE('Adjust. no safeguard'!C66:W66)</f>
        <v>0</v>
      </c>
      <c r="K2" s="7" cm="1">
        <f t="array" ref="K2:K22">TRANSPOSE('Adjust. no safeguard'!C57:W57)</f>
        <v>72.584819999999993</v>
      </c>
      <c r="L2" s="7" cm="1">
        <f t="array" ref="L2:L22">TRANSPOSE('Adjust. no safeguard'!C36:W36)</f>
        <v>0.73297140000000005</v>
      </c>
      <c r="M2" s="7"/>
      <c r="N2" s="7"/>
    </row>
    <row r="3" spans="1:14" x14ac:dyDescent="0.2">
      <c r="A3" t="str">
        <f>'Adjustment scenario'!C$3</f>
        <v>FI</v>
      </c>
      <c r="B3">
        <v>2022</v>
      </c>
      <c r="C3" s="7">
        <v>0.29205680000000001</v>
      </c>
      <c r="D3" s="7">
        <v>1</v>
      </c>
      <c r="E3" s="7">
        <v>8.5104384961754986E-2</v>
      </c>
      <c r="F3" s="7">
        <v>1.335467</v>
      </c>
      <c r="G3" s="7">
        <v>5.3837979999999996</v>
      </c>
      <c r="H3" s="7">
        <v>0</v>
      </c>
      <c r="I3" s="7">
        <v>4.8490650000000004</v>
      </c>
      <c r="J3" s="7">
        <v>0</v>
      </c>
      <c r="K3" s="7">
        <v>73.511610584961744</v>
      </c>
      <c r="L3" s="7">
        <v>0.83926920000000005</v>
      </c>
      <c r="M3" s="7"/>
      <c r="N3" s="7"/>
    </row>
    <row r="4" spans="1:14" x14ac:dyDescent="0.2">
      <c r="A4" t="str">
        <f>'Adjustment scenario'!C$3</f>
        <v>FI</v>
      </c>
      <c r="B4">
        <v>2023</v>
      </c>
      <c r="C4" s="7">
        <v>-0.2445959</v>
      </c>
      <c r="D4" s="7">
        <v>1</v>
      </c>
      <c r="E4" s="7">
        <v>1.3078636941405704</v>
      </c>
      <c r="F4" s="7">
        <v>-1.0353760000000001</v>
      </c>
      <c r="G4" s="7">
        <v>4.7975909999999997</v>
      </c>
      <c r="H4" s="7">
        <v>0</v>
      </c>
      <c r="I4" s="7">
        <v>2.318794</v>
      </c>
      <c r="J4" s="7">
        <v>0</v>
      </c>
      <c r="K4" s="7">
        <v>75.830716179102311</v>
      </c>
      <c r="L4" s="7">
        <v>1.5804370000000001</v>
      </c>
      <c r="M4" s="7"/>
      <c r="N4" s="7"/>
    </row>
    <row r="5" spans="1:14" x14ac:dyDescent="0.2">
      <c r="A5" t="str">
        <f>'Adjustment scenario'!C$3</f>
        <v>FI</v>
      </c>
      <c r="B5">
        <v>2024</v>
      </c>
      <c r="C5" s="7">
        <v>-0.53010330000000006</v>
      </c>
      <c r="D5" s="7">
        <v>1</v>
      </c>
      <c r="E5" s="7">
        <v>1.6417181874013795</v>
      </c>
      <c r="F5" s="7">
        <v>3.9589600000000003E-2</v>
      </c>
      <c r="G5" s="7">
        <v>1.8000020000000001</v>
      </c>
      <c r="H5" s="7">
        <v>0</v>
      </c>
      <c r="I5" s="7">
        <v>2.6028570000000002</v>
      </c>
      <c r="J5" s="7">
        <v>0</v>
      </c>
      <c r="K5" s="7">
        <v>80.48745186650369</v>
      </c>
      <c r="L5" s="7">
        <v>1.6625099999999999</v>
      </c>
      <c r="M5" s="7"/>
      <c r="N5" s="7"/>
    </row>
    <row r="6" spans="1:14" x14ac:dyDescent="0.2">
      <c r="A6" t="str">
        <f>'Adjustment scenario'!C$3</f>
        <v>FI</v>
      </c>
      <c r="B6">
        <v>2025</v>
      </c>
      <c r="C6" s="7">
        <v>1.0698967000000001</v>
      </c>
      <c r="D6" s="7">
        <v>1</v>
      </c>
      <c r="E6" s="7">
        <v>1.7393805583036064</v>
      </c>
      <c r="F6" s="7">
        <v>0.45803499999998998</v>
      </c>
      <c r="G6" s="7">
        <v>2.124962</v>
      </c>
      <c r="H6" s="7">
        <v>0</v>
      </c>
      <c r="I6" s="7">
        <v>1.6620999999999999</v>
      </c>
      <c r="J6" s="7">
        <v>0</v>
      </c>
      <c r="K6" s="7">
        <v>82.275441313739478</v>
      </c>
      <c r="L6" s="7">
        <v>1.8895660000000001</v>
      </c>
      <c r="M6" s="7"/>
      <c r="N6" s="7"/>
    </row>
    <row r="7" spans="1:14" x14ac:dyDescent="0.2">
      <c r="A7" t="str">
        <f>'Adjustment scenario'!C$3</f>
        <v>FI</v>
      </c>
      <c r="B7">
        <v>2026</v>
      </c>
      <c r="C7" s="7">
        <v>2.6698967000000002</v>
      </c>
      <c r="D7" s="7">
        <v>1</v>
      </c>
      <c r="E7" s="7">
        <v>1.8325067834192028</v>
      </c>
      <c r="F7" s="7">
        <v>0.51866126341146845</v>
      </c>
      <c r="G7" s="7">
        <v>2.1780917500000001</v>
      </c>
      <c r="H7" s="7">
        <v>0</v>
      </c>
      <c r="I7" s="7">
        <v>1.6902729999999999</v>
      </c>
      <c r="J7" s="7">
        <v>0</v>
      </c>
      <c r="K7" s="7">
        <v>82.541625659639379</v>
      </c>
      <c r="L7" s="7">
        <v>1.9756481083374138</v>
      </c>
      <c r="M7" s="7"/>
      <c r="N7" s="7"/>
    </row>
    <row r="8" spans="1:14" x14ac:dyDescent="0.2">
      <c r="A8" t="str">
        <f>'Adjustment scenario'!C$3</f>
        <v>FI</v>
      </c>
      <c r="B8">
        <v>2027</v>
      </c>
      <c r="C8" s="7">
        <v>4.2698967000000003</v>
      </c>
      <c r="D8" s="7">
        <v>1</v>
      </c>
      <c r="E8" s="7">
        <v>1.8941370595731903</v>
      </c>
      <c r="F8" s="7">
        <v>0.47652747864852518</v>
      </c>
      <c r="G8" s="7">
        <v>2.2312215000000002</v>
      </c>
      <c r="H8" s="7">
        <v>0</v>
      </c>
      <c r="I8" s="7">
        <v>1.702215</v>
      </c>
      <c r="J8" s="7">
        <v>0</v>
      </c>
      <c r="K8" s="7">
        <v>81.323119123411445</v>
      </c>
      <c r="L8" s="7">
        <v>2.0402071271644862</v>
      </c>
      <c r="M8" s="7"/>
      <c r="N8" s="7"/>
    </row>
    <row r="9" spans="1:14" x14ac:dyDescent="0.2">
      <c r="A9" t="str">
        <f>'Adjustment scenario'!C$3</f>
        <v>FI</v>
      </c>
      <c r="B9">
        <v>2028</v>
      </c>
      <c r="C9" s="7">
        <v>5.8698967</v>
      </c>
      <c r="D9" s="7">
        <v>1</v>
      </c>
      <c r="E9" s="7">
        <v>1.9341455382804398</v>
      </c>
      <c r="F9" s="7">
        <v>0.5664024104968135</v>
      </c>
      <c r="G9" s="7">
        <v>2.2843512499999998</v>
      </c>
      <c r="H9" s="7">
        <v>0</v>
      </c>
      <c r="I9" s="7">
        <v>1.648048</v>
      </c>
      <c r="J9" s="7">
        <v>0</v>
      </c>
      <c r="K9" s="7">
        <v>78.420156567126583</v>
      </c>
      <c r="L9" s="7">
        <v>2.0854652071440776</v>
      </c>
      <c r="M9" s="7"/>
      <c r="N9" s="7"/>
    </row>
    <row r="10" spans="1:14" x14ac:dyDescent="0.2">
      <c r="A10" t="str">
        <f>'Adjustment scenario'!C$3</f>
        <v>FI</v>
      </c>
      <c r="B10">
        <v>2029</v>
      </c>
      <c r="C10" s="7">
        <v>7.4698966999999996</v>
      </c>
      <c r="D10" s="7">
        <v>1</v>
      </c>
      <c r="E10" s="7">
        <v>1.9607178783283881</v>
      </c>
      <c r="F10" s="7">
        <v>0.53387943039686636</v>
      </c>
      <c r="G10" s="7">
        <v>2.3374809999999999</v>
      </c>
      <c r="H10" s="7">
        <v>0</v>
      </c>
      <c r="I10" s="7">
        <v>1.5813470000000001</v>
      </c>
      <c r="J10" s="7">
        <v>0</v>
      </c>
      <c r="K10" s="7">
        <v>73.904721542930275</v>
      </c>
      <c r="L10" s="7">
        <v>2.1129298775510885</v>
      </c>
      <c r="M10" s="7"/>
      <c r="N10" s="7"/>
    </row>
    <row r="11" spans="1:14" x14ac:dyDescent="0.2">
      <c r="A11" t="str">
        <f>'Adjustment scenario'!C$3</f>
        <v>FI</v>
      </c>
      <c r="B11">
        <v>2030</v>
      </c>
      <c r="C11" s="7">
        <v>9.0698966999999993</v>
      </c>
      <c r="D11" s="7">
        <v>1</v>
      </c>
      <c r="E11" s="7">
        <v>1.9782688332732901</v>
      </c>
      <c r="F11" s="7">
        <v>0.52705538088937409</v>
      </c>
      <c r="G11" s="7">
        <v>2.39061075</v>
      </c>
      <c r="H11" s="7">
        <v>0</v>
      </c>
      <c r="I11" s="7">
        <v>1.5408029999999999</v>
      </c>
      <c r="J11" s="7">
        <v>0</v>
      </c>
      <c r="K11" s="7">
        <v>67.775534644448115</v>
      </c>
      <c r="L11" s="7">
        <v>2.124756440199052</v>
      </c>
      <c r="M11" s="7"/>
      <c r="N11" s="7"/>
    </row>
    <row r="12" spans="1:14" x14ac:dyDescent="0.2">
      <c r="A12" t="str">
        <f>'Adjustment scenario'!C$3</f>
        <v>FI</v>
      </c>
      <c r="B12">
        <v>2031</v>
      </c>
      <c r="C12" s="7">
        <v>10.669896699999999</v>
      </c>
      <c r="D12" s="7">
        <v>1</v>
      </c>
      <c r="E12" s="7">
        <v>1.9895784732009922</v>
      </c>
      <c r="F12" s="7">
        <v>0.56542265247776502</v>
      </c>
      <c r="G12" s="7">
        <v>2.4437404999999996</v>
      </c>
      <c r="H12" s="7">
        <v>0</v>
      </c>
      <c r="I12" s="7">
        <v>1.5229809999999999</v>
      </c>
      <c r="J12" s="7">
        <v>0</v>
      </c>
      <c r="K12" s="7">
        <v>60.02265064705545</v>
      </c>
      <c r="L12" s="7">
        <v>2.1177128995136347</v>
      </c>
      <c r="M12" s="7"/>
      <c r="N12" s="7"/>
    </row>
    <row r="13" spans="1:14" x14ac:dyDescent="0.2">
      <c r="A13" t="str">
        <f>'Adjustment scenario'!C$3</f>
        <v>FI</v>
      </c>
      <c r="B13">
        <v>2032</v>
      </c>
      <c r="C13" s="7">
        <v>10.669896699999999</v>
      </c>
      <c r="D13" s="7">
        <v>1</v>
      </c>
      <c r="E13" s="7">
        <v>1.3263856488006638</v>
      </c>
      <c r="F13" s="7">
        <v>1.8458752408265777</v>
      </c>
      <c r="G13" s="7">
        <v>2.4968702499999997</v>
      </c>
      <c r="H13" s="7">
        <v>0</v>
      </c>
      <c r="I13" s="7">
        <v>1.526135</v>
      </c>
      <c r="J13" s="7">
        <v>2.7518999999999405E-2</v>
      </c>
      <c r="K13" s="7">
        <v>50.912795362206339</v>
      </c>
      <c r="L13" s="7">
        <v>2.0931499581848727</v>
      </c>
      <c r="M13" s="7"/>
      <c r="N13" s="7"/>
    </row>
    <row r="14" spans="1:14" x14ac:dyDescent="0.2">
      <c r="A14" t="str">
        <f>'Adjustment scenario'!C$3</f>
        <v>FI</v>
      </c>
      <c r="B14">
        <v>2033</v>
      </c>
      <c r="C14" s="7">
        <v>10.669896699999999</v>
      </c>
      <c r="D14" s="7">
        <v>1</v>
      </c>
      <c r="E14" s="7">
        <v>0.66319282440032856</v>
      </c>
      <c r="F14" s="7">
        <v>1.8585154013071703</v>
      </c>
      <c r="G14" s="7">
        <v>2.5499999999999998</v>
      </c>
      <c r="H14" s="7">
        <v>0</v>
      </c>
      <c r="I14" s="7">
        <v>1.3735219999999999</v>
      </c>
      <c r="J14" s="7">
        <v>1.7478999999996248E-2</v>
      </c>
      <c r="K14" s="7">
        <v>41.14546213570047</v>
      </c>
      <c r="L14" s="7">
        <v>2.0931499581848727</v>
      </c>
      <c r="M14" s="7"/>
      <c r="N14" s="7"/>
    </row>
    <row r="15" spans="1:14" x14ac:dyDescent="0.2">
      <c r="A15" t="str">
        <f>'Adjustment scenario'!C$3</f>
        <v>FI</v>
      </c>
      <c r="B15">
        <v>2034</v>
      </c>
      <c r="C15" s="7">
        <v>10.669896699999999</v>
      </c>
      <c r="D15" s="7">
        <v>1</v>
      </c>
      <c r="E15" s="7">
        <v>0</v>
      </c>
      <c r="F15" s="7">
        <v>2.0527805402820842</v>
      </c>
      <c r="G15" s="7">
        <v>2.5225</v>
      </c>
      <c r="H15" s="7">
        <v>0</v>
      </c>
      <c r="I15" s="7">
        <v>1.2209080000000001</v>
      </c>
      <c r="J15" s="7">
        <v>7.8789999999977489E-3</v>
      </c>
      <c r="K15" s="7">
        <v>30.707870482134656</v>
      </c>
      <c r="L15" s="7">
        <v>2.0931499581848727</v>
      </c>
      <c r="M15" s="7"/>
      <c r="N15" s="7"/>
    </row>
    <row r="16" spans="1:14" x14ac:dyDescent="0.2">
      <c r="A16" t="str">
        <f>'Adjustment scenario'!C$3</f>
        <v>FI</v>
      </c>
      <c r="B16">
        <v>2035</v>
      </c>
      <c r="C16" s="7">
        <v>10.669896699999999</v>
      </c>
      <c r="D16" s="7">
        <v>1</v>
      </c>
      <c r="E16" s="7">
        <v>1.7270830364513045E-6</v>
      </c>
      <c r="F16" s="7">
        <v>1.0953100000000049</v>
      </c>
      <c r="G16" s="7">
        <v>2.4949999999999997</v>
      </c>
      <c r="H16" s="7">
        <v>0</v>
      </c>
      <c r="I16" s="7">
        <v>1.068295</v>
      </c>
      <c r="J16" s="7">
        <v>-1.0241000000004608E-2</v>
      </c>
      <c r="K16" s="7">
        <v>20.644235955781806</v>
      </c>
      <c r="L16" s="7">
        <v>2.0931499581848727</v>
      </c>
      <c r="M16" s="7"/>
      <c r="N16" s="7"/>
    </row>
    <row r="17" spans="1:14" x14ac:dyDescent="0.2">
      <c r="A17" t="str">
        <f>'Adjustment scenario'!C$3</f>
        <v>FI</v>
      </c>
      <c r="B17">
        <v>2036</v>
      </c>
      <c r="C17" s="7">
        <v>10.669896699999999</v>
      </c>
      <c r="D17" s="7">
        <v>1</v>
      </c>
      <c r="E17" s="7">
        <v>2.3016099033990043E-6</v>
      </c>
      <c r="F17" s="7">
        <v>1.3007420000000103</v>
      </c>
      <c r="G17" s="7">
        <v>2.4674999999999998</v>
      </c>
      <c r="H17" s="7">
        <v>0</v>
      </c>
      <c r="I17" s="7">
        <v>0.91568099999999997</v>
      </c>
      <c r="J17" s="7">
        <v>-4.4330999999999676E-2</v>
      </c>
      <c r="K17" s="7">
        <v>10.506159051487185</v>
      </c>
      <c r="L17" s="7">
        <v>2.0931499581848727</v>
      </c>
      <c r="M17" s="7"/>
      <c r="N17" s="7"/>
    </row>
    <row r="18" spans="1:14" x14ac:dyDescent="0.2">
      <c r="A18" t="str">
        <f>'Adjustment scenario'!C$3</f>
        <v>FI</v>
      </c>
      <c r="B18">
        <v>2037</v>
      </c>
      <c r="C18" s="7">
        <v>10.669896699999999</v>
      </c>
      <c r="D18" s="7">
        <v>1</v>
      </c>
      <c r="E18" s="7">
        <v>4.5980337761930553E-6</v>
      </c>
      <c r="F18" s="7">
        <v>1.3750050000000069</v>
      </c>
      <c r="G18" s="7">
        <v>2.44</v>
      </c>
      <c r="H18" s="7">
        <v>0</v>
      </c>
      <c r="I18" s="7">
        <v>0.76306750000000001</v>
      </c>
      <c r="J18" s="7">
        <v>-9.7351999999999439E-2</v>
      </c>
      <c r="K18" s="7">
        <v>0.32439147746383945</v>
      </c>
      <c r="L18" s="7">
        <v>2.0931499581848727</v>
      </c>
      <c r="M18" s="7"/>
      <c r="N18" s="7"/>
    </row>
    <row r="19" spans="1:14" x14ac:dyDescent="0.2">
      <c r="A19" t="str">
        <f>'Adjustment scenario'!C$3</f>
        <v>FI</v>
      </c>
      <c r="B19">
        <v>2038</v>
      </c>
      <c r="C19" s="7">
        <v>10.669896699999999</v>
      </c>
      <c r="D19" s="7">
        <v>1</v>
      </c>
      <c r="E19" s="7">
        <v>3.4503759778647944E-6</v>
      </c>
      <c r="F19" s="7">
        <v>1.4239539999999939</v>
      </c>
      <c r="G19" s="7">
        <v>2.4124999999999996</v>
      </c>
      <c r="H19" s="7">
        <v>0</v>
      </c>
      <c r="I19" s="7">
        <v>0.61045400000000005</v>
      </c>
      <c r="J19" s="7">
        <v>-0.16611200000000004</v>
      </c>
      <c r="K19" s="7">
        <v>-9.9067114452036549</v>
      </c>
      <c r="L19" s="7">
        <v>2.0931499581848727</v>
      </c>
      <c r="M19" s="7"/>
      <c r="N19" s="7"/>
    </row>
    <row r="20" spans="1:14" x14ac:dyDescent="0.2">
      <c r="A20" t="str">
        <f>'Adjustment scenario'!C$3</f>
        <v>FI</v>
      </c>
      <c r="B20">
        <v>2039</v>
      </c>
      <c r="C20" s="7">
        <v>10.669896699999999</v>
      </c>
      <c r="D20" s="7">
        <v>1</v>
      </c>
      <c r="E20" s="7">
        <v>4.0238538076886593E-6</v>
      </c>
      <c r="F20" s="7">
        <v>1.4860419999999985</v>
      </c>
      <c r="G20" s="7">
        <v>2.3849999999999998</v>
      </c>
      <c r="H20" s="7">
        <v>0</v>
      </c>
      <c r="I20" s="7">
        <v>0.45784049999999998</v>
      </c>
      <c r="J20" s="7">
        <v>-0.24909199999999876</v>
      </c>
      <c r="K20" s="7">
        <v>-20.325474122218363</v>
      </c>
      <c r="L20" s="7">
        <v>3.4619660000000003</v>
      </c>
      <c r="M20" s="7"/>
      <c r="N20" s="7"/>
    </row>
    <row r="21" spans="1:14" x14ac:dyDescent="0.2">
      <c r="A21" t="str">
        <f>'Adjustment scenario'!C$3</f>
        <v>FI</v>
      </c>
      <c r="B21">
        <v>2040</v>
      </c>
      <c r="C21" s="7">
        <v>10.669896699999999</v>
      </c>
      <c r="D21" s="7">
        <v>1</v>
      </c>
      <c r="E21" s="7">
        <v>1.7310051334318287E-6</v>
      </c>
      <c r="F21" s="7">
        <v>1.5330819999999967</v>
      </c>
      <c r="G21" s="7">
        <v>2.3574999999999999</v>
      </c>
      <c r="H21" s="7">
        <v>0</v>
      </c>
      <c r="I21" s="7">
        <v>0.30522700000000003</v>
      </c>
      <c r="J21" s="7">
        <v>-0.33103200000000133</v>
      </c>
      <c r="K21" s="7">
        <v>-30.937795087869354</v>
      </c>
      <c r="L21" s="7">
        <v>3.500397</v>
      </c>
      <c r="M21" s="7"/>
      <c r="N21" s="7"/>
    </row>
    <row r="22" spans="1:14" x14ac:dyDescent="0.2">
      <c r="A22" t="str">
        <f>'Adjustment scenario'!C$3</f>
        <v>FI</v>
      </c>
      <c r="B22">
        <v>2041</v>
      </c>
      <c r="C22" s="7">
        <v>10.669896699999999</v>
      </c>
      <c r="D22" s="7">
        <v>1</v>
      </c>
      <c r="E22" s="7">
        <v>1.1575400521435242E-6</v>
      </c>
      <c r="F22" s="7">
        <v>1.4883030000000019</v>
      </c>
      <c r="G22" s="7">
        <v>2.33</v>
      </c>
      <c r="H22" s="7">
        <v>0</v>
      </c>
      <c r="I22" s="7">
        <v>0.15261350000000001</v>
      </c>
      <c r="J22" s="7">
        <v>-0.39626200000000056</v>
      </c>
      <c r="K22" s="7">
        <v>-41.757753136093065</v>
      </c>
      <c r="L22" s="7">
        <v>3.5388280000000001</v>
      </c>
      <c r="M22" s="7"/>
      <c r="N22" s="7"/>
    </row>
    <row r="23" spans="1:14" x14ac:dyDescent="0.2">
      <c r="N23" s="7"/>
    </row>
  </sheetData>
  <pageMargins left="0.7" right="0.7" top="0.75" bottom="0.75" header="0.3" footer="0.3"/>
  <pageSetup paperSize="9" orientation="portrait" r:id="rId1"/>
</worksheet>
</file>

<file path=xl/worksheets/sheet1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22315B8F-AE46-41E1-99F6-5D075DBD78F0}">
  <dimension ref="A1:S97"/>
  <sheetViews>
    <sheetView workbookViewId="0">
      <selection activeCell="W23" sqref="W23"/>
    </sheetView>
  </sheetViews>
  <sheetFormatPr defaultRowHeight="12.75" x14ac:dyDescent="0.2"/>
  <cols>
    <col min="19" max="19" width="13.5703125" customWidth="1"/>
  </cols>
  <sheetData>
    <row r="1" spans="1:19" ht="15.75" thickBot="1" x14ac:dyDescent="0.3">
      <c r="B1" s="418"/>
      <c r="C1" s="513" t="s">
        <v>296</v>
      </c>
      <c r="D1" s="513"/>
      <c r="E1" s="513"/>
      <c r="F1" s="513"/>
      <c r="I1" s="514" t="s">
        <v>297</v>
      </c>
      <c r="J1" s="514"/>
      <c r="K1" s="514"/>
      <c r="L1" s="514"/>
      <c r="N1" s="418"/>
      <c r="O1" s="513" t="s">
        <v>298</v>
      </c>
      <c r="P1" s="513"/>
      <c r="Q1" s="513"/>
      <c r="R1" s="513"/>
    </row>
    <row r="2" spans="1:19" ht="15.75" thickBot="1" x14ac:dyDescent="0.3">
      <c r="A2" s="419" t="s">
        <v>299</v>
      </c>
      <c r="B2" s="419" t="s">
        <v>207</v>
      </c>
      <c r="C2" s="420" t="s">
        <v>300</v>
      </c>
      <c r="D2" s="421" t="s">
        <v>301</v>
      </c>
      <c r="E2" s="421" t="s">
        <v>302</v>
      </c>
      <c r="F2" s="422" t="s">
        <v>303</v>
      </c>
      <c r="H2" t="s">
        <v>304</v>
      </c>
      <c r="I2" s="423" t="s">
        <v>305</v>
      </c>
      <c r="J2" s="424" t="s">
        <v>306</v>
      </c>
      <c r="K2" s="424" t="s">
        <v>300</v>
      </c>
      <c r="L2" s="425" t="s">
        <v>301</v>
      </c>
      <c r="N2" s="419"/>
      <c r="O2" s="420" t="s">
        <v>300</v>
      </c>
      <c r="P2" s="421" t="s">
        <v>301</v>
      </c>
      <c r="Q2" s="421" t="s">
        <v>302</v>
      </c>
      <c r="R2" s="422" t="s">
        <v>303</v>
      </c>
      <c r="S2" s="426" t="s">
        <v>307</v>
      </c>
    </row>
    <row r="3" spans="1:19" ht="15" x14ac:dyDescent="0.2">
      <c r="A3" s="427" t="s">
        <v>308</v>
      </c>
      <c r="B3" s="427">
        <v>1976</v>
      </c>
      <c r="C3" s="405">
        <f>O3-AVERAGE(O$3:O$49)</f>
        <v>7.5346333464602899E-2</v>
      </c>
      <c r="D3" s="405">
        <f>P3-AVERAGE(P$3:P$49)</f>
        <v>5.6096609042553194</v>
      </c>
      <c r="E3" s="405">
        <f>Q3-AVERAGE(Q$3:Q$49)</f>
        <v>3.8280406106382943</v>
      </c>
      <c r="F3" s="405">
        <f>R3-AVERAGE(R$3:R$49)</f>
        <v>7.1419603210217462</v>
      </c>
      <c r="H3" s="428" t="s">
        <v>309</v>
      </c>
      <c r="I3">
        <v>-0.45666666666665989</v>
      </c>
      <c r="J3">
        <v>0.2266666666666701</v>
      </c>
      <c r="K3">
        <v>-1.4201674874081081E-2</v>
      </c>
      <c r="L3">
        <v>-0.138153356411542</v>
      </c>
      <c r="N3" s="429">
        <v>1976</v>
      </c>
      <c r="O3">
        <v>0.13551942683934967</v>
      </c>
      <c r="P3">
        <v>8.2411182000000007</v>
      </c>
      <c r="Q3">
        <v>10.423728799999999</v>
      </c>
      <c r="R3">
        <v>11.502620850320326</v>
      </c>
      <c r="S3">
        <f>((1+Q3/100)/(1+O3))</f>
        <v>0.97245125173558544</v>
      </c>
    </row>
    <row r="4" spans="1:19" ht="15" x14ac:dyDescent="0.2">
      <c r="A4" s="427" t="s">
        <v>308</v>
      </c>
      <c r="B4" s="427">
        <v>1977</v>
      </c>
      <c r="C4" s="405">
        <f t="shared" ref="C4:F49" si="0">O4-AVERAGE(O$3:O$49)</f>
        <v>3.7380779659615566E-2</v>
      </c>
      <c r="D4" s="405">
        <f t="shared" si="0"/>
        <v>4.3686311042553188</v>
      </c>
      <c r="E4" s="405">
        <f t="shared" si="0"/>
        <v>6.371694510638295</v>
      </c>
      <c r="F4" s="405">
        <f t="shared" si="0"/>
        <v>5.3236058543575622</v>
      </c>
      <c r="H4" s="428" t="s">
        <v>310</v>
      </c>
      <c r="I4">
        <v>6.5333333333329691E-2</v>
      </c>
      <c r="J4">
        <v>0.83333333333332948</v>
      </c>
      <c r="K4">
        <v>-4.7590073729008959E-3</v>
      </c>
      <c r="L4">
        <v>0.60368067054831709</v>
      </c>
      <c r="N4" s="429">
        <v>1977</v>
      </c>
      <c r="O4">
        <v>9.7553873034362346E-2</v>
      </c>
      <c r="P4">
        <v>7.0000884000000001</v>
      </c>
      <c r="Q4">
        <v>12.9673827</v>
      </c>
      <c r="R4">
        <v>9.6842663836561425</v>
      </c>
      <c r="S4">
        <f t="shared" ref="S4:S49" si="1">((1+Q4/100)/(1+O4))</f>
        <v>1.0292650363274076</v>
      </c>
    </row>
    <row r="5" spans="1:19" ht="15" x14ac:dyDescent="0.2">
      <c r="A5" s="427" t="s">
        <v>308</v>
      </c>
      <c r="B5" s="427">
        <v>1978</v>
      </c>
      <c r="C5" s="405">
        <f t="shared" si="0"/>
        <v>4.7592007889956399E-2</v>
      </c>
      <c r="D5" s="405">
        <f t="shared" si="0"/>
        <v>1.9751452042553188</v>
      </c>
      <c r="E5" s="405">
        <f t="shared" si="0"/>
        <v>4.3952002106382944</v>
      </c>
      <c r="F5" s="405">
        <f t="shared" si="0"/>
        <v>3.5831341295972727</v>
      </c>
      <c r="H5" s="428" t="s">
        <v>311</v>
      </c>
      <c r="I5">
        <v>0.73040000000000038</v>
      </c>
      <c r="J5">
        <v>0.27000000000000052</v>
      </c>
      <c r="K5">
        <v>7.3435044398058834E-3</v>
      </c>
      <c r="L5">
        <v>-9.4698253151319634E-2</v>
      </c>
      <c r="N5" s="429">
        <v>1978</v>
      </c>
      <c r="O5">
        <v>0.10776510126470318</v>
      </c>
      <c r="P5">
        <v>4.6066025000000002</v>
      </c>
      <c r="Q5">
        <v>10.990888399999999</v>
      </c>
      <c r="R5">
        <v>7.943794658895853</v>
      </c>
      <c r="S5">
        <f t="shared" si="1"/>
        <v>1.0019352322372761</v>
      </c>
    </row>
    <row r="6" spans="1:19" ht="15" x14ac:dyDescent="0.2">
      <c r="A6" s="427" t="s">
        <v>308</v>
      </c>
      <c r="B6" s="427">
        <v>1979</v>
      </c>
      <c r="C6" s="405">
        <f t="shared" si="0"/>
        <v>9.9700763956298011E-2</v>
      </c>
      <c r="D6" s="405">
        <f t="shared" si="0"/>
        <v>1.6636969042553185</v>
      </c>
      <c r="E6" s="405">
        <f t="shared" si="0"/>
        <v>2.7963759106382957</v>
      </c>
      <c r="F6" s="405">
        <f t="shared" si="0"/>
        <v>1.490110395811552</v>
      </c>
      <c r="H6" s="428" t="s">
        <v>312</v>
      </c>
      <c r="I6">
        <v>0.11249999999999979</v>
      </c>
      <c r="J6">
        <v>0.25666666666666949</v>
      </c>
      <c r="K6">
        <v>6.804575580821961E-3</v>
      </c>
      <c r="L6">
        <v>5.8294785584567297</v>
      </c>
      <c r="N6" s="429">
        <v>1979</v>
      </c>
      <c r="O6">
        <v>0.15987385733104478</v>
      </c>
      <c r="P6">
        <v>4.2951541999999998</v>
      </c>
      <c r="Q6">
        <v>9.3920641000000007</v>
      </c>
      <c r="R6">
        <v>5.8507709251101323</v>
      </c>
      <c r="S6">
        <f t="shared" si="1"/>
        <v>0.94313759559784549</v>
      </c>
    </row>
    <row r="7" spans="1:19" ht="15" x14ac:dyDescent="0.2">
      <c r="A7" s="427" t="s">
        <v>308</v>
      </c>
      <c r="B7" s="427">
        <v>1980</v>
      </c>
      <c r="C7" s="405">
        <f t="shared" si="0"/>
        <v>9.8176300898380836E-2</v>
      </c>
      <c r="D7" s="405">
        <f t="shared" si="0"/>
        <v>2.0273061042553184</v>
      </c>
      <c r="E7" s="405">
        <f t="shared" si="0"/>
        <v>3.3671831106382948</v>
      </c>
      <c r="F7" s="405">
        <f t="shared" si="0"/>
        <v>2.4432732734764748</v>
      </c>
      <c r="H7" s="428" t="s">
        <v>313</v>
      </c>
      <c r="I7">
        <v>0.7206999999999999</v>
      </c>
      <c r="J7">
        <v>-0.17666666666666939</v>
      </c>
      <c r="K7">
        <v>9.4193745360476554E-3</v>
      </c>
      <c r="L7">
        <v>-0.83105166125406527</v>
      </c>
      <c r="N7" s="429">
        <v>1980</v>
      </c>
      <c r="O7">
        <v>0.15834939427312761</v>
      </c>
      <c r="P7">
        <v>4.6587633999999998</v>
      </c>
      <c r="Q7">
        <v>9.9628712999999998</v>
      </c>
      <c r="R7">
        <v>6.8039338027750551</v>
      </c>
      <c r="S7">
        <f t="shared" si="1"/>
        <v>0.9493065895631817</v>
      </c>
    </row>
    <row r="8" spans="1:19" ht="15" x14ac:dyDescent="0.2">
      <c r="A8" s="427" t="s">
        <v>308</v>
      </c>
      <c r="B8" s="427">
        <v>1981</v>
      </c>
      <c r="C8" s="405">
        <f t="shared" si="0"/>
        <v>7.0854627455986918E-2</v>
      </c>
      <c r="D8" s="405">
        <f t="shared" si="0"/>
        <v>3.5077184042553187</v>
      </c>
      <c r="E8" s="405">
        <f t="shared" si="0"/>
        <v>3.8204263106382959</v>
      </c>
      <c r="F8" s="405">
        <f t="shared" si="0"/>
        <v>4.7285768679221087</v>
      </c>
      <c r="H8" s="428" t="s">
        <v>314</v>
      </c>
      <c r="I8">
        <v>0.47459999999999969</v>
      </c>
      <c r="J8">
        <v>-1.333333333333009E-2</v>
      </c>
      <c r="K8">
        <v>1.1830828344763379E-2</v>
      </c>
      <c r="L8">
        <v>-1.0283920594517111</v>
      </c>
      <c r="N8" s="429">
        <v>1981</v>
      </c>
      <c r="O8">
        <v>0.13102772083073369</v>
      </c>
      <c r="P8">
        <v>6.1391757</v>
      </c>
      <c r="Q8">
        <v>10.416114500000001</v>
      </c>
      <c r="R8">
        <v>9.089237397220689</v>
      </c>
      <c r="S8">
        <f t="shared" si="1"/>
        <v>0.9762458732567576</v>
      </c>
    </row>
    <row r="9" spans="1:19" ht="15" x14ac:dyDescent="0.2">
      <c r="A9" s="427" t="s">
        <v>308</v>
      </c>
      <c r="B9" s="427">
        <v>1982</v>
      </c>
      <c r="C9" s="405">
        <f t="shared" si="0"/>
        <v>6.4239127183742112E-2</v>
      </c>
      <c r="D9" s="405">
        <f t="shared" si="0"/>
        <v>1.5972183042553185</v>
      </c>
      <c r="E9" s="405">
        <f>Q9-AVERAGE(Q$3:Q$49)</f>
        <v>4.8962012106382948</v>
      </c>
      <c r="F9" s="405">
        <f t="shared" si="0"/>
        <v>2.6715568386429194</v>
      </c>
      <c r="H9" s="428" t="s">
        <v>315</v>
      </c>
      <c r="I9">
        <v>0.28656666666667002</v>
      </c>
      <c r="J9">
        <v>-0.13666666666667029</v>
      </c>
      <c r="K9">
        <v>8.6412437459742371E-3</v>
      </c>
      <c r="L9">
        <v>0.45469224895998289</v>
      </c>
      <c r="N9" s="429">
        <v>1982</v>
      </c>
      <c r="O9">
        <v>0.1244122205584889</v>
      </c>
      <c r="P9">
        <v>4.2286755999999999</v>
      </c>
      <c r="Q9">
        <v>11.4918894</v>
      </c>
      <c r="R9">
        <v>7.0322173679414997</v>
      </c>
      <c r="S9">
        <f t="shared" si="1"/>
        <v>0.99155707632404277</v>
      </c>
    </row>
    <row r="10" spans="1:19" ht="15" x14ac:dyDescent="0.2">
      <c r="A10" s="427" t="s">
        <v>308</v>
      </c>
      <c r="B10" s="427">
        <v>1983</v>
      </c>
      <c r="C10" s="405">
        <f t="shared" si="0"/>
        <v>5.5449643349314744E-2</v>
      </c>
      <c r="D10" s="405">
        <f t="shared" si="0"/>
        <v>0.30873370425531865</v>
      </c>
      <c r="E10" s="405">
        <f t="shared" si="0"/>
        <v>4.9049893106382951</v>
      </c>
      <c r="F10" s="405">
        <f t="shared" si="0"/>
        <v>2.0055649691098631</v>
      </c>
      <c r="H10" s="428" t="s">
        <v>316</v>
      </c>
      <c r="I10">
        <v>-0.27913333333333951</v>
      </c>
      <c r="J10">
        <v>-0.33666666666667039</v>
      </c>
      <c r="K10">
        <v>-5.4855190301263687E-3</v>
      </c>
      <c r="L10">
        <v>-0.5390136298783581</v>
      </c>
      <c r="N10" s="429">
        <v>1983</v>
      </c>
      <c r="O10">
        <v>0.11562273672406152</v>
      </c>
      <c r="P10">
        <v>2.940191</v>
      </c>
      <c r="Q10">
        <v>11.5006775</v>
      </c>
      <c r="R10">
        <v>6.3662254984084434</v>
      </c>
      <c r="S10">
        <f t="shared" si="1"/>
        <v>0.99944787632612231</v>
      </c>
    </row>
    <row r="11" spans="1:19" ht="15" x14ac:dyDescent="0.2">
      <c r="A11" s="427" t="s">
        <v>308</v>
      </c>
      <c r="B11" s="427">
        <v>1984</v>
      </c>
      <c r="C11" s="405">
        <f t="shared" si="0"/>
        <v>5.9361166970369618E-2</v>
      </c>
      <c r="D11" s="405">
        <f t="shared" si="0"/>
        <v>2.1721342042553182</v>
      </c>
      <c r="E11" s="405">
        <f t="shared" si="0"/>
        <v>4.9353992106382956</v>
      </c>
      <c r="F11" s="405">
        <f t="shared" si="0"/>
        <v>2.2237016106191154</v>
      </c>
      <c r="H11" s="428" t="s">
        <v>317</v>
      </c>
      <c r="I11">
        <v>-0.15426666666666031</v>
      </c>
      <c r="J11">
        <v>0.22333333333334071</v>
      </c>
      <c r="K11">
        <v>-1.160970332916833E-2</v>
      </c>
      <c r="L11">
        <v>-0.58030451146606765</v>
      </c>
      <c r="N11" s="429">
        <v>1984</v>
      </c>
      <c r="O11">
        <v>0.1195342603451164</v>
      </c>
      <c r="P11">
        <v>4.8035914999999996</v>
      </c>
      <c r="Q11">
        <v>11.531087400000001</v>
      </c>
      <c r="R11">
        <v>6.5843621399176957</v>
      </c>
      <c r="S11">
        <f t="shared" si="1"/>
        <v>0.99622755060321733</v>
      </c>
    </row>
    <row r="12" spans="1:19" ht="15" x14ac:dyDescent="0.2">
      <c r="A12" s="427" t="s">
        <v>308</v>
      </c>
      <c r="B12" s="427">
        <v>1985</v>
      </c>
      <c r="C12" s="405">
        <f t="shared" si="0"/>
        <v>2.9333079464759333E-2</v>
      </c>
      <c r="D12" s="405">
        <f t="shared" si="0"/>
        <v>2.4316382042553188</v>
      </c>
      <c r="E12" s="405">
        <f t="shared" si="0"/>
        <v>5.8517258106382952</v>
      </c>
      <c r="F12" s="405">
        <f t="shared" si="0"/>
        <v>1.5282569743498016</v>
      </c>
      <c r="H12" s="428" t="s">
        <v>318</v>
      </c>
      <c r="I12">
        <v>-0.32293333333333951</v>
      </c>
      <c r="J12">
        <v>-8.6666666666670444E-2</v>
      </c>
      <c r="K12">
        <v>-1.788091179014302E-2</v>
      </c>
      <c r="L12">
        <v>-0.79906703038904059</v>
      </c>
      <c r="N12" s="429">
        <v>1985</v>
      </c>
      <c r="O12">
        <v>8.9506172839506112E-2</v>
      </c>
      <c r="P12">
        <v>5.0630955000000002</v>
      </c>
      <c r="Q12">
        <v>12.447414</v>
      </c>
      <c r="R12">
        <v>5.8889175036483818</v>
      </c>
      <c r="S12">
        <f t="shared" si="1"/>
        <v>1.0320952446458924</v>
      </c>
    </row>
    <row r="13" spans="1:19" ht="15" x14ac:dyDescent="0.2">
      <c r="A13" s="427" t="s">
        <v>308</v>
      </c>
      <c r="B13" s="427">
        <v>1986</v>
      </c>
      <c r="C13" s="405">
        <f t="shared" si="0"/>
        <v>1.6193976760028754E-2</v>
      </c>
      <c r="D13" s="405">
        <f t="shared" si="0"/>
        <v>2.8236972042553186</v>
      </c>
      <c r="E13" s="405">
        <f t="shared" si="0"/>
        <v>4.5057485106382957</v>
      </c>
      <c r="F13" s="405">
        <f t="shared" si="0"/>
        <v>1.1104446977602622</v>
      </c>
      <c r="H13" s="428" t="s">
        <v>319</v>
      </c>
      <c r="I13">
        <v>-0.82433333333333048</v>
      </c>
      <c r="J13">
        <v>-0.29666666666666952</v>
      </c>
      <c r="K13">
        <v>-2.4107256682901691E-2</v>
      </c>
      <c r="L13">
        <v>-1.222772027492552</v>
      </c>
      <c r="N13" s="429">
        <v>1986</v>
      </c>
      <c r="O13">
        <v>7.6367070134775533E-2</v>
      </c>
      <c r="P13">
        <v>5.4551544999999999</v>
      </c>
      <c r="Q13">
        <v>11.101436700000001</v>
      </c>
      <c r="R13">
        <v>5.4711052270588425</v>
      </c>
      <c r="S13">
        <f t="shared" si="1"/>
        <v>1.0321891089262756</v>
      </c>
    </row>
    <row r="14" spans="1:19" ht="15" x14ac:dyDescent="0.2">
      <c r="A14" s="427" t="s">
        <v>308</v>
      </c>
      <c r="B14" s="427">
        <v>1987</v>
      </c>
      <c r="C14" s="405">
        <f t="shared" si="0"/>
        <v>1.9947494250665894E-2</v>
      </c>
      <c r="D14" s="405">
        <f t="shared" si="0"/>
        <v>0.59082400425531878</v>
      </c>
      <c r="E14" s="405">
        <f t="shared" si="0"/>
        <v>3.9270413106382955</v>
      </c>
      <c r="F14" s="405">
        <f t="shared" si="0"/>
        <v>0.32065555552627689</v>
      </c>
      <c r="H14" s="428" t="s">
        <v>320</v>
      </c>
      <c r="I14">
        <v>-8.1266666666669707E-2</v>
      </c>
      <c r="J14">
        <v>0.32666666666666982</v>
      </c>
      <c r="K14">
        <v>-7.871317405845275E-3</v>
      </c>
      <c r="L14">
        <v>0.89995343456226085</v>
      </c>
      <c r="N14" s="429">
        <v>1987</v>
      </c>
      <c r="O14">
        <v>8.0120587625412673E-2</v>
      </c>
      <c r="P14">
        <v>3.2222813000000001</v>
      </c>
      <c r="Q14">
        <v>10.522729500000001</v>
      </c>
      <c r="R14">
        <v>4.6813160848248572</v>
      </c>
      <c r="S14">
        <f t="shared" si="1"/>
        <v>1.0232443559193543</v>
      </c>
    </row>
    <row r="15" spans="1:19" ht="15" x14ac:dyDescent="0.2">
      <c r="A15" s="427" t="s">
        <v>308</v>
      </c>
      <c r="B15" s="427">
        <v>1988</v>
      </c>
      <c r="C15" s="405">
        <f t="shared" si="0"/>
        <v>7.2838307180513512E-2</v>
      </c>
      <c r="D15" s="405">
        <f t="shared" si="0"/>
        <v>4.0158323042553183</v>
      </c>
      <c r="E15" s="405">
        <f>Q15-AVERAGE(Q$3:Q$49)</f>
        <v>3.4135408106382945</v>
      </c>
      <c r="F15" s="405">
        <f t="shared" si="0"/>
        <v>3.9289006192487923</v>
      </c>
      <c r="H15" s="428" t="s">
        <v>321</v>
      </c>
      <c r="I15">
        <v>8.3766666666670098E-2</v>
      </c>
      <c r="J15">
        <v>0.1666666666666696</v>
      </c>
      <c r="K15">
        <v>6.5165954781934944E-3</v>
      </c>
      <c r="L15">
        <v>-1.0465998219342589</v>
      </c>
      <c r="N15" s="429">
        <v>1988</v>
      </c>
      <c r="O15">
        <v>0.13301140055526028</v>
      </c>
      <c r="P15">
        <v>6.6472895999999997</v>
      </c>
      <c r="Q15">
        <v>10.009228999999999</v>
      </c>
      <c r="R15">
        <v>8.2895611485473726</v>
      </c>
      <c r="S15">
        <f t="shared" si="1"/>
        <v>0.97094547280007304</v>
      </c>
    </row>
    <row r="16" spans="1:19" ht="15" x14ac:dyDescent="0.2">
      <c r="A16" s="427" t="s">
        <v>308</v>
      </c>
      <c r="B16" s="427">
        <v>1989</v>
      </c>
      <c r="C16" s="405">
        <f t="shared" si="0"/>
        <v>5.9321712615634285E-2</v>
      </c>
      <c r="D16" s="405">
        <f t="shared" si="0"/>
        <v>5.4997788042553193</v>
      </c>
      <c r="E16" s="405">
        <f t="shared" si="0"/>
        <v>2.9168345106382949</v>
      </c>
      <c r="F16" s="405">
        <f t="shared" si="0"/>
        <v>3.6029212196623117</v>
      </c>
      <c r="H16" s="428" t="s">
        <v>322</v>
      </c>
      <c r="I16">
        <v>-8.8666666666670224E-2</v>
      </c>
      <c r="J16">
        <v>-0.48666666666666991</v>
      </c>
      <c r="K16">
        <v>-1.085056591948657E-2</v>
      </c>
      <c r="L16">
        <v>7.9961936117673993E-2</v>
      </c>
      <c r="N16" s="429">
        <v>1989</v>
      </c>
      <c r="O16">
        <v>0.11949480599038106</v>
      </c>
      <c r="P16">
        <v>8.1312361000000006</v>
      </c>
      <c r="Q16">
        <v>9.5125226999999999</v>
      </c>
      <c r="R16">
        <v>7.963581748960892</v>
      </c>
      <c r="S16">
        <f t="shared" si="1"/>
        <v>0.97823162835595112</v>
      </c>
    </row>
    <row r="17" spans="1:19" ht="15" x14ac:dyDescent="0.2">
      <c r="A17" s="427" t="s">
        <v>308</v>
      </c>
      <c r="B17" s="427">
        <v>1990</v>
      </c>
      <c r="C17" s="405">
        <f t="shared" si="0"/>
        <v>-1.1680753868318905E-3</v>
      </c>
      <c r="D17" s="405">
        <f t="shared" si="0"/>
        <v>4.0572706042553186</v>
      </c>
      <c r="E17" s="405">
        <f t="shared" si="0"/>
        <v>3.6055553106382954</v>
      </c>
      <c r="F17" s="405">
        <f t="shared" si="0"/>
        <v>2.257705987483706</v>
      </c>
      <c r="H17" s="428" t="s">
        <v>323</v>
      </c>
      <c r="I17">
        <v>-0.24853333333332989</v>
      </c>
      <c r="J17">
        <v>-0.2433333333333296</v>
      </c>
      <c r="K17">
        <v>1.786675390534697E-2</v>
      </c>
      <c r="L17">
        <v>-0.4519954673909039</v>
      </c>
      <c r="N17" s="429">
        <v>1990</v>
      </c>
      <c r="O17">
        <v>5.9005017987914889E-2</v>
      </c>
      <c r="P17">
        <v>6.6887278999999999</v>
      </c>
      <c r="Q17">
        <v>10.2012435</v>
      </c>
      <c r="R17">
        <v>6.6183665167822863</v>
      </c>
      <c r="S17">
        <f t="shared" si="1"/>
        <v>1.0406111550762982</v>
      </c>
    </row>
    <row r="18" spans="1:19" ht="15" x14ac:dyDescent="0.2">
      <c r="A18" s="427" t="s">
        <v>308</v>
      </c>
      <c r="B18" s="427">
        <v>1991</v>
      </c>
      <c r="C18" s="405">
        <f t="shared" si="0"/>
        <v>-0.10480858848792966</v>
      </c>
      <c r="D18" s="405">
        <f t="shared" si="0"/>
        <v>-1.6981898957446813</v>
      </c>
      <c r="E18" s="405">
        <f t="shared" si="0"/>
        <v>6.1324540106382956</v>
      </c>
      <c r="F18" s="405">
        <f t="shared" si="0"/>
        <v>0.61062797804903024</v>
      </c>
      <c r="H18" s="428" t="s">
        <v>324</v>
      </c>
      <c r="I18">
        <v>-0.42570000000000002</v>
      </c>
      <c r="J18">
        <v>-0.46333333333333998</v>
      </c>
      <c r="K18">
        <v>-1.8089981196053491E-2</v>
      </c>
      <c r="L18">
        <v>-0.78000806371859177</v>
      </c>
      <c r="N18" s="429">
        <v>1991</v>
      </c>
      <c r="O18">
        <v>-4.4635495113182884E-2</v>
      </c>
      <c r="P18">
        <v>0.93326739999999997</v>
      </c>
      <c r="Q18">
        <v>12.728142200000001</v>
      </c>
      <c r="R18">
        <v>4.9712885073476105</v>
      </c>
      <c r="S18">
        <f t="shared" si="1"/>
        <v>1.1799490312166769</v>
      </c>
    </row>
    <row r="19" spans="1:19" ht="15" x14ac:dyDescent="0.2">
      <c r="A19" s="427" t="s">
        <v>308</v>
      </c>
      <c r="B19" s="427">
        <v>1992</v>
      </c>
      <c r="C19" s="405">
        <f t="shared" si="0"/>
        <v>-8.4534708583207219E-2</v>
      </c>
      <c r="D19" s="405">
        <f t="shared" si="0"/>
        <v>-5.4834777957446814</v>
      </c>
      <c r="E19" s="405">
        <f t="shared" si="0"/>
        <v>4.4540065106382949</v>
      </c>
      <c r="F19" s="405">
        <f t="shared" si="0"/>
        <v>2.9875973556298243</v>
      </c>
      <c r="H19" s="428" t="s">
        <v>325</v>
      </c>
      <c r="I19">
        <v>-0.32120000000000021</v>
      </c>
      <c r="J19">
        <v>-0.18666666666666029</v>
      </c>
      <c r="K19">
        <v>-1.8471776227103481E-3</v>
      </c>
      <c r="L19">
        <v>-0.22989793915436779</v>
      </c>
      <c r="N19" s="429">
        <v>1992</v>
      </c>
      <c r="O19">
        <v>-2.4361615208460446E-2</v>
      </c>
      <c r="P19">
        <v>-2.8520205000000001</v>
      </c>
      <c r="Q19">
        <v>11.0496947</v>
      </c>
      <c r="R19">
        <v>7.3482578849284046</v>
      </c>
      <c r="S19">
        <f t="shared" si="1"/>
        <v>1.138225970103949</v>
      </c>
    </row>
    <row r="20" spans="1:19" ht="15" x14ac:dyDescent="0.2">
      <c r="A20" s="427" t="s">
        <v>308</v>
      </c>
      <c r="B20" s="427">
        <v>1993</v>
      </c>
      <c r="C20" s="405">
        <f t="shared" si="0"/>
        <v>-4.9250963677405335E-2</v>
      </c>
      <c r="D20" s="405">
        <f t="shared" si="0"/>
        <v>-6.4082342957446814</v>
      </c>
      <c r="E20" s="405">
        <f t="shared" si="0"/>
        <v>4.5110787106382952</v>
      </c>
      <c r="F20" s="405">
        <f t="shared" si="0"/>
        <v>1.8581288485891312</v>
      </c>
      <c r="H20" s="428" t="s">
        <v>326</v>
      </c>
      <c r="I20">
        <v>-0.2226666666666697</v>
      </c>
      <c r="J20">
        <v>0.18333333333332999</v>
      </c>
      <c r="K20">
        <v>1.3335745197899061E-2</v>
      </c>
      <c r="L20">
        <v>-0.73550093602945843</v>
      </c>
      <c r="N20" s="429">
        <v>1993</v>
      </c>
      <c r="O20">
        <v>1.0922129697341441E-2</v>
      </c>
      <c r="P20">
        <v>-3.7767770000000001</v>
      </c>
      <c r="Q20">
        <v>11.1067669</v>
      </c>
      <c r="R20">
        <v>6.2187893778877115</v>
      </c>
      <c r="S20">
        <f t="shared" si="1"/>
        <v>1.0990635543141598</v>
      </c>
    </row>
    <row r="21" spans="1:19" ht="15" x14ac:dyDescent="0.2">
      <c r="A21" s="427" t="s">
        <v>308</v>
      </c>
      <c r="B21" s="427">
        <v>1994</v>
      </c>
      <c r="C21" s="405">
        <f t="shared" si="0"/>
        <v>-1.3571135362253212E-3</v>
      </c>
      <c r="D21" s="405">
        <f t="shared" si="0"/>
        <v>-5.1075175957446817</v>
      </c>
      <c r="E21" s="405">
        <f t="shared" si="0"/>
        <v>1.2657031106382952</v>
      </c>
      <c r="F21" s="405">
        <f t="shared" si="0"/>
        <v>-0.39367466719541655</v>
      </c>
      <c r="H21" s="428" t="s">
        <v>327</v>
      </c>
      <c r="I21">
        <v>1.0399999999999739E-2</v>
      </c>
      <c r="J21">
        <v>0.1966666666666699</v>
      </c>
      <c r="K21">
        <v>-5.8571585783153066E-3</v>
      </c>
      <c r="L21">
        <v>9.0128432338558717E-2</v>
      </c>
      <c r="N21" s="429">
        <v>1994</v>
      </c>
      <c r="O21">
        <v>5.8815979838521458E-2</v>
      </c>
      <c r="P21">
        <v>-2.4760602999999999</v>
      </c>
      <c r="Q21">
        <v>7.8613913000000002</v>
      </c>
      <c r="R21">
        <v>3.9669858621031637</v>
      </c>
      <c r="S21">
        <f t="shared" si="1"/>
        <v>1.0186981813067253</v>
      </c>
    </row>
    <row r="22" spans="1:19" ht="15" x14ac:dyDescent="0.2">
      <c r="A22" s="427" t="s">
        <v>308</v>
      </c>
      <c r="B22" s="427">
        <v>1995</v>
      </c>
      <c r="C22" s="405">
        <f t="shared" si="0"/>
        <v>2.5778266970821896E-2</v>
      </c>
      <c r="D22" s="405">
        <f t="shared" si="0"/>
        <v>-4.7228026957446811</v>
      </c>
      <c r="E22" s="405">
        <f t="shared" si="0"/>
        <v>0.81942471063829458</v>
      </c>
      <c r="F22" s="405">
        <f t="shared" si="0"/>
        <v>-5.903040462123875</v>
      </c>
      <c r="H22" s="428" t="s">
        <v>328</v>
      </c>
      <c r="I22">
        <v>-8.6699999999999999E-2</v>
      </c>
      <c r="J22">
        <v>-0.26333333333333991</v>
      </c>
      <c r="K22">
        <v>2.0912914484296011E-2</v>
      </c>
      <c r="L22">
        <v>-4.9195567181653743E-2</v>
      </c>
      <c r="N22" s="429">
        <v>1995</v>
      </c>
      <c r="O22">
        <v>8.5951360345568675E-2</v>
      </c>
      <c r="P22">
        <v>-2.0913453999999998</v>
      </c>
      <c r="Q22">
        <v>7.4151128999999996</v>
      </c>
      <c r="R22">
        <v>-1.542379932825295</v>
      </c>
      <c r="S22">
        <f t="shared" si="1"/>
        <v>0.98913373860334453</v>
      </c>
    </row>
    <row r="23" spans="1:19" ht="15" x14ac:dyDescent="0.2">
      <c r="A23" s="427" t="s">
        <v>308</v>
      </c>
      <c r="B23" s="427">
        <v>1996</v>
      </c>
      <c r="C23" s="405">
        <f t="shared" si="0"/>
        <v>-2.4312759936558757E-2</v>
      </c>
      <c r="D23" s="405">
        <f t="shared" si="0"/>
        <v>-1.8193729957446814</v>
      </c>
      <c r="E23" s="405">
        <f t="shared" si="0"/>
        <v>1.0269866106382954</v>
      </c>
      <c r="F23" s="405">
        <f t="shared" si="0"/>
        <v>-6.5059736568516495</v>
      </c>
      <c r="H23" s="428" t="s">
        <v>329</v>
      </c>
      <c r="I23">
        <v>1.953333333334006E-2</v>
      </c>
      <c r="J23">
        <v>0.21333333333334001</v>
      </c>
      <c r="K23">
        <v>-1.055377356918967E-3</v>
      </c>
      <c r="L23">
        <v>-3.3362170160843967E-2</v>
      </c>
      <c r="N23" s="429">
        <v>1996</v>
      </c>
      <c r="O23">
        <v>3.5860333438188022E-2</v>
      </c>
      <c r="P23">
        <v>0.81208429999999998</v>
      </c>
      <c r="Q23">
        <v>7.6226748000000004</v>
      </c>
      <c r="R23">
        <v>-2.1453131275530697</v>
      </c>
      <c r="S23">
        <f t="shared" si="1"/>
        <v>1.0389689741548742</v>
      </c>
    </row>
    <row r="24" spans="1:19" ht="15" x14ac:dyDescent="0.2">
      <c r="A24" s="427" t="s">
        <v>308</v>
      </c>
      <c r="B24" s="427">
        <v>1997</v>
      </c>
      <c r="C24" s="405">
        <f t="shared" si="0"/>
        <v>2.5286777514627594E-2</v>
      </c>
      <c r="D24" s="405">
        <f t="shared" si="0"/>
        <v>0.2113234042553187</v>
      </c>
      <c r="E24" s="405">
        <f t="shared" si="0"/>
        <v>1.3677960106382949</v>
      </c>
      <c r="F24" s="405">
        <f t="shared" si="0"/>
        <v>-5.8226620273988807</v>
      </c>
      <c r="H24" s="428" t="s">
        <v>330</v>
      </c>
      <c r="I24">
        <v>3.3833333333329829E-2</v>
      </c>
      <c r="J24">
        <v>-3.6666666666669727E-2</v>
      </c>
      <c r="K24">
        <v>-3.4869349198487496E-5</v>
      </c>
      <c r="L24">
        <v>0.2123295430801537</v>
      </c>
      <c r="N24" s="429">
        <v>1997</v>
      </c>
      <c r="O24">
        <v>8.5459870889374373E-2</v>
      </c>
      <c r="P24">
        <v>2.8427807</v>
      </c>
      <c r="Q24">
        <v>7.9634841999999999</v>
      </c>
      <c r="R24">
        <v>-1.4620014981003004</v>
      </c>
      <c r="S24">
        <f t="shared" si="1"/>
        <v>0.9946335843032118</v>
      </c>
    </row>
    <row r="25" spans="1:19" ht="15" x14ac:dyDescent="0.2">
      <c r="A25" s="427" t="s">
        <v>308</v>
      </c>
      <c r="B25" s="427">
        <v>1998</v>
      </c>
      <c r="C25" s="405">
        <f t="shared" si="0"/>
        <v>2.7068687379176719E-2</v>
      </c>
      <c r="D25" s="405">
        <f t="shared" si="0"/>
        <v>2.4194250042553183</v>
      </c>
      <c r="E25" s="405">
        <f t="shared" si="0"/>
        <v>0.5096386106382953</v>
      </c>
      <c r="F25" s="405">
        <f t="shared" si="0"/>
        <v>-3.5970102811122495</v>
      </c>
      <c r="H25" s="428" t="s">
        <v>331</v>
      </c>
      <c r="I25">
        <v>4.7300000000000342E-2</v>
      </c>
      <c r="J25">
        <v>-0.38000000000000028</v>
      </c>
      <c r="K25">
        <v>9.5242598457913625E-3</v>
      </c>
      <c r="L25">
        <v>-0.16662731440269149</v>
      </c>
      <c r="N25" s="429">
        <v>1998</v>
      </c>
      <c r="O25">
        <v>8.7241780753923498E-2</v>
      </c>
      <c r="P25">
        <v>5.0508822999999996</v>
      </c>
      <c r="Q25">
        <v>7.1053268000000003</v>
      </c>
      <c r="R25">
        <v>0.76365024818633065</v>
      </c>
      <c r="S25">
        <f t="shared" si="1"/>
        <v>0.98511047584770162</v>
      </c>
    </row>
    <row r="26" spans="1:19" ht="15" x14ac:dyDescent="0.2">
      <c r="A26" s="427" t="s">
        <v>308</v>
      </c>
      <c r="B26" s="427">
        <v>1999</v>
      </c>
      <c r="C26" s="405">
        <f t="shared" si="0"/>
        <v>-6.7009749093518145E-3</v>
      </c>
      <c r="D26" s="405">
        <f t="shared" si="0"/>
        <v>1.9353428042553187</v>
      </c>
      <c r="E26" s="405">
        <f t="shared" si="0"/>
        <v>-7.2496289361705379E-2</v>
      </c>
      <c r="F26" s="405">
        <f t="shared" si="0"/>
        <v>-3.0921049492298733</v>
      </c>
      <c r="H26" s="428" t="s">
        <v>332</v>
      </c>
      <c r="I26">
        <v>-2.330000000000032E-2</v>
      </c>
      <c r="J26">
        <v>-0.23</v>
      </c>
      <c r="K26">
        <v>-2.4767790591472762E-3</v>
      </c>
      <c r="L26">
        <v>0.4424414694455594</v>
      </c>
      <c r="N26" s="429">
        <v>1999</v>
      </c>
      <c r="O26">
        <v>5.3472118465394965E-2</v>
      </c>
      <c r="P26">
        <v>4.5668001</v>
      </c>
      <c r="Q26">
        <v>6.5231918999999996</v>
      </c>
      <c r="R26">
        <v>1.2685555800687069</v>
      </c>
      <c r="S26">
        <f t="shared" si="1"/>
        <v>1.0111628967947777</v>
      </c>
    </row>
    <row r="27" spans="1:19" ht="15" x14ac:dyDescent="0.2">
      <c r="A27" s="427" t="s">
        <v>308</v>
      </c>
      <c r="B27" s="427">
        <v>2000</v>
      </c>
      <c r="C27" s="405">
        <f t="shared" si="0"/>
        <v>1.4884424983852694E-2</v>
      </c>
      <c r="D27" s="405">
        <f t="shared" si="0"/>
        <v>6.9330463042553188</v>
      </c>
      <c r="E27" s="405">
        <f t="shared" si="0"/>
        <v>2.001781063829533E-2</v>
      </c>
      <c r="F27" s="405">
        <f t="shared" si="0"/>
        <v>6.6330217679412717</v>
      </c>
      <c r="H27" s="428" t="s">
        <v>333</v>
      </c>
      <c r="I27">
        <v>-1.5699999999999829E-2</v>
      </c>
      <c r="J27">
        <v>-0.29666666666667002</v>
      </c>
      <c r="K27">
        <v>-1.7006129170319038E-2</v>
      </c>
      <c r="L27">
        <v>-0.2464383311683909</v>
      </c>
      <c r="N27" s="429">
        <v>2000</v>
      </c>
      <c r="O27">
        <v>7.5057518358599473E-2</v>
      </c>
      <c r="P27">
        <v>9.5645036000000001</v>
      </c>
      <c r="Q27">
        <v>6.6157060000000003</v>
      </c>
      <c r="R27">
        <v>10.993682297239852</v>
      </c>
      <c r="S27">
        <f t="shared" si="1"/>
        <v>0.99172094682693013</v>
      </c>
    </row>
    <row r="28" spans="1:19" ht="15" x14ac:dyDescent="0.2">
      <c r="A28" s="427" t="s">
        <v>308</v>
      </c>
      <c r="B28" s="427">
        <v>2001</v>
      </c>
      <c r="C28" s="405">
        <f t="shared" si="0"/>
        <v>-1.7690451794331874E-4</v>
      </c>
      <c r="D28" s="405">
        <f t="shared" si="0"/>
        <v>4.8982050042553187</v>
      </c>
      <c r="E28" s="405">
        <f t="shared" si="0"/>
        <v>-0.59705258936170491</v>
      </c>
      <c r="F28" s="405">
        <f t="shared" si="0"/>
        <v>1.4888291960658044</v>
      </c>
      <c r="H28" s="428" t="s">
        <v>334</v>
      </c>
      <c r="I28">
        <v>5.7333333333300374E-3</v>
      </c>
      <c r="J28">
        <v>-0.1866666666666599</v>
      </c>
      <c r="K28">
        <v>1.6447920969775958E-3</v>
      </c>
      <c r="L28">
        <v>3.7942155654455689E-3</v>
      </c>
      <c r="N28" s="429">
        <v>2001</v>
      </c>
      <c r="O28">
        <v>5.999618885680346E-2</v>
      </c>
      <c r="P28">
        <v>7.5296623</v>
      </c>
      <c r="Q28">
        <v>5.9986356000000001</v>
      </c>
      <c r="R28">
        <v>5.8494897253643847</v>
      </c>
      <c r="S28">
        <f t="shared" si="1"/>
        <v>0.99999072368664454</v>
      </c>
    </row>
    <row r="29" spans="1:19" ht="15" x14ac:dyDescent="0.2">
      <c r="A29" s="427" t="s">
        <v>308</v>
      </c>
      <c r="B29" s="427">
        <v>2002</v>
      </c>
      <c r="C29" s="405">
        <f t="shared" si="0"/>
        <v>-3.3497760797375833E-2</v>
      </c>
      <c r="D29" s="405">
        <f t="shared" si="0"/>
        <v>3.4546384042553191</v>
      </c>
      <c r="E29" s="405">
        <f t="shared" si="0"/>
        <v>-1.799826689361705</v>
      </c>
      <c r="F29" s="405">
        <f t="shared" si="0"/>
        <v>1.6856543018001879E-2</v>
      </c>
      <c r="H29" s="428" t="s">
        <v>335</v>
      </c>
      <c r="I29">
        <v>0.21313333333334011</v>
      </c>
      <c r="J29">
        <v>0.14999999999999991</v>
      </c>
      <c r="K29">
        <v>-5.6604303054299974E-3</v>
      </c>
      <c r="L29">
        <v>0.5340765357118169</v>
      </c>
      <c r="N29" s="429">
        <v>2002</v>
      </c>
      <c r="O29">
        <v>2.6675332577370942E-2</v>
      </c>
      <c r="P29">
        <v>6.0860957000000004</v>
      </c>
      <c r="Q29">
        <v>4.7958615</v>
      </c>
      <c r="R29">
        <v>4.3775170723165822</v>
      </c>
      <c r="S29">
        <f t="shared" si="1"/>
        <v>1.0207302949114394</v>
      </c>
    </row>
    <row r="30" spans="1:19" ht="15" x14ac:dyDescent="0.2">
      <c r="A30" s="427" t="s">
        <v>308</v>
      </c>
      <c r="B30" s="427">
        <v>2003</v>
      </c>
      <c r="C30" s="405">
        <f t="shared" si="0"/>
        <v>-3.8197957671717506E-2</v>
      </c>
      <c r="D30" s="405">
        <f t="shared" si="0"/>
        <v>1.6077799042553185</v>
      </c>
      <c r="E30" s="405">
        <f t="shared" si="0"/>
        <v>-2.2433287893617049</v>
      </c>
      <c r="F30" s="405">
        <f t="shared" si="0"/>
        <v>1.4976976806402007</v>
      </c>
      <c r="H30" s="428" t="s">
        <v>336</v>
      </c>
      <c r="I30">
        <v>0.2681</v>
      </c>
      <c r="J30">
        <v>0.14999999999999991</v>
      </c>
      <c r="K30">
        <v>4.7933410124159082E-3</v>
      </c>
      <c r="L30">
        <v>0.79627077377071487</v>
      </c>
      <c r="N30" s="429">
        <v>2003</v>
      </c>
      <c r="O30">
        <v>2.1975135703029277E-2</v>
      </c>
      <c r="P30">
        <v>4.2392371999999998</v>
      </c>
      <c r="Q30">
        <v>4.3523594000000001</v>
      </c>
      <c r="R30">
        <v>5.858358209938781</v>
      </c>
      <c r="S30">
        <f t="shared" si="1"/>
        <v>1.0210851101403238</v>
      </c>
    </row>
    <row r="31" spans="1:19" ht="15" x14ac:dyDescent="0.2">
      <c r="A31" s="427" t="s">
        <v>308</v>
      </c>
      <c r="B31" s="427">
        <v>2004</v>
      </c>
      <c r="C31" s="405">
        <f t="shared" si="0"/>
        <v>-1.3984980108761404E-2</v>
      </c>
      <c r="D31" s="405">
        <f t="shared" si="0"/>
        <v>1.2700784042553188</v>
      </c>
      <c r="E31" s="405">
        <f t="shared" si="0"/>
        <v>-2.6749781893617048</v>
      </c>
      <c r="F31" s="405">
        <f t="shared" si="0"/>
        <v>-0.37345988429171495</v>
      </c>
      <c r="H31" s="428" t="s">
        <v>337</v>
      </c>
      <c r="I31">
        <v>0.27793333333332981</v>
      </c>
      <c r="J31">
        <v>0.5</v>
      </c>
      <c r="K31">
        <v>1.5720455621923292E-2</v>
      </c>
      <c r="L31">
        <v>-0.37914270874525607</v>
      </c>
      <c r="N31" s="429">
        <v>2004</v>
      </c>
      <c r="O31">
        <v>4.6188113265985375E-2</v>
      </c>
      <c r="P31">
        <v>3.9015357000000002</v>
      </c>
      <c r="Q31">
        <v>3.9207100000000001</v>
      </c>
      <c r="R31">
        <v>3.9872006450068653</v>
      </c>
      <c r="S31">
        <f t="shared" si="1"/>
        <v>0.99332719118343638</v>
      </c>
    </row>
    <row r="32" spans="1:19" ht="15" x14ac:dyDescent="0.2">
      <c r="A32" s="427" t="s">
        <v>308</v>
      </c>
      <c r="B32" s="427">
        <v>2005</v>
      </c>
      <c r="C32" s="405">
        <f t="shared" si="0"/>
        <v>-2.2826943889366506E-2</v>
      </c>
      <c r="D32" s="405">
        <f t="shared" si="0"/>
        <v>1.631174204255319</v>
      </c>
      <c r="E32" s="405">
        <f t="shared" si="0"/>
        <v>-2.8766161893617048</v>
      </c>
      <c r="F32" s="405">
        <f t="shared" si="0"/>
        <v>-2.8851342278904548</v>
      </c>
      <c r="H32" s="428" t="s">
        <v>338</v>
      </c>
      <c r="I32">
        <v>0.33186666666667008</v>
      </c>
      <c r="J32">
        <v>-9.9999999999997868E-3</v>
      </c>
      <c r="K32">
        <v>5.102829699023914E-3</v>
      </c>
      <c r="L32">
        <v>0.8014266151029279</v>
      </c>
      <c r="N32" s="429">
        <v>2005</v>
      </c>
      <c r="O32">
        <v>3.7346149485380273E-2</v>
      </c>
      <c r="P32">
        <v>4.2626315000000004</v>
      </c>
      <c r="Q32">
        <v>3.7190720000000002</v>
      </c>
      <c r="R32">
        <v>1.4755263014081257</v>
      </c>
      <c r="S32">
        <f t="shared" si="1"/>
        <v>0.99985016622902834</v>
      </c>
    </row>
    <row r="33" spans="1:19" ht="15" x14ac:dyDescent="0.2">
      <c r="A33" s="427" t="s">
        <v>308</v>
      </c>
      <c r="B33" s="427">
        <v>2006</v>
      </c>
      <c r="C33" s="405">
        <f t="shared" si="0"/>
        <v>-1.0320949611122579E-2</v>
      </c>
      <c r="D33" s="405">
        <f t="shared" si="0"/>
        <v>2.8324894042553188</v>
      </c>
      <c r="E33" s="405">
        <f t="shared" si="0"/>
        <v>-2.876507289361705</v>
      </c>
      <c r="F33" s="405">
        <f t="shared" si="0"/>
        <v>-0.31200728488138374</v>
      </c>
      <c r="H33" s="428" t="s">
        <v>339</v>
      </c>
      <c r="I33">
        <v>0.37309999999999999</v>
      </c>
      <c r="J33">
        <v>-0.13333333333333999</v>
      </c>
      <c r="K33">
        <v>3.054958302902833E-3</v>
      </c>
      <c r="L33">
        <v>-0.1467119487219595</v>
      </c>
      <c r="N33" s="429">
        <v>2006</v>
      </c>
      <c r="O33">
        <v>4.98521437636242E-2</v>
      </c>
      <c r="P33">
        <v>5.4639467000000002</v>
      </c>
      <c r="Q33">
        <v>3.7191809</v>
      </c>
      <c r="R33">
        <v>4.0486532444171965</v>
      </c>
      <c r="S33">
        <f t="shared" si="1"/>
        <v>0.98794084020418538</v>
      </c>
    </row>
    <row r="34" spans="1:19" ht="15" x14ac:dyDescent="0.2">
      <c r="A34" s="427" t="s">
        <v>308</v>
      </c>
      <c r="B34" s="427">
        <v>2007</v>
      </c>
      <c r="C34" s="405">
        <f t="shared" si="0"/>
        <v>2.1812134824701519E-2</v>
      </c>
      <c r="D34" s="405">
        <f t="shared" si="0"/>
        <v>3.8933032042553188</v>
      </c>
      <c r="E34" s="405">
        <f t="shared" si="0"/>
        <v>-2.784493389361705</v>
      </c>
      <c r="F34" s="405">
        <f t="shared" si="0"/>
        <v>-0.42634646840224111</v>
      </c>
      <c r="H34" s="428" t="s">
        <v>340</v>
      </c>
      <c r="I34">
        <v>0.22586666666666</v>
      </c>
      <c r="J34">
        <v>0.23302878787878981</v>
      </c>
      <c r="K34">
        <v>1.1820348465835051E-2</v>
      </c>
      <c r="L34">
        <v>0.2168859087995374</v>
      </c>
      <c r="N34" s="429">
        <v>2007</v>
      </c>
      <c r="O34">
        <v>8.1985228199448298E-2</v>
      </c>
      <c r="P34">
        <v>6.5247605000000002</v>
      </c>
      <c r="Q34">
        <v>3.8111948</v>
      </c>
      <c r="R34">
        <v>3.9343140608963392</v>
      </c>
      <c r="S34">
        <f t="shared" si="1"/>
        <v>0.95945112830009849</v>
      </c>
    </row>
    <row r="35" spans="1:19" ht="15" x14ac:dyDescent="0.2">
      <c r="A35" s="427" t="s">
        <v>308</v>
      </c>
      <c r="B35" s="427">
        <v>2008</v>
      </c>
      <c r="C35" s="405">
        <f t="shared" si="0"/>
        <v>-2.1722657179057504E-2</v>
      </c>
      <c r="D35" s="405">
        <f t="shared" si="0"/>
        <v>2.941857504255319</v>
      </c>
      <c r="E35" s="405">
        <f t="shared" si="0"/>
        <v>-2.5668791893617051</v>
      </c>
      <c r="F35" s="405">
        <f t="shared" si="0"/>
        <v>-0.13447464918636154</v>
      </c>
      <c r="H35" s="428" t="s">
        <v>341</v>
      </c>
      <c r="I35">
        <v>0.24449999999999991</v>
      </c>
      <c r="J35">
        <v>0.34518198906356989</v>
      </c>
      <c r="K35">
        <v>1.61936393772244E-2</v>
      </c>
      <c r="L35">
        <v>0.370474754835322</v>
      </c>
      <c r="N35" s="429">
        <v>2008</v>
      </c>
      <c r="O35">
        <v>3.8450436195689275E-2</v>
      </c>
      <c r="P35">
        <v>5.5733148000000003</v>
      </c>
      <c r="Q35">
        <v>4.0288089999999999</v>
      </c>
      <c r="R35">
        <v>4.2261858801122187</v>
      </c>
      <c r="S35">
        <f t="shared" si="1"/>
        <v>1.0017696114713408</v>
      </c>
    </row>
    <row r="36" spans="1:19" ht="15" x14ac:dyDescent="0.2">
      <c r="A36" s="427" t="s">
        <v>308</v>
      </c>
      <c r="B36" s="427">
        <v>2009</v>
      </c>
      <c r="C36" s="405">
        <f t="shared" si="0"/>
        <v>-0.12461084592924693</v>
      </c>
      <c r="D36" s="405">
        <f t="shared" si="0"/>
        <v>-3.7874598957446812</v>
      </c>
      <c r="E36" s="405">
        <f t="shared" si="0"/>
        <v>-3.0159446893617048</v>
      </c>
      <c r="F36" s="405">
        <f t="shared" si="0"/>
        <v>0.17861659769663785</v>
      </c>
      <c r="H36" s="428" t="s">
        <v>342</v>
      </c>
      <c r="I36">
        <v>0.43566666666666981</v>
      </c>
      <c r="J36">
        <v>5.6954835705860241E-2</v>
      </c>
      <c r="K36">
        <v>-4.9258832554552609E-3</v>
      </c>
      <c r="L36">
        <v>-0.56154865575793167</v>
      </c>
      <c r="N36" s="429">
        <v>2009</v>
      </c>
      <c r="O36">
        <v>-6.4437752554500155E-2</v>
      </c>
      <c r="P36">
        <v>-1.1560026000000001</v>
      </c>
      <c r="Q36">
        <v>3.5797435000000002</v>
      </c>
      <c r="R36">
        <v>4.5392771269952181</v>
      </c>
      <c r="S36">
        <f t="shared" si="1"/>
        <v>1.1071389828182858</v>
      </c>
    </row>
    <row r="37" spans="1:19" ht="15" x14ac:dyDescent="0.2">
      <c r="A37" s="427" t="s">
        <v>308</v>
      </c>
      <c r="B37" s="427">
        <v>2010</v>
      </c>
      <c r="C37" s="405">
        <f t="shared" si="0"/>
        <v>-2.4981315793823927E-2</v>
      </c>
      <c r="D37" s="405">
        <f t="shared" si="0"/>
        <v>-3.8379863957446814</v>
      </c>
      <c r="E37" s="405">
        <f t="shared" si="0"/>
        <v>-3.4822218893617052</v>
      </c>
      <c r="F37" s="405">
        <f t="shared" si="0"/>
        <v>0.59301832136288457</v>
      </c>
      <c r="H37" s="428" t="s">
        <v>343</v>
      </c>
      <c r="I37">
        <v>0.22426666666667039</v>
      </c>
      <c r="J37">
        <v>-0.1247224211423701</v>
      </c>
      <c r="K37">
        <v>8.7035813893839992E-3</v>
      </c>
      <c r="L37">
        <v>2.555431131188044</v>
      </c>
      <c r="N37" s="429">
        <v>2010</v>
      </c>
      <c r="O37">
        <v>3.5191777580922852E-2</v>
      </c>
      <c r="P37">
        <v>-1.2065291</v>
      </c>
      <c r="Q37">
        <v>3.1134662999999998</v>
      </c>
      <c r="R37">
        <v>4.9536788506614648</v>
      </c>
      <c r="S37">
        <f t="shared" si="1"/>
        <v>0.99608080872666538</v>
      </c>
    </row>
    <row r="38" spans="1:19" ht="15" x14ac:dyDescent="0.2">
      <c r="A38" s="427" t="s">
        <v>308</v>
      </c>
      <c r="B38" s="427">
        <v>2011</v>
      </c>
      <c r="C38" s="405">
        <f t="shared" si="0"/>
        <v>-7.7927231244584866E-3</v>
      </c>
      <c r="D38" s="405">
        <f t="shared" si="0"/>
        <v>-2.2617565957446812</v>
      </c>
      <c r="E38" s="405">
        <f t="shared" si="0"/>
        <v>-3.6790303893617051</v>
      </c>
      <c r="F38" s="405">
        <f t="shared" si="0"/>
        <v>-1.0676979741212551</v>
      </c>
      <c r="H38" s="428" t="s">
        <v>344</v>
      </c>
      <c r="I38">
        <v>-0.24476666666666971</v>
      </c>
      <c r="J38">
        <v>-0.24661661749505989</v>
      </c>
      <c r="K38">
        <v>-2.1475325332096281E-2</v>
      </c>
      <c r="L38">
        <v>-0.73008310782001207</v>
      </c>
      <c r="N38" s="429">
        <v>2011</v>
      </c>
      <c r="O38">
        <v>5.2380370250288293E-2</v>
      </c>
      <c r="P38">
        <v>0.36970069999999999</v>
      </c>
      <c r="Q38">
        <v>2.9166577999999999</v>
      </c>
      <c r="R38">
        <v>3.2929625551773252</v>
      </c>
      <c r="S38">
        <f t="shared" si="1"/>
        <v>0.97794163317131477</v>
      </c>
    </row>
    <row r="39" spans="1:19" ht="15" x14ac:dyDescent="0.2">
      <c r="A39" s="427" t="s">
        <v>308</v>
      </c>
      <c r="B39" s="427">
        <v>2012</v>
      </c>
      <c r="C39" s="405">
        <f t="shared" si="0"/>
        <v>-4.4824453489495333E-2</v>
      </c>
      <c r="D39" s="405">
        <f t="shared" si="0"/>
        <v>-3.3616710957446814</v>
      </c>
      <c r="E39" s="405">
        <f t="shared" si="0"/>
        <v>-3.8085366893617052</v>
      </c>
      <c r="F39" s="405">
        <f t="shared" si="0"/>
        <v>1.7205249352176821E-3</v>
      </c>
      <c r="H39" s="428" t="s">
        <v>345</v>
      </c>
      <c r="I39">
        <v>0.38046666666666962</v>
      </c>
      <c r="J39">
        <v>0.42489038125617018</v>
      </c>
      <c r="K39">
        <v>-2.227073873630275E-2</v>
      </c>
      <c r="L39">
        <v>-1.4714884705264759</v>
      </c>
      <c r="N39" s="429">
        <v>2012</v>
      </c>
      <c r="O39">
        <v>1.5348639885251446E-2</v>
      </c>
      <c r="P39">
        <v>-0.73021380000000002</v>
      </c>
      <c r="Q39">
        <v>2.7871514999999998</v>
      </c>
      <c r="R39">
        <v>4.362381054233798</v>
      </c>
      <c r="S39">
        <f t="shared" si="1"/>
        <v>1.0123335715662789</v>
      </c>
    </row>
    <row r="40" spans="1:19" ht="15" x14ac:dyDescent="0.2">
      <c r="A40" s="427" t="s">
        <v>308</v>
      </c>
      <c r="B40" s="427">
        <v>2013</v>
      </c>
      <c r="C40" s="405">
        <f t="shared" si="0"/>
        <v>-4.3837791912826871E-2</v>
      </c>
      <c r="D40" s="405">
        <f t="shared" si="0"/>
        <v>-3.8824299957446815</v>
      </c>
      <c r="E40" s="405">
        <f t="shared" si="0"/>
        <v>-4.3503870893617052</v>
      </c>
      <c r="F40" s="405">
        <f t="shared" si="0"/>
        <v>-3.0685760152251369</v>
      </c>
      <c r="H40" s="428" t="s">
        <v>346</v>
      </c>
      <c r="I40">
        <v>0.1213333333333297</v>
      </c>
      <c r="J40">
        <v>6.269894284459987E-2</v>
      </c>
      <c r="K40">
        <v>-2.5963123534764069E-3</v>
      </c>
      <c r="L40">
        <v>-1.114821189748042</v>
      </c>
      <c r="N40" s="429">
        <v>2013</v>
      </c>
      <c r="O40">
        <v>1.6335301461919905E-2</v>
      </c>
      <c r="P40">
        <v>-1.2509726999999999</v>
      </c>
      <c r="Q40">
        <v>2.2453010999999998</v>
      </c>
      <c r="R40">
        <v>1.2920845140734434</v>
      </c>
      <c r="S40">
        <f t="shared" si="1"/>
        <v>1.0060193811326639</v>
      </c>
    </row>
    <row r="41" spans="1:19" ht="15" x14ac:dyDescent="0.2">
      <c r="A41" s="427" t="s">
        <v>308</v>
      </c>
      <c r="B41" s="427">
        <v>2014</v>
      </c>
      <c r="C41" s="405">
        <f t="shared" si="0"/>
        <v>-4.7565480843484727E-2</v>
      </c>
      <c r="D41" s="405">
        <f t="shared" si="0"/>
        <v>-4.3878867957446817</v>
      </c>
      <c r="E41" s="405">
        <f t="shared" si="0"/>
        <v>-4.5371070893617045</v>
      </c>
      <c r="F41" s="405">
        <f t="shared" si="0"/>
        <v>-2.6931641422074186</v>
      </c>
      <c r="H41" s="428" t="s">
        <v>347</v>
      </c>
      <c r="I41">
        <v>-0.76713333333333011</v>
      </c>
      <c r="J41">
        <v>-0.50977966622749982</v>
      </c>
      <c r="K41">
        <v>-4.6256671579378829E-2</v>
      </c>
      <c r="L41">
        <v>-1.214801393551012</v>
      </c>
      <c r="N41" s="429">
        <v>2014</v>
      </c>
      <c r="O41">
        <v>1.2607612531262051E-2</v>
      </c>
      <c r="P41">
        <v>-1.7564295000000001</v>
      </c>
      <c r="Q41">
        <v>2.0585811000000001</v>
      </c>
      <c r="R41">
        <v>1.6674963870911614</v>
      </c>
      <c r="S41">
        <f t="shared" si="1"/>
        <v>1.0078788647942261</v>
      </c>
    </row>
    <row r="42" spans="1:19" ht="15" x14ac:dyDescent="0.2">
      <c r="A42" s="427" t="s">
        <v>308</v>
      </c>
      <c r="B42" s="427">
        <v>2015</v>
      </c>
      <c r="C42" s="405">
        <f t="shared" si="0"/>
        <v>-3.8481140373978283E-2</v>
      </c>
      <c r="D42" s="405">
        <f t="shared" si="0"/>
        <v>-3.8988130957446812</v>
      </c>
      <c r="E42" s="405">
        <f t="shared" si="0"/>
        <v>-4.7600428893617046</v>
      </c>
      <c r="F42" s="405">
        <f t="shared" si="0"/>
        <v>-1.5411605647788651</v>
      </c>
      <c r="H42" s="428" t="s">
        <v>348</v>
      </c>
      <c r="I42">
        <v>-2.2029666666666698</v>
      </c>
      <c r="J42">
        <v>-0.17374380764163039</v>
      </c>
      <c r="K42">
        <v>-5.4289522138669638E-2</v>
      </c>
      <c r="L42">
        <v>-0.45283062188402029</v>
      </c>
      <c r="N42" s="429">
        <v>2015</v>
      </c>
      <c r="O42">
        <v>2.1691953000768496E-2</v>
      </c>
      <c r="P42">
        <v>-1.2673558</v>
      </c>
      <c r="Q42">
        <v>1.8356452999999999</v>
      </c>
      <c r="R42">
        <v>2.8194999645197152</v>
      </c>
      <c r="S42">
        <f t="shared" si="1"/>
        <v>0.99673531734201104</v>
      </c>
    </row>
    <row r="43" spans="1:19" ht="15" x14ac:dyDescent="0.2">
      <c r="A43" s="427" t="s">
        <v>308</v>
      </c>
      <c r="B43" s="427">
        <v>2016</v>
      </c>
      <c r="C43" s="405">
        <f t="shared" si="0"/>
        <v>-3.1159681827096709E-2</v>
      </c>
      <c r="D43" s="405">
        <f t="shared" si="0"/>
        <v>-3.2396827957446814</v>
      </c>
      <c r="E43" s="405">
        <f t="shared" si="0"/>
        <v>-4.9542101893617048</v>
      </c>
      <c r="F43" s="405">
        <f t="shared" si="0"/>
        <v>-4.4388149808841959</v>
      </c>
      <c r="H43" s="428" t="s">
        <v>349</v>
      </c>
      <c r="I43">
        <v>-0.70106666666666984</v>
      </c>
      <c r="J43">
        <v>2.029078377762028E-2</v>
      </c>
      <c r="K43">
        <v>-1.372320112466895E-2</v>
      </c>
      <c r="L43">
        <v>-5.3508871637591611</v>
      </c>
      <c r="N43" s="429">
        <v>2016</v>
      </c>
      <c r="O43">
        <v>2.901341154765007E-2</v>
      </c>
      <c r="P43">
        <v>-0.60822549999999997</v>
      </c>
      <c r="Q43">
        <v>1.641478</v>
      </c>
      <c r="R43">
        <v>-7.8154451585615903E-2</v>
      </c>
      <c r="S43">
        <f t="shared" si="1"/>
        <v>0.98775659150185269</v>
      </c>
    </row>
    <row r="44" spans="1:19" ht="15" x14ac:dyDescent="0.2">
      <c r="A44" s="427" t="s">
        <v>308</v>
      </c>
      <c r="B44" s="427">
        <v>2017</v>
      </c>
      <c r="C44" s="405">
        <f t="shared" si="0"/>
        <v>-1.9794825829072459E-2</v>
      </c>
      <c r="D44" s="405">
        <f t="shared" si="0"/>
        <v>-2.2845741957446815</v>
      </c>
      <c r="E44" s="405">
        <f t="shared" si="0"/>
        <v>-5.0649000893617053</v>
      </c>
      <c r="F44" s="405">
        <f t="shared" si="0"/>
        <v>-4.3562416358778711</v>
      </c>
      <c r="H44" s="428" t="s">
        <v>350</v>
      </c>
      <c r="I44">
        <v>-0.44143333333333001</v>
      </c>
      <c r="J44">
        <v>-0.21669007796170001</v>
      </c>
      <c r="K44">
        <v>-3.8053941942564513E-3</v>
      </c>
      <c r="L44">
        <v>-0.56102495842014299</v>
      </c>
      <c r="N44" s="429">
        <v>2017</v>
      </c>
      <c r="O44">
        <v>4.0378267545674321E-2</v>
      </c>
      <c r="P44">
        <v>0.3468831</v>
      </c>
      <c r="Q44">
        <v>1.5307881000000001</v>
      </c>
      <c r="R44">
        <v>4.4188934207095862E-3</v>
      </c>
      <c r="S44">
        <f t="shared" si="1"/>
        <v>0.97590262375932069</v>
      </c>
    </row>
    <row r="45" spans="1:19" ht="15" x14ac:dyDescent="0.2">
      <c r="A45" s="427" t="s">
        <v>308</v>
      </c>
      <c r="B45" s="427">
        <v>2018</v>
      </c>
      <c r="C45" s="405">
        <f t="shared" si="0"/>
        <v>-2.8529397589045428E-2</v>
      </c>
      <c r="D45" s="405">
        <f t="shared" si="0"/>
        <v>-2.5393651957446814</v>
      </c>
      <c r="E45" s="405">
        <f t="shared" si="0"/>
        <v>-5.1170019893617047</v>
      </c>
      <c r="F45" s="405">
        <f t="shared" si="0"/>
        <v>-4.3906439955586141</v>
      </c>
      <c r="H45" s="428" t="s">
        <v>351</v>
      </c>
      <c r="I45">
        <v>-0.14729999999999999</v>
      </c>
      <c r="J45">
        <v>-0.15701333207855009</v>
      </c>
      <c r="K45">
        <v>1.8222671880016462E-2</v>
      </c>
      <c r="L45">
        <v>-0.53557988995388239</v>
      </c>
      <c r="N45" s="429">
        <v>2018</v>
      </c>
      <c r="O45">
        <v>3.1643695785701351E-2</v>
      </c>
      <c r="P45">
        <v>9.2092099999999996E-2</v>
      </c>
      <c r="Q45">
        <v>1.4786862000000001</v>
      </c>
      <c r="R45">
        <v>-2.9983466260033759E-2</v>
      </c>
      <c r="S45">
        <f t="shared" si="1"/>
        <v>0.98366021732642572</v>
      </c>
    </row>
    <row r="46" spans="1:19" ht="15" x14ac:dyDescent="0.2">
      <c r="A46" s="427" t="s">
        <v>308</v>
      </c>
      <c r="B46" s="427">
        <v>2019</v>
      </c>
      <c r="C46" s="405">
        <f t="shared" si="0"/>
        <v>-3.2776771917721589E-2</v>
      </c>
      <c r="D46" s="405">
        <f t="shared" si="0"/>
        <v>-2.7156737957446815</v>
      </c>
      <c r="E46" s="405">
        <f t="shared" si="0"/>
        <v>-5.2263228893617049</v>
      </c>
      <c r="F46" s="405">
        <f t="shared" si="0"/>
        <v>-3.5476795155321019</v>
      </c>
      <c r="H46" s="428" t="s">
        <v>352</v>
      </c>
      <c r="I46">
        <v>-5.9766666666666968E-2</v>
      </c>
      <c r="J46">
        <v>-0.13900824954348989</v>
      </c>
      <c r="K46">
        <v>5.3559887718800922E-2</v>
      </c>
      <c r="L46">
        <v>0.61570636412374347</v>
      </c>
      <c r="N46" s="429">
        <v>2019</v>
      </c>
      <c r="O46">
        <v>2.7396321457025193E-2</v>
      </c>
      <c r="P46">
        <v>-8.42165E-2</v>
      </c>
      <c r="Q46">
        <v>1.3693652999999999</v>
      </c>
      <c r="R46">
        <v>0.81298101376647847</v>
      </c>
      <c r="S46">
        <f t="shared" si="1"/>
        <v>0.98666272384780163</v>
      </c>
    </row>
    <row r="47" spans="1:19" ht="15" x14ac:dyDescent="0.2">
      <c r="A47" s="427" t="s">
        <v>308</v>
      </c>
      <c r="B47" s="427">
        <v>2020</v>
      </c>
      <c r="C47" s="405">
        <f t="shared" si="0"/>
        <v>-6.7760916169900556E-2</v>
      </c>
      <c r="D47" s="405">
        <f t="shared" si="0"/>
        <v>-7.4920257957446816</v>
      </c>
      <c r="E47" s="405">
        <f t="shared" si="0"/>
        <v>-5.5096606893617048</v>
      </c>
      <c r="F47" s="405">
        <f t="shared" si="0"/>
        <v>-0.56714856902333066</v>
      </c>
      <c r="H47" s="428" t="s">
        <v>353</v>
      </c>
      <c r="I47">
        <v>2.413333333333401E-2</v>
      </c>
      <c r="J47">
        <v>-0.27296519922996021</v>
      </c>
      <c r="K47">
        <v>4.2196865378010387E-2</v>
      </c>
      <c r="L47">
        <v>1.166688330468586</v>
      </c>
      <c r="N47" s="429">
        <v>2020</v>
      </c>
      <c r="O47">
        <v>-7.5878227951537711E-3</v>
      </c>
      <c r="P47">
        <v>-4.8605685000000003</v>
      </c>
      <c r="Q47">
        <v>1.0860274999999999</v>
      </c>
      <c r="R47">
        <v>3.7935119602752496</v>
      </c>
      <c r="S47">
        <f t="shared" si="1"/>
        <v>1.0185891489634007</v>
      </c>
    </row>
    <row r="48" spans="1:19" ht="15" x14ac:dyDescent="0.2">
      <c r="A48" s="427" t="s">
        <v>308</v>
      </c>
      <c r="B48" s="427">
        <v>2021</v>
      </c>
      <c r="C48" s="405">
        <f t="shared" si="0"/>
        <v>-6.043080519656456E-3</v>
      </c>
      <c r="D48" s="405">
        <f t="shared" si="0"/>
        <v>-4.8875278957446815</v>
      </c>
      <c r="E48" s="405">
        <f t="shared" si="0"/>
        <v>-5.862716889361705</v>
      </c>
      <c r="F48" s="405">
        <f t="shared" si="0"/>
        <v>-5.5283494219070697</v>
      </c>
      <c r="H48" s="428" t="s">
        <v>354</v>
      </c>
      <c r="I48">
        <v>0.18866666666666601</v>
      </c>
      <c r="J48">
        <v>-0.41990028860029011</v>
      </c>
      <c r="K48">
        <v>-5.2436923370206045E-3</v>
      </c>
      <c r="L48">
        <v>0.62160731810611636</v>
      </c>
      <c r="N48" s="429">
        <v>2021</v>
      </c>
      <c r="O48">
        <v>5.4130012855090323E-2</v>
      </c>
      <c r="P48">
        <v>-2.2560706000000001</v>
      </c>
      <c r="Q48">
        <v>0.73297129999999999</v>
      </c>
      <c r="R48">
        <v>-1.1676888926084894</v>
      </c>
      <c r="S48">
        <f t="shared" si="1"/>
        <v>0.95560291493045291</v>
      </c>
    </row>
    <row r="49" spans="1:19" ht="15" x14ac:dyDescent="0.2">
      <c r="A49" s="427" t="s">
        <v>308</v>
      </c>
      <c r="B49" s="427">
        <v>2022</v>
      </c>
      <c r="C49" s="405">
        <f t="shared" si="0"/>
        <v>1.0454150839613728E-2</v>
      </c>
      <c r="D49" s="405">
        <f t="shared" si="0"/>
        <v>-2.8615006957446814</v>
      </c>
      <c r="E49" s="405">
        <f t="shared" si="0"/>
        <v>-5.7828006893617054</v>
      </c>
      <c r="F49" s="405">
        <f t="shared" si="0"/>
        <v>0.41888124516213932</v>
      </c>
      <c r="H49" s="428" t="s">
        <v>355</v>
      </c>
      <c r="I49">
        <v>0.14553333333333701</v>
      </c>
      <c r="J49">
        <v>0.19511544011543999</v>
      </c>
      <c r="K49">
        <v>3.472908674640976E-2</v>
      </c>
      <c r="L49">
        <v>0.6306853077874075</v>
      </c>
      <c r="N49" s="429">
        <v>2022</v>
      </c>
      <c r="O49">
        <v>7.0627244214360507E-2</v>
      </c>
      <c r="P49">
        <v>-0.23004340000000001</v>
      </c>
      <c r="Q49">
        <v>0.81288749999999999</v>
      </c>
      <c r="R49">
        <v>4.7795417744607196</v>
      </c>
      <c r="S49">
        <f t="shared" si="1"/>
        <v>0.94162452940358088</v>
      </c>
    </row>
    <row r="50" spans="1:19" ht="15" x14ac:dyDescent="0.2">
      <c r="H50" s="428" t="s">
        <v>356</v>
      </c>
      <c r="I50">
        <v>7.2666666666659996E-2</v>
      </c>
      <c r="J50">
        <v>0.49521618043792032</v>
      </c>
      <c r="K50">
        <v>5.0582614284287782E-3</v>
      </c>
      <c r="L50">
        <v>-5.3325320488528893E-2</v>
      </c>
    </row>
    <row r="51" spans="1:19" ht="15" x14ac:dyDescent="0.2">
      <c r="B51" t="s">
        <v>404</v>
      </c>
      <c r="C51" s="405">
        <f>_xlfn.STDEV.P(C3:C49)</f>
        <v>4.9398524090802365E-2</v>
      </c>
      <c r="D51" s="405">
        <f>_xlfn.STDEV.P(D3:D49)</f>
        <v>3.6579474585785392</v>
      </c>
      <c r="E51" s="405">
        <f>_xlfn.STDEV.P(E3:E49)</f>
        <v>3.9331375696395168</v>
      </c>
      <c r="H51" s="428" t="s">
        <v>357</v>
      </c>
      <c r="I51">
        <v>0.31850000000000001</v>
      </c>
      <c r="J51">
        <v>1.4542621870889951E-2</v>
      </c>
      <c r="K51">
        <v>-2.4187858235416262E-2</v>
      </c>
      <c r="L51">
        <v>0.90263505450942649</v>
      </c>
    </row>
    <row r="52" spans="1:19" ht="15" x14ac:dyDescent="0.2">
      <c r="H52" s="428" t="s">
        <v>358</v>
      </c>
      <c r="I52">
        <v>0.15043333333334011</v>
      </c>
      <c r="J52">
        <v>-0.65813457870632019</v>
      </c>
      <c r="K52">
        <v>6.6783284455540579E-3</v>
      </c>
      <c r="L52">
        <v>0.69920202311433466</v>
      </c>
    </row>
    <row r="53" spans="1:19" ht="15" x14ac:dyDescent="0.2">
      <c r="H53" s="428" t="s">
        <v>359</v>
      </c>
      <c r="I53">
        <v>-6.6500000000000004E-2</v>
      </c>
      <c r="J53">
        <v>-0.20894211682038</v>
      </c>
      <c r="K53">
        <v>-2.6584369717756861E-2</v>
      </c>
      <c r="L53">
        <v>-1.8570519515610411</v>
      </c>
    </row>
    <row r="54" spans="1:19" ht="15" x14ac:dyDescent="0.2">
      <c r="H54" s="428" t="s">
        <v>360</v>
      </c>
      <c r="I54">
        <v>-0.45256666666667011</v>
      </c>
      <c r="J54">
        <v>-0.21627734483693969</v>
      </c>
      <c r="K54">
        <v>-2.094569529639045E-3</v>
      </c>
      <c r="L54">
        <v>1.1577850752457679</v>
      </c>
    </row>
    <row r="55" spans="1:19" ht="15" x14ac:dyDescent="0.2">
      <c r="H55" s="428" t="s">
        <v>361</v>
      </c>
      <c r="I55">
        <v>-0.34696666666666698</v>
      </c>
      <c r="J55">
        <v>-0.39809773300000018</v>
      </c>
      <c r="K55">
        <v>-1.2696055806227659E-2</v>
      </c>
      <c r="L55">
        <v>-1.779717433915341</v>
      </c>
    </row>
    <row r="56" spans="1:19" ht="15" x14ac:dyDescent="0.2">
      <c r="H56" s="428" t="s">
        <v>362</v>
      </c>
      <c r="I56">
        <v>-0.33746666666666603</v>
      </c>
      <c r="J56">
        <v>-0.27273834533333008</v>
      </c>
      <c r="K56">
        <v>-4.9316673403978937E-3</v>
      </c>
      <c r="L56">
        <v>-0.40114161041281138</v>
      </c>
    </row>
    <row r="57" spans="1:19" ht="15" x14ac:dyDescent="0.2">
      <c r="H57" s="428" t="s">
        <v>363</v>
      </c>
      <c r="I57">
        <v>-0.16343333333333401</v>
      </c>
      <c r="J57">
        <v>4.6695981515149983E-2</v>
      </c>
      <c r="K57">
        <v>-1.4425296231014781E-3</v>
      </c>
      <c r="L57">
        <v>0.42851548136691758</v>
      </c>
    </row>
    <row r="58" spans="1:19" ht="15" x14ac:dyDescent="0.2">
      <c r="H58" s="428" t="s">
        <v>364</v>
      </c>
      <c r="I58">
        <v>1.6333333333334001E-2</v>
      </c>
      <c r="J58">
        <v>3.7633531121210151E-2</v>
      </c>
      <c r="K58">
        <v>-7.3395040591002214E-3</v>
      </c>
      <c r="L58">
        <v>-0.37855205821009791</v>
      </c>
    </row>
    <row r="59" spans="1:19" ht="15" x14ac:dyDescent="0.2">
      <c r="H59" s="428" t="s">
        <v>365</v>
      </c>
      <c r="I59">
        <v>-4.6666666666669854E-3</v>
      </c>
      <c r="J59">
        <v>-5.7742503987240117E-2</v>
      </c>
      <c r="K59">
        <v>1.646785477173935E-2</v>
      </c>
      <c r="L59">
        <v>0.25679197440655538</v>
      </c>
    </row>
    <row r="60" spans="1:19" ht="15" x14ac:dyDescent="0.2">
      <c r="H60" s="428" t="s">
        <v>366</v>
      </c>
      <c r="I60">
        <v>1.6699999999999989E-2</v>
      </c>
      <c r="J60">
        <v>0.39280133139172019</v>
      </c>
      <c r="K60">
        <v>5.0130722310493068E-3</v>
      </c>
      <c r="L60">
        <v>-8.0271888539100722E-2</v>
      </c>
    </row>
    <row r="61" spans="1:19" ht="15" x14ac:dyDescent="0.2">
      <c r="H61" s="428" t="s">
        <v>367</v>
      </c>
      <c r="I61">
        <v>1.7399999999999999E-2</v>
      </c>
      <c r="J61">
        <v>-5.2678524374180302E-2</v>
      </c>
      <c r="K61">
        <v>-5.3655800525504555E-4</v>
      </c>
      <c r="L61">
        <v>0.124058763432302</v>
      </c>
    </row>
    <row r="62" spans="1:19" ht="15" x14ac:dyDescent="0.2">
      <c r="H62" s="428" t="s">
        <v>368</v>
      </c>
      <c r="I62">
        <v>5.4233333333333023E-2</v>
      </c>
      <c r="J62">
        <v>-6.3333333333329911E-2</v>
      </c>
      <c r="K62">
        <v>-4.4347483223671699E-3</v>
      </c>
      <c r="L62">
        <v>-0.1159689717101253</v>
      </c>
    </row>
    <row r="63" spans="1:19" ht="15" x14ac:dyDescent="0.2">
      <c r="H63" s="428" t="s">
        <v>369</v>
      </c>
      <c r="I63">
        <v>3.433333333333954E-3</v>
      </c>
      <c r="J63">
        <v>-0.24</v>
      </c>
      <c r="K63">
        <v>-6.1705566290856948E-3</v>
      </c>
      <c r="L63">
        <v>-0.20014362833535021</v>
      </c>
    </row>
    <row r="64" spans="1:19" ht="15" x14ac:dyDescent="0.2">
      <c r="H64" s="428" t="s">
        <v>370</v>
      </c>
      <c r="I64">
        <v>-0.13400000000000001</v>
      </c>
      <c r="J64">
        <v>-0.4766666666666699</v>
      </c>
      <c r="K64">
        <v>-4.4491523065914866E-6</v>
      </c>
      <c r="L64">
        <v>-0.29510323897536672</v>
      </c>
    </row>
    <row r="65" spans="8:12" ht="15" x14ac:dyDescent="0.2">
      <c r="H65" s="428" t="s">
        <v>371</v>
      </c>
      <c r="I65">
        <v>-8.3099999999999993E-2</v>
      </c>
      <c r="J65">
        <v>-0.28956899999999608</v>
      </c>
      <c r="K65">
        <v>-2.6649764978803597E-3</v>
      </c>
      <c r="L65">
        <v>-0.85151284668067162</v>
      </c>
    </row>
    <row r="66" spans="8:12" ht="15" x14ac:dyDescent="0.2">
      <c r="H66" s="428" t="s">
        <v>372</v>
      </c>
      <c r="I66">
        <v>-3.5433333333333997E-2</v>
      </c>
      <c r="J66">
        <v>-0.44013627272727301</v>
      </c>
      <c r="K66">
        <v>3.7335401489293927E-3</v>
      </c>
      <c r="L66">
        <v>0.84800311281623109</v>
      </c>
    </row>
    <row r="67" spans="8:12" ht="15" x14ac:dyDescent="0.2">
      <c r="H67" s="428" t="s">
        <v>373</v>
      </c>
      <c r="I67">
        <v>-5.2566666666666012E-2</v>
      </c>
      <c r="J67">
        <v>0.17213384415584199</v>
      </c>
      <c r="K67">
        <v>1.3210427142459048E-2</v>
      </c>
      <c r="L67">
        <v>0.93148685322153457</v>
      </c>
    </row>
    <row r="68" spans="8:12" ht="15" x14ac:dyDescent="0.2">
      <c r="H68" s="428" t="s">
        <v>374</v>
      </c>
      <c r="I68">
        <v>-2.1266666666666999E-2</v>
      </c>
      <c r="J68">
        <v>0.24214437543133399</v>
      </c>
      <c r="K68">
        <v>-5.1036855982164297E-3</v>
      </c>
      <c r="L68">
        <v>7.2424583494123951E-3</v>
      </c>
    </row>
    <row r="69" spans="8:12" ht="15" x14ac:dyDescent="0.2">
      <c r="H69" s="428" t="s">
        <v>375</v>
      </c>
      <c r="I69">
        <v>-6.1366666666667007E-2</v>
      </c>
      <c r="J69">
        <v>-8.2670464897422025E-2</v>
      </c>
      <c r="K69">
        <v>5.5665386112366379E-3</v>
      </c>
      <c r="L69">
        <v>-0.92295498111213847</v>
      </c>
    </row>
    <row r="70" spans="8:12" ht="15" x14ac:dyDescent="0.2">
      <c r="H70" s="428" t="s">
        <v>376</v>
      </c>
      <c r="I70">
        <v>-9.6899999999999986E-2</v>
      </c>
      <c r="J70">
        <v>-0.21523898989899001</v>
      </c>
      <c r="K70">
        <v>8.3565879114802042E-3</v>
      </c>
      <c r="L70">
        <v>1.302179117213919</v>
      </c>
    </row>
    <row r="71" spans="8:12" ht="15" x14ac:dyDescent="0.2">
      <c r="H71" s="428" t="s">
        <v>377</v>
      </c>
      <c r="I71">
        <v>-7.2033333333333005E-2</v>
      </c>
      <c r="J71">
        <v>-0.19720317460317399</v>
      </c>
      <c r="K71">
        <v>-1.45000131762751E-2</v>
      </c>
      <c r="L71">
        <v>-1.045232841927259</v>
      </c>
    </row>
    <row r="72" spans="8:12" ht="15" x14ac:dyDescent="0.2">
      <c r="H72" s="428" t="s">
        <v>378</v>
      </c>
      <c r="I72">
        <v>-3.999999999999998E-2</v>
      </c>
      <c r="J72">
        <v>-0.32876548089591601</v>
      </c>
      <c r="K72">
        <v>1.120692177141905E-2</v>
      </c>
      <c r="L72">
        <v>0.65366241752405951</v>
      </c>
    </row>
    <row r="73" spans="8:12" ht="15" x14ac:dyDescent="0.2">
      <c r="H73" s="428" t="s">
        <v>379</v>
      </c>
      <c r="I73">
        <v>-1.440000000000002E-2</v>
      </c>
      <c r="J73">
        <v>0.26181043039086499</v>
      </c>
      <c r="K73">
        <v>-2.321537615477496E-3</v>
      </c>
      <c r="L73">
        <v>1.1450898645591261</v>
      </c>
    </row>
    <row r="74" spans="8:12" ht="15" x14ac:dyDescent="0.2">
      <c r="H74" s="428" t="s">
        <v>380</v>
      </c>
      <c r="I74">
        <v>-1.529999999999998E-2</v>
      </c>
      <c r="J74">
        <v>0.1662047951568871</v>
      </c>
      <c r="K74">
        <v>3.5740417120086933E-3</v>
      </c>
      <c r="L74">
        <v>-0.24247187548879059</v>
      </c>
    </row>
    <row r="75" spans="8:12" ht="15" x14ac:dyDescent="0.2">
      <c r="H75" s="428" t="s">
        <v>381</v>
      </c>
      <c r="I75">
        <v>-2.1666666666670391E-3</v>
      </c>
      <c r="J75">
        <v>-3.377810444049606E-2</v>
      </c>
      <c r="K75">
        <v>1.165429564071147E-2</v>
      </c>
      <c r="L75">
        <v>1.349063040286653</v>
      </c>
    </row>
    <row r="76" spans="8:12" ht="15" x14ac:dyDescent="0.2">
      <c r="H76" s="428" t="s">
        <v>382</v>
      </c>
      <c r="I76">
        <v>3.3333333333401832E-4</v>
      </c>
      <c r="J76">
        <v>0.18477128594352299</v>
      </c>
      <c r="K76">
        <v>-7.7196573193805303E-3</v>
      </c>
      <c r="L76">
        <v>-2.4682211748780429</v>
      </c>
    </row>
    <row r="77" spans="8:12" ht="15" x14ac:dyDescent="0.2">
      <c r="H77" s="428" t="s">
        <v>383</v>
      </c>
      <c r="I77">
        <v>8.3333333333301951E-4</v>
      </c>
      <c r="J77">
        <v>-0.12387404372145901</v>
      </c>
      <c r="K77">
        <v>1.030107599081518E-2</v>
      </c>
      <c r="L77">
        <v>1.944309378815765</v>
      </c>
    </row>
    <row r="78" spans="8:12" ht="15" x14ac:dyDescent="0.2">
      <c r="H78" s="428" t="s">
        <v>384</v>
      </c>
      <c r="I78">
        <v>5.0000000000000044E-4</v>
      </c>
      <c r="J78">
        <v>0.204998635603555</v>
      </c>
      <c r="K78">
        <v>-7.3103014412437516E-3</v>
      </c>
      <c r="L78">
        <v>-8.8338953150961519E-3</v>
      </c>
    </row>
    <row r="79" spans="8:12" ht="15" x14ac:dyDescent="0.2">
      <c r="H79" s="428" t="s">
        <v>385</v>
      </c>
      <c r="I79">
        <v>3.0666666666669951E-3</v>
      </c>
      <c r="J79">
        <v>-0.160827835497277</v>
      </c>
      <c r="K79">
        <v>-9.1550947300720505E-3</v>
      </c>
      <c r="L79">
        <v>-1.1492522642131291</v>
      </c>
    </row>
    <row r="80" spans="8:12" ht="15" x14ac:dyDescent="0.2">
      <c r="H80" s="428" t="s">
        <v>386</v>
      </c>
      <c r="I80">
        <v>5.7333333333329786E-3</v>
      </c>
      <c r="J80">
        <v>6.3333333333333908E-2</v>
      </c>
      <c r="K80">
        <v>1.199023787906128E-4</v>
      </c>
      <c r="L80">
        <v>8.4454085129835432E-2</v>
      </c>
    </row>
    <row r="81" spans="8:12" ht="15" x14ac:dyDescent="0.2">
      <c r="H81" s="428" t="s">
        <v>387</v>
      </c>
      <c r="I81">
        <v>4.1666666666669849E-3</v>
      </c>
      <c r="J81">
        <v>-0.22666666666666699</v>
      </c>
      <c r="K81">
        <v>-5.4142138584131775E-3</v>
      </c>
      <c r="L81">
        <v>-1.7418999003766981E-2</v>
      </c>
    </row>
    <row r="82" spans="8:12" ht="15" x14ac:dyDescent="0.2">
      <c r="H82" s="428" t="s">
        <v>388</v>
      </c>
      <c r="I82">
        <v>6.8000000000000282E-3</v>
      </c>
      <c r="J82">
        <v>-0.206666666666667</v>
      </c>
      <c r="K82">
        <v>-1.7067739278157029E-3</v>
      </c>
      <c r="L82">
        <v>-0.53874274632257346</v>
      </c>
    </row>
    <row r="83" spans="8:12" ht="15" x14ac:dyDescent="0.2">
      <c r="H83" s="428" t="s">
        <v>389</v>
      </c>
      <c r="I83">
        <v>-8.5666666666669999E-3</v>
      </c>
      <c r="J83">
        <v>-0.46</v>
      </c>
      <c r="K83">
        <v>8.2224216286421389E-3</v>
      </c>
      <c r="L83">
        <v>0.96914851416178593</v>
      </c>
    </row>
    <row r="84" spans="8:12" ht="15" x14ac:dyDescent="0.2">
      <c r="H84" s="428" t="s">
        <v>390</v>
      </c>
      <c r="I84">
        <v>-7.9633333333333001E-2</v>
      </c>
      <c r="J84">
        <v>0.14000000000000001</v>
      </c>
      <c r="K84">
        <v>-3.066892273785982E-3</v>
      </c>
      <c r="L84">
        <v>-0.9977550930007012</v>
      </c>
    </row>
    <row r="85" spans="8:12" ht="15" x14ac:dyDescent="0.2">
      <c r="H85" s="428" t="s">
        <v>391</v>
      </c>
      <c r="I85">
        <v>-6.2333333333339791E-3</v>
      </c>
      <c r="J85">
        <v>-3.3333333333333007E-2</v>
      </c>
      <c r="K85">
        <v>-2.8597644930218281E-3</v>
      </c>
      <c r="L85">
        <v>1.677238085009541</v>
      </c>
    </row>
    <row r="86" spans="8:12" ht="15" x14ac:dyDescent="0.2">
      <c r="H86" s="428" t="s">
        <v>392</v>
      </c>
      <c r="I86">
        <v>-2.5333333333330539E-3</v>
      </c>
      <c r="J86">
        <v>5.3333333333333011E-2</v>
      </c>
      <c r="K86">
        <v>5.7715503788713818E-4</v>
      </c>
      <c r="L86">
        <v>-1.9098381126024451</v>
      </c>
    </row>
    <row r="87" spans="8:12" ht="15" x14ac:dyDescent="0.2">
      <c r="H87" s="428" t="s">
        <v>393</v>
      </c>
      <c r="I87">
        <v>0.104833333333333</v>
      </c>
      <c r="J87">
        <v>-0.16666666666666599</v>
      </c>
      <c r="K87">
        <v>-7.1442096254018428E-2</v>
      </c>
      <c r="L87">
        <v>-6.2611390550340804</v>
      </c>
    </row>
    <row r="88" spans="8:12" ht="15" x14ac:dyDescent="0.2">
      <c r="H88" s="428" t="s">
        <v>394</v>
      </c>
      <c r="I88">
        <v>-0.17106666666666601</v>
      </c>
      <c r="J88">
        <v>-0.14333333333333401</v>
      </c>
      <c r="K88">
        <v>3.7295644066982589E-2</v>
      </c>
      <c r="L88">
        <v>2.2731848768205798</v>
      </c>
    </row>
    <row r="89" spans="8:12" ht="15" x14ac:dyDescent="0.2">
      <c r="H89" s="428" t="s">
        <v>395</v>
      </c>
      <c r="I89">
        <v>-5.0966666666667049E-2</v>
      </c>
      <c r="J89">
        <v>0.15668848966666701</v>
      </c>
      <c r="K89">
        <v>2.2772025927555719E-3</v>
      </c>
      <c r="L89">
        <v>-1.5066466632789319</v>
      </c>
    </row>
    <row r="90" spans="8:12" ht="15" x14ac:dyDescent="0.2">
      <c r="H90" s="428" t="s">
        <v>396</v>
      </c>
      <c r="I90">
        <v>-1.9766666666666929E-2</v>
      </c>
      <c r="J90">
        <v>0.22405262133333301</v>
      </c>
      <c r="K90">
        <v>-2.1663832346470709E-3</v>
      </c>
      <c r="L90">
        <v>1.7755965612050559</v>
      </c>
    </row>
    <row r="91" spans="8:12" ht="15" x14ac:dyDescent="0.2">
      <c r="H91" s="428" t="s">
        <v>397</v>
      </c>
      <c r="I91">
        <v>2.0666666666669942E-3</v>
      </c>
      <c r="J91">
        <v>-0.115589595666666</v>
      </c>
      <c r="K91">
        <v>9.2427726261874177E-2</v>
      </c>
      <c r="L91">
        <v>2.236351980895579</v>
      </c>
    </row>
    <row r="92" spans="8:12" ht="15" x14ac:dyDescent="0.2">
      <c r="H92" s="428" t="s">
        <v>398</v>
      </c>
      <c r="I92">
        <v>-5.3999999999999604E-3</v>
      </c>
      <c r="J92">
        <v>0.13862988833333301</v>
      </c>
      <c r="K92">
        <v>-2.523925131216672E-2</v>
      </c>
      <c r="L92">
        <v>1.0099715864981631</v>
      </c>
    </row>
    <row r="93" spans="8:12" ht="15" x14ac:dyDescent="0.2">
      <c r="H93" s="428" t="s">
        <v>399</v>
      </c>
      <c r="I93">
        <v>-2.0600000000000059E-2</v>
      </c>
      <c r="J93">
        <v>0.46146105999999998</v>
      </c>
      <c r="K93">
        <v>1.5640839591229111E-2</v>
      </c>
      <c r="L93">
        <v>0.96286762733457942</v>
      </c>
    </row>
    <row r="94" spans="8:12" ht="15" x14ac:dyDescent="0.2">
      <c r="H94" s="428" t="s">
        <v>400</v>
      </c>
      <c r="I94">
        <v>3.7399999999999989E-2</v>
      </c>
      <c r="J94">
        <v>1.0985035679999999</v>
      </c>
      <c r="K94">
        <v>1.8827055753989441E-3</v>
      </c>
      <c r="L94">
        <v>-0.4714474593078134</v>
      </c>
    </row>
    <row r="95" spans="8:12" ht="15" x14ac:dyDescent="0.2">
      <c r="H95" s="428" t="s">
        <v>401</v>
      </c>
      <c r="I95">
        <v>0.17140000000000011</v>
      </c>
      <c r="J95">
        <v>0.35278658666667018</v>
      </c>
      <c r="K95">
        <v>-8.4840386975130848E-3</v>
      </c>
      <c r="L95">
        <v>0.8994413714817826</v>
      </c>
    </row>
    <row r="96" spans="8:12" ht="15" x14ac:dyDescent="0.2">
      <c r="H96" s="428" t="s">
        <v>402</v>
      </c>
      <c r="I96">
        <v>0.83833333333333293</v>
      </c>
      <c r="J96">
        <v>0.84422655899999999</v>
      </c>
      <c r="K96">
        <v>-4.0498046221773623E-3</v>
      </c>
      <c r="L96">
        <v>0.55486389354915855</v>
      </c>
    </row>
    <row r="97" spans="8:12" ht="15" x14ac:dyDescent="0.2">
      <c r="H97" s="428" t="s">
        <v>403</v>
      </c>
      <c r="I97">
        <v>1.291399999999997</v>
      </c>
      <c r="J97">
        <v>0.13390630233333001</v>
      </c>
      <c r="K97">
        <v>-1.7208911078923278E-2</v>
      </c>
      <c r="L97">
        <v>-1.1847956578460701</v>
      </c>
    </row>
  </sheetData>
  <mergeCells count="3">
    <mergeCell ref="C1:F1"/>
    <mergeCell ref="I1:L1"/>
    <mergeCell ref="O1:R1"/>
  </mergeCells>
  <pageMargins left="0.7" right="0.7" top="0.75" bottom="0.75" header="0.3" footer="0.3"/>
  <drawing r:id="rId1"/>
</worksheet>
</file>

<file path=customXml/_rels/item1.xml.rels><?xml version="1.0" encoding="UTF-8" standalone="yes"?>
<Relationships xmlns="http://schemas.openxmlformats.org/package/2006/relationships"><Relationship Id="rId1" Type="http://schemas.openxmlformats.org/officeDocument/2006/relationships/customXmlProps" Target="itemProps1.xml"/></Relationships>
</file>

<file path=customXml/_rels/item2.xml.rels><?xml version="1.0" encoding="UTF-8" standalone="yes"?>
<Relationships xmlns="http://schemas.openxmlformats.org/package/2006/relationships"><Relationship Id="rId1" Type="http://schemas.openxmlformats.org/officeDocument/2006/relationships/customXmlProps" Target="itemProps2.xml"/></Relationships>
</file>

<file path=customXml/_rels/item3.xml.rels><?xml version="1.0" encoding="UTF-8" standalone="yes"?>
<Relationships xmlns="http://schemas.openxmlformats.org/package/2006/relationships"><Relationship Id="rId1" Type="http://schemas.openxmlformats.org/officeDocument/2006/relationships/customXmlProps" Target="itemProps3.xml"/></Relationships>
</file>

<file path=customXml/item1.xml><?xml version="1.0" encoding="utf-8"?>
<?mso-contentType ?>
<FormTemplates xmlns="http://schemas.microsoft.com/sharepoint/v3/contenttype/forms">
  <Display>DocumentLibraryForm</Display>
  <Edit>DocumentLibraryForm</Edit>
  <New>DocumentLibraryForm</New>
</FormTemplates>
</file>

<file path=customXml/item2.xml><?xml version="1.0" encoding="utf-8"?>
<p:properties xmlns:p="http://schemas.microsoft.com/office/2006/metadata/properties" xmlns:xsi="http://www.w3.org/2001/XMLSchema-instance" xmlns:pc="http://schemas.microsoft.com/office/infopath/2007/PartnerControls">
  <documentManagement/>
</p:properties>
</file>

<file path=customXml/item3.xml><?xml version="1.0" encoding="utf-8"?>
<ct:contentTypeSchema xmlns:ct="http://schemas.microsoft.com/office/2006/metadata/contentType" xmlns:ma="http://schemas.microsoft.com/office/2006/metadata/properties/metaAttributes" ct:_="" ma:_="" ma:contentTypeName="Document" ma:contentTypeID="0x01010021D7CDCA61137D46922835CA98C0641D" ma:contentTypeVersion="8" ma:contentTypeDescription="Create a new document." ma:contentTypeScope="" ma:versionID="6659297bf1036fa7eae64cf0e7c2fac9">
  <xsd:schema xmlns:xsd="http://www.w3.org/2001/XMLSchema" xmlns:xs="http://www.w3.org/2001/XMLSchema" xmlns:p="http://schemas.microsoft.com/office/2006/metadata/properties" xmlns:ns2="b29b9b01-a41b-4cdd-ba34-21bb9c415350" xmlns:ns3="150bf796-665d-42d8-bec5-8541ade97521" targetNamespace="http://schemas.microsoft.com/office/2006/metadata/properties" ma:root="true" ma:fieldsID="9a4b96746bcdbed031cdc5f86c6e749b" ns2:_="" ns3:_="">
    <xsd:import namespace="b29b9b01-a41b-4cdd-ba34-21bb9c415350"/>
    <xsd:import namespace="150bf796-665d-42d8-bec5-8541ade97521"/>
    <xsd:element name="properties">
      <xsd:complexType>
        <xsd:sequence>
          <xsd:element name="documentManagement">
            <xsd:complexType>
              <xsd:all>
                <xsd:element ref="ns2:MediaServiceMetadata" minOccurs="0"/>
                <xsd:element ref="ns2:MediaServiceFastMetadata" minOccurs="0"/>
                <xsd:element ref="ns2:MediaServiceAutoKeyPoints" minOccurs="0"/>
                <xsd:element ref="ns2:MediaServiceKeyPoints" minOccurs="0"/>
                <xsd:element ref="ns3:SharedWithUsers" minOccurs="0"/>
                <xsd:element ref="ns3:SharedWithDetails" minOccurs="0"/>
                <xsd:element ref="ns2:MediaServiceObjectDetectorVersions" minOccurs="0"/>
                <xsd:element ref="ns2:MediaServiceSearchProperties" minOccurs="0"/>
              </xsd:all>
            </xsd:complexType>
          </xsd:element>
        </xsd:sequence>
      </xsd:complexType>
    </xsd:element>
  </xsd:schema>
  <xsd:schema xmlns:xsd="http://www.w3.org/2001/XMLSchema" xmlns:xs="http://www.w3.org/2001/XMLSchema" xmlns:dms="http://schemas.microsoft.com/office/2006/documentManagement/types" xmlns:pc="http://schemas.microsoft.com/office/infopath/2007/PartnerControls" targetNamespace="b29b9b01-a41b-4cdd-ba34-21bb9c415350" elementFormDefault="qualified">
    <xsd:import namespace="http://schemas.microsoft.com/office/2006/documentManagement/types"/>
    <xsd:import namespace="http://schemas.microsoft.com/office/infopath/2007/PartnerControls"/>
    <xsd:element name="MediaServiceMetadata" ma:index="8" nillable="true" ma:displayName="MediaServiceMetadata" ma:hidden="true" ma:internalName="MediaServiceMetadata" ma:readOnly="true">
      <xsd:simpleType>
        <xsd:restriction base="dms:Note"/>
      </xsd:simpleType>
    </xsd:element>
    <xsd:element name="MediaServiceFastMetadata" ma:index="9" nillable="true" ma:displayName="MediaServiceFastMetadata" ma:hidden="true" ma:internalName="MediaServiceFastMetadata" ma:readOnly="true">
      <xsd:simpleType>
        <xsd:restriction base="dms:Note"/>
      </xsd:simpleType>
    </xsd:element>
    <xsd:element name="MediaServiceAutoKeyPoints" ma:index="10" nillable="true" ma:displayName="MediaServiceAutoKeyPoints" ma:hidden="true" ma:internalName="MediaServiceAutoKeyPoints" ma:readOnly="true">
      <xsd:simpleType>
        <xsd:restriction base="dms:Note"/>
      </xsd:simpleType>
    </xsd:element>
    <xsd:element name="MediaServiceKeyPoints" ma:index="11" nillable="true" ma:displayName="KeyPoints" ma:internalName="MediaServiceKeyPoints" ma:readOnly="true">
      <xsd:simpleType>
        <xsd:restriction base="dms:Note">
          <xsd:maxLength value="255"/>
        </xsd:restriction>
      </xsd:simpleType>
    </xsd:element>
    <xsd:element name="MediaServiceObjectDetectorVersions" ma:index="14" nillable="true" ma:displayName="MediaServiceObjectDetectorVersions" ma:hidden="true" ma:indexed="true" ma:internalName="MediaServiceObjectDetectorVersions" ma:readOnly="true">
      <xsd:simpleType>
        <xsd:restriction base="dms:Text"/>
      </xsd:simpleType>
    </xsd:element>
    <xsd:element name="MediaServiceSearchProperties" ma:index="15" nillable="true" ma:displayName="MediaServiceSearchProperties" ma:hidden="true" ma:internalName="MediaServiceSearchProperties" ma:readOnly="true">
      <xsd:simpleType>
        <xsd:restriction base="dms:Note"/>
      </xsd:simpleType>
    </xsd:element>
  </xsd:schema>
  <xsd:schema xmlns:xsd="http://www.w3.org/2001/XMLSchema" xmlns:xs="http://www.w3.org/2001/XMLSchema" xmlns:dms="http://schemas.microsoft.com/office/2006/documentManagement/types" xmlns:pc="http://schemas.microsoft.com/office/infopath/2007/PartnerControls" targetNamespace="150bf796-665d-42d8-bec5-8541ade97521" elementFormDefault="qualified">
    <xsd:import namespace="http://schemas.microsoft.com/office/2006/documentManagement/types"/>
    <xsd:import namespace="http://schemas.microsoft.com/office/infopath/2007/PartnerControls"/>
    <xsd:element name="SharedWithUsers" ma:index="12" nillable="true" ma:displayName="Shared With" ma:internalName="SharedWithUsers" ma:readOnly="true">
      <xsd:complexType>
        <xsd:complexContent>
          <xsd:extension base="dms:UserMulti">
            <xsd:sequence>
              <xsd:element name="UserInfo" minOccurs="0" maxOccurs="unbounded">
                <xsd:complexType>
                  <xsd:sequence>
                    <xsd:element name="DisplayName" type="xsd:string" minOccurs="0"/>
                    <xsd:element name="AccountId" type="dms:UserId" minOccurs="0" nillable="true"/>
                    <xsd:element name="AccountType" type="xsd:string" minOccurs="0"/>
                  </xsd:sequence>
                </xsd:complexType>
              </xsd:element>
            </xsd:sequence>
          </xsd:extension>
        </xsd:complexContent>
      </xsd:complexType>
    </xsd:element>
    <xsd:element name="SharedWithDetails" ma:index="13" nillable="true" ma:displayName="Shared With Details" ma:internalName="SharedWithDetails" ma:readOnly="true">
      <xsd:simpleType>
        <xsd:restriction base="dms:Note">
          <xsd:maxLength value="255"/>
        </xsd:restriction>
      </xsd:simpleType>
    </xsd:element>
  </xsd:schema>
  <xsd:schema xmlns="http://schemas.openxmlformats.org/package/2006/metadata/core-properties" xmlns:xsd="http://www.w3.org/2001/XMLSchema" xmlns:xsi="http://www.w3.org/2001/XMLSchema-instance" xmlns:dc="http://purl.org/dc/elements/1.1/" xmlns:dcterms="http://purl.org/dc/terms/" xmlns:odoc="http://schemas.microsoft.com/internal/obd" targetNamespace="http://schemas.openxmlformats.org/package/2006/metadata/core-properties" elementFormDefault="qualified" attributeFormDefault="unqualified" blockDefault="#all">
    <xsd:import namespace="http://purl.org/dc/elements/1.1/" schemaLocation="http://dublincore.org/schemas/xmls/qdc/2003/04/02/dc.xsd"/>
    <xsd:import namespace="http://purl.org/dc/terms/" schemaLocation="http://dublincore.org/schemas/xmls/qdc/2003/04/02/dcterms.xsd"/>
    <xsd:element name="coreProperties" type="CT_coreProperties"/>
    <xsd:complexType name="CT_coreProperties">
      <xsd:all>
        <xsd:element ref="dc:creator" minOccurs="0" maxOccurs="1"/>
        <xsd:element ref="dcterms:created" minOccurs="0" maxOccurs="1"/>
        <xsd:element ref="dc:identifier" minOccurs="0" maxOccurs="1"/>
        <xsd:element name="contentType" minOccurs="0" maxOccurs="1" type="xsd:string" ma:index="0" ma:displayName="Content Type"/>
        <xsd:element ref="dc:title" minOccurs="0" maxOccurs="1" ma:index="4" ma:displayName="Title"/>
        <xsd:element ref="dc:subject" minOccurs="0" maxOccurs="1"/>
        <xsd:element ref="dc:description" minOccurs="0" maxOccurs="1"/>
        <xsd:element name="keywords" minOccurs="0" maxOccurs="1" type="xsd:string"/>
        <xsd:element ref="dc:language" minOccurs="0" maxOccurs="1"/>
        <xsd:element name="category" minOccurs="0" maxOccurs="1" type="xsd:string"/>
        <xsd:element name="version" minOccurs="0" maxOccurs="1" type="xsd:string"/>
        <xsd:element name="revision" minOccurs="0" maxOccurs="1" type="xsd:string">
          <xsd:annotation>
            <xsd:documentation>
                        This value indicates the number of saves or revisions. The application is responsible for updating this value after each revision.
                    </xsd:documentation>
          </xsd:annotation>
        </xsd:element>
        <xsd:element name="lastModifiedBy" minOccurs="0" maxOccurs="1" type="xsd:string"/>
        <xsd:element ref="dcterms:modified" minOccurs="0" maxOccurs="1"/>
        <xsd:element name="contentStatus" minOccurs="0" maxOccurs="1" type="xsd:string"/>
      </xsd:all>
    </xsd:complexType>
  </xsd:schema>
  <xs:schema xmlns:pc="http://schemas.microsoft.com/office/infopath/2007/PartnerControls" xmlns:xs="http://www.w3.org/2001/XMLSchema" targetNamespace="http://schemas.microsoft.com/office/infopath/2007/PartnerControls" elementFormDefault="qualified" attributeFormDefault="unqualified">
    <xs:element name="Person">
      <xs:complexType>
        <xs:sequence>
          <xs:element ref="pc:DisplayName" minOccurs="0"/>
          <xs:element ref="pc:AccountId" minOccurs="0"/>
          <xs:element ref="pc:AccountType" minOccurs="0"/>
        </xs:sequence>
      </xs:complexType>
    </xs:element>
    <xs:element name="DisplayName" type="xs:string"/>
    <xs:element name="AccountId" type="xs:string"/>
    <xs:element name="AccountType" type="xs:string"/>
    <xs:element name="BDCAssociatedEntity">
      <xs:complexType>
        <xs:sequence>
          <xs:element ref="pc:BDCEntity" minOccurs="0" maxOccurs="unbounded"/>
        </xs:sequence>
        <xs:attribute ref="pc:EntityNamespace"/>
        <xs:attribute ref="pc:EntityName"/>
        <xs:attribute ref="pc:SystemInstanceName"/>
        <xs:attribute ref="pc:AssociationName"/>
      </xs:complexType>
    </xs:element>
    <xs:attribute name="EntityNamespace" type="xs:string"/>
    <xs:attribute name="EntityName" type="xs:string"/>
    <xs:attribute name="SystemInstanceName" type="xs:string"/>
    <xs:attribute name="AssociationName" type="xs:string"/>
    <xs:element name="BDCEntity">
      <xs:complexType>
        <xs:sequence>
          <xs:element ref="pc:EntityDisplayName" minOccurs="0"/>
          <xs:element ref="pc:EntityInstanceReference" minOccurs="0"/>
          <xs:element ref="pc:EntityId1" minOccurs="0"/>
          <xs:element ref="pc:EntityId2" minOccurs="0"/>
          <xs:element ref="pc:EntityId3" minOccurs="0"/>
          <xs:element ref="pc:EntityId4" minOccurs="0"/>
          <xs:element ref="pc:EntityId5" minOccurs="0"/>
        </xs:sequence>
      </xs:complexType>
    </xs:element>
    <xs:element name="EntityDisplayName" type="xs:string"/>
    <xs:element name="EntityInstanceReference" type="xs:string"/>
    <xs:element name="EntityId1" type="xs:string"/>
    <xs:element name="EntityId2" type="xs:string"/>
    <xs:element name="EntityId3" type="xs:string"/>
    <xs:element name="EntityId4" type="xs:string"/>
    <xs:element name="EntityId5" type="xs:string"/>
    <xs:element name="Terms">
      <xs:complexType>
        <xs:sequence>
          <xs:element ref="pc:TermInfo" minOccurs="0" maxOccurs="unbounded"/>
        </xs:sequence>
      </xs:complexType>
    </xs:element>
    <xs:element name="TermInfo">
      <xs:complexType>
        <xs:sequence>
          <xs:element ref="pc:TermName" minOccurs="0"/>
          <xs:element ref="pc:TermId" minOccurs="0"/>
        </xs:sequence>
      </xs:complexType>
    </xs:element>
    <xs:element name="TermName" type="xs:string"/>
    <xs:element name="TermId" type="xs:string"/>
  </xs:schema>
</ct:contentTypeSchema>
</file>

<file path=customXml/itemProps1.xml><?xml version="1.0" encoding="utf-8"?>
<ds:datastoreItem xmlns:ds="http://schemas.openxmlformats.org/officeDocument/2006/customXml" ds:itemID="{7D5379F7-D4E7-4A0C-87B7-761C7833B493}">
  <ds:schemaRefs>
    <ds:schemaRef ds:uri="http://schemas.microsoft.com/sharepoint/v3/contenttype/forms"/>
  </ds:schemaRefs>
</ds:datastoreItem>
</file>

<file path=customXml/itemProps2.xml><?xml version="1.0" encoding="utf-8"?>
<ds:datastoreItem xmlns:ds="http://schemas.openxmlformats.org/officeDocument/2006/customXml" ds:itemID="{DDE1AD19-26CE-486A-AEF9-44A7210D2685}">
  <ds:schemaRefs>
    <ds:schemaRef ds:uri="http://schemas.microsoft.com/office/2006/metadata/properties"/>
    <ds:schemaRef ds:uri="b29b9b01-a41b-4cdd-ba34-21bb9c415350"/>
    <ds:schemaRef ds:uri="http://purl.org/dc/terms/"/>
    <ds:schemaRef ds:uri="http://purl.org/dc/elements/1.1/"/>
    <ds:schemaRef ds:uri="http://schemas.openxmlformats.org/package/2006/metadata/core-properties"/>
    <ds:schemaRef ds:uri="http://purl.org/dc/dcmitype/"/>
    <ds:schemaRef ds:uri="http://schemas.microsoft.com/office/2006/documentManagement/types"/>
    <ds:schemaRef ds:uri="http://schemas.microsoft.com/office/infopath/2007/PartnerControls"/>
    <ds:schemaRef ds:uri="150bf796-665d-42d8-bec5-8541ade97521"/>
    <ds:schemaRef ds:uri="http://www.w3.org/XML/1998/namespace"/>
  </ds:schemaRefs>
</ds:datastoreItem>
</file>

<file path=customXml/itemProps3.xml><?xml version="1.0" encoding="utf-8"?>
<ds:datastoreItem xmlns:ds="http://schemas.openxmlformats.org/officeDocument/2006/customXml" ds:itemID="{C69BE971-F562-4B09-A9E1-668BAAF5447E}">
  <ds:schemaRefs>
    <ds:schemaRef ds:uri="http://schemas.microsoft.com/office/2006/metadata/contentType"/>
    <ds:schemaRef ds:uri="http://schemas.microsoft.com/office/2006/metadata/properties/metaAttributes"/>
    <ds:schemaRef ds:uri="http://www.w3.org/2001/XMLSchema"/>
    <ds:schemaRef ds:uri="http://schemas.microsoft.com/office/2006/metadata/properties"/>
    <ds:schemaRef ds:uri="b29b9b01-a41b-4cdd-ba34-21bb9c415350"/>
    <ds:schemaRef ds:uri="150bf796-665d-42d8-bec5-8541ade97521"/>
    <ds:schemaRef ds:uri="http://schemas.microsoft.com/office/2006/documentManagement/types"/>
    <ds:schemaRef ds:uri="http://schemas.microsoft.com/office/infopath/2007/PartnerControls"/>
    <ds:schemaRef ds:uri="http://schemas.openxmlformats.org/package/2006/metadata/core-properties"/>
    <ds:schemaRef ds:uri="http://purl.org/dc/elements/1.1/"/>
    <ds:schemaRef ds:uri="http://purl.org/dc/terms/"/>
    <ds:schemaRef ds:uri="http://schemas.microsoft.com/internal/obd"/>
  </ds:schemaRefs>
</ds:datastoreItem>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13</vt:i4>
      </vt:variant>
    </vt:vector>
  </HeadingPairs>
  <TitlesOfParts>
    <vt:vector size="13" baseType="lpstr">
      <vt:lpstr>Read me</vt:lpstr>
      <vt:lpstr>Criteria results</vt:lpstr>
      <vt:lpstr>Input data</vt:lpstr>
      <vt:lpstr>Baseline NFPC</vt:lpstr>
      <vt:lpstr>Adjustment scenario</vt:lpstr>
      <vt:lpstr>Adjust. no safeguard</vt:lpstr>
      <vt:lpstr>Financial stress</vt:lpstr>
      <vt:lpstr>Lower SPB</vt:lpstr>
      <vt:lpstr>Adverse (r-g)</vt:lpstr>
      <vt:lpstr>Stochastic</vt:lpstr>
      <vt:lpstr>FASTOP reporting</vt:lpstr>
      <vt:lpstr>Data_stochastic</vt:lpstr>
      <vt:lpstr>STOCH</vt:lpstr>
    </vt:vector>
  </TitlesOfParts>
  <Manager/>
  <Company>European Commission</Company>
  <LinksUpToDate>false</LinksUpToDate>
  <SharedDoc>false</SharedDoc>
  <HyperlinkBase/>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
  <dc:subject/>
  <dc:creator>SAIL Etienne (ECFIN)</dc:creator>
  <cp:keywords/>
  <dc:description/>
  <cp:lastModifiedBy>Keskinen Peetu (VTV)</cp:lastModifiedBy>
  <cp:revision/>
  <dcterms:created xsi:type="dcterms:W3CDTF">2013-04-12T08:50:12Z</dcterms:created>
  <dcterms:modified xsi:type="dcterms:W3CDTF">2025-04-09T11:52:04Z</dcterms:modified>
  <cp:category/>
  <cp:contentStatus/>
</cp:coreProperties>
</file>

<file path=docProps/custom.xml><?xml version="1.0" encoding="utf-8"?>
<Properties xmlns="http://schemas.openxmlformats.org/officeDocument/2006/custom-properties" xmlns:vt="http://schemas.openxmlformats.org/officeDocument/2006/docPropsVTypes">
  <property fmtid="{D5CDD505-2E9C-101B-9397-08002B2CF9AE}" pid="2" name="MSIP_Label_6bd9ddd1-4d20-43f6-abfa-fc3c07406f94_Enabled">
    <vt:lpwstr>true</vt:lpwstr>
  </property>
  <property fmtid="{D5CDD505-2E9C-101B-9397-08002B2CF9AE}" pid="3" name="MSIP_Label_6bd9ddd1-4d20-43f6-abfa-fc3c07406f94_SetDate">
    <vt:lpwstr>2023-01-31T12:59:42Z</vt:lpwstr>
  </property>
  <property fmtid="{D5CDD505-2E9C-101B-9397-08002B2CF9AE}" pid="4" name="MSIP_Label_6bd9ddd1-4d20-43f6-abfa-fc3c07406f94_Method">
    <vt:lpwstr>Privileged</vt:lpwstr>
  </property>
  <property fmtid="{D5CDD505-2E9C-101B-9397-08002B2CF9AE}" pid="5" name="MSIP_Label_6bd9ddd1-4d20-43f6-abfa-fc3c07406f94_Name">
    <vt:lpwstr>Commission Use</vt:lpwstr>
  </property>
  <property fmtid="{D5CDD505-2E9C-101B-9397-08002B2CF9AE}" pid="6" name="MSIP_Label_6bd9ddd1-4d20-43f6-abfa-fc3c07406f94_SiteId">
    <vt:lpwstr>b24c8b06-522c-46fe-9080-70926f8dddb1</vt:lpwstr>
  </property>
  <property fmtid="{D5CDD505-2E9C-101B-9397-08002B2CF9AE}" pid="7" name="MSIP_Label_6bd9ddd1-4d20-43f6-abfa-fc3c07406f94_ActionId">
    <vt:lpwstr>b0fa60c5-7b78-4404-9a0b-188770adde17</vt:lpwstr>
  </property>
  <property fmtid="{D5CDD505-2E9C-101B-9397-08002B2CF9AE}" pid="8" name="MSIP_Label_6bd9ddd1-4d20-43f6-abfa-fc3c07406f94_ContentBits">
    <vt:lpwstr>0</vt:lpwstr>
  </property>
  <property fmtid="{D5CDD505-2E9C-101B-9397-08002B2CF9AE}" pid="9" name="ContentTypeId">
    <vt:lpwstr>0x01010021D7CDCA61137D46922835CA98C0641D</vt:lpwstr>
  </property>
</Properties>
</file>