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C:\Users\peetu.keskinen\Downloads\eu-debt-sustainability-analysis-main\eu-debt-sustainability-analysis-main\Final\Main 5.1v\"/>
    </mc:Choice>
  </mc:AlternateContent>
  <xr:revisionPtr revIDLastSave="0" documentId="8_{2F6E2ADB-9757-45D1-8A56-083F5A787214}" xr6:coauthVersionLast="47" xr6:coauthVersionMax="47" xr10:uidLastSave="{00000000-0000-0000-0000-000000000000}"/>
  <bookViews>
    <workbookView xWindow="-120" yWindow="-120" windowWidth="29040" windowHeight="15720" tabRatio="747" firstSheet="2" activeTab="4" xr2:uid="{00000000-000D-0000-FFFF-FFFF00000000}"/>
  </bookViews>
  <sheets>
    <sheet name="Read me" sheetId="32" r:id="rId1"/>
    <sheet name="Criteria results" sheetId="20" r:id="rId2"/>
    <sheet name="Input data" sheetId="8" r:id="rId3"/>
    <sheet name="Baseline NFPC" sheetId="9" r:id="rId4"/>
    <sheet name="VM suunnitelma" sheetId="21" r:id="rId5"/>
    <sheet name="VM &quot;no safeguard&quot;" sheetId="51" r:id="rId6"/>
    <sheet name="VM suunnitelma + potbkt" sheetId="46" r:id="rId7"/>
    <sheet name="VM suunnitelma + tasa" sheetId="47" r:id="rId8"/>
    <sheet name="VM suunnitelma + sfa" sheetId="49" r:id="rId9"/>
    <sheet name="VM suunnitelma (uusi)" sheetId="50" r:id="rId10"/>
    <sheet name="Adjust. no safeguard" sheetId="40" r:id="rId11"/>
    <sheet name="STOCH" sheetId="45" r:id="rId12"/>
    <sheet name="Financial stress" sheetId="17" r:id="rId13"/>
    <sheet name="Lower SPB" sheetId="18" r:id="rId14"/>
    <sheet name="Adverse (r-g)" sheetId="19" r:id="rId15"/>
    <sheet name="Stochastic" sheetId="22" r:id="rId16"/>
    <sheet name="FASTOP reporting" sheetId="44" r:id="rId17"/>
    <sheet name="Data_stochastic" sheetId="43" r:id="rId18"/>
  </sheets>
  <externalReferences>
    <externalReference r:id="rId19"/>
  </externalReferenc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9" i="21" l="1"/>
  <c r="O12" i="51" l="1"/>
  <c r="P12" i="51" s="1"/>
  <c r="Q12" i="51" s="1"/>
  <c r="R12" i="51" s="1"/>
  <c r="S12" i="51" s="1"/>
  <c r="T12" i="51" s="1"/>
  <c r="U12" i="51" s="1"/>
  <c r="V12" i="51" s="1"/>
  <c r="W12" i="51" s="1"/>
  <c r="N12" i="51"/>
  <c r="H12" i="51"/>
  <c r="I12" i="51" s="1"/>
  <c r="J12" i="51" s="1"/>
  <c r="K12" i="51" s="1"/>
  <c r="L12" i="51" s="1"/>
  <c r="M12" i="51" s="1"/>
  <c r="G12" i="51"/>
  <c r="G13" i="21"/>
  <c r="G109" i="51" l="1"/>
  <c r="F109" i="51"/>
  <c r="E109" i="51"/>
  <c r="D109" i="51"/>
  <c r="C109" i="51"/>
  <c r="C113" i="51" s="1"/>
  <c r="D107" i="51"/>
  <c r="D106" i="51"/>
  <c r="F87" i="51"/>
  <c r="G87" i="51" s="1"/>
  <c r="H87" i="51" s="1"/>
  <c r="I87" i="51" s="1"/>
  <c r="J87" i="51" s="1"/>
  <c r="K87" i="51" s="1"/>
  <c r="L87" i="51" s="1"/>
  <c r="M87" i="51" s="1"/>
  <c r="N87" i="51" s="1"/>
  <c r="O87" i="51" s="1"/>
  <c r="P87" i="51" s="1"/>
  <c r="Q87" i="51" s="1"/>
  <c r="R87" i="51" s="1"/>
  <c r="S87" i="51" s="1"/>
  <c r="T87" i="51" s="1"/>
  <c r="U87" i="51" s="1"/>
  <c r="V87" i="51" s="1"/>
  <c r="W87" i="51" s="1"/>
  <c r="F79" i="51"/>
  <c r="E79" i="51"/>
  <c r="D79" i="51"/>
  <c r="V73" i="51"/>
  <c r="U73" i="51"/>
  <c r="S73" i="51"/>
  <c r="R73" i="51"/>
  <c r="Q73" i="51"/>
  <c r="Q74" i="51" s="1"/>
  <c r="O73" i="51"/>
  <c r="O74" i="51" s="1"/>
  <c r="N73" i="51"/>
  <c r="N74" i="51" s="1"/>
  <c r="L73" i="51"/>
  <c r="L74" i="51" s="1"/>
  <c r="F73" i="51"/>
  <c r="E73" i="51"/>
  <c r="W72" i="51"/>
  <c r="V72" i="51"/>
  <c r="V74" i="51" s="1"/>
  <c r="U72" i="51"/>
  <c r="U74" i="51" s="1"/>
  <c r="T72" i="51"/>
  <c r="S72" i="51"/>
  <c r="S74" i="51" s="1"/>
  <c r="R72" i="51"/>
  <c r="R74" i="51" s="1"/>
  <c r="Q72" i="51"/>
  <c r="P72" i="51"/>
  <c r="O72" i="51"/>
  <c r="N72" i="51"/>
  <c r="M72" i="51"/>
  <c r="L72" i="51"/>
  <c r="K72" i="51"/>
  <c r="J72" i="51"/>
  <c r="I72" i="51"/>
  <c r="I74" i="51" s="1"/>
  <c r="H72" i="51"/>
  <c r="G72" i="51"/>
  <c r="F72" i="51"/>
  <c r="F74" i="51" s="1"/>
  <c r="E72" i="51"/>
  <c r="E74" i="51" s="1"/>
  <c r="D72" i="51"/>
  <c r="G71" i="51"/>
  <c r="F71" i="51"/>
  <c r="E71" i="51"/>
  <c r="D71" i="51"/>
  <c r="D65" i="51"/>
  <c r="N64" i="51"/>
  <c r="W63" i="51"/>
  <c r="V63" i="51"/>
  <c r="U63" i="51"/>
  <c r="T63" i="51"/>
  <c r="S63" i="51"/>
  <c r="P63" i="51"/>
  <c r="K63" i="51"/>
  <c r="J63" i="51"/>
  <c r="I63" i="51"/>
  <c r="G63" i="51"/>
  <c r="F63" i="51"/>
  <c r="E63" i="51"/>
  <c r="D63" i="51"/>
  <c r="M60" i="51"/>
  <c r="L60" i="51"/>
  <c r="K60" i="51"/>
  <c r="J60" i="51"/>
  <c r="I60" i="51"/>
  <c r="H60" i="51"/>
  <c r="G60" i="51"/>
  <c r="C57" i="51"/>
  <c r="C100" i="51" s="1"/>
  <c r="M52" i="51"/>
  <c r="L52" i="51"/>
  <c r="K52" i="51"/>
  <c r="I52" i="51"/>
  <c r="D51" i="51"/>
  <c r="M50" i="51"/>
  <c r="L50" i="51"/>
  <c r="K50" i="51"/>
  <c r="J50" i="51"/>
  <c r="I50" i="51"/>
  <c r="H50" i="51"/>
  <c r="D50" i="51"/>
  <c r="E51" i="51" s="1"/>
  <c r="C48" i="51"/>
  <c r="C47" i="51"/>
  <c r="H52" i="51" s="1"/>
  <c r="W43" i="51"/>
  <c r="V43" i="51"/>
  <c r="U43" i="51"/>
  <c r="T43" i="51"/>
  <c r="S43" i="51"/>
  <c r="R43" i="51"/>
  <c r="Q43" i="51"/>
  <c r="P43" i="51"/>
  <c r="O43" i="51"/>
  <c r="N43" i="51"/>
  <c r="M43" i="51"/>
  <c r="L43" i="51"/>
  <c r="K43" i="51"/>
  <c r="J43" i="51"/>
  <c r="I43" i="51"/>
  <c r="H43" i="51"/>
  <c r="G43" i="51"/>
  <c r="F43" i="51"/>
  <c r="E43" i="51"/>
  <c r="D43" i="51"/>
  <c r="C43" i="51"/>
  <c r="W42" i="51"/>
  <c r="V42" i="51"/>
  <c r="U42" i="51"/>
  <c r="T42" i="51"/>
  <c r="S42" i="51"/>
  <c r="R42" i="51"/>
  <c r="Q42" i="51"/>
  <c r="P42" i="51"/>
  <c r="O42" i="51"/>
  <c r="N42" i="51"/>
  <c r="M42" i="51"/>
  <c r="M79" i="51" s="1"/>
  <c r="L42" i="51"/>
  <c r="L79" i="51" s="1"/>
  <c r="K42" i="51"/>
  <c r="K79" i="51" s="1"/>
  <c r="J42" i="51"/>
  <c r="J79" i="51" s="1"/>
  <c r="I42" i="51"/>
  <c r="I79" i="51" s="1"/>
  <c r="H42" i="51"/>
  <c r="H79" i="51" s="1"/>
  <c r="G42" i="51"/>
  <c r="G79" i="51" s="1"/>
  <c r="F42" i="51"/>
  <c r="E42" i="51"/>
  <c r="D42" i="51"/>
  <c r="D70" i="51" s="1"/>
  <c r="C42" i="51"/>
  <c r="W39" i="51"/>
  <c r="V39" i="51"/>
  <c r="U39" i="51"/>
  <c r="T39" i="51"/>
  <c r="S39" i="51"/>
  <c r="R39" i="51"/>
  <c r="Q39" i="51"/>
  <c r="P39" i="51"/>
  <c r="O39" i="51"/>
  <c r="N39" i="51"/>
  <c r="M39" i="51"/>
  <c r="L39" i="51"/>
  <c r="K39" i="51"/>
  <c r="J39" i="51"/>
  <c r="I39" i="51"/>
  <c r="H39" i="51"/>
  <c r="G39" i="51"/>
  <c r="F39" i="51"/>
  <c r="E39" i="51"/>
  <c r="D39" i="51"/>
  <c r="C39" i="51"/>
  <c r="W38" i="51"/>
  <c r="V38" i="51"/>
  <c r="U38" i="51"/>
  <c r="T38" i="51"/>
  <c r="S38" i="51"/>
  <c r="R38" i="51"/>
  <c r="Q38" i="51"/>
  <c r="P38" i="51"/>
  <c r="O38" i="51"/>
  <c r="H38" i="51"/>
  <c r="I38" i="51" s="1"/>
  <c r="J38" i="51" s="1"/>
  <c r="K38" i="51" s="1"/>
  <c r="L38" i="51" s="1"/>
  <c r="M38" i="51" s="1"/>
  <c r="N38" i="51" s="1"/>
  <c r="G38" i="51"/>
  <c r="F38" i="51"/>
  <c r="E38" i="51"/>
  <c r="D38" i="51"/>
  <c r="W37" i="51"/>
  <c r="V37" i="51"/>
  <c r="U37" i="51"/>
  <c r="T37" i="51"/>
  <c r="S37" i="51"/>
  <c r="R37" i="51"/>
  <c r="Q37" i="51"/>
  <c r="P37" i="51"/>
  <c r="O37" i="51"/>
  <c r="G37" i="51"/>
  <c r="H37" i="51" s="1"/>
  <c r="I37" i="51" s="1"/>
  <c r="J37" i="51" s="1"/>
  <c r="K37" i="51" s="1"/>
  <c r="L37" i="51" s="1"/>
  <c r="M37" i="51" s="1"/>
  <c r="N37" i="51" s="1"/>
  <c r="F37" i="51"/>
  <c r="E37" i="51"/>
  <c r="D37" i="51"/>
  <c r="G36" i="51"/>
  <c r="F36" i="51"/>
  <c r="E36" i="51"/>
  <c r="D36" i="51"/>
  <c r="C36" i="51"/>
  <c r="C33" i="51"/>
  <c r="C27" i="51"/>
  <c r="F24" i="51"/>
  <c r="F33" i="51" s="1"/>
  <c r="E24" i="51"/>
  <c r="E33" i="51" s="1"/>
  <c r="D24" i="51"/>
  <c r="C24" i="51"/>
  <c r="F23" i="51"/>
  <c r="E23" i="51"/>
  <c r="D23" i="51"/>
  <c r="C23" i="51"/>
  <c r="W19" i="51"/>
  <c r="V19" i="51"/>
  <c r="U19" i="51"/>
  <c r="T19" i="51"/>
  <c r="S19" i="51"/>
  <c r="R19" i="51"/>
  <c r="Q19" i="51"/>
  <c r="P19" i="51"/>
  <c r="O19" i="51"/>
  <c r="N19" i="51"/>
  <c r="M19" i="51"/>
  <c r="L19" i="51"/>
  <c r="K19" i="51"/>
  <c r="J19" i="51"/>
  <c r="I19" i="51"/>
  <c r="H19" i="51"/>
  <c r="G19" i="51"/>
  <c r="F19" i="51"/>
  <c r="E19" i="51"/>
  <c r="D19" i="51"/>
  <c r="C19" i="51"/>
  <c r="W18" i="51"/>
  <c r="V18" i="51"/>
  <c r="U18" i="51"/>
  <c r="T18" i="51"/>
  <c r="S18" i="51"/>
  <c r="R18" i="51"/>
  <c r="Q18" i="51"/>
  <c r="P18" i="51"/>
  <c r="O18" i="51"/>
  <c r="N18" i="51"/>
  <c r="M18" i="51"/>
  <c r="L18" i="51"/>
  <c r="K18" i="51"/>
  <c r="J18" i="51"/>
  <c r="I18" i="51"/>
  <c r="H18" i="51"/>
  <c r="G18" i="51"/>
  <c r="F18" i="51"/>
  <c r="E18" i="51"/>
  <c r="D18" i="51"/>
  <c r="C18" i="51"/>
  <c r="B17" i="51"/>
  <c r="W15" i="51"/>
  <c r="W73" i="51" s="1"/>
  <c r="V15" i="51"/>
  <c r="U15" i="51"/>
  <c r="T15" i="51"/>
  <c r="T73" i="51" s="1"/>
  <c r="S15" i="51"/>
  <c r="R15" i="51"/>
  <c r="Q15" i="51"/>
  <c r="P15" i="51"/>
  <c r="P73" i="51" s="1"/>
  <c r="O15" i="51"/>
  <c r="N15" i="51"/>
  <c r="M15" i="51"/>
  <c r="M73" i="51" s="1"/>
  <c r="M74" i="51" s="1"/>
  <c r="L15" i="51"/>
  <c r="K15" i="51"/>
  <c r="K73" i="51" s="1"/>
  <c r="K74" i="51" s="1"/>
  <c r="J15" i="51"/>
  <c r="J73" i="51" s="1"/>
  <c r="J74" i="51" s="1"/>
  <c r="I15" i="51"/>
  <c r="I73" i="51" s="1"/>
  <c r="H15" i="51"/>
  <c r="H73" i="51" s="1"/>
  <c r="H74" i="51" s="1"/>
  <c r="G15" i="51"/>
  <c r="G73" i="51" s="1"/>
  <c r="F15" i="51"/>
  <c r="E15" i="51"/>
  <c r="D15" i="51"/>
  <c r="D73" i="51" s="1"/>
  <c r="C15" i="51"/>
  <c r="W14" i="51"/>
  <c r="V14" i="51"/>
  <c r="U14" i="51"/>
  <c r="T14" i="51"/>
  <c r="S14" i="51"/>
  <c r="R14" i="51"/>
  <c r="R63" i="51" s="1"/>
  <c r="Q14" i="51"/>
  <c r="Q63" i="51" s="1"/>
  <c r="P14" i="51"/>
  <c r="O14" i="51"/>
  <c r="O63" i="51" s="1"/>
  <c r="N14" i="51"/>
  <c r="N63" i="51" s="1"/>
  <c r="M14" i="51"/>
  <c r="M63" i="51" s="1"/>
  <c r="L14" i="51"/>
  <c r="L63" i="51" s="1"/>
  <c r="K14" i="51"/>
  <c r="J14" i="51"/>
  <c r="I14" i="51"/>
  <c r="H14" i="51"/>
  <c r="H63" i="51" s="1"/>
  <c r="G14" i="51"/>
  <c r="F14" i="51"/>
  <c r="E14" i="51"/>
  <c r="D14" i="51"/>
  <c r="C14" i="51"/>
  <c r="F12" i="51"/>
  <c r="F60" i="51" s="1"/>
  <c r="E12" i="51"/>
  <c r="E60" i="51" s="1"/>
  <c r="D12" i="51"/>
  <c r="D60" i="51" s="1"/>
  <c r="C12" i="51"/>
  <c r="C7" i="51"/>
  <c r="C6" i="51"/>
  <c r="L65" i="51" s="1"/>
  <c r="C5" i="51"/>
  <c r="B5" i="51"/>
  <c r="C3" i="51"/>
  <c r="L64" i="51" l="1"/>
  <c r="P64" i="51"/>
  <c r="G50" i="51"/>
  <c r="Q64" i="51"/>
  <c r="P74" i="51"/>
  <c r="D113" i="51"/>
  <c r="E113" i="51"/>
  <c r="O64" i="51"/>
  <c r="C30" i="51"/>
  <c r="D27" i="51"/>
  <c r="H65" i="51"/>
  <c r="F113" i="51"/>
  <c r="J65" i="51"/>
  <c r="E50" i="51"/>
  <c r="K65" i="51"/>
  <c r="D74" i="51"/>
  <c r="T74" i="51"/>
  <c r="W65" i="51"/>
  <c r="G65" i="51"/>
  <c r="K64" i="51"/>
  <c r="G64" i="51"/>
  <c r="F64" i="51"/>
  <c r="U64" i="51"/>
  <c r="V65" i="51"/>
  <c r="J64" i="51"/>
  <c r="S65" i="51"/>
  <c r="V64" i="51"/>
  <c r="Q65" i="51"/>
  <c r="U65" i="51"/>
  <c r="I64" i="51"/>
  <c r="T65" i="51"/>
  <c r="H64" i="51"/>
  <c r="W64" i="51"/>
  <c r="R65" i="51"/>
  <c r="E64" i="51"/>
  <c r="P65" i="51"/>
  <c r="T64" i="51"/>
  <c r="D64" i="51"/>
  <c r="R64" i="51"/>
  <c r="O65" i="51"/>
  <c r="S64" i="51"/>
  <c r="N65" i="51"/>
  <c r="I65" i="51"/>
  <c r="M64" i="51"/>
  <c r="M65" i="51"/>
  <c r="D81" i="51"/>
  <c r="D33" i="51"/>
  <c r="D69" i="51" s="1"/>
  <c r="G74" i="51"/>
  <c r="W74" i="51"/>
  <c r="J52" i="51"/>
  <c r="E52" i="51"/>
  <c r="F52" i="51"/>
  <c r="E65" i="51"/>
  <c r="G52" i="51"/>
  <c r="F65" i="51"/>
  <c r="D52" i="51"/>
  <c r="D30" i="51" l="1"/>
  <c r="D62" i="51" s="1"/>
  <c r="D59" i="51" s="1"/>
  <c r="E27" i="51"/>
  <c r="F51" i="51"/>
  <c r="F50" i="51"/>
  <c r="G51" i="51" s="1"/>
  <c r="D68" i="51"/>
  <c r="G23" i="51"/>
  <c r="G24" i="51" l="1"/>
  <c r="D67" i="51"/>
  <c r="D78" i="51"/>
  <c r="F27" i="51"/>
  <c r="E30" i="51"/>
  <c r="E62" i="51" s="1"/>
  <c r="E59" i="51" s="1"/>
  <c r="D77" i="51"/>
  <c r="D58" i="51"/>
  <c r="D57" i="51" s="1"/>
  <c r="E70" i="51" l="1"/>
  <c r="E69" i="51"/>
  <c r="D100" i="51"/>
  <c r="E68" i="51"/>
  <c r="E77" i="51"/>
  <c r="F30" i="51"/>
  <c r="F62" i="51" s="1"/>
  <c r="F59" i="51" s="1"/>
  <c r="G27" i="51"/>
  <c r="G33" i="51"/>
  <c r="G113" i="51"/>
  <c r="H27" i="51" l="1"/>
  <c r="G30" i="51"/>
  <c r="D103" i="51"/>
  <c r="D102" i="51"/>
  <c r="D95" i="51"/>
  <c r="D96" i="51" s="1"/>
  <c r="D105" i="51"/>
  <c r="D101" i="51"/>
  <c r="D104" i="51"/>
  <c r="E110" i="51"/>
  <c r="E111" i="51" s="1"/>
  <c r="E67" i="51"/>
  <c r="E58" i="51" s="1"/>
  <c r="E57" i="51" s="1"/>
  <c r="E78" i="51"/>
  <c r="I27" i="51" l="1"/>
  <c r="G62" i="51"/>
  <c r="G59" i="51" s="1"/>
  <c r="H51" i="51"/>
  <c r="H23" i="51" s="1"/>
  <c r="F69" i="51"/>
  <c r="F70" i="51"/>
  <c r="F68" i="51"/>
  <c r="F90" i="51"/>
  <c r="E100" i="51"/>
  <c r="H30" i="51" l="1"/>
  <c r="H24" i="51"/>
  <c r="H33" i="51" s="1"/>
  <c r="E95" i="51"/>
  <c r="E96" i="51" s="1"/>
  <c r="E104" i="51"/>
  <c r="E105" i="51"/>
  <c r="F67" i="51"/>
  <c r="F58" i="51" s="1"/>
  <c r="F57" i="51" s="1"/>
  <c r="F78" i="51"/>
  <c r="F88" i="51" s="1"/>
  <c r="F77" i="51"/>
  <c r="J27" i="51"/>
  <c r="E103" i="51" l="1"/>
  <c r="G70" i="51"/>
  <c r="G69" i="51"/>
  <c r="F84" i="51"/>
  <c r="F86" i="51"/>
  <c r="F85" i="51"/>
  <c r="G68" i="51"/>
  <c r="F100" i="51"/>
  <c r="G90" i="51"/>
  <c r="G91" i="51" s="1"/>
  <c r="E102" i="51"/>
  <c r="E101" i="51" s="1"/>
  <c r="E107" i="51" s="1"/>
  <c r="K27" i="51"/>
  <c r="I51" i="51"/>
  <c r="I23" i="51" s="1"/>
  <c r="H62" i="51"/>
  <c r="H59" i="51" s="1"/>
  <c r="G78" i="51" l="1"/>
  <c r="G88" i="51" s="1"/>
  <c r="G67" i="51"/>
  <c r="G58" i="51" s="1"/>
  <c r="G57" i="51" s="1"/>
  <c r="G77" i="51"/>
  <c r="L27" i="51"/>
  <c r="F95" i="51"/>
  <c r="F96" i="51" s="1"/>
  <c r="F104" i="51"/>
  <c r="I24" i="51"/>
  <c r="I33" i="51" s="1"/>
  <c r="I30" i="51"/>
  <c r="E106" i="51"/>
  <c r="F110" i="51"/>
  <c r="F111" i="51" s="1"/>
  <c r="F103" i="51" l="1"/>
  <c r="F105" i="51"/>
  <c r="F102" i="51"/>
  <c r="F101" i="51" s="1"/>
  <c r="F107" i="51" s="1"/>
  <c r="M27" i="51"/>
  <c r="I62" i="51"/>
  <c r="I59" i="51" s="1"/>
  <c r="J51" i="51"/>
  <c r="J23" i="51" s="1"/>
  <c r="G86" i="51"/>
  <c r="G85" i="51"/>
  <c r="H69" i="51"/>
  <c r="G84" i="51"/>
  <c r="H70" i="51"/>
  <c r="G100" i="51"/>
  <c r="J24" i="51" l="1"/>
  <c r="J33" i="51" s="1"/>
  <c r="J30" i="51"/>
  <c r="N27" i="51"/>
  <c r="G95" i="51"/>
  <c r="G103" i="51" s="1"/>
  <c r="G105" i="51"/>
  <c r="G104" i="51"/>
  <c r="G110" i="51"/>
  <c r="G111" i="51" s="1"/>
  <c r="F106" i="51"/>
  <c r="G102" i="51" l="1"/>
  <c r="G101" i="51" s="1"/>
  <c r="G107" i="51" s="1"/>
  <c r="K51" i="51"/>
  <c r="K23" i="51" s="1"/>
  <c r="J62" i="51"/>
  <c r="J59" i="51" s="1"/>
  <c r="H110" i="51"/>
  <c r="H111" i="51" s="1"/>
  <c r="H109" i="51" s="1"/>
  <c r="G96" i="51"/>
  <c r="O27" i="51"/>
  <c r="G106" i="51" l="1"/>
  <c r="P27" i="51"/>
  <c r="H36" i="51"/>
  <c r="H113" i="51"/>
  <c r="H100" i="51" s="1"/>
  <c r="K24" i="51"/>
  <c r="K33" i="51" s="1"/>
  <c r="K30" i="51"/>
  <c r="Q27" i="51" l="1"/>
  <c r="R27" i="51" s="1"/>
  <c r="S27" i="51" s="1"/>
  <c r="T27" i="51" s="1"/>
  <c r="U27" i="51" s="1"/>
  <c r="V27" i="51" s="1"/>
  <c r="W27" i="51" s="1"/>
  <c r="K62" i="51"/>
  <c r="K59" i="51" s="1"/>
  <c r="L51" i="51"/>
  <c r="L23" i="51" s="1"/>
  <c r="H95" i="51"/>
  <c r="H96" i="51" s="1"/>
  <c r="H90" i="51"/>
  <c r="H91" i="51" s="1"/>
  <c r="H68" i="51"/>
  <c r="H103" i="51" l="1"/>
  <c r="H104" i="51"/>
  <c r="H105" i="51"/>
  <c r="L24" i="51"/>
  <c r="L33" i="51" s="1"/>
  <c r="L30" i="51"/>
  <c r="H67" i="51"/>
  <c r="H58" i="51" s="1"/>
  <c r="H57" i="51" s="1"/>
  <c r="H78" i="51"/>
  <c r="H88" i="51" s="1"/>
  <c r="H77" i="51"/>
  <c r="H102" i="51"/>
  <c r="H101" i="51" s="1"/>
  <c r="I110" i="51" l="1"/>
  <c r="I111" i="51" s="1"/>
  <c r="I109" i="51" s="1"/>
  <c r="H107" i="51"/>
  <c r="H106" i="51"/>
  <c r="M51" i="51"/>
  <c r="M23" i="51" s="1"/>
  <c r="L62" i="51"/>
  <c r="L59" i="51" s="1"/>
  <c r="H85" i="51"/>
  <c r="I69" i="51"/>
  <c r="H84" i="51"/>
  <c r="I70" i="51"/>
  <c r="H86" i="51"/>
  <c r="M24" i="51" l="1"/>
  <c r="M33" i="51" s="1"/>
  <c r="M30" i="51"/>
  <c r="I36" i="51"/>
  <c r="I113" i="51"/>
  <c r="I100" i="51" s="1"/>
  <c r="I95" i="51" l="1"/>
  <c r="I96" i="51" s="1"/>
  <c r="I105" i="51"/>
  <c r="I103" i="51"/>
  <c r="I104" i="51"/>
  <c r="I90" i="51"/>
  <c r="I91" i="51" s="1"/>
  <c r="I68" i="51"/>
  <c r="N51" i="51"/>
  <c r="M62" i="51"/>
  <c r="M59" i="51" s="1"/>
  <c r="I102" i="51" l="1"/>
  <c r="I101" i="51" s="1"/>
  <c r="I106" i="51" s="1"/>
  <c r="I78" i="51"/>
  <c r="I88" i="51" s="1"/>
  <c r="I67" i="51"/>
  <c r="I58" i="51" s="1"/>
  <c r="I57" i="51" s="1"/>
  <c r="I77" i="51"/>
  <c r="I85" i="51" l="1"/>
  <c r="J69" i="51"/>
  <c r="I84" i="51"/>
  <c r="I86" i="51"/>
  <c r="J70" i="51"/>
  <c r="I107" i="51"/>
  <c r="J110" i="51"/>
  <c r="J111" i="51" s="1"/>
  <c r="J109" i="51" s="1"/>
  <c r="J36" i="51" l="1"/>
  <c r="J113" i="51"/>
  <c r="J100" i="51" s="1"/>
  <c r="J95" i="51" l="1"/>
  <c r="J96" i="51" s="1"/>
  <c r="J105" i="51"/>
  <c r="J104" i="51"/>
  <c r="J103" i="51"/>
  <c r="J68" i="51"/>
  <c r="J90" i="51"/>
  <c r="J91" i="51" s="1"/>
  <c r="J67" i="51" l="1"/>
  <c r="J58" i="51" s="1"/>
  <c r="J57" i="51" s="1"/>
  <c r="J78" i="51"/>
  <c r="J88" i="51" s="1"/>
  <c r="J77" i="51"/>
  <c r="J102" i="51"/>
  <c r="J101" i="51" s="1"/>
  <c r="J106" i="51" s="1"/>
  <c r="J107" i="51" l="1"/>
  <c r="K110" i="51"/>
  <c r="K111" i="51" s="1"/>
  <c r="K109" i="51" s="1"/>
  <c r="K69" i="51"/>
  <c r="J84" i="51"/>
  <c r="J85" i="51"/>
  <c r="K70" i="51"/>
  <c r="J86" i="51"/>
  <c r="K36" i="51" l="1"/>
  <c r="K113" i="51"/>
  <c r="K100" i="51" s="1"/>
  <c r="K95" i="51" l="1"/>
  <c r="K96" i="51" s="1"/>
  <c r="K105" i="51"/>
  <c r="K104" i="51"/>
  <c r="K103" i="51"/>
  <c r="K90" i="51"/>
  <c r="K91" i="51" s="1"/>
  <c r="K68" i="51"/>
  <c r="K67" i="51" l="1"/>
  <c r="K58" i="51" s="1"/>
  <c r="K57" i="51" s="1"/>
  <c r="K78" i="51"/>
  <c r="K88" i="51" s="1"/>
  <c r="K77" i="51"/>
  <c r="K102" i="51"/>
  <c r="K101" i="51" s="1"/>
  <c r="L110" i="51" l="1"/>
  <c r="L111" i="51" s="1"/>
  <c r="L109" i="51" s="1"/>
  <c r="K107" i="51"/>
  <c r="K106" i="51"/>
  <c r="K84" i="51"/>
  <c r="K83" i="51"/>
  <c r="K85" i="51"/>
  <c r="L69" i="51"/>
  <c r="K86" i="51"/>
  <c r="L70" i="51"/>
  <c r="L36" i="51" l="1"/>
  <c r="L113" i="51"/>
  <c r="L100" i="51" s="1"/>
  <c r="L95" i="51" l="1"/>
  <c r="L96" i="51" s="1"/>
  <c r="L105" i="51"/>
  <c r="L104" i="51"/>
  <c r="L103" i="51"/>
  <c r="L102" i="51"/>
  <c r="L101" i="51" s="1"/>
  <c r="L68" i="51"/>
  <c r="L90" i="51"/>
  <c r="L91" i="51" s="1"/>
  <c r="M110" i="51" l="1"/>
  <c r="M111" i="51" s="1"/>
  <c r="M109" i="51" s="1"/>
  <c r="L107" i="51"/>
  <c r="L106" i="51"/>
  <c r="L67" i="51"/>
  <c r="L58" i="51" s="1"/>
  <c r="L57" i="51" s="1"/>
  <c r="L78" i="51"/>
  <c r="L88" i="51" s="1"/>
  <c r="L77" i="51"/>
  <c r="M36" i="51" l="1"/>
  <c r="M113" i="51"/>
  <c r="M100" i="51" s="1"/>
  <c r="L83" i="51"/>
  <c r="M68" i="51"/>
  <c r="M90" i="51"/>
  <c r="M91" i="51" s="1"/>
  <c r="L86" i="51"/>
  <c r="M69" i="51"/>
  <c r="L84" i="51"/>
  <c r="M70" i="51"/>
  <c r="L85" i="51"/>
  <c r="M95" i="51" l="1"/>
  <c r="M96" i="51" s="1"/>
  <c r="M103" i="51"/>
  <c r="M67" i="51"/>
  <c r="M58" i="51" s="1"/>
  <c r="M57" i="51" s="1"/>
  <c r="M78" i="51"/>
  <c r="M88" i="51" s="1"/>
  <c r="M77" i="51"/>
  <c r="M83" i="51" l="1"/>
  <c r="N70" i="51"/>
  <c r="M84" i="51"/>
  <c r="M86" i="51"/>
  <c r="M85" i="51"/>
  <c r="M102" i="51"/>
  <c r="M104" i="51"/>
  <c r="M101" i="51"/>
  <c r="M105" i="51"/>
  <c r="M106" i="51" s="1"/>
  <c r="N110" i="51" l="1"/>
  <c r="N111" i="51" s="1"/>
  <c r="N109" i="51" s="1"/>
  <c r="M107" i="51"/>
  <c r="N36" i="51" l="1"/>
  <c r="N90" i="51" l="1"/>
  <c r="N91" i="51" s="1"/>
  <c r="F33" i="50" l="1"/>
  <c r="E30" i="50"/>
  <c r="E62" i="50" s="1"/>
  <c r="F30" i="50"/>
  <c r="F62" i="50" s="1"/>
  <c r="G23" i="50"/>
  <c r="G24" i="50" s="1"/>
  <c r="C24" i="50"/>
  <c r="F24" i="50"/>
  <c r="G24" i="21"/>
  <c r="G30" i="21"/>
  <c r="G27" i="21"/>
  <c r="G27" i="50"/>
  <c r="H27" i="50" s="1"/>
  <c r="I27" i="50" s="1"/>
  <c r="J27" i="50" s="1"/>
  <c r="K27" i="50" s="1"/>
  <c r="L27" i="50" s="1"/>
  <c r="M27" i="50" s="1"/>
  <c r="N27" i="50" s="1"/>
  <c r="O27" i="50" s="1"/>
  <c r="P27" i="50" s="1"/>
  <c r="Q27" i="50" s="1"/>
  <c r="R27" i="50" s="1"/>
  <c r="S27" i="50" s="1"/>
  <c r="T27" i="50" s="1"/>
  <c r="U27" i="50" s="1"/>
  <c r="V27" i="50" s="1"/>
  <c r="W27" i="50" s="1"/>
  <c r="G23" i="21"/>
  <c r="G36" i="21"/>
  <c r="I37" i="50"/>
  <c r="J37" i="50"/>
  <c r="K37" i="50" s="1"/>
  <c r="L37" i="50" s="1"/>
  <c r="M37" i="50" s="1"/>
  <c r="N37" i="50" s="1"/>
  <c r="O37" i="50" s="1"/>
  <c r="P37" i="50" s="1"/>
  <c r="I38" i="50"/>
  <c r="J38" i="50"/>
  <c r="K38" i="50" s="1"/>
  <c r="L38" i="50" s="1"/>
  <c r="M38" i="50" s="1"/>
  <c r="N38" i="50" s="1"/>
  <c r="O38" i="50" s="1"/>
  <c r="P38" i="50" s="1"/>
  <c r="H38" i="50"/>
  <c r="H37" i="50"/>
  <c r="G38" i="50"/>
  <c r="P42" i="50"/>
  <c r="I42" i="50"/>
  <c r="J42" i="50"/>
  <c r="K42" i="50"/>
  <c r="L42" i="50"/>
  <c r="M42" i="50"/>
  <c r="N42" i="50"/>
  <c r="O42" i="50"/>
  <c r="H42" i="50"/>
  <c r="G42" i="50"/>
  <c r="L79" i="50" s="1"/>
  <c r="I79" i="50"/>
  <c r="J79" i="50"/>
  <c r="K79" i="50"/>
  <c r="H41" i="9"/>
  <c r="I41" i="9"/>
  <c r="D109" i="50"/>
  <c r="C109" i="50"/>
  <c r="C113" i="50" s="1"/>
  <c r="D107" i="50"/>
  <c r="D106" i="50"/>
  <c r="G87" i="50"/>
  <c r="H87" i="50" s="1"/>
  <c r="I87" i="50" s="1"/>
  <c r="J87" i="50" s="1"/>
  <c r="K87" i="50" s="1"/>
  <c r="L87" i="50" s="1"/>
  <c r="M87" i="50" s="1"/>
  <c r="N87" i="50" s="1"/>
  <c r="O87" i="50" s="1"/>
  <c r="P87" i="50" s="1"/>
  <c r="Q87" i="50" s="1"/>
  <c r="R87" i="50" s="1"/>
  <c r="S87" i="50" s="1"/>
  <c r="T87" i="50" s="1"/>
  <c r="U87" i="50" s="1"/>
  <c r="V87" i="50" s="1"/>
  <c r="W87" i="50" s="1"/>
  <c r="F87" i="50"/>
  <c r="F79" i="50"/>
  <c r="E79" i="50"/>
  <c r="D79" i="50"/>
  <c r="I74" i="50"/>
  <c r="H74" i="50"/>
  <c r="T73" i="50"/>
  <c r="Q73" i="50"/>
  <c r="N73" i="50"/>
  <c r="N74" i="50" s="1"/>
  <c r="M73" i="50"/>
  <c r="M74" i="50" s="1"/>
  <c r="K73" i="50"/>
  <c r="K74" i="50" s="1"/>
  <c r="D73" i="50"/>
  <c r="W72" i="50"/>
  <c r="V72" i="50"/>
  <c r="U72" i="50"/>
  <c r="T72" i="50"/>
  <c r="T74" i="50" s="1"/>
  <c r="S72" i="50"/>
  <c r="R72" i="50"/>
  <c r="Q72" i="50"/>
  <c r="Q74" i="50" s="1"/>
  <c r="P72" i="50"/>
  <c r="P74" i="50" s="1"/>
  <c r="O72" i="50"/>
  <c r="N72" i="50"/>
  <c r="M72" i="50"/>
  <c r="L72" i="50"/>
  <c r="K72" i="50"/>
  <c r="J72" i="50"/>
  <c r="I72" i="50"/>
  <c r="H72" i="50"/>
  <c r="G72" i="50"/>
  <c r="F72" i="50"/>
  <c r="E72" i="50"/>
  <c r="D72" i="50"/>
  <c r="D74" i="50" s="1"/>
  <c r="G71" i="50"/>
  <c r="F71" i="50"/>
  <c r="E71" i="50"/>
  <c r="D71" i="50"/>
  <c r="W65" i="50"/>
  <c r="U63" i="50"/>
  <c r="R63" i="50"/>
  <c r="Q63" i="50"/>
  <c r="P63" i="50"/>
  <c r="O63" i="50"/>
  <c r="H63" i="50"/>
  <c r="E63" i="50"/>
  <c r="W60" i="50"/>
  <c r="V60" i="50"/>
  <c r="U60" i="50"/>
  <c r="T60" i="50"/>
  <c r="S60" i="50"/>
  <c r="R60" i="50"/>
  <c r="Q60" i="50"/>
  <c r="P60" i="50"/>
  <c r="O60" i="50"/>
  <c r="N60" i="50"/>
  <c r="M60" i="50"/>
  <c r="L60" i="50"/>
  <c r="K60" i="50"/>
  <c r="J60" i="50"/>
  <c r="I60" i="50"/>
  <c r="H60" i="50"/>
  <c r="G60" i="50"/>
  <c r="C57" i="50"/>
  <c r="Q52" i="50"/>
  <c r="N52" i="50"/>
  <c r="K52" i="50"/>
  <c r="J52" i="50"/>
  <c r="I52" i="50"/>
  <c r="H52" i="50"/>
  <c r="D51" i="50"/>
  <c r="I50" i="50"/>
  <c r="C48" i="50"/>
  <c r="C47" i="50"/>
  <c r="W43" i="50"/>
  <c r="V43" i="50"/>
  <c r="U43" i="50"/>
  <c r="T43" i="50"/>
  <c r="S43" i="50"/>
  <c r="R43" i="50"/>
  <c r="Q43" i="50"/>
  <c r="P43" i="50"/>
  <c r="O43" i="50"/>
  <c r="N43" i="50"/>
  <c r="M43" i="50"/>
  <c r="L43" i="50"/>
  <c r="K43" i="50"/>
  <c r="J43" i="50"/>
  <c r="I43" i="50"/>
  <c r="H43" i="50"/>
  <c r="G43" i="50"/>
  <c r="F43" i="50"/>
  <c r="E43" i="50"/>
  <c r="D43" i="50"/>
  <c r="C43" i="50"/>
  <c r="W42" i="50"/>
  <c r="W79" i="50" s="1"/>
  <c r="V42" i="50"/>
  <c r="V79" i="50" s="1"/>
  <c r="U42" i="50"/>
  <c r="U79" i="50" s="1"/>
  <c r="T42" i="50"/>
  <c r="T79" i="50" s="1"/>
  <c r="S42" i="50"/>
  <c r="S79" i="50" s="1"/>
  <c r="R42" i="50"/>
  <c r="R79" i="50" s="1"/>
  <c r="Q79" i="50"/>
  <c r="P79" i="50"/>
  <c r="O79" i="50"/>
  <c r="G79" i="50"/>
  <c r="F42" i="50"/>
  <c r="E42" i="50"/>
  <c r="D42" i="50"/>
  <c r="C42" i="50"/>
  <c r="W39" i="50"/>
  <c r="V39" i="50"/>
  <c r="U39" i="50"/>
  <c r="T39" i="50"/>
  <c r="S39" i="50"/>
  <c r="R39" i="50"/>
  <c r="Q39" i="50"/>
  <c r="P39" i="50"/>
  <c r="O39" i="50"/>
  <c r="N39" i="50"/>
  <c r="M39" i="50"/>
  <c r="L39" i="50"/>
  <c r="K39" i="50"/>
  <c r="J39" i="50"/>
  <c r="I39" i="50"/>
  <c r="H39" i="50"/>
  <c r="G39" i="50"/>
  <c r="F39" i="50"/>
  <c r="E39" i="50"/>
  <c r="D39" i="50"/>
  <c r="C39" i="50"/>
  <c r="W38" i="50"/>
  <c r="V38" i="50"/>
  <c r="U38" i="50"/>
  <c r="T38" i="50"/>
  <c r="S38" i="50"/>
  <c r="R38" i="50"/>
  <c r="E38" i="50"/>
  <c r="D38" i="50"/>
  <c r="W37" i="50"/>
  <c r="V37" i="50"/>
  <c r="U37" i="50"/>
  <c r="T37" i="50"/>
  <c r="S37" i="50"/>
  <c r="R37" i="50"/>
  <c r="E37" i="50"/>
  <c r="D37" i="50"/>
  <c r="D36" i="50"/>
  <c r="C36" i="50"/>
  <c r="C33" i="50"/>
  <c r="C30" i="50"/>
  <c r="D30" i="50"/>
  <c r="D62" i="50" s="1"/>
  <c r="W19" i="50"/>
  <c r="V19" i="50"/>
  <c r="U19" i="50"/>
  <c r="T19" i="50"/>
  <c r="S19" i="50"/>
  <c r="R19" i="50"/>
  <c r="Q19" i="50"/>
  <c r="P19" i="50"/>
  <c r="O19" i="50"/>
  <c r="N19" i="50"/>
  <c r="M19" i="50"/>
  <c r="L19" i="50"/>
  <c r="K19" i="50"/>
  <c r="J19" i="50"/>
  <c r="I19" i="50"/>
  <c r="H19" i="50"/>
  <c r="G19" i="50"/>
  <c r="F19" i="50"/>
  <c r="E19" i="50"/>
  <c r="D19" i="50"/>
  <c r="C19" i="50"/>
  <c r="W18" i="50"/>
  <c r="V18" i="50"/>
  <c r="U18" i="50"/>
  <c r="T18" i="50"/>
  <c r="S18" i="50"/>
  <c r="R18" i="50"/>
  <c r="Q18" i="50"/>
  <c r="P18" i="50"/>
  <c r="O18" i="50"/>
  <c r="N18" i="50"/>
  <c r="M18" i="50"/>
  <c r="L18" i="50"/>
  <c r="K18" i="50"/>
  <c r="J18" i="50"/>
  <c r="I18" i="50"/>
  <c r="H18" i="50"/>
  <c r="G18" i="50"/>
  <c r="F18" i="50"/>
  <c r="E18" i="50"/>
  <c r="D18" i="50"/>
  <c r="C18" i="50"/>
  <c r="B17" i="50"/>
  <c r="W15" i="50"/>
  <c r="W73" i="50" s="1"/>
  <c r="W74" i="50" s="1"/>
  <c r="V15" i="50"/>
  <c r="V73" i="50" s="1"/>
  <c r="U15" i="50"/>
  <c r="U73" i="50" s="1"/>
  <c r="T15" i="50"/>
  <c r="S15" i="50"/>
  <c r="S73" i="50" s="1"/>
  <c r="R15" i="50"/>
  <c r="R73" i="50" s="1"/>
  <c r="Q15" i="50"/>
  <c r="P15" i="50"/>
  <c r="P73" i="50" s="1"/>
  <c r="O15" i="50"/>
  <c r="O73" i="50" s="1"/>
  <c r="N15" i="50"/>
  <c r="M15" i="50"/>
  <c r="L15" i="50"/>
  <c r="L73" i="50" s="1"/>
  <c r="L74" i="50" s="1"/>
  <c r="K15" i="50"/>
  <c r="J15" i="50"/>
  <c r="J73" i="50" s="1"/>
  <c r="J74" i="50" s="1"/>
  <c r="I15" i="50"/>
  <c r="I73" i="50" s="1"/>
  <c r="H15" i="50"/>
  <c r="H73" i="50" s="1"/>
  <c r="G15" i="50"/>
  <c r="G73" i="50" s="1"/>
  <c r="G74" i="50" s="1"/>
  <c r="F15" i="50"/>
  <c r="F73" i="50" s="1"/>
  <c r="E15" i="50"/>
  <c r="E73" i="50" s="1"/>
  <c r="D15" i="50"/>
  <c r="C15" i="50"/>
  <c r="W14" i="50"/>
  <c r="W63" i="50" s="1"/>
  <c r="V14" i="50"/>
  <c r="V63" i="50" s="1"/>
  <c r="U14" i="50"/>
  <c r="T14" i="50"/>
  <c r="T63" i="50" s="1"/>
  <c r="S14" i="50"/>
  <c r="S63" i="50" s="1"/>
  <c r="R14" i="50"/>
  <c r="Q14" i="50"/>
  <c r="P14" i="50"/>
  <c r="O14" i="50"/>
  <c r="N14" i="50"/>
  <c r="N63" i="50" s="1"/>
  <c r="M14" i="50"/>
  <c r="M63" i="50" s="1"/>
  <c r="L14" i="50"/>
  <c r="L63" i="50" s="1"/>
  <c r="K14" i="50"/>
  <c r="K63" i="50" s="1"/>
  <c r="J14" i="50"/>
  <c r="J63" i="50" s="1"/>
  <c r="I14" i="50"/>
  <c r="I63" i="50" s="1"/>
  <c r="H14" i="50"/>
  <c r="G14" i="50"/>
  <c r="G63" i="50" s="1"/>
  <c r="F14" i="50"/>
  <c r="F63" i="50" s="1"/>
  <c r="E14" i="50"/>
  <c r="D14" i="50"/>
  <c r="D63" i="50" s="1"/>
  <c r="C14" i="50"/>
  <c r="W13" i="50"/>
  <c r="V13" i="50"/>
  <c r="U13" i="50"/>
  <c r="T13" i="50"/>
  <c r="S13" i="50"/>
  <c r="R13" i="50"/>
  <c r="Q13" i="50"/>
  <c r="P13" i="50"/>
  <c r="O13" i="50"/>
  <c r="N13" i="50"/>
  <c r="M13" i="50"/>
  <c r="L13" i="50"/>
  <c r="K13" i="50"/>
  <c r="J13" i="50"/>
  <c r="I13" i="50"/>
  <c r="H13" i="50"/>
  <c r="F12" i="50"/>
  <c r="E12" i="50"/>
  <c r="E60" i="50" s="1"/>
  <c r="D12" i="50"/>
  <c r="D60" i="50" s="1"/>
  <c r="C12" i="50"/>
  <c r="C7" i="50"/>
  <c r="C6" i="50"/>
  <c r="J65" i="50" s="1"/>
  <c r="C5" i="50"/>
  <c r="B5" i="50"/>
  <c r="C3" i="50"/>
  <c r="D109" i="49"/>
  <c r="C109" i="49"/>
  <c r="F87" i="49"/>
  <c r="G87" i="49" s="1"/>
  <c r="H87" i="49" s="1"/>
  <c r="I87" i="49" s="1"/>
  <c r="J87" i="49" s="1"/>
  <c r="K87" i="49" s="1"/>
  <c r="L87" i="49" s="1"/>
  <c r="M87" i="49" s="1"/>
  <c r="N87" i="49" s="1"/>
  <c r="O87" i="49" s="1"/>
  <c r="P87" i="49" s="1"/>
  <c r="Q87" i="49" s="1"/>
  <c r="R87" i="49" s="1"/>
  <c r="S87" i="49" s="1"/>
  <c r="T87" i="49" s="1"/>
  <c r="U87" i="49" s="1"/>
  <c r="V87" i="49" s="1"/>
  <c r="W87" i="49" s="1"/>
  <c r="V79" i="49"/>
  <c r="U79" i="49"/>
  <c r="T79" i="49"/>
  <c r="S79" i="49"/>
  <c r="R79" i="49"/>
  <c r="Q79" i="49"/>
  <c r="P79" i="49"/>
  <c r="F79" i="49"/>
  <c r="E79" i="49"/>
  <c r="D79" i="49"/>
  <c r="W73" i="49"/>
  <c r="V73" i="49"/>
  <c r="U73" i="49"/>
  <c r="T73" i="49"/>
  <c r="S73" i="49"/>
  <c r="R73" i="49"/>
  <c r="Q73" i="49"/>
  <c r="P73" i="49"/>
  <c r="O73" i="49"/>
  <c r="N73" i="49"/>
  <c r="D73" i="49"/>
  <c r="W72" i="49"/>
  <c r="V72" i="49"/>
  <c r="U72" i="49"/>
  <c r="T72" i="49"/>
  <c r="S72" i="49"/>
  <c r="R72" i="49"/>
  <c r="Q72" i="49"/>
  <c r="P72" i="49"/>
  <c r="O72" i="49"/>
  <c r="N72" i="49"/>
  <c r="M72" i="49"/>
  <c r="G71" i="49"/>
  <c r="F71" i="49"/>
  <c r="E71" i="49"/>
  <c r="D71" i="49"/>
  <c r="D70" i="49"/>
  <c r="W63" i="49"/>
  <c r="V63" i="49"/>
  <c r="U63" i="49"/>
  <c r="T63" i="49"/>
  <c r="S63" i="49"/>
  <c r="J63" i="49"/>
  <c r="I63" i="49"/>
  <c r="H63" i="49"/>
  <c r="G63" i="49"/>
  <c r="F63" i="49"/>
  <c r="E63" i="49"/>
  <c r="D63" i="49"/>
  <c r="W60" i="49"/>
  <c r="V60" i="49"/>
  <c r="U60" i="49"/>
  <c r="T60" i="49"/>
  <c r="S60" i="49"/>
  <c r="R60" i="49"/>
  <c r="Q60" i="49"/>
  <c r="P60" i="49"/>
  <c r="O60" i="49"/>
  <c r="N60" i="49"/>
  <c r="M60" i="49"/>
  <c r="L60" i="49"/>
  <c r="K60" i="49"/>
  <c r="J60" i="49"/>
  <c r="I60" i="49"/>
  <c r="H60" i="49"/>
  <c r="G60" i="49"/>
  <c r="C57" i="49"/>
  <c r="C100" i="49" s="1"/>
  <c r="T52" i="49"/>
  <c r="S52" i="49"/>
  <c r="R52" i="49"/>
  <c r="Q52" i="49"/>
  <c r="K52" i="49"/>
  <c r="D51" i="49"/>
  <c r="C48" i="49"/>
  <c r="C47" i="49"/>
  <c r="O52" i="49" s="1"/>
  <c r="W43" i="49"/>
  <c r="V43" i="49"/>
  <c r="U43" i="49"/>
  <c r="T43" i="49"/>
  <c r="S43" i="49"/>
  <c r="R43" i="49"/>
  <c r="Q43" i="49"/>
  <c r="P43" i="49"/>
  <c r="O43" i="49"/>
  <c r="N43" i="49"/>
  <c r="M43" i="49"/>
  <c r="L43" i="49"/>
  <c r="K43" i="49"/>
  <c r="J43" i="49"/>
  <c r="I43" i="49"/>
  <c r="H43" i="49"/>
  <c r="G43" i="49"/>
  <c r="F43" i="49"/>
  <c r="E43" i="49"/>
  <c r="D43" i="49"/>
  <c r="C43" i="49"/>
  <c r="W42" i="49"/>
  <c r="W79" i="49" s="1"/>
  <c r="V42" i="49"/>
  <c r="U42" i="49"/>
  <c r="T42" i="49"/>
  <c r="S42" i="49"/>
  <c r="R42" i="49"/>
  <c r="Q42" i="49"/>
  <c r="P42" i="49"/>
  <c r="O42" i="49"/>
  <c r="O79" i="49" s="1"/>
  <c r="N42" i="49"/>
  <c r="N79" i="49" s="1"/>
  <c r="M42" i="49"/>
  <c r="M79" i="49" s="1"/>
  <c r="L42" i="49"/>
  <c r="L79" i="49" s="1"/>
  <c r="K42" i="49"/>
  <c r="K79" i="49" s="1"/>
  <c r="J42" i="49"/>
  <c r="J79" i="49" s="1"/>
  <c r="I42" i="49"/>
  <c r="I79" i="49" s="1"/>
  <c r="H42" i="49"/>
  <c r="H79" i="49" s="1"/>
  <c r="G42" i="49"/>
  <c r="F42" i="49"/>
  <c r="E42" i="49"/>
  <c r="D42" i="49"/>
  <c r="C42" i="49"/>
  <c r="W39" i="49"/>
  <c r="V39" i="49"/>
  <c r="U39" i="49"/>
  <c r="T39" i="49"/>
  <c r="S39" i="49"/>
  <c r="R39" i="49"/>
  <c r="Q39" i="49"/>
  <c r="P39" i="49"/>
  <c r="O39" i="49"/>
  <c r="N39" i="49"/>
  <c r="M39" i="49"/>
  <c r="L39" i="49"/>
  <c r="K39" i="49"/>
  <c r="J39" i="49"/>
  <c r="I39" i="49"/>
  <c r="H39" i="49"/>
  <c r="G39" i="49"/>
  <c r="F39" i="49"/>
  <c r="E39" i="49"/>
  <c r="D39" i="49"/>
  <c r="C39" i="49"/>
  <c r="W38" i="49"/>
  <c r="V38" i="49"/>
  <c r="U38" i="49"/>
  <c r="T38" i="49"/>
  <c r="S38" i="49"/>
  <c r="R38" i="49"/>
  <c r="Q38" i="49"/>
  <c r="P38" i="49"/>
  <c r="O38" i="49"/>
  <c r="G38" i="49"/>
  <c r="H38" i="49" s="1"/>
  <c r="I38" i="49" s="1"/>
  <c r="J38" i="49" s="1"/>
  <c r="K38" i="49" s="1"/>
  <c r="L38" i="49" s="1"/>
  <c r="M38" i="49" s="1"/>
  <c r="N38" i="49" s="1"/>
  <c r="F38" i="49"/>
  <c r="E38" i="49"/>
  <c r="D38" i="49"/>
  <c r="W37" i="49"/>
  <c r="V37" i="49"/>
  <c r="U37" i="49"/>
  <c r="T37" i="49"/>
  <c r="S37" i="49"/>
  <c r="R37" i="49"/>
  <c r="Q37" i="49"/>
  <c r="P37" i="49"/>
  <c r="O37" i="49"/>
  <c r="G37" i="49"/>
  <c r="H37" i="49" s="1"/>
  <c r="I37" i="49" s="1"/>
  <c r="J37" i="49" s="1"/>
  <c r="K37" i="49" s="1"/>
  <c r="L37" i="49" s="1"/>
  <c r="M37" i="49" s="1"/>
  <c r="N37" i="49" s="1"/>
  <c r="F37" i="49"/>
  <c r="E37" i="49"/>
  <c r="D37" i="49"/>
  <c r="G36" i="49"/>
  <c r="F36" i="49"/>
  <c r="E36" i="49"/>
  <c r="D36" i="49"/>
  <c r="C36" i="49"/>
  <c r="C30" i="49"/>
  <c r="C27" i="49"/>
  <c r="D27" i="49" s="1"/>
  <c r="F24" i="49"/>
  <c r="F33" i="49" s="1"/>
  <c r="E24" i="49"/>
  <c r="E33" i="49" s="1"/>
  <c r="D24" i="49"/>
  <c r="D33" i="49" s="1"/>
  <c r="C24" i="49"/>
  <c r="C33" i="49" s="1"/>
  <c r="F23" i="49"/>
  <c r="E23" i="49"/>
  <c r="D23" i="49"/>
  <c r="C23" i="49"/>
  <c r="W19" i="49"/>
  <c r="V19" i="49"/>
  <c r="U19" i="49"/>
  <c r="T19" i="49"/>
  <c r="S19" i="49"/>
  <c r="R19" i="49"/>
  <c r="Q19" i="49"/>
  <c r="P19" i="49"/>
  <c r="O19" i="49"/>
  <c r="N19" i="49"/>
  <c r="M19" i="49"/>
  <c r="L19" i="49"/>
  <c r="K19" i="49"/>
  <c r="J19" i="49"/>
  <c r="I19" i="49"/>
  <c r="H19" i="49"/>
  <c r="G19" i="49"/>
  <c r="F19" i="49"/>
  <c r="E19" i="49"/>
  <c r="D19" i="49"/>
  <c r="C19" i="49"/>
  <c r="W18" i="49"/>
  <c r="V18" i="49"/>
  <c r="U18" i="49"/>
  <c r="T18" i="49"/>
  <c r="S18" i="49"/>
  <c r="R18" i="49"/>
  <c r="Q18" i="49"/>
  <c r="P18" i="49"/>
  <c r="O18" i="49"/>
  <c r="N18" i="49"/>
  <c r="M18" i="49"/>
  <c r="L18" i="49"/>
  <c r="K18" i="49"/>
  <c r="J18" i="49"/>
  <c r="I18" i="49"/>
  <c r="H18" i="49"/>
  <c r="G18" i="49"/>
  <c r="F18" i="49"/>
  <c r="E18" i="49"/>
  <c r="D18" i="49"/>
  <c r="C18" i="49"/>
  <c r="B17" i="49"/>
  <c r="W15" i="49"/>
  <c r="V15" i="49"/>
  <c r="U15" i="49"/>
  <c r="T15" i="49"/>
  <c r="S15" i="49"/>
  <c r="R15" i="49"/>
  <c r="Q15" i="49"/>
  <c r="P15" i="49"/>
  <c r="O15" i="49"/>
  <c r="N15" i="49"/>
  <c r="M15" i="49"/>
  <c r="M73" i="49" s="1"/>
  <c r="L15" i="49"/>
  <c r="L73" i="49" s="1"/>
  <c r="K15" i="49"/>
  <c r="K73" i="49" s="1"/>
  <c r="J15" i="49"/>
  <c r="J73" i="49" s="1"/>
  <c r="I15" i="49"/>
  <c r="I73" i="49" s="1"/>
  <c r="H15" i="49"/>
  <c r="H73" i="49" s="1"/>
  <c r="G15" i="49"/>
  <c r="G73" i="49" s="1"/>
  <c r="F15" i="49"/>
  <c r="F73" i="49" s="1"/>
  <c r="E15" i="49"/>
  <c r="E73" i="49" s="1"/>
  <c r="D15" i="49"/>
  <c r="C15" i="49"/>
  <c r="W14" i="49"/>
  <c r="V14" i="49"/>
  <c r="U14" i="49"/>
  <c r="T14" i="49"/>
  <c r="S14" i="49"/>
  <c r="R14" i="49"/>
  <c r="R63" i="49" s="1"/>
  <c r="Q14" i="49"/>
  <c r="Q63" i="49" s="1"/>
  <c r="P14" i="49"/>
  <c r="P63" i="49" s="1"/>
  <c r="O14" i="49"/>
  <c r="O63" i="49" s="1"/>
  <c r="N14" i="49"/>
  <c r="N63" i="49" s="1"/>
  <c r="M14" i="49"/>
  <c r="M63" i="49" s="1"/>
  <c r="L14" i="49"/>
  <c r="L63" i="49" s="1"/>
  <c r="K14" i="49"/>
  <c r="K63" i="49" s="1"/>
  <c r="J14" i="49"/>
  <c r="I14" i="49"/>
  <c r="H14" i="49"/>
  <c r="G14" i="49"/>
  <c r="F14" i="49"/>
  <c r="E14" i="49"/>
  <c r="D14" i="49"/>
  <c r="C14" i="49"/>
  <c r="W13" i="49"/>
  <c r="V13" i="49"/>
  <c r="U13" i="49"/>
  <c r="T13" i="49"/>
  <c r="S13" i="49"/>
  <c r="R13" i="49"/>
  <c r="Q13" i="49"/>
  <c r="P13" i="49"/>
  <c r="O13" i="49"/>
  <c r="N13" i="49"/>
  <c r="M13" i="49"/>
  <c r="L13" i="49"/>
  <c r="K13" i="49"/>
  <c r="J13" i="49"/>
  <c r="I13" i="49"/>
  <c r="H13" i="49"/>
  <c r="F12" i="49"/>
  <c r="G13" i="49" s="1"/>
  <c r="E12" i="49"/>
  <c r="E60" i="49" s="1"/>
  <c r="D12" i="49"/>
  <c r="D60" i="49" s="1"/>
  <c r="C12" i="49"/>
  <c r="C5" i="49"/>
  <c r="B5" i="49"/>
  <c r="C3" i="49"/>
  <c r="G60" i="47"/>
  <c r="H12" i="47"/>
  <c r="I12" i="47" s="1"/>
  <c r="G12" i="47"/>
  <c r="F60" i="47"/>
  <c r="C113" i="47"/>
  <c r="D109" i="47"/>
  <c r="D113" i="47" s="1"/>
  <c r="C109" i="47"/>
  <c r="G87" i="47"/>
  <c r="H87" i="47" s="1"/>
  <c r="I87" i="47" s="1"/>
  <c r="J87" i="47" s="1"/>
  <c r="K87" i="47" s="1"/>
  <c r="L87" i="47" s="1"/>
  <c r="M87" i="47" s="1"/>
  <c r="N87" i="47" s="1"/>
  <c r="O87" i="47" s="1"/>
  <c r="P87" i="47" s="1"/>
  <c r="Q87" i="47" s="1"/>
  <c r="R87" i="47" s="1"/>
  <c r="S87" i="47" s="1"/>
  <c r="T87" i="47" s="1"/>
  <c r="U87" i="47" s="1"/>
  <c r="V87" i="47" s="1"/>
  <c r="W87" i="47" s="1"/>
  <c r="F87" i="47"/>
  <c r="F79" i="47"/>
  <c r="E79" i="47"/>
  <c r="D79" i="47"/>
  <c r="S74" i="47"/>
  <c r="R74" i="47"/>
  <c r="Q74" i="47"/>
  <c r="W73" i="47"/>
  <c r="W74" i="47" s="1"/>
  <c r="N73" i="47"/>
  <c r="M73" i="47"/>
  <c r="K73" i="47"/>
  <c r="J73" i="47"/>
  <c r="W72" i="47"/>
  <c r="V72" i="47"/>
  <c r="U72" i="47"/>
  <c r="T72" i="47"/>
  <c r="S72" i="47"/>
  <c r="R72" i="47"/>
  <c r="Q72" i="47"/>
  <c r="P72" i="47"/>
  <c r="O72" i="47"/>
  <c r="O74" i="47" s="1"/>
  <c r="N72" i="47"/>
  <c r="N74" i="47" s="1"/>
  <c r="M72" i="47"/>
  <c r="M74" i="47" s="1"/>
  <c r="L72" i="47"/>
  <c r="K72" i="47"/>
  <c r="J72" i="47"/>
  <c r="I72" i="47"/>
  <c r="H72" i="47"/>
  <c r="G72" i="47"/>
  <c r="F72" i="47"/>
  <c r="E72" i="47"/>
  <c r="D72" i="47"/>
  <c r="G71" i="47"/>
  <c r="F71" i="47"/>
  <c r="E71" i="47"/>
  <c r="D71" i="47"/>
  <c r="D70" i="47"/>
  <c r="R63" i="47"/>
  <c r="P63" i="47"/>
  <c r="O63" i="47"/>
  <c r="I63" i="47"/>
  <c r="H63" i="47"/>
  <c r="H60" i="47"/>
  <c r="E60" i="47"/>
  <c r="D60" i="47"/>
  <c r="C57" i="47"/>
  <c r="H52" i="47"/>
  <c r="G52" i="47"/>
  <c r="F52" i="47"/>
  <c r="E52" i="47"/>
  <c r="D51" i="47"/>
  <c r="C48" i="47"/>
  <c r="C47" i="47"/>
  <c r="W43" i="47"/>
  <c r="V43" i="47"/>
  <c r="U43" i="47"/>
  <c r="T43" i="47"/>
  <c r="S43" i="47"/>
  <c r="R43" i="47"/>
  <c r="Q43" i="47"/>
  <c r="P43" i="47"/>
  <c r="O43" i="47"/>
  <c r="N43" i="47"/>
  <c r="M43" i="47"/>
  <c r="L43" i="47"/>
  <c r="K43" i="47"/>
  <c r="J43" i="47"/>
  <c r="I43" i="47"/>
  <c r="H43" i="47"/>
  <c r="G43" i="47"/>
  <c r="F43" i="47"/>
  <c r="E43" i="47"/>
  <c r="D43" i="47"/>
  <c r="C43" i="47"/>
  <c r="W42" i="47"/>
  <c r="V42" i="47"/>
  <c r="U42" i="47"/>
  <c r="T42" i="47"/>
  <c r="S42" i="47"/>
  <c r="R42" i="47"/>
  <c r="Q42" i="47"/>
  <c r="P42" i="47"/>
  <c r="O42" i="47"/>
  <c r="N42" i="47"/>
  <c r="M42" i="47"/>
  <c r="L42" i="47"/>
  <c r="K42" i="47"/>
  <c r="J42" i="47"/>
  <c r="I42" i="47"/>
  <c r="H42" i="47"/>
  <c r="G42" i="47"/>
  <c r="F42" i="47"/>
  <c r="E42" i="47"/>
  <c r="D42" i="47"/>
  <c r="C42" i="47"/>
  <c r="W39" i="47"/>
  <c r="V39" i="47"/>
  <c r="U39" i="47"/>
  <c r="T39" i="47"/>
  <c r="S39" i="47"/>
  <c r="R39" i="47"/>
  <c r="Q39" i="47"/>
  <c r="P39" i="47"/>
  <c r="O39" i="47"/>
  <c r="N39" i="47"/>
  <c r="M39" i="47"/>
  <c r="L39" i="47"/>
  <c r="K39" i="47"/>
  <c r="J39" i="47"/>
  <c r="I39" i="47"/>
  <c r="H39" i="47"/>
  <c r="G39" i="47"/>
  <c r="F39" i="47"/>
  <c r="E39" i="47"/>
  <c r="D39" i="47"/>
  <c r="C39" i="47"/>
  <c r="W38" i="47"/>
  <c r="V38" i="47"/>
  <c r="U38" i="47"/>
  <c r="T38" i="47"/>
  <c r="S38" i="47"/>
  <c r="R38" i="47"/>
  <c r="Q38" i="47"/>
  <c r="P38" i="47"/>
  <c r="O38" i="47"/>
  <c r="G38" i="47"/>
  <c r="H38" i="47" s="1"/>
  <c r="I38" i="47" s="1"/>
  <c r="J38" i="47" s="1"/>
  <c r="K38" i="47" s="1"/>
  <c r="L38" i="47" s="1"/>
  <c r="M38" i="47" s="1"/>
  <c r="N38" i="47" s="1"/>
  <c r="F38" i="47"/>
  <c r="E38" i="47"/>
  <c r="D38" i="47"/>
  <c r="W37" i="47"/>
  <c r="V37" i="47"/>
  <c r="U37" i="47"/>
  <c r="T37" i="47"/>
  <c r="S37" i="47"/>
  <c r="R37" i="47"/>
  <c r="Q37" i="47"/>
  <c r="P37" i="47"/>
  <c r="O37" i="47"/>
  <c r="G37" i="47"/>
  <c r="H37" i="47" s="1"/>
  <c r="I37" i="47" s="1"/>
  <c r="J37" i="47" s="1"/>
  <c r="K37" i="47" s="1"/>
  <c r="L37" i="47" s="1"/>
  <c r="M37" i="47" s="1"/>
  <c r="N37" i="47" s="1"/>
  <c r="F37" i="47"/>
  <c r="E37" i="47"/>
  <c r="D37" i="47"/>
  <c r="G36" i="47"/>
  <c r="F36" i="47"/>
  <c r="E36" i="47"/>
  <c r="D36" i="47"/>
  <c r="C36" i="47"/>
  <c r="E33" i="47"/>
  <c r="D33" i="47"/>
  <c r="D69" i="47" s="1"/>
  <c r="C33" i="47"/>
  <c r="D30" i="47"/>
  <c r="C30" i="47"/>
  <c r="C27" i="47"/>
  <c r="D27" i="47" s="1"/>
  <c r="E27" i="47" s="1"/>
  <c r="F27" i="47" s="1"/>
  <c r="G27" i="47" s="1"/>
  <c r="H27" i="47" s="1"/>
  <c r="I27" i="47" s="1"/>
  <c r="J27" i="47" s="1"/>
  <c r="K27" i="47" s="1"/>
  <c r="L27" i="47" s="1"/>
  <c r="M27" i="47" s="1"/>
  <c r="N27" i="47" s="1"/>
  <c r="O27" i="47" s="1"/>
  <c r="P27" i="47" s="1"/>
  <c r="Q27" i="47" s="1"/>
  <c r="R27" i="47" s="1"/>
  <c r="S27" i="47" s="1"/>
  <c r="T27" i="47" s="1"/>
  <c r="U27" i="47" s="1"/>
  <c r="V27" i="47" s="1"/>
  <c r="W27" i="47" s="1"/>
  <c r="F24" i="47"/>
  <c r="F33" i="47" s="1"/>
  <c r="E24" i="47"/>
  <c r="D24" i="47"/>
  <c r="C24" i="47"/>
  <c r="F23" i="47"/>
  <c r="F30" i="47" s="1"/>
  <c r="E23" i="47"/>
  <c r="E30" i="47" s="1"/>
  <c r="E62" i="47" s="1"/>
  <c r="D23" i="47"/>
  <c r="C23" i="47"/>
  <c r="W19" i="47"/>
  <c r="V19" i="47"/>
  <c r="U19" i="47"/>
  <c r="T19" i="47"/>
  <c r="S19" i="47"/>
  <c r="R19" i="47"/>
  <c r="Q19" i="47"/>
  <c r="P19" i="47"/>
  <c r="O19" i="47"/>
  <c r="N19" i="47"/>
  <c r="M19" i="47"/>
  <c r="L19" i="47"/>
  <c r="K19" i="47"/>
  <c r="J19" i="47"/>
  <c r="I19" i="47"/>
  <c r="H19" i="47"/>
  <c r="G19" i="47"/>
  <c r="F19" i="47"/>
  <c r="E19" i="47"/>
  <c r="D19" i="47"/>
  <c r="C19" i="47"/>
  <c r="W18" i="47"/>
  <c r="V18" i="47"/>
  <c r="U18" i="47"/>
  <c r="T18" i="47"/>
  <c r="S18" i="47"/>
  <c r="R18" i="47"/>
  <c r="Q18" i="47"/>
  <c r="P18" i="47"/>
  <c r="O18" i="47"/>
  <c r="N18" i="47"/>
  <c r="M18" i="47"/>
  <c r="L18" i="47"/>
  <c r="K18" i="47"/>
  <c r="J18" i="47"/>
  <c r="I18" i="47"/>
  <c r="H18" i="47"/>
  <c r="G18" i="47"/>
  <c r="F18" i="47"/>
  <c r="E18" i="47"/>
  <c r="D18" i="47"/>
  <c r="C18" i="47"/>
  <c r="B17" i="47"/>
  <c r="W15" i="47"/>
  <c r="V15" i="47"/>
  <c r="V73" i="47" s="1"/>
  <c r="V74" i="47" s="1"/>
  <c r="U15" i="47"/>
  <c r="U73" i="47" s="1"/>
  <c r="U74" i="47" s="1"/>
  <c r="T15" i="47"/>
  <c r="T73" i="47" s="1"/>
  <c r="T74" i="47" s="1"/>
  <c r="S15" i="47"/>
  <c r="S73" i="47" s="1"/>
  <c r="R15" i="47"/>
  <c r="R73" i="47" s="1"/>
  <c r="Q15" i="47"/>
  <c r="Q73" i="47" s="1"/>
  <c r="P15" i="47"/>
  <c r="P73" i="47" s="1"/>
  <c r="P74" i="47" s="1"/>
  <c r="O15" i="47"/>
  <c r="O73" i="47" s="1"/>
  <c r="N15" i="47"/>
  <c r="M15" i="47"/>
  <c r="L15" i="47"/>
  <c r="L73" i="47" s="1"/>
  <c r="K15" i="47"/>
  <c r="J15" i="47"/>
  <c r="I15" i="47"/>
  <c r="I73" i="47" s="1"/>
  <c r="H15" i="47"/>
  <c r="H73" i="47" s="1"/>
  <c r="G15" i="47"/>
  <c r="G73" i="47" s="1"/>
  <c r="G74" i="47" s="1"/>
  <c r="F15" i="47"/>
  <c r="F73" i="47" s="1"/>
  <c r="E15" i="47"/>
  <c r="E73" i="47" s="1"/>
  <c r="E74" i="47" s="1"/>
  <c r="D15" i="47"/>
  <c r="D73" i="47" s="1"/>
  <c r="D74" i="47" s="1"/>
  <c r="C15" i="47"/>
  <c r="W14" i="47"/>
  <c r="W63" i="47" s="1"/>
  <c r="V14" i="47"/>
  <c r="V63" i="47" s="1"/>
  <c r="U14" i="47"/>
  <c r="U63" i="47" s="1"/>
  <c r="T14" i="47"/>
  <c r="T63" i="47" s="1"/>
  <c r="S14" i="47"/>
  <c r="S63" i="47" s="1"/>
  <c r="R14" i="47"/>
  <c r="Q14" i="47"/>
  <c r="Q63" i="47" s="1"/>
  <c r="P14" i="47"/>
  <c r="O14" i="47"/>
  <c r="N14" i="47"/>
  <c r="N63" i="47" s="1"/>
  <c r="M14" i="47"/>
  <c r="M63" i="47" s="1"/>
  <c r="L14" i="47"/>
  <c r="L63" i="47" s="1"/>
  <c r="K14" i="47"/>
  <c r="K63" i="47" s="1"/>
  <c r="J14" i="47"/>
  <c r="J63" i="47" s="1"/>
  <c r="I14" i="47"/>
  <c r="H14" i="47"/>
  <c r="G14" i="47"/>
  <c r="G63" i="47" s="1"/>
  <c r="F14" i="47"/>
  <c r="F63" i="47" s="1"/>
  <c r="E14" i="47"/>
  <c r="E63" i="47" s="1"/>
  <c r="D14" i="47"/>
  <c r="D63" i="47" s="1"/>
  <c r="C14" i="47"/>
  <c r="F12" i="47"/>
  <c r="E12" i="47"/>
  <c r="D12" i="47"/>
  <c r="C12" i="47"/>
  <c r="C5" i="47"/>
  <c r="B5" i="47"/>
  <c r="C3" i="47"/>
  <c r="D109" i="46"/>
  <c r="D113" i="46" s="1"/>
  <c r="C109" i="46"/>
  <c r="G87" i="46"/>
  <c r="H87" i="46" s="1"/>
  <c r="I87" i="46" s="1"/>
  <c r="J87" i="46" s="1"/>
  <c r="K87" i="46" s="1"/>
  <c r="L87" i="46" s="1"/>
  <c r="M87" i="46" s="1"/>
  <c r="N87" i="46" s="1"/>
  <c r="O87" i="46" s="1"/>
  <c r="P87" i="46" s="1"/>
  <c r="Q87" i="46" s="1"/>
  <c r="R87" i="46" s="1"/>
  <c r="S87" i="46" s="1"/>
  <c r="T87" i="46" s="1"/>
  <c r="U87" i="46" s="1"/>
  <c r="V87" i="46" s="1"/>
  <c r="W87" i="46" s="1"/>
  <c r="F87" i="46"/>
  <c r="F79" i="46"/>
  <c r="E79" i="46"/>
  <c r="D79" i="46"/>
  <c r="V73" i="46"/>
  <c r="V74" i="46" s="1"/>
  <c r="N73" i="46"/>
  <c r="M73" i="46"/>
  <c r="L73" i="46"/>
  <c r="W72" i="46"/>
  <c r="W74" i="46" s="1"/>
  <c r="V72" i="46"/>
  <c r="U72" i="46"/>
  <c r="T72" i="46"/>
  <c r="S72" i="46"/>
  <c r="R72" i="46"/>
  <c r="Q72" i="46"/>
  <c r="P72" i="46"/>
  <c r="O72" i="46"/>
  <c r="N72" i="46"/>
  <c r="N74" i="46" s="1"/>
  <c r="M72" i="46"/>
  <c r="M74" i="46" s="1"/>
  <c r="L72" i="46"/>
  <c r="K72" i="46"/>
  <c r="J72" i="46"/>
  <c r="I72" i="46"/>
  <c r="H72" i="46"/>
  <c r="G72" i="46"/>
  <c r="F72" i="46"/>
  <c r="E72" i="46"/>
  <c r="D72" i="46"/>
  <c r="G71" i="46"/>
  <c r="F71" i="46"/>
  <c r="E71" i="46"/>
  <c r="D71" i="46"/>
  <c r="E65" i="46"/>
  <c r="R63" i="46"/>
  <c r="Q63" i="46"/>
  <c r="P63" i="46"/>
  <c r="J63" i="46"/>
  <c r="H63" i="46"/>
  <c r="W60" i="46"/>
  <c r="V60" i="46"/>
  <c r="U60" i="46"/>
  <c r="T60" i="46"/>
  <c r="S60" i="46"/>
  <c r="R60" i="46"/>
  <c r="Q60" i="46"/>
  <c r="P60" i="46"/>
  <c r="O60" i="46"/>
  <c r="N60" i="46"/>
  <c r="M60" i="46"/>
  <c r="L60" i="46"/>
  <c r="K60" i="46"/>
  <c r="J60" i="46"/>
  <c r="I60" i="46"/>
  <c r="H60" i="46"/>
  <c r="G60" i="46"/>
  <c r="E60" i="46"/>
  <c r="C57" i="46"/>
  <c r="C100" i="46" s="1"/>
  <c r="I52" i="46"/>
  <c r="D51" i="46"/>
  <c r="L50" i="46"/>
  <c r="K50" i="46"/>
  <c r="J50" i="46"/>
  <c r="I50" i="46"/>
  <c r="C48" i="46"/>
  <c r="C47" i="46"/>
  <c r="H52" i="46" s="1"/>
  <c r="W43" i="46"/>
  <c r="V43" i="46"/>
  <c r="U43" i="46"/>
  <c r="T43" i="46"/>
  <c r="S43" i="46"/>
  <c r="R43" i="46"/>
  <c r="Q43" i="46"/>
  <c r="P43" i="46"/>
  <c r="O43" i="46"/>
  <c r="N43" i="46"/>
  <c r="M43" i="46"/>
  <c r="L43" i="46"/>
  <c r="K43" i="46"/>
  <c r="J43" i="46"/>
  <c r="I43" i="46"/>
  <c r="H43" i="46"/>
  <c r="G43" i="46"/>
  <c r="F43" i="46"/>
  <c r="E43" i="46"/>
  <c r="D43" i="46"/>
  <c r="C43" i="46"/>
  <c r="W42" i="46"/>
  <c r="W79" i="46" s="1"/>
  <c r="V42" i="46"/>
  <c r="V79" i="46" s="1"/>
  <c r="U42" i="46"/>
  <c r="U79" i="46" s="1"/>
  <c r="T42" i="46"/>
  <c r="T79" i="46" s="1"/>
  <c r="S42" i="46"/>
  <c r="S79" i="46" s="1"/>
  <c r="R42" i="46"/>
  <c r="R79" i="46" s="1"/>
  <c r="Q42" i="46"/>
  <c r="Q79" i="46" s="1"/>
  <c r="P42" i="46"/>
  <c r="P79" i="46" s="1"/>
  <c r="O42" i="46"/>
  <c r="O79" i="46" s="1"/>
  <c r="N42" i="46"/>
  <c r="N79" i="46" s="1"/>
  <c r="M42" i="46"/>
  <c r="M79" i="46" s="1"/>
  <c r="L42" i="46"/>
  <c r="L79" i="46" s="1"/>
  <c r="K42" i="46"/>
  <c r="K79" i="46" s="1"/>
  <c r="J42" i="46"/>
  <c r="J79" i="46" s="1"/>
  <c r="I42" i="46"/>
  <c r="I79" i="46" s="1"/>
  <c r="H42" i="46"/>
  <c r="H79" i="46" s="1"/>
  <c r="G42" i="46"/>
  <c r="G79" i="46" s="1"/>
  <c r="D81" i="46" s="1"/>
  <c r="F42" i="46"/>
  <c r="E42" i="46"/>
  <c r="D42" i="46"/>
  <c r="D70" i="46" s="1"/>
  <c r="C42" i="46"/>
  <c r="W39" i="46"/>
  <c r="V39" i="46"/>
  <c r="U39" i="46"/>
  <c r="T39" i="46"/>
  <c r="S39" i="46"/>
  <c r="R39" i="46"/>
  <c r="Q39" i="46"/>
  <c r="P39" i="46"/>
  <c r="O39" i="46"/>
  <c r="N39" i="46"/>
  <c r="M39" i="46"/>
  <c r="L39" i="46"/>
  <c r="K39" i="46"/>
  <c r="J39" i="46"/>
  <c r="I39" i="46"/>
  <c r="H39" i="46"/>
  <c r="G39" i="46"/>
  <c r="F39" i="46"/>
  <c r="E39" i="46"/>
  <c r="D39" i="46"/>
  <c r="C39" i="46"/>
  <c r="W38" i="46"/>
  <c r="V38" i="46"/>
  <c r="U38" i="46"/>
  <c r="T38" i="46"/>
  <c r="S38" i="46"/>
  <c r="R38" i="46"/>
  <c r="Q38" i="46"/>
  <c r="P38" i="46"/>
  <c r="O38" i="46"/>
  <c r="N38" i="46"/>
  <c r="G38" i="46"/>
  <c r="H38" i="46" s="1"/>
  <c r="I38" i="46" s="1"/>
  <c r="J38" i="46" s="1"/>
  <c r="K38" i="46" s="1"/>
  <c r="L38" i="46" s="1"/>
  <c r="M38" i="46" s="1"/>
  <c r="F38" i="46"/>
  <c r="E38" i="46"/>
  <c r="D38" i="46"/>
  <c r="W37" i="46"/>
  <c r="V37" i="46"/>
  <c r="U37" i="46"/>
  <c r="T37" i="46"/>
  <c r="S37" i="46"/>
  <c r="R37" i="46"/>
  <c r="Q37" i="46"/>
  <c r="P37" i="46"/>
  <c r="O37" i="46"/>
  <c r="G37" i="46"/>
  <c r="H37" i="46" s="1"/>
  <c r="I37" i="46" s="1"/>
  <c r="J37" i="46" s="1"/>
  <c r="K37" i="46" s="1"/>
  <c r="L37" i="46" s="1"/>
  <c r="M37" i="46" s="1"/>
  <c r="N37" i="46" s="1"/>
  <c r="F37" i="46"/>
  <c r="E37" i="46"/>
  <c r="D37" i="46"/>
  <c r="G36" i="46"/>
  <c r="F36" i="46"/>
  <c r="E36" i="46"/>
  <c r="D36" i="46"/>
  <c r="C36" i="46"/>
  <c r="E33" i="46"/>
  <c r="D33" i="46"/>
  <c r="D69" i="46" s="1"/>
  <c r="C30" i="46"/>
  <c r="F24" i="46"/>
  <c r="E24" i="46"/>
  <c r="D24" i="46"/>
  <c r="C24" i="46"/>
  <c r="C33" i="46" s="1"/>
  <c r="F23" i="46"/>
  <c r="E23" i="46"/>
  <c r="D23" i="46"/>
  <c r="C23" i="46"/>
  <c r="W19" i="46"/>
  <c r="V19" i="46"/>
  <c r="U19" i="46"/>
  <c r="T19" i="46"/>
  <c r="S19" i="46"/>
  <c r="R19" i="46"/>
  <c r="Q19" i="46"/>
  <c r="P19" i="46"/>
  <c r="O19" i="46"/>
  <c r="N19" i="46"/>
  <c r="M19" i="46"/>
  <c r="L19" i="46"/>
  <c r="K19" i="46"/>
  <c r="J19" i="46"/>
  <c r="I19" i="46"/>
  <c r="H19" i="46"/>
  <c r="G19" i="46"/>
  <c r="F19" i="46"/>
  <c r="E19" i="46"/>
  <c r="D19" i="46"/>
  <c r="C19" i="46"/>
  <c r="W18" i="46"/>
  <c r="V18" i="46"/>
  <c r="U18" i="46"/>
  <c r="T18" i="46"/>
  <c r="S18" i="46"/>
  <c r="R18" i="46"/>
  <c r="Q18" i="46"/>
  <c r="P18" i="46"/>
  <c r="O18" i="46"/>
  <c r="N18" i="46"/>
  <c r="M18" i="46"/>
  <c r="L18" i="46"/>
  <c r="K18" i="46"/>
  <c r="J18" i="46"/>
  <c r="I18" i="46"/>
  <c r="H18" i="46"/>
  <c r="G18" i="46"/>
  <c r="F18" i="46"/>
  <c r="E18" i="46"/>
  <c r="D18" i="46"/>
  <c r="C18" i="46"/>
  <c r="B17" i="46"/>
  <c r="W15" i="46"/>
  <c r="W73" i="46" s="1"/>
  <c r="V15" i="46"/>
  <c r="U15" i="46"/>
  <c r="U73" i="46" s="1"/>
  <c r="U74" i="46" s="1"/>
  <c r="T15" i="46"/>
  <c r="T73" i="46" s="1"/>
  <c r="T74" i="46" s="1"/>
  <c r="S15" i="46"/>
  <c r="S73" i="46" s="1"/>
  <c r="S74" i="46" s="1"/>
  <c r="R15" i="46"/>
  <c r="R73" i="46" s="1"/>
  <c r="R74" i="46" s="1"/>
  <c r="Q15" i="46"/>
  <c r="Q73" i="46" s="1"/>
  <c r="P15" i="46"/>
  <c r="P73" i="46" s="1"/>
  <c r="P74" i="46" s="1"/>
  <c r="O15" i="46"/>
  <c r="O73" i="46" s="1"/>
  <c r="N15" i="46"/>
  <c r="M15" i="46"/>
  <c r="L15" i="46"/>
  <c r="K15" i="46"/>
  <c r="K73" i="46" s="1"/>
  <c r="J15" i="46"/>
  <c r="J73" i="46" s="1"/>
  <c r="I15" i="46"/>
  <c r="I73" i="46" s="1"/>
  <c r="H15" i="46"/>
  <c r="H73" i="46" s="1"/>
  <c r="G15" i="46"/>
  <c r="G73" i="46" s="1"/>
  <c r="F15" i="46"/>
  <c r="F73" i="46" s="1"/>
  <c r="E15" i="46"/>
  <c r="E73" i="46" s="1"/>
  <c r="D15" i="46"/>
  <c r="D73" i="46" s="1"/>
  <c r="C15" i="46"/>
  <c r="W14" i="46"/>
  <c r="W63" i="46" s="1"/>
  <c r="V14" i="46"/>
  <c r="V63" i="46" s="1"/>
  <c r="U14" i="46"/>
  <c r="U63" i="46" s="1"/>
  <c r="T14" i="46"/>
  <c r="T63" i="46" s="1"/>
  <c r="S14" i="46"/>
  <c r="S63" i="46" s="1"/>
  <c r="R14" i="46"/>
  <c r="Q14" i="46"/>
  <c r="P14" i="46"/>
  <c r="O14" i="46"/>
  <c r="O63" i="46" s="1"/>
  <c r="N14" i="46"/>
  <c r="N63" i="46" s="1"/>
  <c r="M14" i="46"/>
  <c r="M63" i="46" s="1"/>
  <c r="L14" i="46"/>
  <c r="L63" i="46" s="1"/>
  <c r="K14" i="46"/>
  <c r="K63" i="46" s="1"/>
  <c r="J14" i="46"/>
  <c r="I14" i="46"/>
  <c r="I63" i="46" s="1"/>
  <c r="H14" i="46"/>
  <c r="G14" i="46"/>
  <c r="G63" i="46" s="1"/>
  <c r="F14" i="46"/>
  <c r="F63" i="46" s="1"/>
  <c r="E14" i="46"/>
  <c r="E63" i="46" s="1"/>
  <c r="D14" i="46"/>
  <c r="D63" i="46" s="1"/>
  <c r="C14" i="46"/>
  <c r="W13" i="46"/>
  <c r="V13" i="46"/>
  <c r="U13" i="46"/>
  <c r="T13" i="46"/>
  <c r="S13" i="46"/>
  <c r="R13" i="46"/>
  <c r="Q13" i="46"/>
  <c r="P13" i="46"/>
  <c r="O13" i="46"/>
  <c r="N13" i="46"/>
  <c r="M13" i="46"/>
  <c r="L13" i="46"/>
  <c r="K13" i="46"/>
  <c r="J13" i="46"/>
  <c r="I13" i="46"/>
  <c r="H13" i="46"/>
  <c r="G13" i="46"/>
  <c r="F12" i="46"/>
  <c r="F60" i="46" s="1"/>
  <c r="E12" i="46"/>
  <c r="D12" i="46"/>
  <c r="D60" i="46" s="1"/>
  <c r="C12" i="46"/>
  <c r="C7" i="46"/>
  <c r="C6" i="46"/>
  <c r="C5" i="46"/>
  <c r="B5" i="46"/>
  <c r="C3" i="46"/>
  <c r="L26" i="9"/>
  <c r="E24" i="50" l="1"/>
  <c r="E33" i="50" s="1"/>
  <c r="D24" i="50"/>
  <c r="D33" i="50" s="1"/>
  <c r="D68" i="50" s="1"/>
  <c r="H79" i="50"/>
  <c r="N79" i="50"/>
  <c r="M79" i="50"/>
  <c r="D81" i="50" s="1"/>
  <c r="O74" i="50"/>
  <c r="K64" i="50"/>
  <c r="R74" i="50"/>
  <c r="F65" i="50"/>
  <c r="E65" i="50"/>
  <c r="N50" i="50"/>
  <c r="D65" i="50"/>
  <c r="M50" i="50"/>
  <c r="L50" i="50"/>
  <c r="K50" i="50"/>
  <c r="J50" i="50"/>
  <c r="H50" i="50"/>
  <c r="L64" i="50"/>
  <c r="S74" i="50"/>
  <c r="M64" i="50"/>
  <c r="G65" i="50"/>
  <c r="F74" i="50"/>
  <c r="V74" i="50"/>
  <c r="U74" i="50"/>
  <c r="C100" i="50"/>
  <c r="D70" i="50"/>
  <c r="N64" i="50"/>
  <c r="H65" i="50"/>
  <c r="I65" i="50"/>
  <c r="F60" i="50"/>
  <c r="G50" i="50"/>
  <c r="G13" i="50"/>
  <c r="W52" i="50"/>
  <c r="G52" i="50"/>
  <c r="V52" i="50"/>
  <c r="F52" i="50"/>
  <c r="U52" i="50"/>
  <c r="E52" i="50"/>
  <c r="T52" i="50"/>
  <c r="D52" i="50"/>
  <c r="S52" i="50"/>
  <c r="R52" i="50"/>
  <c r="P52" i="50"/>
  <c r="O52" i="50"/>
  <c r="M52" i="50"/>
  <c r="L52" i="50"/>
  <c r="V65" i="50"/>
  <c r="J64" i="50"/>
  <c r="T64" i="50"/>
  <c r="U65" i="50"/>
  <c r="I64" i="50"/>
  <c r="T65" i="50"/>
  <c r="H64" i="50"/>
  <c r="D64" i="50"/>
  <c r="D59" i="50" s="1"/>
  <c r="S65" i="50"/>
  <c r="W64" i="50"/>
  <c r="G64" i="50"/>
  <c r="R65" i="50"/>
  <c r="V64" i="50"/>
  <c r="F64" i="50"/>
  <c r="Q65" i="50"/>
  <c r="U64" i="50"/>
  <c r="E64" i="50"/>
  <c r="E59" i="50" s="1"/>
  <c r="O65" i="50"/>
  <c r="S64" i="50"/>
  <c r="Q64" i="50"/>
  <c r="N65" i="50"/>
  <c r="R64" i="50"/>
  <c r="M65" i="50"/>
  <c r="L65" i="50"/>
  <c r="P64" i="50"/>
  <c r="K65" i="50"/>
  <c r="O64" i="50"/>
  <c r="E74" i="50"/>
  <c r="P65" i="50"/>
  <c r="D50" i="50"/>
  <c r="E51" i="50" s="1"/>
  <c r="G74" i="46"/>
  <c r="D74" i="46"/>
  <c r="F74" i="47"/>
  <c r="E74" i="46"/>
  <c r="F74" i="46"/>
  <c r="I74" i="46"/>
  <c r="L74" i="46"/>
  <c r="H74" i="46"/>
  <c r="E27" i="49"/>
  <c r="F27" i="49" s="1"/>
  <c r="G27" i="49" s="1"/>
  <c r="H27" i="49" s="1"/>
  <c r="I27" i="49" s="1"/>
  <c r="J27" i="49" s="1"/>
  <c r="K27" i="49" s="1"/>
  <c r="L27" i="49" s="1"/>
  <c r="M27" i="49" s="1"/>
  <c r="N27" i="49" s="1"/>
  <c r="O27" i="49" s="1"/>
  <c r="P27" i="49" s="1"/>
  <c r="Q27" i="49" s="1"/>
  <c r="R27" i="49" s="1"/>
  <c r="S27" i="49" s="1"/>
  <c r="T27" i="49" s="1"/>
  <c r="U27" i="49" s="1"/>
  <c r="V27" i="49" s="1"/>
  <c r="W27" i="49" s="1"/>
  <c r="D30" i="49"/>
  <c r="L52" i="49"/>
  <c r="M52" i="49"/>
  <c r="D50" i="49"/>
  <c r="E51" i="49" s="1"/>
  <c r="N52" i="49"/>
  <c r="F60" i="49"/>
  <c r="G50" i="49"/>
  <c r="G79" i="49"/>
  <c r="D81" i="49" s="1"/>
  <c r="W52" i="49"/>
  <c r="G52" i="49"/>
  <c r="V52" i="49"/>
  <c r="F52" i="49"/>
  <c r="J52" i="49"/>
  <c r="I52" i="49"/>
  <c r="D52" i="49"/>
  <c r="H52" i="49"/>
  <c r="U52" i="49"/>
  <c r="E52" i="49"/>
  <c r="D62" i="49"/>
  <c r="P52" i="49"/>
  <c r="C113" i="49"/>
  <c r="F65" i="49"/>
  <c r="E65" i="49"/>
  <c r="N50" i="49"/>
  <c r="L50" i="49"/>
  <c r="K50" i="49"/>
  <c r="D65" i="49"/>
  <c r="J50" i="49"/>
  <c r="I50" i="49"/>
  <c r="H50" i="49"/>
  <c r="F30" i="49"/>
  <c r="F62" i="49" s="1"/>
  <c r="C6" i="49"/>
  <c r="C7" i="49"/>
  <c r="E30" i="49"/>
  <c r="E62" i="49" s="1"/>
  <c r="M50" i="49"/>
  <c r="D113" i="49"/>
  <c r="D68" i="49"/>
  <c r="D69" i="49"/>
  <c r="J12" i="47"/>
  <c r="I60" i="47"/>
  <c r="H79" i="47"/>
  <c r="I79" i="47"/>
  <c r="C7" i="47"/>
  <c r="H74" i="47"/>
  <c r="G50" i="47"/>
  <c r="I74" i="47"/>
  <c r="G79" i="47"/>
  <c r="H50" i="47"/>
  <c r="E65" i="47"/>
  <c r="J50" i="47"/>
  <c r="D65" i="47"/>
  <c r="L74" i="47"/>
  <c r="F65" i="47"/>
  <c r="D68" i="47"/>
  <c r="D67" i="47" s="1"/>
  <c r="C100" i="47"/>
  <c r="I50" i="47"/>
  <c r="C6" i="47"/>
  <c r="I52" i="47"/>
  <c r="J74" i="47"/>
  <c r="K74" i="47"/>
  <c r="D50" i="47"/>
  <c r="E51" i="47" s="1"/>
  <c r="D52" i="47"/>
  <c r="D62" i="47"/>
  <c r="F62" i="47"/>
  <c r="E30" i="46"/>
  <c r="E62" i="46" s="1"/>
  <c r="E50" i="46"/>
  <c r="F51" i="46" s="1"/>
  <c r="C113" i="46"/>
  <c r="K74" i="46"/>
  <c r="D30" i="46"/>
  <c r="D62" i="46" s="1"/>
  <c r="O74" i="46"/>
  <c r="J74" i="46"/>
  <c r="Q74" i="46"/>
  <c r="W65" i="46"/>
  <c r="G65" i="46"/>
  <c r="K64" i="46"/>
  <c r="U65" i="46"/>
  <c r="I64" i="46"/>
  <c r="V65" i="46"/>
  <c r="J64" i="46"/>
  <c r="T65" i="46"/>
  <c r="H64" i="46"/>
  <c r="F64" i="46"/>
  <c r="S65" i="46"/>
  <c r="W64" i="46"/>
  <c r="G64" i="46"/>
  <c r="V64" i="46"/>
  <c r="R65" i="46"/>
  <c r="Q65" i="46"/>
  <c r="U64" i="46"/>
  <c r="E64" i="46"/>
  <c r="T64" i="46"/>
  <c r="P65" i="46"/>
  <c r="D64" i="46"/>
  <c r="O65" i="46"/>
  <c r="S64" i="46"/>
  <c r="N65" i="46"/>
  <c r="R64" i="46"/>
  <c r="J65" i="46"/>
  <c r="M65" i="46"/>
  <c r="Q64" i="46"/>
  <c r="N64" i="46"/>
  <c r="L65" i="46"/>
  <c r="P64" i="46"/>
  <c r="I65" i="46"/>
  <c r="K65" i="46"/>
  <c r="O64" i="46"/>
  <c r="M64" i="46"/>
  <c r="H65" i="46"/>
  <c r="L64" i="46"/>
  <c r="F33" i="46"/>
  <c r="D50" i="46"/>
  <c r="E51" i="46" s="1"/>
  <c r="L52" i="46"/>
  <c r="M52" i="46"/>
  <c r="D68" i="46"/>
  <c r="D67" i="46" s="1"/>
  <c r="N52" i="46"/>
  <c r="G50" i="46"/>
  <c r="O52" i="46"/>
  <c r="J52" i="46"/>
  <c r="K52" i="46"/>
  <c r="H50" i="46"/>
  <c r="P52" i="46"/>
  <c r="Q52" i="46"/>
  <c r="R52" i="46"/>
  <c r="D52" i="46"/>
  <c r="T52" i="46"/>
  <c r="S52" i="46"/>
  <c r="M50" i="46"/>
  <c r="E52" i="46"/>
  <c r="U52" i="46"/>
  <c r="D65" i="46"/>
  <c r="F52" i="46"/>
  <c r="G52" i="46"/>
  <c r="W52" i="46"/>
  <c r="F65" i="46"/>
  <c r="V52" i="46"/>
  <c r="E62" i="21"/>
  <c r="D69" i="50" l="1"/>
  <c r="D67" i="50" s="1"/>
  <c r="D58" i="50" s="1"/>
  <c r="D57" i="50" s="1"/>
  <c r="D113" i="50"/>
  <c r="D77" i="50"/>
  <c r="E50" i="50"/>
  <c r="F59" i="50"/>
  <c r="O50" i="50"/>
  <c r="D78" i="50"/>
  <c r="D59" i="46"/>
  <c r="D58" i="46" s="1"/>
  <c r="D57" i="46" s="1"/>
  <c r="E59" i="46"/>
  <c r="D67" i="49"/>
  <c r="E50" i="49"/>
  <c r="V65" i="49"/>
  <c r="J64" i="49"/>
  <c r="U65" i="49"/>
  <c r="I64" i="49"/>
  <c r="K65" i="49"/>
  <c r="M64" i="49"/>
  <c r="J65" i="49"/>
  <c r="L64" i="49"/>
  <c r="G64" i="49"/>
  <c r="I65" i="49"/>
  <c r="K64" i="49"/>
  <c r="G65" i="49"/>
  <c r="F64" i="49"/>
  <c r="F59" i="49" s="1"/>
  <c r="H65" i="49"/>
  <c r="H64" i="49"/>
  <c r="S64" i="49"/>
  <c r="P64" i="49"/>
  <c r="S65" i="49"/>
  <c r="R64" i="49"/>
  <c r="W65" i="49"/>
  <c r="Q64" i="49"/>
  <c r="T65" i="49"/>
  <c r="O64" i="49"/>
  <c r="P65" i="49"/>
  <c r="L65" i="49"/>
  <c r="U64" i="49"/>
  <c r="N64" i="49"/>
  <c r="O65" i="49"/>
  <c r="N65" i="49"/>
  <c r="W64" i="49"/>
  <c r="V64" i="49"/>
  <c r="D64" i="49"/>
  <c r="D59" i="49" s="1"/>
  <c r="R65" i="49"/>
  <c r="Q65" i="49"/>
  <c r="M65" i="49"/>
  <c r="T64" i="49"/>
  <c r="E64" i="49"/>
  <c r="E59" i="49" s="1"/>
  <c r="O50" i="49"/>
  <c r="K12" i="47"/>
  <c r="J52" i="47"/>
  <c r="J60" i="47"/>
  <c r="J79" i="47"/>
  <c r="O65" i="47"/>
  <c r="S64" i="47"/>
  <c r="Q64" i="47"/>
  <c r="N65" i="47"/>
  <c r="R64" i="47"/>
  <c r="M65" i="47"/>
  <c r="L65" i="47"/>
  <c r="P64" i="47"/>
  <c r="J65" i="47"/>
  <c r="K65" i="47"/>
  <c r="O64" i="47"/>
  <c r="N64" i="47"/>
  <c r="H65" i="47"/>
  <c r="L64" i="47"/>
  <c r="W65" i="47"/>
  <c r="T64" i="47"/>
  <c r="V65" i="47"/>
  <c r="M64" i="47"/>
  <c r="P65" i="47"/>
  <c r="F64" i="47"/>
  <c r="F59" i="47" s="1"/>
  <c r="I65" i="47"/>
  <c r="E64" i="47"/>
  <c r="E59" i="47" s="1"/>
  <c r="G65" i="47"/>
  <c r="D64" i="47"/>
  <c r="D78" i="47" s="1"/>
  <c r="U65" i="47"/>
  <c r="S65" i="47"/>
  <c r="R65" i="47"/>
  <c r="Q65" i="47"/>
  <c r="K64" i="47"/>
  <c r="G64" i="47"/>
  <c r="J64" i="47"/>
  <c r="I64" i="47"/>
  <c r="T65" i="47"/>
  <c r="W64" i="47"/>
  <c r="H64" i="47"/>
  <c r="V64" i="47"/>
  <c r="U64" i="47"/>
  <c r="E50" i="47"/>
  <c r="D78" i="46"/>
  <c r="N50" i="46"/>
  <c r="F50" i="46"/>
  <c r="G51" i="46" s="1"/>
  <c r="F30" i="46"/>
  <c r="F62" i="46" s="1"/>
  <c r="F59" i="46" s="1"/>
  <c r="F35" i="9"/>
  <c r="G36" i="9"/>
  <c r="H36" i="9" s="1"/>
  <c r="P51" i="50" l="1"/>
  <c r="P50" i="50"/>
  <c r="F51" i="50"/>
  <c r="F50" i="50"/>
  <c r="E70" i="50"/>
  <c r="E69" i="50"/>
  <c r="E68" i="50"/>
  <c r="D100" i="50"/>
  <c r="D77" i="46"/>
  <c r="D59" i="47"/>
  <c r="D58" i="47" s="1"/>
  <c r="D57" i="47" s="1"/>
  <c r="D78" i="49"/>
  <c r="D58" i="49"/>
  <c r="D57" i="49" s="1"/>
  <c r="D77" i="49"/>
  <c r="P51" i="49"/>
  <c r="P50" i="49"/>
  <c r="F51" i="49"/>
  <c r="F50" i="49"/>
  <c r="L12" i="47"/>
  <c r="K60" i="47"/>
  <c r="K79" i="47"/>
  <c r="K52" i="47"/>
  <c r="K50" i="47"/>
  <c r="F51" i="47"/>
  <c r="F50" i="47"/>
  <c r="E70" i="46"/>
  <c r="E69" i="46"/>
  <c r="E68" i="46"/>
  <c r="D100" i="46"/>
  <c r="G23" i="46"/>
  <c r="O50" i="46"/>
  <c r="S49" i="45"/>
  <c r="F49" i="45"/>
  <c r="E49" i="45"/>
  <c r="D49" i="45"/>
  <c r="C49" i="45"/>
  <c r="S48" i="45"/>
  <c r="F48" i="45"/>
  <c r="E48" i="45"/>
  <c r="D48" i="45"/>
  <c r="C48" i="45"/>
  <c r="S47" i="45"/>
  <c r="F47" i="45"/>
  <c r="E47" i="45"/>
  <c r="D47" i="45"/>
  <c r="C47" i="45"/>
  <c r="S46" i="45"/>
  <c r="F46" i="45"/>
  <c r="E46" i="45"/>
  <c r="D46" i="45"/>
  <c r="C46" i="45"/>
  <c r="S45" i="45"/>
  <c r="F45" i="45"/>
  <c r="E45" i="45"/>
  <c r="D45" i="45"/>
  <c r="C45" i="45"/>
  <c r="S44" i="45"/>
  <c r="F44" i="45"/>
  <c r="E44" i="45"/>
  <c r="D44" i="45"/>
  <c r="C44" i="45"/>
  <c r="S43" i="45"/>
  <c r="F43" i="45"/>
  <c r="E43" i="45"/>
  <c r="D43" i="45"/>
  <c r="C43" i="45"/>
  <c r="S42" i="45"/>
  <c r="F42" i="45"/>
  <c r="E42" i="45"/>
  <c r="D42" i="45"/>
  <c r="C42" i="45"/>
  <c r="S41" i="45"/>
  <c r="F41" i="45"/>
  <c r="E41" i="45"/>
  <c r="D41" i="45"/>
  <c r="C41" i="45"/>
  <c r="S40" i="45"/>
  <c r="F40" i="45"/>
  <c r="E40" i="45"/>
  <c r="D40" i="45"/>
  <c r="C40" i="45"/>
  <c r="S39" i="45"/>
  <c r="F39" i="45"/>
  <c r="E39" i="45"/>
  <c r="D39" i="45"/>
  <c r="C39" i="45"/>
  <c r="S38" i="45"/>
  <c r="F38" i="45"/>
  <c r="E38" i="45"/>
  <c r="D38" i="45"/>
  <c r="C38" i="45"/>
  <c r="S37" i="45"/>
  <c r="F37" i="45"/>
  <c r="E37" i="45"/>
  <c r="D37" i="45"/>
  <c r="C37" i="45"/>
  <c r="S36" i="45"/>
  <c r="F36" i="45"/>
  <c r="E36" i="45"/>
  <c r="D36" i="45"/>
  <c r="C36" i="45"/>
  <c r="S35" i="45"/>
  <c r="F35" i="45"/>
  <c r="E35" i="45"/>
  <c r="D35" i="45"/>
  <c r="C35" i="45"/>
  <c r="S34" i="45"/>
  <c r="F34" i="45"/>
  <c r="E34" i="45"/>
  <c r="D34" i="45"/>
  <c r="C34" i="45"/>
  <c r="S33" i="45"/>
  <c r="F33" i="45"/>
  <c r="E33" i="45"/>
  <c r="D33" i="45"/>
  <c r="C33" i="45"/>
  <c r="S32" i="45"/>
  <c r="F32" i="45"/>
  <c r="E32" i="45"/>
  <c r="D32" i="45"/>
  <c r="C32" i="45"/>
  <c r="S31" i="45"/>
  <c r="F31" i="45"/>
  <c r="E31" i="45"/>
  <c r="D31" i="45"/>
  <c r="C31" i="45"/>
  <c r="S30" i="45"/>
  <c r="F30" i="45"/>
  <c r="E30" i="45"/>
  <c r="D30" i="45"/>
  <c r="C30" i="45"/>
  <c r="S29" i="45"/>
  <c r="F29" i="45"/>
  <c r="E29" i="45"/>
  <c r="D29" i="45"/>
  <c r="C29" i="45"/>
  <c r="S28" i="45"/>
  <c r="F28" i="45"/>
  <c r="E28" i="45"/>
  <c r="D28" i="45"/>
  <c r="C28" i="45"/>
  <c r="S27" i="45"/>
  <c r="F27" i="45"/>
  <c r="E27" i="45"/>
  <c r="D27" i="45"/>
  <c r="C27" i="45"/>
  <c r="S26" i="45"/>
  <c r="F26" i="45"/>
  <c r="E26" i="45"/>
  <c r="D26" i="45"/>
  <c r="C26" i="45"/>
  <c r="S25" i="45"/>
  <c r="F25" i="45"/>
  <c r="E25" i="45"/>
  <c r="D25" i="45"/>
  <c r="C25" i="45"/>
  <c r="S24" i="45"/>
  <c r="F24" i="45"/>
  <c r="E24" i="45"/>
  <c r="D24" i="45"/>
  <c r="C24" i="45"/>
  <c r="S23" i="45"/>
  <c r="F23" i="45"/>
  <c r="E23" i="45"/>
  <c r="D23" i="45"/>
  <c r="C23" i="45"/>
  <c r="S22" i="45"/>
  <c r="F22" i="45"/>
  <c r="E22" i="45"/>
  <c r="D22" i="45"/>
  <c r="C22" i="45"/>
  <c r="S21" i="45"/>
  <c r="F21" i="45"/>
  <c r="E21" i="45"/>
  <c r="D21" i="45"/>
  <c r="C21" i="45"/>
  <c r="S20" i="45"/>
  <c r="F20" i="45"/>
  <c r="E20" i="45"/>
  <c r="D20" i="45"/>
  <c r="C20" i="45"/>
  <c r="S19" i="45"/>
  <c r="F19" i="45"/>
  <c r="E19" i="45"/>
  <c r="D19" i="45"/>
  <c r="C19" i="45"/>
  <c r="S18" i="45"/>
  <c r="F18" i="45"/>
  <c r="E18" i="45"/>
  <c r="D18" i="45"/>
  <c r="C18" i="45"/>
  <c r="S17" i="45"/>
  <c r="F17" i="45"/>
  <c r="E17" i="45"/>
  <c r="D17" i="45"/>
  <c r="C17" i="45"/>
  <c r="S16" i="45"/>
  <c r="F16" i="45"/>
  <c r="E16" i="45"/>
  <c r="D16" i="45"/>
  <c r="C16" i="45"/>
  <c r="S15" i="45"/>
  <c r="F15" i="45"/>
  <c r="E15" i="45"/>
  <c r="D15" i="45"/>
  <c r="C15" i="45"/>
  <c r="S14" i="45"/>
  <c r="F14" i="45"/>
  <c r="E14" i="45"/>
  <c r="D14" i="45"/>
  <c r="C14" i="45"/>
  <c r="S13" i="45"/>
  <c r="F13" i="45"/>
  <c r="E13" i="45"/>
  <c r="D13" i="45"/>
  <c r="C13" i="45"/>
  <c r="S12" i="45"/>
  <c r="F12" i="45"/>
  <c r="E12" i="45"/>
  <c r="D12" i="45"/>
  <c r="C12" i="45"/>
  <c r="S11" i="45"/>
  <c r="F11" i="45"/>
  <c r="E11" i="45"/>
  <c r="D11" i="45"/>
  <c r="C11" i="45"/>
  <c r="S10" i="45"/>
  <c r="F10" i="45"/>
  <c r="E10" i="45"/>
  <c r="D10" i="45"/>
  <c r="C10" i="45"/>
  <c r="S9" i="45"/>
  <c r="F9" i="45"/>
  <c r="E9" i="45"/>
  <c r="D9" i="45"/>
  <c r="C9" i="45"/>
  <c r="C51" i="45" s="1"/>
  <c r="S8" i="45"/>
  <c r="F8" i="45"/>
  <c r="E8" i="45"/>
  <c r="D8" i="45"/>
  <c r="C8" i="45"/>
  <c r="S7" i="45"/>
  <c r="F7" i="45"/>
  <c r="E7" i="45"/>
  <c r="D7" i="45"/>
  <c r="C7" i="45"/>
  <c r="S6" i="45"/>
  <c r="F6" i="45"/>
  <c r="E6" i="45"/>
  <c r="D6" i="45"/>
  <c r="C6" i="45"/>
  <c r="S5" i="45"/>
  <c r="F5" i="45"/>
  <c r="E5" i="45"/>
  <c r="E51" i="45" s="1"/>
  <c r="D5" i="45"/>
  <c r="D51" i="45" s="1"/>
  <c r="C5" i="45"/>
  <c r="S4" i="45"/>
  <c r="F4" i="45"/>
  <c r="E4" i="45"/>
  <c r="D4" i="45"/>
  <c r="C4" i="45"/>
  <c r="S3" i="45"/>
  <c r="F3" i="45"/>
  <c r="E3" i="45"/>
  <c r="D3" i="45"/>
  <c r="C3" i="45"/>
  <c r="U14" i="40"/>
  <c r="V14" i="40"/>
  <c r="W14" i="40"/>
  <c r="F53" i="44"/>
  <c r="F57" i="44"/>
  <c r="G57" i="44" s="1"/>
  <c r="H57" i="44" s="1"/>
  <c r="I57" i="44" s="1"/>
  <c r="J57" i="44" s="1"/>
  <c r="K57" i="44" s="1"/>
  <c r="L57" i="44" s="1"/>
  <c r="M57" i="44" s="1"/>
  <c r="N57" i="44" s="1"/>
  <c r="O57" i="44" s="1"/>
  <c r="P57" i="44" s="1"/>
  <c r="Q57" i="44" s="1"/>
  <c r="R57" i="44" s="1"/>
  <c r="S57" i="44" s="1"/>
  <c r="T57" i="44" s="1"/>
  <c r="U57" i="44" s="1"/>
  <c r="V57" i="44" s="1"/>
  <c r="W57" i="44" s="1"/>
  <c r="X57" i="44" s="1"/>
  <c r="F40" i="44"/>
  <c r="G40" i="44" s="1"/>
  <c r="H40" i="44" s="1"/>
  <c r="I40" i="44" s="1"/>
  <c r="J40" i="44" s="1"/>
  <c r="K40" i="44" s="1"/>
  <c r="L40" i="44" s="1"/>
  <c r="M40" i="44" s="1"/>
  <c r="N40" i="44" s="1"/>
  <c r="O40" i="44" s="1"/>
  <c r="P40" i="44" s="1"/>
  <c r="Q40" i="44" s="1"/>
  <c r="R40" i="44" s="1"/>
  <c r="S40" i="44" s="1"/>
  <c r="T40" i="44" s="1"/>
  <c r="U40" i="44" s="1"/>
  <c r="V40" i="44" s="1"/>
  <c r="W40" i="44" s="1"/>
  <c r="X40" i="44" s="1"/>
  <c r="F29" i="44"/>
  <c r="G29" i="44" s="1"/>
  <c r="H29" i="44" s="1"/>
  <c r="I29" i="44" s="1"/>
  <c r="J29" i="44" s="1"/>
  <c r="K29" i="44" s="1"/>
  <c r="L29" i="44" s="1"/>
  <c r="M29" i="44" s="1"/>
  <c r="N29" i="44" s="1"/>
  <c r="O29" i="44" s="1"/>
  <c r="P29" i="44" s="1"/>
  <c r="Q29" i="44" s="1"/>
  <c r="R29" i="44" s="1"/>
  <c r="S29" i="44" s="1"/>
  <c r="T29" i="44" s="1"/>
  <c r="U29" i="44" s="1"/>
  <c r="V29" i="44" s="1"/>
  <c r="W29" i="44" s="1"/>
  <c r="X29" i="44" s="1"/>
  <c r="F26" i="44"/>
  <c r="G26" i="44" s="1"/>
  <c r="H26" i="44" s="1"/>
  <c r="I26" i="44" s="1"/>
  <c r="J26" i="44" s="1"/>
  <c r="K26" i="44" s="1"/>
  <c r="L26" i="44" s="1"/>
  <c r="M26" i="44" s="1"/>
  <c r="N26" i="44" s="1"/>
  <c r="O26" i="44" s="1"/>
  <c r="P26" i="44" s="1"/>
  <c r="Q26" i="44" s="1"/>
  <c r="R26" i="44" s="1"/>
  <c r="S26" i="44" s="1"/>
  <c r="T26" i="44" s="1"/>
  <c r="U26" i="44" s="1"/>
  <c r="V26" i="44" s="1"/>
  <c r="W26" i="44" s="1"/>
  <c r="X26" i="44" s="1"/>
  <c r="F22" i="44"/>
  <c r="G22" i="44" s="1"/>
  <c r="H22" i="44" s="1"/>
  <c r="I22" i="44" s="1"/>
  <c r="J22" i="44" s="1"/>
  <c r="K22" i="44" s="1"/>
  <c r="L22" i="44" s="1"/>
  <c r="M22" i="44" s="1"/>
  <c r="N22" i="44" s="1"/>
  <c r="O22" i="44" s="1"/>
  <c r="P22" i="44" s="1"/>
  <c r="Q22" i="44" s="1"/>
  <c r="R22" i="44" s="1"/>
  <c r="S22" i="44" s="1"/>
  <c r="T22" i="44" s="1"/>
  <c r="U22" i="44" s="1"/>
  <c r="V22" i="44" s="1"/>
  <c r="W22" i="44" s="1"/>
  <c r="X22" i="44" s="1"/>
  <c r="F4" i="44"/>
  <c r="G4" i="44" s="1"/>
  <c r="H4" i="44" s="1"/>
  <c r="I4" i="44" s="1"/>
  <c r="J4" i="44" s="1"/>
  <c r="K4" i="44" s="1"/>
  <c r="L4" i="44" s="1"/>
  <c r="M4" i="44" s="1"/>
  <c r="N4" i="44" s="1"/>
  <c r="O4" i="44" s="1"/>
  <c r="P4" i="44" s="1"/>
  <c r="Q4" i="44" s="1"/>
  <c r="R4" i="44" s="1"/>
  <c r="S4" i="44" s="1"/>
  <c r="T4" i="44" s="1"/>
  <c r="U4" i="44" s="1"/>
  <c r="V4" i="44" s="1"/>
  <c r="W4" i="44" s="1"/>
  <c r="X4" i="44" s="1"/>
  <c r="B59" i="44"/>
  <c r="B60" i="44" s="1"/>
  <c r="B61" i="44" s="1"/>
  <c r="B62" i="44" s="1"/>
  <c r="D102" i="50" l="1"/>
  <c r="D103" i="50"/>
  <c r="D95" i="50"/>
  <c r="D96" i="50" s="1"/>
  <c r="D105" i="50"/>
  <c r="D101" i="50"/>
  <c r="D104" i="50"/>
  <c r="E67" i="50"/>
  <c r="E58" i="50" s="1"/>
  <c r="E57" i="50" s="1"/>
  <c r="E78" i="50"/>
  <c r="E77" i="50"/>
  <c r="G51" i="50"/>
  <c r="P23" i="50"/>
  <c r="Q51" i="50"/>
  <c r="Q50" i="50"/>
  <c r="D77" i="47"/>
  <c r="G51" i="49"/>
  <c r="G23" i="49"/>
  <c r="E70" i="49"/>
  <c r="E69" i="49"/>
  <c r="E68" i="49"/>
  <c r="D100" i="49"/>
  <c r="P23" i="49"/>
  <c r="Q51" i="49"/>
  <c r="Q50" i="49"/>
  <c r="M12" i="47"/>
  <c r="L60" i="47"/>
  <c r="L50" i="47"/>
  <c r="L79" i="47"/>
  <c r="L52" i="47"/>
  <c r="E68" i="47"/>
  <c r="D100" i="47"/>
  <c r="E69" i="47"/>
  <c r="E70" i="47"/>
  <c r="G51" i="47"/>
  <c r="G23" i="47"/>
  <c r="G30" i="46"/>
  <c r="G24" i="46"/>
  <c r="P51" i="46"/>
  <c r="P50" i="46"/>
  <c r="D103" i="46"/>
  <c r="D102" i="46"/>
  <c r="D95" i="46"/>
  <c r="D96" i="46" s="1"/>
  <c r="D105" i="46"/>
  <c r="E110" i="46" s="1"/>
  <c r="E111" i="46" s="1"/>
  <c r="D101" i="46"/>
  <c r="D104" i="46"/>
  <c r="E67" i="46"/>
  <c r="E58" i="46" s="1"/>
  <c r="E57" i="46" s="1"/>
  <c r="E78" i="46"/>
  <c r="E77" i="46"/>
  <c r="E4" i="44"/>
  <c r="E22" i="44"/>
  <c r="E26" i="44"/>
  <c r="E29" i="44"/>
  <c r="E110" i="50" l="1"/>
  <c r="E111" i="50" s="1"/>
  <c r="P30" i="50"/>
  <c r="P62" i="50" s="1"/>
  <c r="P59" i="50" s="1"/>
  <c r="Q23" i="50"/>
  <c r="R51" i="50"/>
  <c r="R50" i="50"/>
  <c r="G30" i="50"/>
  <c r="F70" i="50"/>
  <c r="F69" i="50"/>
  <c r="F68" i="50"/>
  <c r="F90" i="50"/>
  <c r="E100" i="50"/>
  <c r="Q23" i="49"/>
  <c r="R51" i="49"/>
  <c r="R50" i="49"/>
  <c r="D103" i="49"/>
  <c r="D95" i="49"/>
  <c r="D96" i="49" s="1"/>
  <c r="D102" i="49"/>
  <c r="D101" i="49"/>
  <c r="D104" i="49"/>
  <c r="D105" i="49"/>
  <c r="P30" i="49"/>
  <c r="P62" i="49" s="1"/>
  <c r="P59" i="49" s="1"/>
  <c r="E67" i="49"/>
  <c r="E58" i="49" s="1"/>
  <c r="E57" i="49" s="1"/>
  <c r="E78" i="49"/>
  <c r="E77" i="49"/>
  <c r="G30" i="49"/>
  <c r="G24" i="49"/>
  <c r="M60" i="47"/>
  <c r="M79" i="47"/>
  <c r="D81" i="47" s="1"/>
  <c r="M52" i="47"/>
  <c r="M50" i="47"/>
  <c r="D95" i="47"/>
  <c r="D96" i="47" s="1"/>
  <c r="D105" i="47"/>
  <c r="D101" i="47"/>
  <c r="D104" i="47"/>
  <c r="D103" i="47"/>
  <c r="D102" i="47"/>
  <c r="G24" i="47"/>
  <c r="G30" i="47"/>
  <c r="E67" i="47"/>
  <c r="E58" i="47" s="1"/>
  <c r="E57" i="47" s="1"/>
  <c r="E78" i="47"/>
  <c r="E77" i="47"/>
  <c r="G62" i="46"/>
  <c r="G59" i="46" s="1"/>
  <c r="H51" i="46"/>
  <c r="H23" i="46" s="1"/>
  <c r="Q51" i="46"/>
  <c r="Q50" i="46"/>
  <c r="G33" i="46"/>
  <c r="F70" i="46"/>
  <c r="F69" i="46"/>
  <c r="F68" i="46"/>
  <c r="F90" i="46"/>
  <c r="E100" i="46"/>
  <c r="C6" i="8"/>
  <c r="E95" i="50" l="1"/>
  <c r="E96" i="50" s="1"/>
  <c r="G33" i="50"/>
  <c r="G62" i="50"/>
  <c r="G59" i="50" s="1"/>
  <c r="H51" i="50"/>
  <c r="H23" i="50" s="1"/>
  <c r="R23" i="50"/>
  <c r="S51" i="50"/>
  <c r="S50" i="50"/>
  <c r="F67" i="50"/>
  <c r="F58" i="50" s="1"/>
  <c r="F57" i="50" s="1"/>
  <c r="F78" i="50"/>
  <c r="F88" i="50" s="1"/>
  <c r="F77" i="50"/>
  <c r="Q30" i="50"/>
  <c r="Q62" i="50" s="1"/>
  <c r="Q59" i="50" s="1"/>
  <c r="Q24" i="50"/>
  <c r="Q33" i="50" s="1"/>
  <c r="E110" i="49"/>
  <c r="E111" i="49" s="1"/>
  <c r="E110" i="47"/>
  <c r="E111" i="47" s="1"/>
  <c r="F70" i="49"/>
  <c r="F68" i="49"/>
  <c r="E100" i="49"/>
  <c r="F69" i="49"/>
  <c r="F90" i="49"/>
  <c r="G62" i="49"/>
  <c r="G59" i="49" s="1"/>
  <c r="H51" i="49"/>
  <c r="H23" i="49" s="1"/>
  <c r="R23" i="49"/>
  <c r="S51" i="49"/>
  <c r="S50" i="49"/>
  <c r="G33" i="49"/>
  <c r="Q24" i="49"/>
  <c r="Q33" i="49" s="1"/>
  <c r="Q30" i="49"/>
  <c r="Q62" i="49" s="1"/>
  <c r="Q59" i="49" s="1"/>
  <c r="F68" i="47"/>
  <c r="F90" i="47"/>
  <c r="E100" i="47"/>
  <c r="F69" i="47"/>
  <c r="F70" i="47"/>
  <c r="G62" i="47"/>
  <c r="G59" i="47" s="1"/>
  <c r="H51" i="47"/>
  <c r="H23" i="47" s="1"/>
  <c r="G33" i="47"/>
  <c r="F67" i="46"/>
  <c r="F58" i="46" s="1"/>
  <c r="F57" i="46" s="1"/>
  <c r="F78" i="46"/>
  <c r="F88" i="46" s="1"/>
  <c r="F77" i="46"/>
  <c r="E95" i="46"/>
  <c r="E104" i="46"/>
  <c r="E105" i="46"/>
  <c r="R51" i="46"/>
  <c r="R50" i="46"/>
  <c r="H24" i="46"/>
  <c r="H33" i="46" s="1"/>
  <c r="H30" i="46"/>
  <c r="F35" i="44"/>
  <c r="E35" i="44" s="1"/>
  <c r="W104" i="40"/>
  <c r="V104" i="40"/>
  <c r="U104" i="40"/>
  <c r="T104" i="40"/>
  <c r="S104" i="40"/>
  <c r="R104" i="40"/>
  <c r="Q104" i="40"/>
  <c r="P104" i="40"/>
  <c r="O104" i="40"/>
  <c r="N104" i="40"/>
  <c r="M104" i="40"/>
  <c r="L104" i="40"/>
  <c r="K104" i="40"/>
  <c r="J104" i="40"/>
  <c r="I104" i="40"/>
  <c r="H104" i="40"/>
  <c r="G104" i="40"/>
  <c r="F104" i="40"/>
  <c r="E104" i="40"/>
  <c r="D51" i="40"/>
  <c r="C47" i="40"/>
  <c r="B17" i="40"/>
  <c r="W63" i="40"/>
  <c r="V63" i="40"/>
  <c r="U63" i="40"/>
  <c r="T14" i="40"/>
  <c r="T63" i="40" s="1"/>
  <c r="S14" i="40"/>
  <c r="S63" i="40" s="1"/>
  <c r="R14" i="40"/>
  <c r="R63" i="40" s="1"/>
  <c r="Q14" i="40"/>
  <c r="Q63" i="40" s="1"/>
  <c r="P14" i="40"/>
  <c r="P63" i="40" s="1"/>
  <c r="O14" i="40"/>
  <c r="O63" i="40" s="1"/>
  <c r="N14" i="40"/>
  <c r="N63" i="40" s="1"/>
  <c r="M14" i="40"/>
  <c r="M63" i="40" s="1"/>
  <c r="L14" i="40"/>
  <c r="L63" i="40" s="1"/>
  <c r="K14" i="40"/>
  <c r="K63" i="40" s="1"/>
  <c r="J14" i="40"/>
  <c r="J63" i="40" s="1"/>
  <c r="I14" i="40"/>
  <c r="I63" i="40" s="1"/>
  <c r="H14" i="40"/>
  <c r="H63" i="40" s="1"/>
  <c r="C5" i="40"/>
  <c r="D65" i="40" s="1"/>
  <c r="B5" i="40"/>
  <c r="E104" i="50" l="1"/>
  <c r="E105" i="50"/>
  <c r="E102" i="50"/>
  <c r="E103" i="50"/>
  <c r="R30" i="50"/>
  <c r="R62" i="50" s="1"/>
  <c r="R59" i="50" s="1"/>
  <c r="R24" i="50"/>
  <c r="R33" i="50" s="1"/>
  <c r="S23" i="50"/>
  <c r="T51" i="50"/>
  <c r="T50" i="50"/>
  <c r="H24" i="50"/>
  <c r="H33" i="50" s="1"/>
  <c r="H30" i="50"/>
  <c r="F86" i="50"/>
  <c r="F85" i="50"/>
  <c r="G69" i="50"/>
  <c r="F84" i="50"/>
  <c r="G68" i="50"/>
  <c r="G77" i="50" s="1"/>
  <c r="G90" i="50"/>
  <c r="G91" i="50" s="1"/>
  <c r="F100" i="50"/>
  <c r="G70" i="50"/>
  <c r="R24" i="49"/>
  <c r="R33" i="49" s="1"/>
  <c r="R30" i="49"/>
  <c r="R62" i="49" s="1"/>
  <c r="R59" i="49" s="1"/>
  <c r="H30" i="49"/>
  <c r="H24" i="49"/>
  <c r="H33" i="49" s="1"/>
  <c r="F67" i="49"/>
  <c r="F58" i="49" s="1"/>
  <c r="F57" i="49" s="1"/>
  <c r="F78" i="49"/>
  <c r="F88" i="49" s="1"/>
  <c r="F77" i="49"/>
  <c r="S23" i="49"/>
  <c r="T51" i="49"/>
  <c r="T50" i="49"/>
  <c r="E95" i="49"/>
  <c r="H24" i="47"/>
  <c r="H33" i="47" s="1"/>
  <c r="H30" i="47"/>
  <c r="E95" i="47"/>
  <c r="F67" i="47"/>
  <c r="F58" i="47" s="1"/>
  <c r="F57" i="47" s="1"/>
  <c r="F78" i="47"/>
  <c r="F88" i="47" s="1"/>
  <c r="F77" i="47"/>
  <c r="H62" i="46"/>
  <c r="H59" i="46" s="1"/>
  <c r="I51" i="46"/>
  <c r="I23" i="46" s="1"/>
  <c r="S51" i="46"/>
  <c r="S50" i="46"/>
  <c r="G70" i="46"/>
  <c r="F86" i="46"/>
  <c r="F85" i="46"/>
  <c r="G69" i="46"/>
  <c r="F84" i="46"/>
  <c r="G68" i="46"/>
  <c r="F100" i="46"/>
  <c r="G90" i="46"/>
  <c r="G91" i="46" s="1"/>
  <c r="C7" i="40"/>
  <c r="C6" i="40"/>
  <c r="J64" i="40" s="1"/>
  <c r="E65" i="40"/>
  <c r="F65" i="40"/>
  <c r="E101" i="50" l="1"/>
  <c r="E107" i="50" s="1"/>
  <c r="H62" i="50"/>
  <c r="H59" i="50" s="1"/>
  <c r="I51" i="50"/>
  <c r="I23" i="50" s="1"/>
  <c r="I24" i="50" s="1"/>
  <c r="T23" i="50"/>
  <c r="U51" i="50"/>
  <c r="U50" i="50"/>
  <c r="S30" i="50"/>
  <c r="S62" i="50" s="1"/>
  <c r="S59" i="50" s="1"/>
  <c r="S24" i="50"/>
  <c r="S33" i="50" s="1"/>
  <c r="G67" i="50"/>
  <c r="G58" i="50" s="1"/>
  <c r="G57" i="50" s="1"/>
  <c r="G78" i="50"/>
  <c r="G88" i="50" s="1"/>
  <c r="F95" i="50"/>
  <c r="E104" i="47"/>
  <c r="T23" i="49"/>
  <c r="U51" i="49"/>
  <c r="U50" i="49"/>
  <c r="E105" i="49"/>
  <c r="E104" i="49"/>
  <c r="S24" i="49"/>
  <c r="S33" i="49" s="1"/>
  <c r="S30" i="49"/>
  <c r="S62" i="49" s="1"/>
  <c r="S59" i="49" s="1"/>
  <c r="F86" i="49"/>
  <c r="F85" i="49"/>
  <c r="G68" i="49"/>
  <c r="F100" i="49"/>
  <c r="G70" i="49"/>
  <c r="F84" i="49"/>
  <c r="G90" i="49"/>
  <c r="G91" i="49" s="1"/>
  <c r="G69" i="49"/>
  <c r="H62" i="49"/>
  <c r="H59" i="49" s="1"/>
  <c r="I51" i="49"/>
  <c r="I23" i="49" s="1"/>
  <c r="E105" i="47"/>
  <c r="G68" i="47"/>
  <c r="G90" i="47"/>
  <c r="G91" i="47" s="1"/>
  <c r="F100" i="47"/>
  <c r="F86" i="47"/>
  <c r="F84" i="47"/>
  <c r="G69" i="47"/>
  <c r="G70" i="47"/>
  <c r="F85" i="47"/>
  <c r="H62" i="47"/>
  <c r="H59" i="47" s="1"/>
  <c r="I51" i="47"/>
  <c r="I23" i="47" s="1"/>
  <c r="G67" i="46"/>
  <c r="G58" i="46" s="1"/>
  <c r="G57" i="46" s="1"/>
  <c r="G78" i="46"/>
  <c r="G88" i="46" s="1"/>
  <c r="G77" i="46"/>
  <c r="F95" i="46"/>
  <c r="F105" i="46" s="1"/>
  <c r="T51" i="46"/>
  <c r="T50" i="46"/>
  <c r="I24" i="46"/>
  <c r="I33" i="46" s="1"/>
  <c r="I30" i="46"/>
  <c r="E64" i="40"/>
  <c r="J65" i="40"/>
  <c r="I65" i="40"/>
  <c r="H65" i="40"/>
  <c r="G65" i="40"/>
  <c r="I64" i="40"/>
  <c r="H64" i="40"/>
  <c r="G64" i="40"/>
  <c r="F64" i="40"/>
  <c r="D64" i="40"/>
  <c r="F110" i="50" l="1"/>
  <c r="F111" i="50" s="1"/>
  <c r="E106" i="50"/>
  <c r="F96" i="50" s="1"/>
  <c r="G86" i="50"/>
  <c r="G85" i="50"/>
  <c r="H69" i="50"/>
  <c r="G84" i="50"/>
  <c r="G100" i="50"/>
  <c r="H70" i="50"/>
  <c r="T30" i="50"/>
  <c r="T62" i="50" s="1"/>
  <c r="T59" i="50" s="1"/>
  <c r="T24" i="50"/>
  <c r="T33" i="50" s="1"/>
  <c r="F105" i="50"/>
  <c r="F102" i="50"/>
  <c r="F103" i="50"/>
  <c r="U23" i="50"/>
  <c r="V51" i="50"/>
  <c r="V50" i="50"/>
  <c r="I33" i="50"/>
  <c r="I30" i="50"/>
  <c r="F104" i="50"/>
  <c r="I30" i="49"/>
  <c r="I24" i="49"/>
  <c r="I33" i="49" s="1"/>
  <c r="F95" i="49"/>
  <c r="G67" i="49"/>
  <c r="G58" i="49" s="1"/>
  <c r="G57" i="49" s="1"/>
  <c r="G78" i="49"/>
  <c r="G88" i="49" s="1"/>
  <c r="G77" i="49"/>
  <c r="U23" i="49"/>
  <c r="V51" i="49"/>
  <c r="V50" i="49"/>
  <c r="T24" i="49"/>
  <c r="T33" i="49" s="1"/>
  <c r="T30" i="49"/>
  <c r="T62" i="49" s="1"/>
  <c r="T59" i="49" s="1"/>
  <c r="F95" i="47"/>
  <c r="G67" i="47"/>
  <c r="G58" i="47" s="1"/>
  <c r="G57" i="47" s="1"/>
  <c r="G78" i="47"/>
  <c r="G88" i="47" s="1"/>
  <c r="G77" i="47"/>
  <c r="I24" i="47"/>
  <c r="I33" i="47" s="1"/>
  <c r="I30" i="47"/>
  <c r="F104" i="46"/>
  <c r="U51" i="46"/>
  <c r="U50" i="46"/>
  <c r="J51" i="46"/>
  <c r="J23" i="46" s="1"/>
  <c r="I62" i="46"/>
  <c r="I59" i="46" s="1"/>
  <c r="G86" i="46"/>
  <c r="G85" i="46"/>
  <c r="H69" i="46"/>
  <c r="G84" i="46"/>
  <c r="G100" i="46"/>
  <c r="H70" i="46"/>
  <c r="B5" i="22"/>
  <c r="B5" i="19"/>
  <c r="B5" i="18"/>
  <c r="B5" i="17"/>
  <c r="B5" i="21"/>
  <c r="B5" i="9"/>
  <c r="F101" i="50" l="1"/>
  <c r="F107" i="50" s="1"/>
  <c r="G95" i="50"/>
  <c r="J51" i="50"/>
  <c r="J23" i="50" s="1"/>
  <c r="I62" i="50"/>
  <c r="I59" i="50" s="1"/>
  <c r="W51" i="50"/>
  <c r="V23" i="50"/>
  <c r="W50" i="50"/>
  <c r="U30" i="50"/>
  <c r="U62" i="50" s="1"/>
  <c r="U59" i="50" s="1"/>
  <c r="U24" i="50"/>
  <c r="U33" i="50" s="1"/>
  <c r="G85" i="49"/>
  <c r="G100" i="49"/>
  <c r="G84" i="49"/>
  <c r="H70" i="49"/>
  <c r="H69" i="49"/>
  <c r="G86" i="49"/>
  <c r="F104" i="49"/>
  <c r="F105" i="49"/>
  <c r="U30" i="49"/>
  <c r="U62" i="49" s="1"/>
  <c r="U59" i="49" s="1"/>
  <c r="U24" i="49"/>
  <c r="U33" i="49" s="1"/>
  <c r="W51" i="49"/>
  <c r="W50" i="49"/>
  <c r="W23" i="49" s="1"/>
  <c r="V23" i="49"/>
  <c r="I62" i="49"/>
  <c r="I59" i="49" s="1"/>
  <c r="J51" i="49"/>
  <c r="J23" i="49" s="1"/>
  <c r="G100" i="47"/>
  <c r="H70" i="47"/>
  <c r="G86" i="47"/>
  <c r="G84" i="47"/>
  <c r="H69" i="47"/>
  <c r="G85" i="47"/>
  <c r="F104" i="47"/>
  <c r="F105" i="47"/>
  <c r="I62" i="47"/>
  <c r="I59" i="47" s="1"/>
  <c r="J51" i="47"/>
  <c r="J23" i="47" s="1"/>
  <c r="J30" i="46"/>
  <c r="J24" i="46"/>
  <c r="J33" i="46" s="1"/>
  <c r="V51" i="46"/>
  <c r="V50" i="46"/>
  <c r="P23" i="46"/>
  <c r="G95" i="46"/>
  <c r="G105" i="46" s="1"/>
  <c r="I99" i="9"/>
  <c r="J99" i="9"/>
  <c r="K99" i="9"/>
  <c r="L99" i="9"/>
  <c r="M99" i="9"/>
  <c r="N99" i="9"/>
  <c r="O99" i="9"/>
  <c r="P99" i="9"/>
  <c r="Q99" i="9"/>
  <c r="R99" i="9"/>
  <c r="S99" i="9"/>
  <c r="T99" i="9"/>
  <c r="U99" i="9"/>
  <c r="V99" i="9"/>
  <c r="W99" i="9"/>
  <c r="H99" i="9"/>
  <c r="H62" i="9"/>
  <c r="F106" i="50" l="1"/>
  <c r="G96" i="50" s="1"/>
  <c r="G104" i="50"/>
  <c r="V30" i="50"/>
  <c r="V62" i="50" s="1"/>
  <c r="V59" i="50" s="1"/>
  <c r="V24" i="50"/>
  <c r="V33" i="50" s="1"/>
  <c r="J30" i="50"/>
  <c r="J24" i="50"/>
  <c r="J33" i="50" s="1"/>
  <c r="G102" i="50"/>
  <c r="G103" i="50"/>
  <c r="G105" i="50"/>
  <c r="W23" i="50"/>
  <c r="W30" i="49"/>
  <c r="W62" i="49" s="1"/>
  <c r="W59" i="49" s="1"/>
  <c r="W24" i="49"/>
  <c r="W33" i="49" s="1"/>
  <c r="G95" i="49"/>
  <c r="J30" i="49"/>
  <c r="J24" i="49"/>
  <c r="J33" i="49" s="1"/>
  <c r="V30" i="49"/>
  <c r="V62" i="49" s="1"/>
  <c r="V59" i="49" s="1"/>
  <c r="V24" i="49"/>
  <c r="V33" i="49" s="1"/>
  <c r="J30" i="47"/>
  <c r="J24" i="47"/>
  <c r="J33" i="47" s="1"/>
  <c r="G95" i="47"/>
  <c r="G104" i="47" s="1"/>
  <c r="G104" i="46"/>
  <c r="P30" i="46"/>
  <c r="P62" i="46" s="1"/>
  <c r="P59" i="46" s="1"/>
  <c r="Q23" i="46"/>
  <c r="W51" i="46"/>
  <c r="W50" i="46"/>
  <c r="J62" i="46"/>
  <c r="J59" i="46" s="1"/>
  <c r="K51" i="46"/>
  <c r="K23" i="46" s="1"/>
  <c r="E99" i="9"/>
  <c r="F99" i="9"/>
  <c r="G99" i="9"/>
  <c r="L14" i="21"/>
  <c r="M9" i="44" s="1"/>
  <c r="G101" i="50" l="1"/>
  <c r="G107" i="50" s="1"/>
  <c r="W24" i="50"/>
  <c r="W33" i="50" s="1"/>
  <c r="W30" i="50"/>
  <c r="W62" i="50" s="1"/>
  <c r="W59" i="50" s="1"/>
  <c r="J62" i="50"/>
  <c r="J59" i="50" s="1"/>
  <c r="K51" i="50"/>
  <c r="K23" i="50" s="1"/>
  <c r="J62" i="49"/>
  <c r="J59" i="49" s="1"/>
  <c r="K51" i="49"/>
  <c r="K23" i="49" s="1"/>
  <c r="G105" i="49"/>
  <c r="G104" i="49"/>
  <c r="G105" i="47"/>
  <c r="J62" i="47"/>
  <c r="J59" i="47" s="1"/>
  <c r="K51" i="47"/>
  <c r="K23" i="47" s="1"/>
  <c r="K24" i="46"/>
  <c r="K33" i="46" s="1"/>
  <c r="K30" i="46"/>
  <c r="Q24" i="46"/>
  <c r="Q33" i="46" s="1"/>
  <c r="Q30" i="46"/>
  <c r="Q62" i="46" s="1"/>
  <c r="Q59" i="46" s="1"/>
  <c r="R23" i="46"/>
  <c r="B17" i="21"/>
  <c r="B16" i="19"/>
  <c r="B16" i="18"/>
  <c r="B16" i="17"/>
  <c r="B16" i="9"/>
  <c r="G106" i="50" l="1"/>
  <c r="K24" i="50"/>
  <c r="K33" i="50" s="1"/>
  <c r="K30" i="50"/>
  <c r="K24" i="49"/>
  <c r="K33" i="49" s="1"/>
  <c r="K30" i="49"/>
  <c r="K30" i="47"/>
  <c r="K24" i="47"/>
  <c r="K33" i="47" s="1"/>
  <c r="R30" i="46"/>
  <c r="R62" i="46" s="1"/>
  <c r="R59" i="46" s="1"/>
  <c r="R24" i="46"/>
  <c r="R33" i="46" s="1"/>
  <c r="S23" i="46"/>
  <c r="K62" i="46"/>
  <c r="K59" i="46" s="1"/>
  <c r="L51" i="46"/>
  <c r="L23" i="46" s="1"/>
  <c r="E96" i="19"/>
  <c r="F96" i="19"/>
  <c r="G96" i="19"/>
  <c r="E95" i="18"/>
  <c r="F95" i="18"/>
  <c r="G95" i="18"/>
  <c r="E95" i="17"/>
  <c r="F95" i="17"/>
  <c r="G95" i="17"/>
  <c r="K62" i="50" l="1"/>
  <c r="K59" i="50" s="1"/>
  <c r="L51" i="50"/>
  <c r="L23" i="50" s="1"/>
  <c r="K62" i="49"/>
  <c r="K59" i="49" s="1"/>
  <c r="L51" i="49"/>
  <c r="L23" i="49" s="1"/>
  <c r="K62" i="47"/>
  <c r="K59" i="47" s="1"/>
  <c r="L51" i="47"/>
  <c r="L23" i="47" s="1"/>
  <c r="L24" i="46"/>
  <c r="L33" i="46" s="1"/>
  <c r="L30" i="46"/>
  <c r="S30" i="46"/>
  <c r="S62" i="46" s="1"/>
  <c r="S59" i="46" s="1"/>
  <c r="S24" i="46"/>
  <c r="S33" i="46" s="1"/>
  <c r="T23" i="46"/>
  <c r="H13" i="17"/>
  <c r="L24" i="50" l="1"/>
  <c r="L33" i="50" s="1"/>
  <c r="L30" i="50"/>
  <c r="L30" i="49"/>
  <c r="L24" i="49"/>
  <c r="L33" i="49" s="1"/>
  <c r="L30" i="47"/>
  <c r="L24" i="47"/>
  <c r="L33" i="47" s="1"/>
  <c r="T30" i="46"/>
  <c r="T62" i="46" s="1"/>
  <c r="T59" i="46" s="1"/>
  <c r="T24" i="46"/>
  <c r="T33" i="46" s="1"/>
  <c r="U23" i="46"/>
  <c r="L62" i="46"/>
  <c r="L59" i="46" s="1"/>
  <c r="M51" i="46"/>
  <c r="M23" i="46" s="1"/>
  <c r="F87" i="21"/>
  <c r="C27" i="40"/>
  <c r="C19" i="40"/>
  <c r="Q72" i="40"/>
  <c r="F15" i="40"/>
  <c r="F73" i="40" s="1"/>
  <c r="C57" i="40"/>
  <c r="D42" i="40"/>
  <c r="P72" i="40"/>
  <c r="U15" i="40"/>
  <c r="U73" i="40" s="1"/>
  <c r="E15" i="40"/>
  <c r="E73" i="40" s="1"/>
  <c r="O72" i="40"/>
  <c r="D15" i="40"/>
  <c r="D73" i="40" s="1"/>
  <c r="N72" i="40"/>
  <c r="C15" i="40"/>
  <c r="M72" i="40"/>
  <c r="Q15" i="40"/>
  <c r="Q73" i="40" s="1"/>
  <c r="F14" i="40"/>
  <c r="F63" i="40" s="1"/>
  <c r="O15" i="40"/>
  <c r="O73" i="40" s="1"/>
  <c r="D14" i="40"/>
  <c r="D63" i="40" s="1"/>
  <c r="N15" i="40"/>
  <c r="N73" i="40" s="1"/>
  <c r="I19" i="40"/>
  <c r="C24" i="40"/>
  <c r="F36" i="40"/>
  <c r="U72" i="40"/>
  <c r="C12" i="40"/>
  <c r="E36" i="40"/>
  <c r="C42" i="40"/>
  <c r="T15" i="40"/>
  <c r="T73" i="40" s="1"/>
  <c r="G37" i="40"/>
  <c r="S15" i="40"/>
  <c r="S73" i="40" s="1"/>
  <c r="F37" i="40"/>
  <c r="R15" i="40"/>
  <c r="R73" i="40" s="1"/>
  <c r="G14" i="40"/>
  <c r="G63" i="40" s="1"/>
  <c r="E37" i="40"/>
  <c r="L72" i="40"/>
  <c r="J19" i="40"/>
  <c r="M15" i="40"/>
  <c r="M73" i="40" s="1"/>
  <c r="L15" i="40"/>
  <c r="L73" i="40" s="1"/>
  <c r="V72" i="40"/>
  <c r="D12" i="40"/>
  <c r="G19" i="40"/>
  <c r="J15" i="40"/>
  <c r="J73" i="40" s="1"/>
  <c r="F19" i="40"/>
  <c r="O41" i="9"/>
  <c r="D37" i="40"/>
  <c r="C23" i="40"/>
  <c r="K72" i="40"/>
  <c r="P15" i="40"/>
  <c r="P73" i="40" s="1"/>
  <c r="E14" i="40"/>
  <c r="E63" i="40" s="1"/>
  <c r="J72" i="40"/>
  <c r="I72" i="40"/>
  <c r="C14" i="40"/>
  <c r="H72" i="40"/>
  <c r="D38" i="40"/>
  <c r="W72" i="40"/>
  <c r="H19" i="40"/>
  <c r="K15" i="40"/>
  <c r="K73" i="40" s="1"/>
  <c r="O37" i="40"/>
  <c r="E72" i="40"/>
  <c r="C48" i="40"/>
  <c r="F42" i="40"/>
  <c r="D36" i="40"/>
  <c r="C36" i="40"/>
  <c r="E19" i="40"/>
  <c r="R72" i="40"/>
  <c r="D71" i="9"/>
  <c r="W15" i="40"/>
  <c r="W73" i="40" s="1"/>
  <c r="I15" i="40"/>
  <c r="I73" i="40" s="1"/>
  <c r="T72" i="40"/>
  <c r="S72" i="40"/>
  <c r="D19" i="40"/>
  <c r="H15" i="40"/>
  <c r="H73" i="40" s="1"/>
  <c r="D79" i="40"/>
  <c r="C3" i="40"/>
  <c r="E42" i="40"/>
  <c r="L62" i="50" l="1"/>
  <c r="L59" i="50" s="1"/>
  <c r="M51" i="50"/>
  <c r="M23" i="50" s="1"/>
  <c r="L62" i="49"/>
  <c r="L59" i="49" s="1"/>
  <c r="M51" i="49"/>
  <c r="M23" i="49" s="1"/>
  <c r="L62" i="47"/>
  <c r="L59" i="47" s="1"/>
  <c r="M51" i="47"/>
  <c r="M23" i="47" s="1"/>
  <c r="M24" i="46"/>
  <c r="M33" i="46" s="1"/>
  <c r="M30" i="46"/>
  <c r="U30" i="46"/>
  <c r="U62" i="46" s="1"/>
  <c r="U59" i="46" s="1"/>
  <c r="U24" i="46"/>
  <c r="U33" i="46" s="1"/>
  <c r="V23" i="46"/>
  <c r="P51" i="44"/>
  <c r="F79" i="40"/>
  <c r="E79" i="40"/>
  <c r="V15" i="40"/>
  <c r="V73" i="40" s="1"/>
  <c r="V74" i="40" s="1"/>
  <c r="E12" i="40"/>
  <c r="E52" i="40" s="1"/>
  <c r="D50" i="40"/>
  <c r="E51" i="40" s="1"/>
  <c r="O42" i="21"/>
  <c r="O42" i="40"/>
  <c r="H2" i="43" a="1"/>
  <c r="H2" i="43" s="1"/>
  <c r="C11" i="22"/>
  <c r="D79" i="21"/>
  <c r="D78" i="9"/>
  <c r="L74" i="40"/>
  <c r="F79" i="21"/>
  <c r="F78" i="9"/>
  <c r="E79" i="21"/>
  <c r="E78" i="9"/>
  <c r="W74" i="40"/>
  <c r="K19" i="40"/>
  <c r="K65" i="40"/>
  <c r="L19" i="40"/>
  <c r="L65" i="40"/>
  <c r="C33" i="40"/>
  <c r="M19" i="40"/>
  <c r="M65" i="40"/>
  <c r="C30" i="40"/>
  <c r="E74" i="40"/>
  <c r="R74" i="40"/>
  <c r="U74" i="40"/>
  <c r="H74" i="40"/>
  <c r="D72" i="40"/>
  <c r="D74" i="40" s="1"/>
  <c r="I74" i="40"/>
  <c r="S74" i="40"/>
  <c r="P19" i="40"/>
  <c r="P65" i="40"/>
  <c r="G14" i="9"/>
  <c r="G15" i="40"/>
  <c r="G73" i="40" s="1"/>
  <c r="G36" i="19"/>
  <c r="G36" i="40"/>
  <c r="O38" i="19"/>
  <c r="O38" i="40"/>
  <c r="M74" i="40"/>
  <c r="F12" i="21"/>
  <c r="F12" i="40"/>
  <c r="R19" i="40"/>
  <c r="R65" i="40"/>
  <c r="W19" i="40"/>
  <c r="W65" i="40"/>
  <c r="F71" i="9"/>
  <c r="F72" i="40"/>
  <c r="K74" i="40"/>
  <c r="S19" i="40"/>
  <c r="S65" i="40"/>
  <c r="G23" i="9"/>
  <c r="H50" i="44" s="1"/>
  <c r="N19" i="40"/>
  <c r="N65" i="40"/>
  <c r="U19" i="40"/>
  <c r="U65" i="40"/>
  <c r="P74" i="40"/>
  <c r="V19" i="40"/>
  <c r="V65" i="40"/>
  <c r="E37" i="9"/>
  <c r="F47" i="44" s="1"/>
  <c r="E38" i="40"/>
  <c r="F37" i="9"/>
  <c r="G47" i="44" s="1"/>
  <c r="F38" i="40"/>
  <c r="Q19" i="40"/>
  <c r="Q65" i="40"/>
  <c r="G71" i="9"/>
  <c r="G72" i="40"/>
  <c r="G37" i="9"/>
  <c r="H47" i="44" s="1"/>
  <c r="G38" i="40"/>
  <c r="H37" i="40"/>
  <c r="I37" i="40" s="1"/>
  <c r="J37" i="40" s="1"/>
  <c r="K37" i="40" s="1"/>
  <c r="L37" i="40" s="1"/>
  <c r="M37" i="40" s="1"/>
  <c r="N37" i="40" s="1"/>
  <c r="D60" i="40"/>
  <c r="Q74" i="40"/>
  <c r="J74" i="40"/>
  <c r="T19" i="40"/>
  <c r="T65" i="40"/>
  <c r="G42" i="19"/>
  <c r="G42" i="40"/>
  <c r="O19" i="40"/>
  <c r="O65" i="40"/>
  <c r="T74" i="40"/>
  <c r="D27" i="40"/>
  <c r="E27" i="40" s="1"/>
  <c r="F27" i="40" s="1"/>
  <c r="G27" i="40" s="1"/>
  <c r="H27" i="40" s="1"/>
  <c r="I27" i="40" s="1"/>
  <c r="J27" i="40" s="1"/>
  <c r="K27" i="40" s="1"/>
  <c r="L27" i="40" s="1"/>
  <c r="M27" i="40" s="1"/>
  <c r="N27" i="40" s="1"/>
  <c r="O27" i="40" s="1"/>
  <c r="P27" i="40" s="1"/>
  <c r="Q27" i="40" s="1"/>
  <c r="R27" i="40" s="1"/>
  <c r="S27" i="40" s="1"/>
  <c r="T27" i="40" s="1"/>
  <c r="U27" i="40" s="1"/>
  <c r="V27" i="40" s="1"/>
  <c r="W27" i="40" s="1"/>
  <c r="C92" i="40"/>
  <c r="D70" i="40"/>
  <c r="O74" i="40"/>
  <c r="N74" i="40"/>
  <c r="D52" i="40"/>
  <c r="C58" i="8"/>
  <c r="O37" i="19"/>
  <c r="V14" i="9"/>
  <c r="V14" i="19"/>
  <c r="V14" i="18"/>
  <c r="V14" i="17"/>
  <c r="V15" i="21"/>
  <c r="L14" i="9"/>
  <c r="L14" i="19"/>
  <c r="L14" i="18"/>
  <c r="L15" i="21"/>
  <c r="L14" i="17"/>
  <c r="W14" i="9"/>
  <c r="W14" i="19"/>
  <c r="W14" i="18"/>
  <c r="W14" i="17"/>
  <c r="W15" i="21"/>
  <c r="M14" i="9"/>
  <c r="M14" i="19"/>
  <c r="M14" i="18"/>
  <c r="M14" i="17"/>
  <c r="M15" i="21"/>
  <c r="N14" i="9"/>
  <c r="N14" i="18"/>
  <c r="N14" i="17"/>
  <c r="N15" i="21"/>
  <c r="N14" i="19"/>
  <c r="Q14" i="9"/>
  <c r="Q14" i="19"/>
  <c r="Q14" i="18"/>
  <c r="Q14" i="17"/>
  <c r="Q15" i="21"/>
  <c r="T14" i="9"/>
  <c r="T15" i="21"/>
  <c r="T14" i="18"/>
  <c r="T14" i="17"/>
  <c r="T14" i="19"/>
  <c r="K14" i="9"/>
  <c r="K14" i="19"/>
  <c r="K15" i="21"/>
  <c r="K14" i="17"/>
  <c r="K14" i="18"/>
  <c r="J14" i="9"/>
  <c r="J14" i="19"/>
  <c r="J14" i="17"/>
  <c r="J14" i="18"/>
  <c r="J15" i="21"/>
  <c r="S14" i="9"/>
  <c r="S14" i="19"/>
  <c r="S15" i="21"/>
  <c r="S14" i="18"/>
  <c r="S14" i="17"/>
  <c r="U14" i="9"/>
  <c r="U14" i="19"/>
  <c r="U14" i="18"/>
  <c r="U14" i="17"/>
  <c r="U15" i="21"/>
  <c r="R14" i="9"/>
  <c r="R14" i="18"/>
  <c r="R14" i="17"/>
  <c r="R14" i="19"/>
  <c r="R15" i="21"/>
  <c r="H14" i="9"/>
  <c r="H72" i="9" s="1"/>
  <c r="H14" i="19"/>
  <c r="H14" i="17"/>
  <c r="H14" i="18"/>
  <c r="H15" i="21"/>
  <c r="P14" i="9"/>
  <c r="P14" i="19"/>
  <c r="P14" i="18"/>
  <c r="P14" i="17"/>
  <c r="P15" i="21"/>
  <c r="I14" i="9"/>
  <c r="I14" i="19"/>
  <c r="I14" i="18"/>
  <c r="I15" i="21"/>
  <c r="I14" i="17"/>
  <c r="O14" i="9"/>
  <c r="O14" i="19"/>
  <c r="O14" i="18"/>
  <c r="O14" i="17"/>
  <c r="O15" i="21"/>
  <c r="F37" i="19"/>
  <c r="F36" i="18"/>
  <c r="G37" i="18"/>
  <c r="G38" i="19"/>
  <c r="E37" i="19"/>
  <c r="E36" i="18"/>
  <c r="F37" i="18"/>
  <c r="F38" i="19"/>
  <c r="E38" i="19"/>
  <c r="E37" i="18"/>
  <c r="D38" i="19"/>
  <c r="D37" i="18"/>
  <c r="G37" i="19"/>
  <c r="G36" i="18"/>
  <c r="D37" i="19"/>
  <c r="D36" i="18"/>
  <c r="F37" i="21"/>
  <c r="G11" i="44" s="1"/>
  <c r="F36" i="17"/>
  <c r="F36" i="9"/>
  <c r="G46" i="44" s="1"/>
  <c r="G38" i="21"/>
  <c r="H12" i="44" s="1"/>
  <c r="G37" i="17"/>
  <c r="E36" i="17"/>
  <c r="E37" i="21"/>
  <c r="F11" i="44" s="1"/>
  <c r="E36" i="9"/>
  <c r="F46" i="44" s="1"/>
  <c r="E38" i="21"/>
  <c r="F12" i="44" s="1"/>
  <c r="E37" i="17"/>
  <c r="D38" i="21"/>
  <c r="D37" i="17"/>
  <c r="F37" i="17"/>
  <c r="F38" i="21"/>
  <c r="G12" i="44" s="1"/>
  <c r="G36" i="17"/>
  <c r="H46" i="44"/>
  <c r="G37" i="21"/>
  <c r="H11" i="44" s="1"/>
  <c r="D36" i="17"/>
  <c r="D37" i="21"/>
  <c r="U41" i="9"/>
  <c r="V41" i="9"/>
  <c r="W41" i="9"/>
  <c r="G13" i="17"/>
  <c r="G13" i="18"/>
  <c r="G13" i="19"/>
  <c r="G14" i="17"/>
  <c r="G14" i="18"/>
  <c r="G14" i="19"/>
  <c r="O36" i="18"/>
  <c r="O37" i="18"/>
  <c r="G35" i="9"/>
  <c r="G35" i="18"/>
  <c r="G35" i="17"/>
  <c r="G41" i="17"/>
  <c r="G41" i="18"/>
  <c r="Q41" i="9"/>
  <c r="R41" i="9"/>
  <c r="S41" i="9"/>
  <c r="T41" i="9"/>
  <c r="P41" i="9"/>
  <c r="O38" i="21"/>
  <c r="P12" i="44" s="1"/>
  <c r="O37" i="9"/>
  <c r="P47" i="44" s="1"/>
  <c r="G42" i="21"/>
  <c r="G41" i="9"/>
  <c r="G15" i="21"/>
  <c r="O37" i="21"/>
  <c r="P11" i="44" s="1"/>
  <c r="O36" i="9"/>
  <c r="P46" i="44" s="1"/>
  <c r="G14" i="21"/>
  <c r="H9" i="44" s="1"/>
  <c r="G13" i="9"/>
  <c r="C5" i="9"/>
  <c r="C6" i="9" s="1"/>
  <c r="H48" i="44" l="1"/>
  <c r="G98" i="9"/>
  <c r="G96" i="9" s="1"/>
  <c r="M24" i="50"/>
  <c r="M33" i="50" s="1"/>
  <c r="M30" i="50"/>
  <c r="M24" i="49"/>
  <c r="M33" i="49" s="1"/>
  <c r="M30" i="49"/>
  <c r="M24" i="47"/>
  <c r="M33" i="47" s="1"/>
  <c r="M30" i="47"/>
  <c r="V30" i="46"/>
  <c r="V62" i="46" s="1"/>
  <c r="V59" i="46" s="1"/>
  <c r="V24" i="46"/>
  <c r="V33" i="46" s="1"/>
  <c r="W23" i="46"/>
  <c r="M62" i="46"/>
  <c r="M59" i="46" s="1"/>
  <c r="N51" i="46"/>
  <c r="N23" i="46" s="1"/>
  <c r="O51" i="46"/>
  <c r="F74" i="40"/>
  <c r="H13" i="44"/>
  <c r="E60" i="40"/>
  <c r="E50" i="40"/>
  <c r="F50" i="40" s="1"/>
  <c r="G7" i="44"/>
  <c r="P17" i="44"/>
  <c r="H17" i="44"/>
  <c r="H24" i="44"/>
  <c r="F25" i="44"/>
  <c r="F24" i="44"/>
  <c r="G32" i="44"/>
  <c r="F32" i="44"/>
  <c r="P32" i="44"/>
  <c r="H25" i="44"/>
  <c r="F31" i="44"/>
  <c r="H32" i="44"/>
  <c r="H31" i="44"/>
  <c r="G24" i="44"/>
  <c r="G31" i="44"/>
  <c r="P31" i="44"/>
  <c r="G25" i="44"/>
  <c r="H51" i="44"/>
  <c r="P42" i="40"/>
  <c r="Q51" i="44"/>
  <c r="T42" i="40"/>
  <c r="U51" i="44"/>
  <c r="S42" i="40"/>
  <c r="T51" i="44"/>
  <c r="R42" i="40"/>
  <c r="S51" i="44"/>
  <c r="Q42" i="40"/>
  <c r="R51" i="44"/>
  <c r="W42" i="40"/>
  <c r="X51" i="44"/>
  <c r="V42" i="40"/>
  <c r="W51" i="44"/>
  <c r="U42" i="40"/>
  <c r="V51" i="44"/>
  <c r="I2" i="43" a="1"/>
  <c r="I2" i="43" s="1"/>
  <c r="F12" i="18"/>
  <c r="H64" i="9"/>
  <c r="H38" i="40"/>
  <c r="I38" i="40" s="1"/>
  <c r="J38" i="40" s="1"/>
  <c r="K38" i="40" s="1"/>
  <c r="L38" i="40" s="1"/>
  <c r="M38" i="40" s="1"/>
  <c r="N38" i="40" s="1"/>
  <c r="F60" i="40"/>
  <c r="F52" i="40"/>
  <c r="G74" i="40"/>
  <c r="H37" i="9"/>
  <c r="I37" i="19"/>
  <c r="H37" i="19"/>
  <c r="N38" i="19"/>
  <c r="H38" i="19"/>
  <c r="H37" i="21"/>
  <c r="N37" i="19"/>
  <c r="M37" i="19"/>
  <c r="F63" i="9"/>
  <c r="H36" i="18"/>
  <c r="I36" i="18" s="1"/>
  <c r="J36" i="18" s="1"/>
  <c r="K36" i="18" s="1"/>
  <c r="L36" i="18" s="1"/>
  <c r="M36" i="18" s="1"/>
  <c r="N36" i="18" s="1"/>
  <c r="J37" i="19"/>
  <c r="L37" i="19"/>
  <c r="K37" i="19"/>
  <c r="J38" i="19"/>
  <c r="L38" i="19"/>
  <c r="I38" i="19"/>
  <c r="M38" i="19"/>
  <c r="K38" i="19"/>
  <c r="L37" i="17"/>
  <c r="M37" i="17"/>
  <c r="H37" i="18"/>
  <c r="I37" i="18" s="1"/>
  <c r="J37" i="18" s="1"/>
  <c r="K37" i="18" s="1"/>
  <c r="L37" i="18" s="1"/>
  <c r="M37" i="18" s="1"/>
  <c r="N37" i="18" s="1"/>
  <c r="L36" i="17"/>
  <c r="M36" i="17"/>
  <c r="H38" i="21"/>
  <c r="F64" i="9"/>
  <c r="V37" i="9"/>
  <c r="W37" i="9"/>
  <c r="U37" i="9"/>
  <c r="O36" i="17"/>
  <c r="W36" i="9"/>
  <c r="U36" i="9"/>
  <c r="V36" i="9"/>
  <c r="S37" i="9"/>
  <c r="T37" i="9"/>
  <c r="Q37" i="9"/>
  <c r="P37" i="9"/>
  <c r="R37" i="9"/>
  <c r="Q36" i="9"/>
  <c r="R46" i="44" s="1"/>
  <c r="S36" i="9"/>
  <c r="T36" i="9"/>
  <c r="P36" i="9"/>
  <c r="R36" i="9"/>
  <c r="N41" i="9"/>
  <c r="J41" i="9"/>
  <c r="K41" i="9"/>
  <c r="L41" i="9"/>
  <c r="M41" i="9"/>
  <c r="G32" i="9"/>
  <c r="H52" i="44" s="1"/>
  <c r="D23" i="9"/>
  <c r="D24" i="40" s="1"/>
  <c r="F41" i="17"/>
  <c r="E23" i="9"/>
  <c r="F23" i="9"/>
  <c r="C56" i="17"/>
  <c r="C3" i="9"/>
  <c r="H13" i="19"/>
  <c r="I13" i="19"/>
  <c r="J13" i="19"/>
  <c r="K13" i="19"/>
  <c r="L13" i="19"/>
  <c r="M13" i="19"/>
  <c r="N13" i="19"/>
  <c r="O13" i="19"/>
  <c r="P13" i="19"/>
  <c r="Q13" i="19"/>
  <c r="R13" i="19"/>
  <c r="S13" i="19"/>
  <c r="T13" i="19"/>
  <c r="U13" i="19"/>
  <c r="V13" i="19"/>
  <c r="W13" i="19"/>
  <c r="H13" i="18"/>
  <c r="I13" i="18"/>
  <c r="J13" i="18"/>
  <c r="K13" i="18"/>
  <c r="L13" i="18"/>
  <c r="M13" i="18"/>
  <c r="N13" i="18"/>
  <c r="O13" i="18"/>
  <c r="P13" i="18"/>
  <c r="Q13" i="18"/>
  <c r="R13" i="18"/>
  <c r="S13" i="18"/>
  <c r="T13" i="18"/>
  <c r="U13" i="18"/>
  <c r="V13" i="18"/>
  <c r="W13" i="18"/>
  <c r="I13" i="17"/>
  <c r="J13" i="17"/>
  <c r="K13" i="17"/>
  <c r="L13" i="17"/>
  <c r="M13" i="17"/>
  <c r="N13" i="17"/>
  <c r="O13" i="17"/>
  <c r="P13" i="17"/>
  <c r="Q13" i="17"/>
  <c r="R13" i="17"/>
  <c r="S13" i="17"/>
  <c r="T13" i="17"/>
  <c r="U13" i="17"/>
  <c r="V13" i="17"/>
  <c r="W13" i="17"/>
  <c r="H14" i="21"/>
  <c r="I9" i="44" s="1"/>
  <c r="I14" i="21"/>
  <c r="J9" i="44" s="1"/>
  <c r="J14" i="21"/>
  <c r="K9" i="44" s="1"/>
  <c r="K14" i="21"/>
  <c r="L9" i="44" s="1"/>
  <c r="M14" i="21"/>
  <c r="N9" i="44" s="1"/>
  <c r="N14" i="21"/>
  <c r="O9" i="44" s="1"/>
  <c r="O14" i="21"/>
  <c r="P9" i="44" s="1"/>
  <c r="P14" i="21"/>
  <c r="Q9" i="44" s="1"/>
  <c r="Q14" i="21"/>
  <c r="R9" i="44" s="1"/>
  <c r="R14" i="21"/>
  <c r="S9" i="44" s="1"/>
  <c r="S14" i="21"/>
  <c r="T9" i="44" s="1"/>
  <c r="T14" i="21"/>
  <c r="U9" i="44" s="1"/>
  <c r="U14" i="21"/>
  <c r="V9" i="44" s="1"/>
  <c r="V14" i="21"/>
  <c r="W9" i="44" s="1"/>
  <c r="W14" i="21"/>
  <c r="X9" i="44" s="1"/>
  <c r="G109" i="46" l="1"/>
  <c r="G113" i="46" s="1"/>
  <c r="G109" i="49"/>
  <c r="G113" i="49" s="1"/>
  <c r="G109" i="50"/>
  <c r="G113" i="50" s="1"/>
  <c r="G109" i="47"/>
  <c r="G113" i="47" s="1"/>
  <c r="M62" i="50"/>
  <c r="M59" i="50" s="1"/>
  <c r="O51" i="50"/>
  <c r="N51" i="50"/>
  <c r="N23" i="50" s="1"/>
  <c r="M62" i="49"/>
  <c r="M59" i="49" s="1"/>
  <c r="O51" i="49"/>
  <c r="N51" i="49"/>
  <c r="N23" i="49" s="1"/>
  <c r="M62" i="47"/>
  <c r="M59" i="47" s="1"/>
  <c r="N51" i="47"/>
  <c r="O23" i="46"/>
  <c r="N24" i="46"/>
  <c r="N33" i="46" s="1"/>
  <c r="N30" i="46"/>
  <c r="N62" i="46" s="1"/>
  <c r="N59" i="46" s="1"/>
  <c r="W30" i="46"/>
  <c r="W62" i="46" s="1"/>
  <c r="W59" i="46" s="1"/>
  <c r="W24" i="46"/>
  <c r="W33" i="46" s="1"/>
  <c r="O51" i="44"/>
  <c r="F51" i="40"/>
  <c r="N38" i="9"/>
  <c r="C43" i="40"/>
  <c r="D39" i="40"/>
  <c r="C39" i="40"/>
  <c r="G43" i="40"/>
  <c r="E43" i="40"/>
  <c r="D43" i="40"/>
  <c r="F43" i="40"/>
  <c r="H41" i="17"/>
  <c r="M24" i="44"/>
  <c r="N25" i="44"/>
  <c r="O32" i="44"/>
  <c r="M25" i="44"/>
  <c r="I31" i="44"/>
  <c r="L32" i="44"/>
  <c r="J31" i="44"/>
  <c r="N32" i="44"/>
  <c r="J32" i="44"/>
  <c r="M32" i="44"/>
  <c r="K32" i="44"/>
  <c r="L31" i="44"/>
  <c r="N24" i="44"/>
  <c r="I32" i="44"/>
  <c r="M31" i="44"/>
  <c r="O31" i="44"/>
  <c r="K31" i="44"/>
  <c r="N31" i="44"/>
  <c r="R37" i="40"/>
  <c r="S46" i="44"/>
  <c r="U38" i="40"/>
  <c r="V47" i="44"/>
  <c r="P37" i="40"/>
  <c r="Q46" i="44"/>
  <c r="W38" i="40"/>
  <c r="X47" i="44"/>
  <c r="I37" i="9"/>
  <c r="I47" i="44"/>
  <c r="U37" i="40"/>
  <c r="V46" i="44"/>
  <c r="S37" i="40"/>
  <c r="T46" i="44"/>
  <c r="T37" i="40"/>
  <c r="U46" i="44"/>
  <c r="R38" i="40"/>
  <c r="S47" i="44"/>
  <c r="I36" i="9"/>
  <c r="I46" i="44"/>
  <c r="V38" i="40"/>
  <c r="W47" i="44"/>
  <c r="P38" i="40"/>
  <c r="Q47" i="44"/>
  <c r="Q38" i="40"/>
  <c r="R47" i="44"/>
  <c r="W37" i="40"/>
  <c r="X46" i="44"/>
  <c r="I42" i="40"/>
  <c r="J51" i="44"/>
  <c r="F24" i="40"/>
  <c r="F33" i="40" s="1"/>
  <c r="G50" i="44"/>
  <c r="T38" i="40"/>
  <c r="U47" i="44"/>
  <c r="M42" i="40"/>
  <c r="N51" i="44"/>
  <c r="S38" i="40"/>
  <c r="T47" i="44"/>
  <c r="L42" i="40"/>
  <c r="M51" i="44"/>
  <c r="K42" i="40"/>
  <c r="L51" i="44"/>
  <c r="E24" i="40"/>
  <c r="E33" i="40" s="1"/>
  <c r="F50" i="44"/>
  <c r="J42" i="40"/>
  <c r="K51" i="44"/>
  <c r="V37" i="40"/>
  <c r="W46" i="44"/>
  <c r="H42" i="40"/>
  <c r="I51" i="44"/>
  <c r="P24" i="44"/>
  <c r="I38" i="21"/>
  <c r="I12" i="44"/>
  <c r="G28" i="44"/>
  <c r="I37" i="21"/>
  <c r="I11" i="44"/>
  <c r="H36" i="17"/>
  <c r="G51" i="40"/>
  <c r="D33" i="40"/>
  <c r="D68" i="40" s="1"/>
  <c r="N42" i="40"/>
  <c r="Q37" i="21"/>
  <c r="R11" i="44" s="1"/>
  <c r="Q37" i="40"/>
  <c r="V38" i="9"/>
  <c r="V39" i="40" s="1"/>
  <c r="W38" i="9"/>
  <c r="W39" i="40" s="1"/>
  <c r="U38" i="9"/>
  <c r="O38" i="9"/>
  <c r="O39" i="40" s="1"/>
  <c r="P38" i="9"/>
  <c r="P39" i="40" s="1"/>
  <c r="N41" i="17"/>
  <c r="P37" i="21"/>
  <c r="Q11" i="44" s="1"/>
  <c r="P36" i="17"/>
  <c r="P36" i="18"/>
  <c r="H42" i="21"/>
  <c r="N42" i="21"/>
  <c r="E24" i="21"/>
  <c r="F16" i="44" s="1"/>
  <c r="E23" i="17"/>
  <c r="F23" i="17"/>
  <c r="F24" i="21"/>
  <c r="D24" i="21"/>
  <c r="D23" i="17"/>
  <c r="O23" i="50" l="1"/>
  <c r="N24" i="50"/>
  <c r="N33" i="50" s="1"/>
  <c r="N30" i="50"/>
  <c r="N62" i="50" s="1"/>
  <c r="N59" i="50" s="1"/>
  <c r="N24" i="49"/>
  <c r="N33" i="49" s="1"/>
  <c r="N30" i="49"/>
  <c r="N62" i="49" s="1"/>
  <c r="N59" i="49" s="1"/>
  <c r="O23" i="49"/>
  <c r="O24" i="46"/>
  <c r="O33" i="46" s="1"/>
  <c r="O30" i="46"/>
  <c r="O62" i="46" s="1"/>
  <c r="O59" i="46" s="1"/>
  <c r="P24" i="46"/>
  <c r="P33" i="46" s="1"/>
  <c r="G12" i="40"/>
  <c r="G79" i="40" s="1"/>
  <c r="G16" i="44"/>
  <c r="G38" i="9"/>
  <c r="G39" i="40" s="1"/>
  <c r="M38" i="9"/>
  <c r="M39" i="40" s="1"/>
  <c r="L38" i="9"/>
  <c r="L39" i="40" s="1"/>
  <c r="K38" i="9"/>
  <c r="K39" i="40" s="1"/>
  <c r="J38" i="9"/>
  <c r="I38" i="9"/>
  <c r="I39" i="40" s="1"/>
  <c r="H38" i="9"/>
  <c r="H39" i="40" s="1"/>
  <c r="I17" i="44"/>
  <c r="Q24" i="44"/>
  <c r="J37" i="9"/>
  <c r="J47" i="44"/>
  <c r="J36" i="9"/>
  <c r="J46" i="44"/>
  <c r="O17" i="44"/>
  <c r="J37" i="21"/>
  <c r="J11" i="44"/>
  <c r="I24" i="44"/>
  <c r="J38" i="21"/>
  <c r="J12" i="44"/>
  <c r="G2" i="43" a="1"/>
  <c r="G2" i="43" s="1"/>
  <c r="G101" i="40"/>
  <c r="G101" i="9"/>
  <c r="I36" i="17"/>
  <c r="D69" i="40"/>
  <c r="H43" i="21"/>
  <c r="H43" i="40"/>
  <c r="N39" i="40"/>
  <c r="E39" i="40"/>
  <c r="U39" i="21"/>
  <c r="U39" i="40"/>
  <c r="U43" i="21"/>
  <c r="U43" i="40"/>
  <c r="I43" i="21"/>
  <c r="I43" i="40"/>
  <c r="R43" i="21"/>
  <c r="R43" i="40"/>
  <c r="Q43" i="21"/>
  <c r="Q43" i="40"/>
  <c r="V43" i="21"/>
  <c r="V43" i="40"/>
  <c r="K43" i="21"/>
  <c r="K43" i="40"/>
  <c r="S43" i="21"/>
  <c r="S43" i="40"/>
  <c r="L43" i="21"/>
  <c r="L43" i="40"/>
  <c r="J43" i="21"/>
  <c r="J43" i="40"/>
  <c r="M43" i="21"/>
  <c r="M43" i="40"/>
  <c r="N43" i="21"/>
  <c r="N43" i="40"/>
  <c r="T43" i="21"/>
  <c r="T43" i="40"/>
  <c r="D78" i="40"/>
  <c r="W43" i="21"/>
  <c r="W43" i="40"/>
  <c r="O43" i="21"/>
  <c r="O43" i="40"/>
  <c r="P43" i="21"/>
  <c r="P43" i="40"/>
  <c r="F39" i="40"/>
  <c r="F43" i="21"/>
  <c r="F42" i="17"/>
  <c r="G43" i="21"/>
  <c r="G42" i="17"/>
  <c r="C38" i="17"/>
  <c r="C39" i="19"/>
  <c r="C39" i="21"/>
  <c r="C38" i="18"/>
  <c r="E43" i="21"/>
  <c r="E42" i="17"/>
  <c r="D38" i="17"/>
  <c r="D39" i="19"/>
  <c r="D39" i="21"/>
  <c r="D38" i="18"/>
  <c r="C42" i="17"/>
  <c r="C43" i="21"/>
  <c r="D43" i="21"/>
  <c r="D42" i="17"/>
  <c r="J11" i="20"/>
  <c r="C5" i="22"/>
  <c r="C5" i="19"/>
  <c r="C6" i="19" s="1"/>
  <c r="C5" i="18"/>
  <c r="C6" i="18" s="1"/>
  <c r="C5" i="17"/>
  <c r="C6" i="17" s="1"/>
  <c r="O24" i="50" l="1"/>
  <c r="O33" i="50" s="1"/>
  <c r="O30" i="50"/>
  <c r="O62" i="50" s="1"/>
  <c r="O59" i="50" s="1"/>
  <c r="P24" i="50"/>
  <c r="P33" i="50" s="1"/>
  <c r="O24" i="49"/>
  <c r="O33" i="49" s="1"/>
  <c r="O30" i="49"/>
  <c r="O62" i="49" s="1"/>
  <c r="O59" i="49" s="1"/>
  <c r="P24" i="49"/>
  <c r="P33" i="49" s="1"/>
  <c r="G50" i="40"/>
  <c r="K36" i="9"/>
  <c r="K46" i="44"/>
  <c r="K37" i="9"/>
  <c r="K47" i="44"/>
  <c r="H12" i="40"/>
  <c r="H79" i="40" s="1"/>
  <c r="K38" i="21"/>
  <c r="K12" i="44"/>
  <c r="J24" i="44"/>
  <c r="K37" i="21"/>
  <c r="K11" i="44"/>
  <c r="G12" i="17"/>
  <c r="G60" i="40"/>
  <c r="G12" i="18"/>
  <c r="G12" i="19"/>
  <c r="G52" i="40"/>
  <c r="G13" i="40"/>
  <c r="J36" i="17"/>
  <c r="J39" i="21"/>
  <c r="J39" i="40"/>
  <c r="C3" i="22"/>
  <c r="C3" i="17"/>
  <c r="C3" i="18"/>
  <c r="C3" i="19"/>
  <c r="U70" i="17"/>
  <c r="U71" i="19"/>
  <c r="V71" i="19"/>
  <c r="W71" i="19"/>
  <c r="U70" i="18"/>
  <c r="V70" i="18"/>
  <c r="W70" i="18"/>
  <c r="V70" i="17"/>
  <c r="W70" i="17"/>
  <c r="N24" i="19"/>
  <c r="H12" i="19" l="1"/>
  <c r="H52" i="40"/>
  <c r="I12" i="40"/>
  <c r="I79" i="40" s="1"/>
  <c r="H60" i="40"/>
  <c r="K24" i="44"/>
  <c r="H13" i="40"/>
  <c r="H50" i="40"/>
  <c r="H12" i="17"/>
  <c r="H28" i="44"/>
  <c r="H12" i="18"/>
  <c r="L37" i="9"/>
  <c r="L47" i="44"/>
  <c r="L36" i="9"/>
  <c r="L46" i="44"/>
  <c r="L37" i="21"/>
  <c r="L11" i="44"/>
  <c r="L38" i="21"/>
  <c r="L12" i="44"/>
  <c r="S38" i="9"/>
  <c r="S39" i="40" s="1"/>
  <c r="Q38" i="9"/>
  <c r="Q39" i="40" s="1"/>
  <c r="R38" i="9"/>
  <c r="R39" i="40" s="1"/>
  <c r="T38" i="9"/>
  <c r="C35" i="18"/>
  <c r="C36" i="21"/>
  <c r="C36" i="19"/>
  <c r="C35" i="17"/>
  <c r="D35" i="9"/>
  <c r="D35" i="18"/>
  <c r="D36" i="21"/>
  <c r="D36" i="19"/>
  <c r="D35" i="17"/>
  <c r="E36" i="19"/>
  <c r="E35" i="17"/>
  <c r="E36" i="21"/>
  <c r="F13" i="44" s="1"/>
  <c r="E35" i="18"/>
  <c r="F35" i="18"/>
  <c r="F36" i="21"/>
  <c r="F36" i="19"/>
  <c r="F35" i="17"/>
  <c r="C12" i="19"/>
  <c r="C12" i="21"/>
  <c r="C12" i="17"/>
  <c r="C12" i="9"/>
  <c r="D12" i="19"/>
  <c r="D12" i="21"/>
  <c r="D12" i="17"/>
  <c r="D12" i="9"/>
  <c r="E12" i="19"/>
  <c r="E12" i="21"/>
  <c r="E12" i="9"/>
  <c r="E12" i="17"/>
  <c r="F12" i="19"/>
  <c r="F12" i="17"/>
  <c r="F12" i="9"/>
  <c r="S70" i="17"/>
  <c r="G13" i="44" l="1"/>
  <c r="I52" i="40"/>
  <c r="D49" i="17"/>
  <c r="E49" i="17" s="1"/>
  <c r="F49" i="17" s="1"/>
  <c r="G49" i="17" s="1"/>
  <c r="H49" i="17" s="1"/>
  <c r="I12" i="19"/>
  <c r="I50" i="40"/>
  <c r="I13" i="40"/>
  <c r="I60" i="40"/>
  <c r="I12" i="18"/>
  <c r="J12" i="40"/>
  <c r="J79" i="40" s="1"/>
  <c r="D50" i="19"/>
  <c r="E50" i="19" s="1"/>
  <c r="F50" i="19" s="1"/>
  <c r="G50" i="19" s="1"/>
  <c r="H50" i="19" s="1"/>
  <c r="I12" i="17"/>
  <c r="F43" i="44"/>
  <c r="F7" i="44"/>
  <c r="D49" i="9"/>
  <c r="E49" i="9" s="1"/>
  <c r="F49" i="9" s="1"/>
  <c r="I28" i="44"/>
  <c r="G43" i="44"/>
  <c r="M36" i="9"/>
  <c r="M46" i="44"/>
  <c r="M37" i="9"/>
  <c r="M47" i="44"/>
  <c r="M38" i="21"/>
  <c r="M12" i="44"/>
  <c r="M37" i="21"/>
  <c r="M11" i="44"/>
  <c r="T39" i="21"/>
  <c r="T39" i="40"/>
  <c r="D96" i="9"/>
  <c r="G12" i="9"/>
  <c r="G78" i="9" s="1"/>
  <c r="H96" i="19"/>
  <c r="P96" i="19"/>
  <c r="O95" i="18"/>
  <c r="W95" i="18"/>
  <c r="N95" i="17"/>
  <c r="V95" i="17"/>
  <c r="O95" i="17"/>
  <c r="O96" i="19"/>
  <c r="N95" i="18"/>
  <c r="V95" i="18"/>
  <c r="M95" i="17"/>
  <c r="U95" i="17"/>
  <c r="I96" i="19"/>
  <c r="Q96" i="19"/>
  <c r="H95" i="18"/>
  <c r="P95" i="18"/>
  <c r="W95" i="17"/>
  <c r="J96" i="19"/>
  <c r="R96" i="19"/>
  <c r="I95" i="18"/>
  <c r="Q95" i="18"/>
  <c r="H95" i="17"/>
  <c r="P95" i="17"/>
  <c r="K96" i="19"/>
  <c r="S96" i="19"/>
  <c r="J95" i="18"/>
  <c r="R95" i="18"/>
  <c r="I95" i="17"/>
  <c r="Q95" i="17"/>
  <c r="L96" i="19"/>
  <c r="T96" i="19"/>
  <c r="K95" i="18"/>
  <c r="S95" i="18"/>
  <c r="J95" i="17"/>
  <c r="R95" i="17"/>
  <c r="M96" i="19"/>
  <c r="U96" i="19"/>
  <c r="L95" i="18"/>
  <c r="T95" i="18"/>
  <c r="K95" i="17"/>
  <c r="S95" i="17"/>
  <c r="N96" i="19"/>
  <c r="V96" i="19"/>
  <c r="M95" i="18"/>
  <c r="U95" i="18"/>
  <c r="L95" i="17"/>
  <c r="T95" i="17"/>
  <c r="W96" i="19"/>
  <c r="C6" i="22"/>
  <c r="C7" i="22" s="1"/>
  <c r="E25" i="22"/>
  <c r="G25" i="22"/>
  <c r="I25" i="22"/>
  <c r="F25" i="22"/>
  <c r="H25" i="22"/>
  <c r="V24" i="19"/>
  <c r="W24" i="19"/>
  <c r="U24" i="19"/>
  <c r="C35" i="9"/>
  <c r="C96" i="9" s="1"/>
  <c r="J12" i="18" l="1"/>
  <c r="K28" i="44" s="1"/>
  <c r="I50" i="19"/>
  <c r="J13" i="40"/>
  <c r="J28" i="44"/>
  <c r="J50" i="40"/>
  <c r="J60" i="40"/>
  <c r="K12" i="40"/>
  <c r="K79" i="40" s="1"/>
  <c r="J52" i="40"/>
  <c r="J12" i="17"/>
  <c r="J12" i="19"/>
  <c r="I49" i="17"/>
  <c r="H43" i="44"/>
  <c r="G49" i="9"/>
  <c r="N37" i="9"/>
  <c r="O47" i="44" s="1"/>
  <c r="N47" i="44"/>
  <c r="N36" i="9"/>
  <c r="O46" i="44" s="1"/>
  <c r="N46" i="44"/>
  <c r="N37" i="21"/>
  <c r="N11" i="44"/>
  <c r="N38" i="21"/>
  <c r="N12" i="44"/>
  <c r="C101" i="40"/>
  <c r="C106" i="40" s="1"/>
  <c r="D101" i="40"/>
  <c r="D106" i="40" s="1"/>
  <c r="H12" i="9"/>
  <c r="H78" i="9" s="1"/>
  <c r="E26" i="22"/>
  <c r="F26" i="22"/>
  <c r="G26" i="22"/>
  <c r="H26" i="22"/>
  <c r="F24" i="22"/>
  <c r="F23" i="22"/>
  <c r="H23" i="22"/>
  <c r="H24" i="22"/>
  <c r="G23" i="22"/>
  <c r="G24" i="22"/>
  <c r="I26" i="22"/>
  <c r="E23" i="22"/>
  <c r="E24" i="22"/>
  <c r="I23" i="22"/>
  <c r="I24" i="22"/>
  <c r="J50" i="19" l="1"/>
  <c r="J49" i="17"/>
  <c r="K13" i="40"/>
  <c r="L12" i="40"/>
  <c r="L79" i="40" s="1"/>
  <c r="K52" i="40"/>
  <c r="K50" i="40"/>
  <c r="K12" i="19"/>
  <c r="K60" i="40"/>
  <c r="K12" i="18"/>
  <c r="K12" i="17"/>
  <c r="H49" i="9"/>
  <c r="H59" i="9"/>
  <c r="I43" i="44"/>
  <c r="O12" i="44"/>
  <c r="O11" i="44"/>
  <c r="I12" i="9"/>
  <c r="I78" i="9" s="1"/>
  <c r="C46" i="17"/>
  <c r="C46" i="18"/>
  <c r="C47" i="19"/>
  <c r="C47" i="21"/>
  <c r="C46" i="9"/>
  <c r="K49" i="17" l="1"/>
  <c r="K50" i="19"/>
  <c r="L12" i="18"/>
  <c r="M28" i="44" s="1"/>
  <c r="L12" i="19"/>
  <c r="L13" i="40"/>
  <c r="L28" i="44"/>
  <c r="L50" i="40"/>
  <c r="L52" i="40"/>
  <c r="L60" i="40"/>
  <c r="M12" i="40"/>
  <c r="M79" i="40" s="1"/>
  <c r="L12" i="17"/>
  <c r="I49" i="9"/>
  <c r="J12" i="9"/>
  <c r="J78" i="9" s="1"/>
  <c r="J43" i="44"/>
  <c r="F51" i="9"/>
  <c r="G51" i="9"/>
  <c r="H51" i="9"/>
  <c r="C7" i="18"/>
  <c r="C7" i="17"/>
  <c r="C7" i="19"/>
  <c r="C21" i="22"/>
  <c r="E21" i="22"/>
  <c r="H21" i="22"/>
  <c r="G21" i="22"/>
  <c r="F21" i="22"/>
  <c r="I21" i="22"/>
  <c r="D21" i="22"/>
  <c r="K24" i="19"/>
  <c r="L24" i="19"/>
  <c r="M24" i="19"/>
  <c r="T70" i="18"/>
  <c r="S70" i="18"/>
  <c r="R70" i="18"/>
  <c r="Q70" i="18"/>
  <c r="P70" i="18"/>
  <c r="O70" i="18"/>
  <c r="N70" i="18"/>
  <c r="M70" i="18"/>
  <c r="L70" i="18"/>
  <c r="K70" i="18"/>
  <c r="J70" i="18"/>
  <c r="I70" i="18"/>
  <c r="H70" i="18"/>
  <c r="D50" i="18"/>
  <c r="D50" i="9"/>
  <c r="B18" i="9"/>
  <c r="L49" i="17" l="1"/>
  <c r="L50" i="19"/>
  <c r="M13" i="40"/>
  <c r="M12" i="18"/>
  <c r="M60" i="40"/>
  <c r="D81" i="40"/>
  <c r="N12" i="40"/>
  <c r="N79" i="40" s="1"/>
  <c r="J49" i="9"/>
  <c r="M12" i="17"/>
  <c r="M12" i="19"/>
  <c r="M50" i="40"/>
  <c r="M52" i="40"/>
  <c r="K12" i="9"/>
  <c r="K78" i="9" s="1"/>
  <c r="K43" i="44"/>
  <c r="G63" i="17"/>
  <c r="J63" i="17"/>
  <c r="H63" i="17"/>
  <c r="I63" i="17"/>
  <c r="B21" i="22"/>
  <c r="E63" i="9"/>
  <c r="D64" i="9"/>
  <c r="D63" i="9"/>
  <c r="E64" i="9"/>
  <c r="F64" i="18"/>
  <c r="E64" i="18"/>
  <c r="D64" i="18"/>
  <c r="M49" i="17" l="1"/>
  <c r="M50" i="19"/>
  <c r="N28" i="44"/>
  <c r="N13" i="40"/>
  <c r="N50" i="40"/>
  <c r="N60" i="40"/>
  <c r="K49" i="9"/>
  <c r="N52" i="40"/>
  <c r="O12" i="40"/>
  <c r="O79" i="40" s="1"/>
  <c r="N12" i="18"/>
  <c r="L12" i="9"/>
  <c r="L78" i="9" s="1"/>
  <c r="L43" i="44"/>
  <c r="D51" i="21"/>
  <c r="C5" i="21"/>
  <c r="O12" i="18" l="1"/>
  <c r="L49" i="9"/>
  <c r="O50" i="40"/>
  <c r="P51" i="40" s="1"/>
  <c r="O52" i="40"/>
  <c r="O28" i="44"/>
  <c r="O13" i="40"/>
  <c r="O60" i="40"/>
  <c r="P12" i="40"/>
  <c r="P79" i="40" s="1"/>
  <c r="D50" i="21"/>
  <c r="E50" i="21" s="1"/>
  <c r="F50" i="21" s="1"/>
  <c r="M12" i="9"/>
  <c r="M43" i="44"/>
  <c r="C6" i="21"/>
  <c r="C7" i="21"/>
  <c r="D65" i="21"/>
  <c r="F65" i="21"/>
  <c r="E65" i="21"/>
  <c r="T71" i="19"/>
  <c r="S71" i="19"/>
  <c r="R71" i="19"/>
  <c r="Q71" i="19"/>
  <c r="P71" i="19"/>
  <c r="O71" i="19"/>
  <c r="N71" i="19"/>
  <c r="M71" i="19"/>
  <c r="L71" i="19"/>
  <c r="K71" i="19"/>
  <c r="J71" i="19"/>
  <c r="I71" i="19"/>
  <c r="H71" i="19"/>
  <c r="D51" i="19"/>
  <c r="T70" i="17"/>
  <c r="R70" i="17"/>
  <c r="Q70" i="17"/>
  <c r="P70" i="17"/>
  <c r="O70" i="17"/>
  <c r="N70" i="17"/>
  <c r="M70" i="17"/>
  <c r="L70" i="17"/>
  <c r="K70" i="17"/>
  <c r="J70" i="17"/>
  <c r="I70" i="17"/>
  <c r="H70" i="17"/>
  <c r="D50" i="17"/>
  <c r="F64" i="17"/>
  <c r="P28" i="44" l="1"/>
  <c r="M49" i="9"/>
  <c r="M78" i="9"/>
  <c r="P52" i="40"/>
  <c r="P60" i="40"/>
  <c r="P12" i="18"/>
  <c r="P13" i="40"/>
  <c r="Q12" i="40"/>
  <c r="Q79" i="40" s="1"/>
  <c r="P50" i="40"/>
  <c r="N12" i="9"/>
  <c r="N43" i="44"/>
  <c r="I64" i="21"/>
  <c r="G64" i="21"/>
  <c r="H64" i="21"/>
  <c r="J64" i="21"/>
  <c r="F64" i="21"/>
  <c r="D64" i="21"/>
  <c r="D64" i="17"/>
  <c r="E64" i="17"/>
  <c r="E65" i="19"/>
  <c r="D65" i="19"/>
  <c r="F65" i="19"/>
  <c r="N49" i="9" l="1"/>
  <c r="N78" i="9"/>
  <c r="Q28" i="44"/>
  <c r="Q13" i="40"/>
  <c r="R12" i="40"/>
  <c r="Q60" i="40"/>
  <c r="Q52" i="40"/>
  <c r="Q12" i="18"/>
  <c r="Q51" i="40"/>
  <c r="Q50" i="40"/>
  <c r="O12" i="9"/>
  <c r="O43" i="44"/>
  <c r="C47" i="18"/>
  <c r="C48" i="19"/>
  <c r="C48" i="21"/>
  <c r="C47" i="17"/>
  <c r="C47" i="9"/>
  <c r="E35" i="9"/>
  <c r="F48" i="44" s="1"/>
  <c r="G48" i="44"/>
  <c r="C3" i="21"/>
  <c r="Q24" i="19"/>
  <c r="R60" i="40" l="1"/>
  <c r="R79" i="40"/>
  <c r="O49" i="9"/>
  <c r="O78" i="9"/>
  <c r="R52" i="40"/>
  <c r="S12" i="40"/>
  <c r="R13" i="40"/>
  <c r="R12" i="18"/>
  <c r="R28" i="44"/>
  <c r="R50" i="40"/>
  <c r="R51" i="40"/>
  <c r="P12" i="9"/>
  <c r="P43" i="44"/>
  <c r="A7" i="43"/>
  <c r="A12" i="43"/>
  <c r="A8" i="43"/>
  <c r="A22" i="43"/>
  <c r="A6" i="43"/>
  <c r="A5" i="43"/>
  <c r="A21" i="43"/>
  <c r="A20" i="43"/>
  <c r="A4" i="43"/>
  <c r="A19" i="43"/>
  <c r="A3" i="43"/>
  <c r="A13" i="43"/>
  <c r="A9" i="43"/>
  <c r="A18" i="43"/>
  <c r="A2" i="43"/>
  <c r="A11" i="43"/>
  <c r="A17" i="43"/>
  <c r="A15" i="43"/>
  <c r="A16" i="43"/>
  <c r="A14" i="43"/>
  <c r="A10" i="43"/>
  <c r="F98" i="9"/>
  <c r="E98" i="9"/>
  <c r="E96" i="9" s="1"/>
  <c r="C109" i="21"/>
  <c r="D109" i="21"/>
  <c r="C22" i="19"/>
  <c r="C22" i="17"/>
  <c r="C22" i="9"/>
  <c r="D22" i="9" s="1"/>
  <c r="D23" i="40" s="1"/>
  <c r="D30" i="40" s="1"/>
  <c r="D62" i="40" s="1"/>
  <c r="C23" i="21"/>
  <c r="C22" i="18"/>
  <c r="C27" i="21"/>
  <c r="D27" i="21" s="1"/>
  <c r="E27" i="21" s="1"/>
  <c r="C26" i="17"/>
  <c r="D26" i="17" s="1"/>
  <c r="E26" i="17" s="1"/>
  <c r="F26" i="17" s="1"/>
  <c r="G26" i="17" s="1"/>
  <c r="H26" i="17" s="1"/>
  <c r="I26" i="17" s="1"/>
  <c r="J26" i="17" s="1"/>
  <c r="K26" i="17" s="1"/>
  <c r="L26" i="17" s="1"/>
  <c r="M26" i="17" s="1"/>
  <c r="N26" i="17" s="1"/>
  <c r="O26" i="17" s="1"/>
  <c r="P26" i="17" s="1"/>
  <c r="Q26" i="17" s="1"/>
  <c r="R26" i="17" s="1"/>
  <c r="S26" i="17" s="1"/>
  <c r="T26" i="17" s="1"/>
  <c r="U26" i="17" s="1"/>
  <c r="V26" i="17" s="1"/>
  <c r="W26" i="17" s="1"/>
  <c r="C26" i="18"/>
  <c r="D26" i="18" s="1"/>
  <c r="E26" i="18" s="1"/>
  <c r="F26" i="18" s="1"/>
  <c r="G26" i="18" s="1"/>
  <c r="H26" i="18" s="1"/>
  <c r="I26" i="18" s="1"/>
  <c r="J26" i="18" s="1"/>
  <c r="K26" i="18" s="1"/>
  <c r="L26" i="18" s="1"/>
  <c r="M26" i="18" s="1"/>
  <c r="N26" i="18" s="1"/>
  <c r="O26" i="18" s="1"/>
  <c r="P26" i="18" s="1"/>
  <c r="Q26" i="18" s="1"/>
  <c r="R26" i="18" s="1"/>
  <c r="S26" i="18" s="1"/>
  <c r="T26" i="18" s="1"/>
  <c r="U26" i="18" s="1"/>
  <c r="V26" i="18" s="1"/>
  <c r="W26" i="18" s="1"/>
  <c r="C27" i="19"/>
  <c r="D27" i="19" s="1"/>
  <c r="C26" i="9"/>
  <c r="G59" i="9"/>
  <c r="O24" i="19"/>
  <c r="O51" i="9"/>
  <c r="J59" i="9"/>
  <c r="S24" i="19"/>
  <c r="I59" i="9"/>
  <c r="L51" i="9"/>
  <c r="L59" i="9"/>
  <c r="D59" i="9"/>
  <c r="D51" i="9"/>
  <c r="E59" i="9"/>
  <c r="N59" i="9"/>
  <c r="R24" i="19"/>
  <c r="F59" i="9"/>
  <c r="E51" i="9"/>
  <c r="M59" i="9"/>
  <c r="J51" i="9"/>
  <c r="K51" i="9"/>
  <c r="M51" i="9"/>
  <c r="O59" i="9"/>
  <c r="K59" i="9"/>
  <c r="I51" i="9"/>
  <c r="N51" i="9"/>
  <c r="C23" i="18"/>
  <c r="C23" i="9"/>
  <c r="P24" i="19"/>
  <c r="T24" i="19"/>
  <c r="C12" i="18"/>
  <c r="E12" i="18"/>
  <c r="C24" i="21"/>
  <c r="C23" i="17"/>
  <c r="C23" i="19"/>
  <c r="D12" i="18"/>
  <c r="D59" i="17"/>
  <c r="E109" i="47" l="1"/>
  <c r="E113" i="47" s="1"/>
  <c r="E109" i="46"/>
  <c r="E113" i="46" s="1"/>
  <c r="E109" i="49"/>
  <c r="E113" i="49" s="1"/>
  <c r="E109" i="50"/>
  <c r="E113" i="50" s="1"/>
  <c r="S12" i="18"/>
  <c r="S79" i="40"/>
  <c r="P49" i="9"/>
  <c r="P78" i="9"/>
  <c r="S52" i="40"/>
  <c r="S13" i="40"/>
  <c r="T12" i="40"/>
  <c r="S60" i="40"/>
  <c r="S28" i="44"/>
  <c r="P51" i="9"/>
  <c r="P59" i="9"/>
  <c r="S50" i="40"/>
  <c r="S51" i="40"/>
  <c r="F28" i="44"/>
  <c r="D49" i="18"/>
  <c r="E49" i="18" s="1"/>
  <c r="F49" i="18" s="1"/>
  <c r="G49" i="18" s="1"/>
  <c r="H49" i="18" s="1"/>
  <c r="I49" i="18" s="1"/>
  <c r="J49" i="18" s="1"/>
  <c r="K49" i="18" s="1"/>
  <c r="L49" i="18" s="1"/>
  <c r="M49" i="18" s="1"/>
  <c r="N49" i="18" s="1"/>
  <c r="O49" i="18" s="1"/>
  <c r="P49" i="18" s="1"/>
  <c r="Q49" i="18" s="1"/>
  <c r="R49" i="18" s="1"/>
  <c r="S49" i="18" s="1"/>
  <c r="Q12" i="9"/>
  <c r="Q43" i="44"/>
  <c r="F27" i="21"/>
  <c r="F15" i="44"/>
  <c r="D59" i="40"/>
  <c r="D77" i="40" s="1"/>
  <c r="E101" i="40"/>
  <c r="E106" i="40" s="1"/>
  <c r="E27" i="19"/>
  <c r="F96" i="9"/>
  <c r="D22" i="17"/>
  <c r="D23" i="21"/>
  <c r="E22" i="9"/>
  <c r="D26" i="9"/>
  <c r="E26" i="9" s="1"/>
  <c r="H38" i="17"/>
  <c r="M39" i="21"/>
  <c r="M38" i="18"/>
  <c r="M38" i="17"/>
  <c r="M39" i="19"/>
  <c r="F52" i="19"/>
  <c r="F51" i="17"/>
  <c r="C29" i="9"/>
  <c r="F52" i="21"/>
  <c r="C30" i="21"/>
  <c r="C29" i="18"/>
  <c r="E51" i="18"/>
  <c r="D59" i="18"/>
  <c r="D51" i="18"/>
  <c r="F50" i="9"/>
  <c r="E50" i="9"/>
  <c r="G50" i="9"/>
  <c r="E59" i="18"/>
  <c r="E52" i="19"/>
  <c r="E59" i="17"/>
  <c r="F60" i="21"/>
  <c r="F59" i="17"/>
  <c r="E60" i="21"/>
  <c r="E51" i="17"/>
  <c r="D60" i="19"/>
  <c r="C29" i="17"/>
  <c r="E52" i="21"/>
  <c r="D52" i="21"/>
  <c r="D60" i="21"/>
  <c r="D52" i="19"/>
  <c r="C30" i="19"/>
  <c r="D51" i="17"/>
  <c r="E60" i="19"/>
  <c r="F60" i="19"/>
  <c r="F109" i="50" l="1"/>
  <c r="F113" i="50" s="1"/>
  <c r="F109" i="46"/>
  <c r="F113" i="46" s="1"/>
  <c r="F109" i="49"/>
  <c r="F113" i="49" s="1"/>
  <c r="F109" i="47"/>
  <c r="F113" i="47" s="1"/>
  <c r="E23" i="40"/>
  <c r="E30" i="40" s="1"/>
  <c r="E62" i="40" s="1"/>
  <c r="E59" i="40" s="1"/>
  <c r="F22" i="9"/>
  <c r="U12" i="40"/>
  <c r="U60" i="40" s="1"/>
  <c r="T79" i="40"/>
  <c r="T28" i="44"/>
  <c r="Q49" i="9"/>
  <c r="Q78" i="9"/>
  <c r="T12" i="18"/>
  <c r="T60" i="40"/>
  <c r="T13" i="40"/>
  <c r="T52" i="40"/>
  <c r="T50" i="40"/>
  <c r="T51" i="40"/>
  <c r="F26" i="9"/>
  <c r="F49" i="44"/>
  <c r="R12" i="9"/>
  <c r="R43" i="44"/>
  <c r="Q51" i="9"/>
  <c r="Q59" i="9"/>
  <c r="F34" i="44"/>
  <c r="G15" i="44"/>
  <c r="F101" i="40"/>
  <c r="F106" i="40" s="1"/>
  <c r="F59" i="18"/>
  <c r="F27" i="19"/>
  <c r="F23" i="40"/>
  <c r="E22" i="17"/>
  <c r="E23" i="21"/>
  <c r="E50" i="17"/>
  <c r="H38" i="18"/>
  <c r="H39" i="21"/>
  <c r="H39" i="19"/>
  <c r="V39" i="19"/>
  <c r="V39" i="21"/>
  <c r="V38" i="18"/>
  <c r="V38" i="17"/>
  <c r="S38" i="18"/>
  <c r="S38" i="17"/>
  <c r="S39" i="19"/>
  <c r="S39" i="21"/>
  <c r="L38" i="18"/>
  <c r="L38" i="17"/>
  <c r="L39" i="19"/>
  <c r="L39" i="21"/>
  <c r="W39" i="21"/>
  <c r="W39" i="19"/>
  <c r="W38" i="18"/>
  <c r="W38" i="17"/>
  <c r="E38" i="17"/>
  <c r="E39" i="19"/>
  <c r="E39" i="21"/>
  <c r="E38" i="18"/>
  <c r="R38" i="17"/>
  <c r="R39" i="19"/>
  <c r="R39" i="21"/>
  <c r="R38" i="18"/>
  <c r="Q38" i="17"/>
  <c r="Q39" i="19"/>
  <c r="Q39" i="21"/>
  <c r="Q38" i="18"/>
  <c r="P38" i="17"/>
  <c r="P39" i="19"/>
  <c r="P39" i="21"/>
  <c r="P38" i="18"/>
  <c r="N39" i="19"/>
  <c r="N39" i="21"/>
  <c r="N38" i="18"/>
  <c r="N38" i="17"/>
  <c r="T38" i="18"/>
  <c r="T38" i="17"/>
  <c r="T39" i="19"/>
  <c r="G39" i="21"/>
  <c r="G39" i="19"/>
  <c r="G38" i="18"/>
  <c r="G38" i="17"/>
  <c r="F39" i="19"/>
  <c r="F39" i="21"/>
  <c r="F38" i="18"/>
  <c r="F38" i="17"/>
  <c r="K38" i="18"/>
  <c r="K38" i="17"/>
  <c r="K39" i="19"/>
  <c r="K39" i="21"/>
  <c r="I38" i="17"/>
  <c r="I39" i="19"/>
  <c r="I39" i="21"/>
  <c r="I38" i="18"/>
  <c r="O39" i="19"/>
  <c r="O39" i="21"/>
  <c r="O38" i="18"/>
  <c r="O38" i="17"/>
  <c r="J38" i="17"/>
  <c r="J39" i="19"/>
  <c r="J38" i="18"/>
  <c r="U38" i="18"/>
  <c r="U38" i="17"/>
  <c r="U39" i="19"/>
  <c r="F51" i="18"/>
  <c r="I64" i="19"/>
  <c r="G63" i="18"/>
  <c r="I64" i="17"/>
  <c r="H65" i="21"/>
  <c r="I65" i="21"/>
  <c r="F63" i="18"/>
  <c r="J63" i="18"/>
  <c r="G64" i="17"/>
  <c r="H64" i="17"/>
  <c r="D64" i="19"/>
  <c r="H64" i="19"/>
  <c r="G64" i="19"/>
  <c r="J64" i="17"/>
  <c r="H64" i="18"/>
  <c r="D63" i="18"/>
  <c r="J64" i="19"/>
  <c r="G64" i="18"/>
  <c r="E64" i="19"/>
  <c r="E63" i="17"/>
  <c r="E63" i="18"/>
  <c r="F63" i="17"/>
  <c r="H63" i="18"/>
  <c r="D63" i="17"/>
  <c r="I63" i="18"/>
  <c r="I65" i="19"/>
  <c r="I64" i="18"/>
  <c r="J64" i="18"/>
  <c r="G65" i="19"/>
  <c r="H65" i="19"/>
  <c r="J65" i="19"/>
  <c r="F64" i="19"/>
  <c r="G65" i="21"/>
  <c r="E64" i="21"/>
  <c r="E59" i="21" s="1"/>
  <c r="J65" i="21"/>
  <c r="F50" i="18"/>
  <c r="E29" i="9"/>
  <c r="E61" i="9" s="1"/>
  <c r="F44" i="44" s="1"/>
  <c r="H50" i="9"/>
  <c r="D22" i="18"/>
  <c r="E50" i="18"/>
  <c r="D29" i="9"/>
  <c r="D61" i="9" s="1"/>
  <c r="F51" i="21"/>
  <c r="D22" i="19"/>
  <c r="E51" i="19"/>
  <c r="E51" i="21"/>
  <c r="G22" i="9" l="1"/>
  <c r="F29" i="9"/>
  <c r="V12" i="40"/>
  <c r="V79" i="40" s="1"/>
  <c r="U28" i="44"/>
  <c r="T49" i="18"/>
  <c r="U13" i="40"/>
  <c r="U79" i="40"/>
  <c r="U12" i="18"/>
  <c r="U52" i="40"/>
  <c r="R49" i="9"/>
  <c r="R78" i="9"/>
  <c r="U51" i="40"/>
  <c r="U50" i="40"/>
  <c r="S12" i="9"/>
  <c r="S43" i="44"/>
  <c r="R59" i="9"/>
  <c r="R51" i="9"/>
  <c r="G26" i="9"/>
  <c r="G49" i="44"/>
  <c r="G34" i="44"/>
  <c r="H27" i="21"/>
  <c r="H15" i="44"/>
  <c r="G27" i="19"/>
  <c r="F30" i="40"/>
  <c r="F62" i="40" s="1"/>
  <c r="G23" i="40"/>
  <c r="F22" i="17"/>
  <c r="F23" i="21"/>
  <c r="F50" i="17"/>
  <c r="D29" i="17"/>
  <c r="D61" i="17" s="1"/>
  <c r="G50" i="18"/>
  <c r="I50" i="9"/>
  <c r="E22" i="18"/>
  <c r="F22" i="18" s="1"/>
  <c r="D29" i="18"/>
  <c r="D61" i="18" s="1"/>
  <c r="D23" i="18"/>
  <c r="F61" i="9"/>
  <c r="G44" i="44" s="1"/>
  <c r="G50" i="17"/>
  <c r="E30" i="21"/>
  <c r="F8" i="44" s="1"/>
  <c r="E22" i="19"/>
  <c r="D30" i="19"/>
  <c r="D62" i="19" s="1"/>
  <c r="D23" i="19"/>
  <c r="D30" i="21"/>
  <c r="D62" i="21" s="1"/>
  <c r="F51" i="19"/>
  <c r="G51" i="21"/>
  <c r="G29" i="9" l="1"/>
  <c r="V12" i="18"/>
  <c r="W28" i="44" s="1"/>
  <c r="V60" i="40"/>
  <c r="V13" i="40"/>
  <c r="V52" i="40"/>
  <c r="W12" i="40"/>
  <c r="W79" i="40" s="1"/>
  <c r="V28" i="44"/>
  <c r="U49" i="18"/>
  <c r="V49" i="18" s="1"/>
  <c r="S49" i="9"/>
  <c r="S78" i="9"/>
  <c r="V50" i="40"/>
  <c r="V51" i="40"/>
  <c r="H26" i="9"/>
  <c r="H49" i="44"/>
  <c r="T12" i="9"/>
  <c r="T43" i="44"/>
  <c r="S59" i="9"/>
  <c r="S51" i="9"/>
  <c r="H34" i="44"/>
  <c r="I27" i="21"/>
  <c r="I15" i="44"/>
  <c r="F59" i="40"/>
  <c r="H27" i="19"/>
  <c r="G24" i="40"/>
  <c r="G30" i="40"/>
  <c r="H22" i="9"/>
  <c r="G61" i="9"/>
  <c r="H44" i="44" s="1"/>
  <c r="F29" i="18"/>
  <c r="F61" i="18" s="1"/>
  <c r="F23" i="18"/>
  <c r="E29" i="18"/>
  <c r="E61" i="18" s="1"/>
  <c r="E23" i="18"/>
  <c r="J50" i="9"/>
  <c r="E29" i="17"/>
  <c r="E61" i="17" s="1"/>
  <c r="G51" i="19"/>
  <c r="F22" i="19"/>
  <c r="F30" i="21"/>
  <c r="F62" i="21" s="1"/>
  <c r="G8" i="44" s="1"/>
  <c r="E23" i="19"/>
  <c r="E30" i="19"/>
  <c r="E62" i="19" s="1"/>
  <c r="H23" i="9" l="1"/>
  <c r="H29" i="9"/>
  <c r="C2" i="43" a="1"/>
  <c r="C2" i="43" s="1"/>
  <c r="W12" i="18"/>
  <c r="X28" i="44" s="1"/>
  <c r="W13" i="40"/>
  <c r="W60" i="40"/>
  <c r="W52" i="40"/>
  <c r="W49" i="18"/>
  <c r="T49" i="9"/>
  <c r="T78" i="9"/>
  <c r="W50" i="40"/>
  <c r="W51" i="40"/>
  <c r="F33" i="44"/>
  <c r="U12" i="9"/>
  <c r="U43" i="44"/>
  <c r="T51" i="9"/>
  <c r="T59" i="9"/>
  <c r="H32" i="9"/>
  <c r="I52" i="44" s="1"/>
  <c r="I50" i="44"/>
  <c r="I26" i="9"/>
  <c r="I49" i="44"/>
  <c r="I34" i="44"/>
  <c r="J27" i="21"/>
  <c r="J15" i="44"/>
  <c r="G106" i="40"/>
  <c r="I27" i="19"/>
  <c r="G62" i="40"/>
  <c r="H51" i="40"/>
  <c r="H23" i="40" s="1"/>
  <c r="G33" i="40"/>
  <c r="H61" i="9"/>
  <c r="I44" i="44" s="1"/>
  <c r="I22" i="9"/>
  <c r="I23" i="9" s="1"/>
  <c r="J50" i="44" s="1"/>
  <c r="F29" i="17"/>
  <c r="F61" i="17" s="1"/>
  <c r="K50" i="9"/>
  <c r="F30" i="19"/>
  <c r="F62" i="19" s="1"/>
  <c r="F23" i="19"/>
  <c r="U49" i="9" l="1"/>
  <c r="U78" i="9"/>
  <c r="G33" i="44"/>
  <c r="V43" i="44"/>
  <c r="V12" i="9"/>
  <c r="U59" i="9"/>
  <c r="U51" i="9"/>
  <c r="J49" i="44"/>
  <c r="J26" i="9"/>
  <c r="J34" i="44"/>
  <c r="K27" i="21"/>
  <c r="K15" i="44"/>
  <c r="G59" i="40"/>
  <c r="J27" i="19"/>
  <c r="H24" i="40"/>
  <c r="H30" i="40"/>
  <c r="J22" i="9"/>
  <c r="K22" i="9" s="1"/>
  <c r="I29" i="9"/>
  <c r="I61" i="9" s="1"/>
  <c r="J44" i="44" s="1"/>
  <c r="L50" i="9"/>
  <c r="V49" i="9" l="1"/>
  <c r="V78" i="9"/>
  <c r="H33" i="40"/>
  <c r="K26" i="9"/>
  <c r="K29" i="9" s="1"/>
  <c r="K61" i="9" s="1"/>
  <c r="L44" i="44" s="1"/>
  <c r="K49" i="44"/>
  <c r="V51" i="9"/>
  <c r="W43" i="44"/>
  <c r="W12" i="9"/>
  <c r="V59" i="9"/>
  <c r="K34" i="44"/>
  <c r="L27" i="21"/>
  <c r="L15" i="44"/>
  <c r="K27" i="19"/>
  <c r="H62" i="40"/>
  <c r="I51" i="40"/>
  <c r="I23" i="40" s="1"/>
  <c r="J23" i="9"/>
  <c r="K50" i="44" s="1"/>
  <c r="J29" i="9"/>
  <c r="J61" i="9" s="1"/>
  <c r="K44" i="44" s="1"/>
  <c r="K23" i="9"/>
  <c r="L50" i="44" s="1"/>
  <c r="M50" i="9"/>
  <c r="L22" i="9"/>
  <c r="W49" i="9" l="1"/>
  <c r="W78" i="9"/>
  <c r="X43" i="44"/>
  <c r="W51" i="9"/>
  <c r="W59" i="9"/>
  <c r="L29" i="9"/>
  <c r="L61" i="9" s="1"/>
  <c r="M44" i="44" s="1"/>
  <c r="L49" i="44"/>
  <c r="L34" i="44"/>
  <c r="M27" i="21"/>
  <c r="M15" i="44"/>
  <c r="H59" i="40"/>
  <c r="L27" i="19"/>
  <c r="I24" i="40"/>
  <c r="I30" i="40"/>
  <c r="M22" i="9"/>
  <c r="N50" i="9"/>
  <c r="L23" i="9"/>
  <c r="M50" i="44" s="1"/>
  <c r="I33" i="40" l="1"/>
  <c r="M26" i="9"/>
  <c r="M29" i="9" s="1"/>
  <c r="M61" i="9" s="1"/>
  <c r="N44" i="44" s="1"/>
  <c r="M49" i="44"/>
  <c r="M34" i="44"/>
  <c r="N27" i="21"/>
  <c r="N15" i="44"/>
  <c r="M27" i="19"/>
  <c r="I62" i="40"/>
  <c r="I59" i="40" s="1"/>
  <c r="J51" i="40"/>
  <c r="J23" i="40" s="1"/>
  <c r="O50" i="9"/>
  <c r="N22" i="9"/>
  <c r="M23" i="9"/>
  <c r="N50" i="44" s="1"/>
  <c r="N26" i="9" l="1"/>
  <c r="N29" i="9" s="1"/>
  <c r="N61" i="9" s="1"/>
  <c r="O44" i="44" s="1"/>
  <c r="N49" i="44"/>
  <c r="N34" i="44"/>
  <c r="O27" i="21"/>
  <c r="O15" i="44"/>
  <c r="N27" i="19"/>
  <c r="J30" i="40"/>
  <c r="J24" i="40"/>
  <c r="O22" i="9"/>
  <c r="P50" i="9"/>
  <c r="N23" i="9"/>
  <c r="O50" i="44" s="1"/>
  <c r="J33" i="40" l="1"/>
  <c r="O26" i="9"/>
  <c r="O49" i="44"/>
  <c r="O34" i="44"/>
  <c r="P27" i="21"/>
  <c r="P15" i="44"/>
  <c r="O27" i="19"/>
  <c r="J62" i="40"/>
  <c r="J59" i="40" s="1"/>
  <c r="K51" i="40"/>
  <c r="K23" i="40" s="1"/>
  <c r="P22" i="9"/>
  <c r="Q50" i="9"/>
  <c r="O23" i="9"/>
  <c r="P50" i="44" s="1"/>
  <c r="O29" i="9"/>
  <c r="O61" i="9" s="1"/>
  <c r="P44" i="44" s="1"/>
  <c r="P26" i="9" l="1"/>
  <c r="P49" i="44"/>
  <c r="P34" i="44"/>
  <c r="Q27" i="21"/>
  <c r="Q15" i="44"/>
  <c r="P27" i="19"/>
  <c r="K30" i="40"/>
  <c r="K24" i="40"/>
  <c r="R50" i="9"/>
  <c r="Q22" i="9"/>
  <c r="P29" i="9"/>
  <c r="P61" i="9" s="1"/>
  <c r="Q44" i="44" s="1"/>
  <c r="P23" i="9"/>
  <c r="Q50" i="44" s="1"/>
  <c r="K33" i="40" l="1"/>
  <c r="Q26" i="9"/>
  <c r="Q49" i="44"/>
  <c r="Q34" i="44"/>
  <c r="R27" i="21"/>
  <c r="R15" i="44"/>
  <c r="Q27" i="19"/>
  <c r="K62" i="40"/>
  <c r="L51" i="40"/>
  <c r="L23" i="40" s="1"/>
  <c r="S50" i="9"/>
  <c r="R22" i="9"/>
  <c r="Q29" i="9"/>
  <c r="Q61" i="9" s="1"/>
  <c r="R44" i="44" s="1"/>
  <c r="Q23" i="9"/>
  <c r="R50" i="44" s="1"/>
  <c r="R26" i="9" l="1"/>
  <c r="R29" i="9" s="1"/>
  <c r="R61" i="9" s="1"/>
  <c r="S44" i="44" s="1"/>
  <c r="R49" i="44"/>
  <c r="R34" i="44"/>
  <c r="S27" i="21"/>
  <c r="S15" i="44"/>
  <c r="R27" i="19"/>
  <c r="L30" i="40"/>
  <c r="L24" i="40"/>
  <c r="L33" i="40" s="1"/>
  <c r="R23" i="9"/>
  <c r="S50" i="44" s="1"/>
  <c r="T50" i="9"/>
  <c r="S22" i="9"/>
  <c r="S26" i="9" l="1"/>
  <c r="S29" i="9" s="1"/>
  <c r="S61" i="9" s="1"/>
  <c r="T44" i="44" s="1"/>
  <c r="S49" i="44"/>
  <c r="S34" i="44"/>
  <c r="T27" i="21"/>
  <c r="T15" i="44"/>
  <c r="S27" i="19"/>
  <c r="L62" i="40"/>
  <c r="M51" i="40"/>
  <c r="M23" i="40" s="1"/>
  <c r="U50" i="9"/>
  <c r="S23" i="9"/>
  <c r="T50" i="44" s="1"/>
  <c r="T22" i="9"/>
  <c r="T26" i="9" l="1"/>
  <c r="T49" i="44"/>
  <c r="T34" i="44"/>
  <c r="U15" i="44"/>
  <c r="U27" i="21"/>
  <c r="T27" i="19"/>
  <c r="M30" i="40"/>
  <c r="M24" i="40"/>
  <c r="M33" i="40" s="1"/>
  <c r="V50" i="9"/>
  <c r="U22" i="9"/>
  <c r="U23" i="9" s="1"/>
  <c r="V50" i="44" s="1"/>
  <c r="T29" i="9"/>
  <c r="T61" i="9" s="1"/>
  <c r="U44" i="44" s="1"/>
  <c r="T23" i="9"/>
  <c r="U50" i="44" s="1"/>
  <c r="U26" i="9" l="1"/>
  <c r="U49" i="44"/>
  <c r="U34" i="44"/>
  <c r="V27" i="21"/>
  <c r="V15" i="44"/>
  <c r="U27" i="19"/>
  <c r="M62" i="40"/>
  <c r="N51" i="40"/>
  <c r="N23" i="40" s="1"/>
  <c r="O51" i="40"/>
  <c r="V22" i="9"/>
  <c r="V23" i="9" s="1"/>
  <c r="W50" i="44" s="1"/>
  <c r="W50" i="9"/>
  <c r="U29" i="9"/>
  <c r="U61" i="9" s="1"/>
  <c r="V44" i="44" s="1"/>
  <c r="V34" i="44" l="1"/>
  <c r="V26" i="9"/>
  <c r="V29" i="9" s="1"/>
  <c r="V61" i="9" s="1"/>
  <c r="W44" i="44" s="1"/>
  <c r="V49" i="44"/>
  <c r="W27" i="21"/>
  <c r="X15" i="44" s="1"/>
  <c r="W15" i="44"/>
  <c r="V27" i="19"/>
  <c r="O23" i="40"/>
  <c r="N24" i="40"/>
  <c r="N33" i="40" s="1"/>
  <c r="N30" i="40"/>
  <c r="N62" i="40" s="1"/>
  <c r="W22" i="9"/>
  <c r="W23" i="9" s="1"/>
  <c r="X50" i="44" s="1"/>
  <c r="W34" i="44" l="1"/>
  <c r="W26" i="9"/>
  <c r="X49" i="44" s="1"/>
  <c r="W49" i="44"/>
  <c r="W27" i="19"/>
  <c r="O24" i="40"/>
  <c r="O33" i="40" s="1"/>
  <c r="P23" i="40"/>
  <c r="O30" i="40"/>
  <c r="O62" i="40" s="1"/>
  <c r="W29" i="9" l="1"/>
  <c r="W61" i="9" s="1"/>
  <c r="X44" i="44" s="1"/>
  <c r="X34" i="44"/>
  <c r="P30" i="40"/>
  <c r="P62" i="40" s="1"/>
  <c r="Q23" i="40"/>
  <c r="P24" i="40"/>
  <c r="P33" i="40" s="1"/>
  <c r="M71" i="17"/>
  <c r="M72" i="21"/>
  <c r="N14" i="44" s="1"/>
  <c r="M71" i="9"/>
  <c r="M71" i="18"/>
  <c r="M72" i="19"/>
  <c r="R71" i="18"/>
  <c r="R71" i="9"/>
  <c r="R72" i="21"/>
  <c r="S14" i="44" s="1"/>
  <c r="R71" i="17"/>
  <c r="R72" i="19"/>
  <c r="Q72" i="21"/>
  <c r="R14" i="44" s="1"/>
  <c r="Q71" i="17"/>
  <c r="Q71" i="9"/>
  <c r="Q71" i="18"/>
  <c r="Q72" i="19"/>
  <c r="J72" i="21"/>
  <c r="K14" i="44" s="1"/>
  <c r="J71" i="17"/>
  <c r="J71" i="9"/>
  <c r="J72" i="19"/>
  <c r="J71" i="18"/>
  <c r="S72" i="21"/>
  <c r="T14" i="44" s="1"/>
  <c r="S72" i="19"/>
  <c r="S71" i="9"/>
  <c r="S71" i="17"/>
  <c r="S71" i="18"/>
  <c r="P72" i="19"/>
  <c r="P71" i="17"/>
  <c r="P71" i="18"/>
  <c r="P71" i="9"/>
  <c r="P72" i="21"/>
  <c r="Q14" i="44" s="1"/>
  <c r="G71" i="18"/>
  <c r="G71" i="17"/>
  <c r="G72" i="21"/>
  <c r="H14" i="44" s="1"/>
  <c r="G72" i="19"/>
  <c r="K71" i="9"/>
  <c r="K72" i="21"/>
  <c r="L14" i="44" s="1"/>
  <c r="K71" i="17"/>
  <c r="K71" i="18"/>
  <c r="K72" i="19"/>
  <c r="H71" i="9"/>
  <c r="H72" i="21"/>
  <c r="I14" i="44" s="1"/>
  <c r="H71" i="18"/>
  <c r="H72" i="19"/>
  <c r="H71" i="17"/>
  <c r="U71" i="9"/>
  <c r="U72" i="21"/>
  <c r="V14" i="44" s="1"/>
  <c r="U71" i="18"/>
  <c r="U72" i="19"/>
  <c r="U71" i="17"/>
  <c r="V71" i="17"/>
  <c r="V72" i="19"/>
  <c r="V71" i="9"/>
  <c r="V72" i="21"/>
  <c r="W14" i="44" s="1"/>
  <c r="V71" i="18"/>
  <c r="I72" i="19"/>
  <c r="I71" i="17"/>
  <c r="I71" i="9"/>
  <c r="I72" i="21"/>
  <c r="J14" i="44" s="1"/>
  <c r="I71" i="18"/>
  <c r="T72" i="21"/>
  <c r="U14" i="44" s="1"/>
  <c r="T71" i="17"/>
  <c r="T72" i="19"/>
  <c r="T71" i="18"/>
  <c r="T71" i="9"/>
  <c r="N71" i="18"/>
  <c r="N72" i="19"/>
  <c r="N71" i="9"/>
  <c r="N71" i="17"/>
  <c r="N72" i="21"/>
  <c r="O14" i="44" s="1"/>
  <c r="W72" i="19"/>
  <c r="W71" i="17"/>
  <c r="W72" i="21"/>
  <c r="X14" i="44" s="1"/>
  <c r="W71" i="9"/>
  <c r="W71" i="18"/>
  <c r="O72" i="19"/>
  <c r="O72" i="21"/>
  <c r="P14" i="44" s="1"/>
  <c r="O71" i="18"/>
  <c r="O71" i="17"/>
  <c r="O71" i="9"/>
  <c r="L71" i="17"/>
  <c r="L72" i="19"/>
  <c r="L72" i="21"/>
  <c r="M14" i="44" s="1"/>
  <c r="L71" i="9"/>
  <c r="L71" i="18"/>
  <c r="Q24" i="40" l="1"/>
  <c r="Q33" i="40" s="1"/>
  <c r="Q30" i="40"/>
  <c r="Q62" i="40" s="1"/>
  <c r="R23" i="40"/>
  <c r="Q72" i="17"/>
  <c r="Q73" i="17" s="1"/>
  <c r="Q73" i="21"/>
  <c r="Q74" i="21" s="1"/>
  <c r="Q72" i="18"/>
  <c r="Q73" i="18" s="1"/>
  <c r="Q72" i="9"/>
  <c r="Q73" i="9" s="1"/>
  <c r="Q73" i="19"/>
  <c r="Q74" i="19" s="1"/>
  <c r="L73" i="21"/>
  <c r="L74" i="21" s="1"/>
  <c r="L72" i="9"/>
  <c r="L73" i="9" s="1"/>
  <c r="L73" i="19"/>
  <c r="L74" i="19" s="1"/>
  <c r="L72" i="18"/>
  <c r="L73" i="18" s="1"/>
  <c r="L72" i="17"/>
  <c r="L73" i="17" s="1"/>
  <c r="I63" i="19"/>
  <c r="I63" i="21"/>
  <c r="I62" i="18"/>
  <c r="I62" i="17"/>
  <c r="I62" i="9"/>
  <c r="K73" i="19"/>
  <c r="K74" i="19" s="1"/>
  <c r="K73" i="21"/>
  <c r="K74" i="21" s="1"/>
  <c r="K72" i="9"/>
  <c r="K73" i="9" s="1"/>
  <c r="K72" i="18"/>
  <c r="K73" i="18" s="1"/>
  <c r="K72" i="17"/>
  <c r="K73" i="17" s="1"/>
  <c r="G72" i="9"/>
  <c r="G73" i="9" s="1"/>
  <c r="G73" i="19"/>
  <c r="G74" i="19" s="1"/>
  <c r="G73" i="21"/>
  <c r="G74" i="21" s="1"/>
  <c r="G72" i="17"/>
  <c r="G73" i="17" s="1"/>
  <c r="G72" i="18"/>
  <c r="G73" i="18" s="1"/>
  <c r="O73" i="19"/>
  <c r="O74" i="19" s="1"/>
  <c r="O72" i="17"/>
  <c r="O73" i="17" s="1"/>
  <c r="O72" i="18"/>
  <c r="O73" i="18" s="1"/>
  <c r="O72" i="9"/>
  <c r="O73" i="9" s="1"/>
  <c r="O73" i="21"/>
  <c r="O74" i="21" s="1"/>
  <c r="Q63" i="21"/>
  <c r="Q62" i="18"/>
  <c r="Q62" i="17"/>
  <c r="Q63" i="19"/>
  <c r="Q62" i="9"/>
  <c r="K63" i="21"/>
  <c r="K62" i="17"/>
  <c r="K62" i="18"/>
  <c r="K62" i="9"/>
  <c r="K63" i="19"/>
  <c r="W62" i="17"/>
  <c r="W63" i="21"/>
  <c r="W63" i="19"/>
  <c r="W62" i="9"/>
  <c r="W62" i="18"/>
  <c r="N62" i="17"/>
  <c r="N62" i="18"/>
  <c r="N62" i="9"/>
  <c r="N63" i="21"/>
  <c r="N63" i="19"/>
  <c r="J73" i="19"/>
  <c r="J74" i="19" s="1"/>
  <c r="J72" i="17"/>
  <c r="J73" i="17" s="1"/>
  <c r="J72" i="9"/>
  <c r="J73" i="9" s="1"/>
  <c r="J73" i="21"/>
  <c r="J74" i="21" s="1"/>
  <c r="J72" i="18"/>
  <c r="J73" i="18" s="1"/>
  <c r="W73" i="21"/>
  <c r="W74" i="21" s="1"/>
  <c r="W72" i="18"/>
  <c r="W73" i="18" s="1"/>
  <c r="W72" i="9"/>
  <c r="W73" i="9" s="1"/>
  <c r="W73" i="19"/>
  <c r="W74" i="19" s="1"/>
  <c r="W72" i="17"/>
  <c r="W73" i="17" s="1"/>
  <c r="P73" i="19"/>
  <c r="P74" i="19" s="1"/>
  <c r="P72" i="9"/>
  <c r="P73" i="9" s="1"/>
  <c r="P72" i="18"/>
  <c r="P73" i="18" s="1"/>
  <c r="P73" i="21"/>
  <c r="P74" i="21" s="1"/>
  <c r="P72" i="17"/>
  <c r="P73" i="17" s="1"/>
  <c r="M72" i="17"/>
  <c r="M73" i="17" s="1"/>
  <c r="M72" i="18"/>
  <c r="M73" i="18" s="1"/>
  <c r="M72" i="9"/>
  <c r="M73" i="9" s="1"/>
  <c r="M73" i="21"/>
  <c r="M74" i="21" s="1"/>
  <c r="M73" i="19"/>
  <c r="M74" i="19" s="1"/>
  <c r="U62" i="18"/>
  <c r="U63" i="19"/>
  <c r="U62" i="17"/>
  <c r="U62" i="9"/>
  <c r="U63" i="21"/>
  <c r="O62" i="18"/>
  <c r="O63" i="19"/>
  <c r="O63" i="21"/>
  <c r="O62" i="9"/>
  <c r="O62" i="17"/>
  <c r="L63" i="19"/>
  <c r="L62" i="17"/>
  <c r="L62" i="9"/>
  <c r="L63" i="21"/>
  <c r="L62" i="18"/>
  <c r="N72" i="9"/>
  <c r="N73" i="9" s="1"/>
  <c r="N73" i="19"/>
  <c r="N74" i="19" s="1"/>
  <c r="N72" i="17"/>
  <c r="N73" i="17" s="1"/>
  <c r="N72" i="18"/>
  <c r="N73" i="18" s="1"/>
  <c r="N73" i="21"/>
  <c r="N74" i="21" s="1"/>
  <c r="S72" i="9"/>
  <c r="S73" i="9" s="1"/>
  <c r="S72" i="17"/>
  <c r="S73" i="17" s="1"/>
  <c r="S73" i="19"/>
  <c r="S74" i="19" s="1"/>
  <c r="S72" i="18"/>
  <c r="S73" i="18" s="1"/>
  <c r="S73" i="21"/>
  <c r="S74" i="21" s="1"/>
  <c r="V73" i="21"/>
  <c r="V74" i="21" s="1"/>
  <c r="V72" i="9"/>
  <c r="V73" i="9" s="1"/>
  <c r="V72" i="18"/>
  <c r="V73" i="18" s="1"/>
  <c r="V73" i="19"/>
  <c r="V74" i="19" s="1"/>
  <c r="V72" i="17"/>
  <c r="V73" i="17" s="1"/>
  <c r="S62" i="18"/>
  <c r="S63" i="21"/>
  <c r="S62" i="17"/>
  <c r="S63" i="19"/>
  <c r="S62" i="9"/>
  <c r="M62" i="18"/>
  <c r="M63" i="21"/>
  <c r="M62" i="9"/>
  <c r="M62" i="17"/>
  <c r="M63" i="19"/>
  <c r="T72" i="9"/>
  <c r="T73" i="9" s="1"/>
  <c r="T73" i="21"/>
  <c r="T74" i="21" s="1"/>
  <c r="T72" i="17"/>
  <c r="T73" i="17" s="1"/>
  <c r="T73" i="19"/>
  <c r="T74" i="19" s="1"/>
  <c r="T72" i="18"/>
  <c r="T73" i="18" s="1"/>
  <c r="R63" i="21"/>
  <c r="R63" i="19"/>
  <c r="R62" i="17"/>
  <c r="R62" i="18"/>
  <c r="R62" i="9"/>
  <c r="J63" i="19"/>
  <c r="J62" i="17"/>
  <c r="J62" i="18"/>
  <c r="J62" i="9"/>
  <c r="J63" i="21"/>
  <c r="H63" i="21"/>
  <c r="H62" i="17"/>
  <c r="H63" i="19"/>
  <c r="H62" i="18"/>
  <c r="G62" i="18"/>
  <c r="G62" i="9"/>
  <c r="G63" i="21"/>
  <c r="G62" i="17"/>
  <c r="G63" i="19"/>
  <c r="U72" i="9"/>
  <c r="U73" i="9" s="1"/>
  <c r="U72" i="18"/>
  <c r="U73" i="18" s="1"/>
  <c r="U73" i="19"/>
  <c r="U74" i="19" s="1"/>
  <c r="U72" i="17"/>
  <c r="U73" i="17" s="1"/>
  <c r="U73" i="21"/>
  <c r="U74" i="21" s="1"/>
  <c r="T63" i="19"/>
  <c r="T62" i="18"/>
  <c r="T63" i="21"/>
  <c r="T62" i="9"/>
  <c r="T62" i="17"/>
  <c r="V62" i="9"/>
  <c r="V62" i="17"/>
  <c r="V62" i="18"/>
  <c r="V63" i="21"/>
  <c r="V63" i="19"/>
  <c r="H73" i="19"/>
  <c r="H74" i="19" s="1"/>
  <c r="H73" i="9"/>
  <c r="H72" i="18"/>
  <c r="H73" i="18" s="1"/>
  <c r="H73" i="21"/>
  <c r="H74" i="21" s="1"/>
  <c r="H72" i="17"/>
  <c r="H73" i="17" s="1"/>
  <c r="R72" i="9"/>
  <c r="R73" i="9" s="1"/>
  <c r="R73" i="19"/>
  <c r="R74" i="19" s="1"/>
  <c r="R73" i="21"/>
  <c r="R74" i="21" s="1"/>
  <c r="R72" i="18"/>
  <c r="R73" i="18" s="1"/>
  <c r="R72" i="17"/>
  <c r="R73" i="17" s="1"/>
  <c r="I73" i="21"/>
  <c r="I74" i="21" s="1"/>
  <c r="I73" i="19"/>
  <c r="I74" i="19" s="1"/>
  <c r="I72" i="17"/>
  <c r="I73" i="17" s="1"/>
  <c r="I72" i="18"/>
  <c r="I73" i="18" s="1"/>
  <c r="I72" i="9"/>
  <c r="I73" i="9" s="1"/>
  <c r="P62" i="17"/>
  <c r="P62" i="18"/>
  <c r="P62" i="9"/>
  <c r="P63" i="19"/>
  <c r="P63" i="21"/>
  <c r="S23" i="40" l="1"/>
  <c r="R24" i="40"/>
  <c r="R33" i="40" s="1"/>
  <c r="R30" i="40"/>
  <c r="R62" i="40" s="1"/>
  <c r="D93" i="19"/>
  <c r="C93" i="19"/>
  <c r="S24" i="40" l="1"/>
  <c r="S33" i="40" s="1"/>
  <c r="T23" i="40"/>
  <c r="S30" i="40"/>
  <c r="S62" i="40" s="1"/>
  <c r="F71" i="18"/>
  <c r="F72" i="19"/>
  <c r="F72" i="21"/>
  <c r="G14" i="44" s="1"/>
  <c r="F71" i="17"/>
  <c r="E72" i="19"/>
  <c r="E71" i="17"/>
  <c r="E71" i="9"/>
  <c r="E72" i="21"/>
  <c r="F14" i="44" s="1"/>
  <c r="E71" i="18"/>
  <c r="D72" i="19"/>
  <c r="D71" i="17"/>
  <c r="D72" i="21"/>
  <c r="D71" i="18"/>
  <c r="U23" i="40" l="1"/>
  <c r="T24" i="40"/>
  <c r="T30" i="40"/>
  <c r="T62" i="40" s="1"/>
  <c r="C20" i="8"/>
  <c r="C17" i="18" s="1"/>
  <c r="W20" i="8"/>
  <c r="D20" i="8"/>
  <c r="U20" i="8"/>
  <c r="J20" i="8"/>
  <c r="T20" i="8"/>
  <c r="S20" i="8"/>
  <c r="H42" i="18"/>
  <c r="H43" i="19"/>
  <c r="H42" i="17"/>
  <c r="E42" i="18"/>
  <c r="E43" i="19"/>
  <c r="D15" i="21"/>
  <c r="D73" i="21" s="1"/>
  <c r="D74" i="21" s="1"/>
  <c r="D14" i="19"/>
  <c r="D73" i="19" s="1"/>
  <c r="D74" i="19" s="1"/>
  <c r="D14" i="9"/>
  <c r="D72" i="9" s="1"/>
  <c r="D73" i="9" s="1"/>
  <c r="D14" i="17"/>
  <c r="D72" i="17" s="1"/>
  <c r="D73" i="17" s="1"/>
  <c r="D14" i="18"/>
  <c r="D72" i="18" s="1"/>
  <c r="D73" i="18" s="1"/>
  <c r="Q20" i="8"/>
  <c r="J18" i="9"/>
  <c r="J18" i="19"/>
  <c r="J18" i="17"/>
  <c r="J64" i="9"/>
  <c r="J18" i="18"/>
  <c r="J19" i="21"/>
  <c r="U42" i="17"/>
  <c r="U42" i="18"/>
  <c r="U43" i="19"/>
  <c r="D42" i="18"/>
  <c r="D43" i="19"/>
  <c r="N20" i="8"/>
  <c r="M20" i="8"/>
  <c r="N42" i="19"/>
  <c r="N41" i="18"/>
  <c r="N32" i="9"/>
  <c r="O52" i="44" s="1"/>
  <c r="E20" i="8"/>
  <c r="E18" i="40" s="1"/>
  <c r="L18" i="19"/>
  <c r="L18" i="9"/>
  <c r="L64" i="9"/>
  <c r="L19" i="21"/>
  <c r="L64" i="17"/>
  <c r="L18" i="17"/>
  <c r="L65" i="19"/>
  <c r="L64" i="18"/>
  <c r="L18" i="18"/>
  <c r="L65" i="21"/>
  <c r="Q18" i="19"/>
  <c r="Q18" i="17"/>
  <c r="Q65" i="21"/>
  <c r="Q18" i="9"/>
  <c r="Q64" i="18"/>
  <c r="Q19" i="21"/>
  <c r="Q18" i="18"/>
  <c r="Q64" i="17"/>
  <c r="Q64" i="9"/>
  <c r="Q65" i="19"/>
  <c r="V20" i="8"/>
  <c r="K43" i="19"/>
  <c r="K42" i="17"/>
  <c r="K42" i="18"/>
  <c r="O42" i="17"/>
  <c r="O43" i="19"/>
  <c r="O42" i="18"/>
  <c r="K20" i="8"/>
  <c r="U18" i="9"/>
  <c r="U64" i="18"/>
  <c r="U18" i="18"/>
  <c r="U18" i="17"/>
  <c r="U19" i="21"/>
  <c r="U64" i="9"/>
  <c r="U65" i="21"/>
  <c r="U64" i="17"/>
  <c r="U18" i="19"/>
  <c r="U65" i="19"/>
  <c r="G20" i="8"/>
  <c r="G18" i="40" s="1"/>
  <c r="R20" i="8"/>
  <c r="H18" i="9"/>
  <c r="H18" i="17"/>
  <c r="H18" i="19"/>
  <c r="H19" i="21"/>
  <c r="H18" i="18"/>
  <c r="R65" i="21"/>
  <c r="R64" i="9"/>
  <c r="R65" i="19"/>
  <c r="R64" i="18"/>
  <c r="R18" i="19"/>
  <c r="R18" i="9"/>
  <c r="R18" i="17"/>
  <c r="R64" i="17"/>
  <c r="R18" i="18"/>
  <c r="R19" i="21"/>
  <c r="C56" i="9"/>
  <c r="C56" i="18"/>
  <c r="C57" i="21"/>
  <c r="C57" i="19"/>
  <c r="S42" i="18"/>
  <c r="S43" i="19"/>
  <c r="S42" i="17"/>
  <c r="G18" i="18"/>
  <c r="G18" i="17"/>
  <c r="G19" i="21"/>
  <c r="G64" i="9"/>
  <c r="G18" i="19"/>
  <c r="G18" i="9"/>
  <c r="L20" i="8"/>
  <c r="P64" i="9"/>
  <c r="P19" i="21"/>
  <c r="P65" i="21"/>
  <c r="P64" i="17"/>
  <c r="P18" i="9"/>
  <c r="P65" i="19"/>
  <c r="P18" i="19"/>
  <c r="P64" i="18"/>
  <c r="P18" i="18"/>
  <c r="P18" i="17"/>
  <c r="N42" i="17"/>
  <c r="N43" i="19"/>
  <c r="N42" i="18"/>
  <c r="D14" i="21"/>
  <c r="D63" i="21" s="1"/>
  <c r="D59" i="21" s="1"/>
  <c r="D13" i="18"/>
  <c r="D62" i="18" s="1"/>
  <c r="D58" i="18" s="1"/>
  <c r="D13" i="19"/>
  <c r="D63" i="19" s="1"/>
  <c r="D59" i="19" s="1"/>
  <c r="D13" i="9"/>
  <c r="D62" i="9" s="1"/>
  <c r="D58" i="9" s="1"/>
  <c r="D13" i="17"/>
  <c r="D62" i="17" s="1"/>
  <c r="D58" i="17" s="1"/>
  <c r="S64" i="17"/>
  <c r="S64" i="18"/>
  <c r="S65" i="19"/>
  <c r="S18" i="19"/>
  <c r="S18" i="9"/>
  <c r="S18" i="18"/>
  <c r="S18" i="17"/>
  <c r="S19" i="21"/>
  <c r="S64" i="9"/>
  <c r="S65" i="21"/>
  <c r="K18" i="18"/>
  <c r="K19" i="21"/>
  <c r="K64" i="18"/>
  <c r="K18" i="19"/>
  <c r="K65" i="19"/>
  <c r="K65" i="21"/>
  <c r="K18" i="9"/>
  <c r="K64" i="17"/>
  <c r="K64" i="9"/>
  <c r="K18" i="17"/>
  <c r="H20" i="8"/>
  <c r="H18" i="40" s="1"/>
  <c r="D18" i="9"/>
  <c r="D18" i="17"/>
  <c r="D18" i="19"/>
  <c r="D19" i="21"/>
  <c r="D18" i="18"/>
  <c r="I20" i="8"/>
  <c r="I18" i="40" s="1"/>
  <c r="P42" i="17"/>
  <c r="P43" i="19"/>
  <c r="P42" i="18"/>
  <c r="Q43" i="19"/>
  <c r="Q42" i="18"/>
  <c r="Q42" i="17"/>
  <c r="F42" i="18"/>
  <c r="F43" i="19"/>
  <c r="I18" i="9"/>
  <c r="I64" i="9"/>
  <c r="I19" i="21"/>
  <c r="I18" i="17"/>
  <c r="I18" i="19"/>
  <c r="I18" i="18"/>
  <c r="M64" i="17"/>
  <c r="M18" i="17"/>
  <c r="M18" i="9"/>
  <c r="M65" i="19"/>
  <c r="M64" i="9"/>
  <c r="M65" i="21"/>
  <c r="M19" i="21"/>
  <c r="M18" i="19"/>
  <c r="M64" i="18"/>
  <c r="M18" i="18"/>
  <c r="N64" i="9"/>
  <c r="N65" i="21"/>
  <c r="N18" i="9"/>
  <c r="N64" i="17"/>
  <c r="N18" i="18"/>
  <c r="N65" i="19"/>
  <c r="N18" i="17"/>
  <c r="N18" i="19"/>
  <c r="N64" i="18"/>
  <c r="N19" i="21"/>
  <c r="F32" i="17"/>
  <c r="F41" i="9"/>
  <c r="F42" i="21"/>
  <c r="F41" i="18"/>
  <c r="F42" i="19"/>
  <c r="R42" i="17"/>
  <c r="R43" i="19"/>
  <c r="R42" i="18"/>
  <c r="V42" i="18"/>
  <c r="V42" i="17"/>
  <c r="V43" i="19"/>
  <c r="F13" i="19"/>
  <c r="F63" i="19" s="1"/>
  <c r="F59" i="19" s="1"/>
  <c r="F14" i="21"/>
  <c r="G9" i="44" s="1"/>
  <c r="F13" i="18"/>
  <c r="F62" i="18" s="1"/>
  <c r="F58" i="18" s="1"/>
  <c r="F13" i="17"/>
  <c r="F62" i="17" s="1"/>
  <c r="F58" i="17" s="1"/>
  <c r="F13" i="9"/>
  <c r="F62" i="9" s="1"/>
  <c r="F58" i="9" s="1"/>
  <c r="C42" i="18"/>
  <c r="C43" i="19"/>
  <c r="W42" i="18"/>
  <c r="W42" i="17"/>
  <c r="W43" i="19"/>
  <c r="W65" i="19"/>
  <c r="W64" i="9"/>
  <c r="W18" i="18"/>
  <c r="W18" i="19"/>
  <c r="W19" i="21"/>
  <c r="W18" i="17"/>
  <c r="W65" i="21"/>
  <c r="W64" i="18"/>
  <c r="W18" i="9"/>
  <c r="W64" i="17"/>
  <c r="E14" i="19"/>
  <c r="E73" i="19" s="1"/>
  <c r="E74" i="19" s="1"/>
  <c r="E14" i="17"/>
  <c r="E72" i="17" s="1"/>
  <c r="E73" i="17" s="1"/>
  <c r="E15" i="21"/>
  <c r="E73" i="21" s="1"/>
  <c r="E74" i="21" s="1"/>
  <c r="E14" i="9"/>
  <c r="E72" i="9" s="1"/>
  <c r="E73" i="9" s="1"/>
  <c r="E14" i="18"/>
  <c r="E72" i="18" s="1"/>
  <c r="E73" i="18" s="1"/>
  <c r="F15" i="21"/>
  <c r="F73" i="21" s="1"/>
  <c r="F74" i="21" s="1"/>
  <c r="F14" i="9"/>
  <c r="F72" i="9" s="1"/>
  <c r="F73" i="9" s="1"/>
  <c r="F14" i="17"/>
  <c r="F72" i="17" s="1"/>
  <c r="F73" i="17" s="1"/>
  <c r="F14" i="18"/>
  <c r="F72" i="18" s="1"/>
  <c r="F73" i="18" s="1"/>
  <c r="F14" i="19"/>
  <c r="F73" i="19" s="1"/>
  <c r="F74" i="19" s="1"/>
  <c r="P20" i="8"/>
  <c r="I42" i="17"/>
  <c r="I43" i="19"/>
  <c r="I42" i="18"/>
  <c r="F20" i="8"/>
  <c r="F18" i="40" s="1"/>
  <c r="M43" i="19"/>
  <c r="M42" i="18"/>
  <c r="M42" i="17"/>
  <c r="C14" i="18"/>
  <c r="C15" i="21"/>
  <c r="C14" i="9"/>
  <c r="C14" i="19"/>
  <c r="C14" i="17"/>
  <c r="F18" i="17"/>
  <c r="F18" i="9"/>
  <c r="F18" i="19"/>
  <c r="F19" i="21"/>
  <c r="F18" i="18"/>
  <c r="E13" i="17"/>
  <c r="E62" i="17" s="1"/>
  <c r="E58" i="17" s="1"/>
  <c r="E13" i="19"/>
  <c r="E63" i="19" s="1"/>
  <c r="E59" i="19" s="1"/>
  <c r="E14" i="21"/>
  <c r="E13" i="9"/>
  <c r="E62" i="9" s="1"/>
  <c r="E58" i="9" s="1"/>
  <c r="E13" i="18"/>
  <c r="E62" i="18" s="1"/>
  <c r="E58" i="18" s="1"/>
  <c r="T18" i="19"/>
  <c r="T19" i="21"/>
  <c r="T18" i="17"/>
  <c r="T64" i="18"/>
  <c r="T65" i="19"/>
  <c r="T18" i="18"/>
  <c r="T65" i="21"/>
  <c r="T18" i="9"/>
  <c r="T64" i="17"/>
  <c r="T64" i="9"/>
  <c r="E18" i="18"/>
  <c r="E19" i="21"/>
  <c r="E18" i="9"/>
  <c r="E18" i="17"/>
  <c r="E18" i="19"/>
  <c r="L42" i="18"/>
  <c r="L42" i="17"/>
  <c r="L43" i="19"/>
  <c r="T43" i="19"/>
  <c r="T42" i="17"/>
  <c r="T42" i="18"/>
  <c r="C14" i="21"/>
  <c r="C13" i="18"/>
  <c r="C13" i="19"/>
  <c r="C13" i="17"/>
  <c r="C13" i="9"/>
  <c r="O65" i="21"/>
  <c r="O18" i="18"/>
  <c r="O64" i="18"/>
  <c r="O18" i="17"/>
  <c r="O19" i="21"/>
  <c r="O65" i="19"/>
  <c r="O18" i="9"/>
  <c r="O64" i="9"/>
  <c r="O18" i="19"/>
  <c r="O64" i="17"/>
  <c r="C18" i="17"/>
  <c r="C18" i="19"/>
  <c r="C18" i="18"/>
  <c r="C19" i="21"/>
  <c r="C18" i="9"/>
  <c r="J43" i="19"/>
  <c r="J42" i="18"/>
  <c r="J42" i="17"/>
  <c r="G42" i="18"/>
  <c r="G43" i="19"/>
  <c r="E41" i="17"/>
  <c r="E32" i="17" s="1"/>
  <c r="E41" i="9"/>
  <c r="E41" i="18"/>
  <c r="E32" i="18" s="1"/>
  <c r="E42" i="21"/>
  <c r="F17" i="44" s="1"/>
  <c r="E42" i="19"/>
  <c r="C41" i="9"/>
  <c r="C101" i="9" s="1"/>
  <c r="C42" i="19"/>
  <c r="C98" i="19" s="1"/>
  <c r="C42" i="21"/>
  <c r="C113" i="21" s="1"/>
  <c r="C41" i="18"/>
  <c r="C41" i="17"/>
  <c r="O20" i="8"/>
  <c r="D42" i="21"/>
  <c r="D113" i="21" s="1"/>
  <c r="D42" i="19"/>
  <c r="D98" i="19" s="1"/>
  <c r="D41" i="17"/>
  <c r="D41" i="9"/>
  <c r="D101" i="9" s="1"/>
  <c r="D41" i="18"/>
  <c r="V65" i="19"/>
  <c r="V18" i="19"/>
  <c r="V65" i="21"/>
  <c r="V64" i="9"/>
  <c r="V19" i="21"/>
  <c r="V64" i="17"/>
  <c r="V18" i="18"/>
  <c r="V18" i="9"/>
  <c r="V18" i="17"/>
  <c r="V64" i="18"/>
  <c r="T33" i="40" l="1"/>
  <c r="F101" i="9"/>
  <c r="G51" i="44"/>
  <c r="E101" i="9"/>
  <c r="F51" i="44"/>
  <c r="F33" i="21"/>
  <c r="G18" i="44" s="1"/>
  <c r="G17" i="44"/>
  <c r="E63" i="21"/>
  <c r="F9" i="44"/>
  <c r="D32" i="18"/>
  <c r="D68" i="18" s="1"/>
  <c r="D97" i="18"/>
  <c r="D32" i="17"/>
  <c r="D67" i="17" s="1"/>
  <c r="D97" i="17"/>
  <c r="C32" i="17"/>
  <c r="C97" i="17"/>
  <c r="C32" i="18"/>
  <c r="C97" i="18"/>
  <c r="F63" i="21"/>
  <c r="L18" i="40"/>
  <c r="L64" i="40"/>
  <c r="L59" i="40" s="1"/>
  <c r="K18" i="40"/>
  <c r="K64" i="40"/>
  <c r="M18" i="40"/>
  <c r="M64" i="40"/>
  <c r="M59" i="40" s="1"/>
  <c r="U24" i="40"/>
  <c r="U33" i="40" s="1"/>
  <c r="U30" i="40"/>
  <c r="U62" i="40" s="1"/>
  <c r="V23" i="40"/>
  <c r="N18" i="40"/>
  <c r="N64" i="40"/>
  <c r="N59" i="40" s="1"/>
  <c r="R18" i="40"/>
  <c r="R64" i="40"/>
  <c r="R59" i="40" s="1"/>
  <c r="V18" i="40"/>
  <c r="V64" i="40"/>
  <c r="S18" i="40"/>
  <c r="S64" i="40"/>
  <c r="S59" i="40" s="1"/>
  <c r="T18" i="40"/>
  <c r="T64" i="40"/>
  <c r="T59" i="40" s="1"/>
  <c r="J18" i="21"/>
  <c r="J18" i="40"/>
  <c r="U18" i="40"/>
  <c r="U64" i="40"/>
  <c r="D17" i="17"/>
  <c r="D18" i="40"/>
  <c r="P18" i="40"/>
  <c r="P64" i="40"/>
  <c r="P59" i="40" s="1"/>
  <c r="O18" i="40"/>
  <c r="O64" i="40"/>
  <c r="O59" i="40" s="1"/>
  <c r="Q18" i="40"/>
  <c r="Q64" i="40"/>
  <c r="Q59" i="40" s="1"/>
  <c r="W18" i="40"/>
  <c r="W64" i="40"/>
  <c r="C17" i="19"/>
  <c r="C18" i="40"/>
  <c r="H63" i="9"/>
  <c r="H58" i="9" s="1"/>
  <c r="K63" i="17"/>
  <c r="K64" i="21"/>
  <c r="M64" i="21"/>
  <c r="M63" i="17"/>
  <c r="N63" i="17"/>
  <c r="N64" i="21"/>
  <c r="R63" i="17"/>
  <c r="R64" i="21"/>
  <c r="L64" i="21"/>
  <c r="L63" i="17"/>
  <c r="V63" i="17"/>
  <c r="V64" i="21"/>
  <c r="S18" i="21"/>
  <c r="S63" i="17"/>
  <c r="S64" i="21"/>
  <c r="T63" i="17"/>
  <c r="T64" i="21"/>
  <c r="U63" i="17"/>
  <c r="U64" i="21"/>
  <c r="P64" i="21"/>
  <c r="P63" i="17"/>
  <c r="O63" i="17"/>
  <c r="O64" i="21"/>
  <c r="Q63" i="17"/>
  <c r="Q64" i="21"/>
  <c r="W17" i="17"/>
  <c r="W64" i="21"/>
  <c r="W63" i="17"/>
  <c r="T17" i="18"/>
  <c r="U17" i="9"/>
  <c r="G63" i="9"/>
  <c r="G58" i="9" s="1"/>
  <c r="U17" i="19"/>
  <c r="C18" i="21"/>
  <c r="C17" i="9"/>
  <c r="C17" i="17"/>
  <c r="T63" i="18"/>
  <c r="W17" i="9"/>
  <c r="T17" i="17"/>
  <c r="T17" i="9"/>
  <c r="T17" i="19"/>
  <c r="S63" i="9"/>
  <c r="S58" i="9" s="1"/>
  <c r="S17" i="18"/>
  <c r="T18" i="21"/>
  <c r="U17" i="18"/>
  <c r="J17" i="19"/>
  <c r="S17" i="9"/>
  <c r="J17" i="9"/>
  <c r="D17" i="19"/>
  <c r="J17" i="17"/>
  <c r="D17" i="9"/>
  <c r="J17" i="18"/>
  <c r="D18" i="21"/>
  <c r="D17" i="18"/>
  <c r="S17" i="17"/>
  <c r="U17" i="17"/>
  <c r="U18" i="21"/>
  <c r="S63" i="18"/>
  <c r="T64" i="19"/>
  <c r="S64" i="19"/>
  <c r="S17" i="19"/>
  <c r="W17" i="18"/>
  <c r="W64" i="19"/>
  <c r="W18" i="21"/>
  <c r="W63" i="18"/>
  <c r="W17" i="19"/>
  <c r="W63" i="9"/>
  <c r="W58" i="9" s="1"/>
  <c r="U63" i="18"/>
  <c r="U64" i="19"/>
  <c r="T63" i="9"/>
  <c r="T58" i="9" s="1"/>
  <c r="D33" i="19"/>
  <c r="D69" i="19" s="1"/>
  <c r="E32" i="9"/>
  <c r="F52" i="44" s="1"/>
  <c r="O63" i="9"/>
  <c r="O58" i="9" s="1"/>
  <c r="F17" i="19"/>
  <c r="F17" i="17"/>
  <c r="F17" i="9"/>
  <c r="F17" i="18"/>
  <c r="F18" i="21"/>
  <c r="F33" i="19"/>
  <c r="L17" i="18"/>
  <c r="L18" i="21"/>
  <c r="L17" i="9"/>
  <c r="L63" i="18"/>
  <c r="L64" i="19"/>
  <c r="L17" i="19"/>
  <c r="L17" i="17"/>
  <c r="L63" i="9"/>
  <c r="L58" i="9" s="1"/>
  <c r="V42" i="21"/>
  <c r="V42" i="19"/>
  <c r="V41" i="18"/>
  <c r="V41" i="17"/>
  <c r="V32" i="9"/>
  <c r="W52" i="44" s="1"/>
  <c r="O41" i="18"/>
  <c r="O42" i="19"/>
  <c r="O32" i="9"/>
  <c r="P52" i="44" s="1"/>
  <c r="O41" i="17"/>
  <c r="D33" i="21"/>
  <c r="D69" i="21" s="1"/>
  <c r="F32" i="18"/>
  <c r="C84" i="19"/>
  <c r="D70" i="19"/>
  <c r="R41" i="18"/>
  <c r="R42" i="21"/>
  <c r="R41" i="17"/>
  <c r="R42" i="19"/>
  <c r="R32" i="9"/>
  <c r="S52" i="44" s="1"/>
  <c r="W42" i="21"/>
  <c r="W32" i="9"/>
  <c r="X52" i="44" s="1"/>
  <c r="W41" i="17"/>
  <c r="W41" i="18"/>
  <c r="W42" i="19"/>
  <c r="D69" i="17"/>
  <c r="C83" i="17"/>
  <c r="V63" i="18"/>
  <c r="V18" i="21"/>
  <c r="V17" i="9"/>
  <c r="V17" i="19"/>
  <c r="V64" i="19"/>
  <c r="V17" i="17"/>
  <c r="V17" i="18"/>
  <c r="V63" i="9"/>
  <c r="V58" i="9" s="1"/>
  <c r="C33" i="21"/>
  <c r="F32" i="9"/>
  <c r="G52" i="44" s="1"/>
  <c r="C100" i="21"/>
  <c r="D70" i="21"/>
  <c r="S41" i="17"/>
  <c r="S42" i="21"/>
  <c r="S42" i="19"/>
  <c r="S32" i="9"/>
  <c r="T52" i="44" s="1"/>
  <c r="S41" i="18"/>
  <c r="C33" i="19"/>
  <c r="P18" i="21"/>
  <c r="P63" i="9"/>
  <c r="P58" i="9" s="1"/>
  <c r="P63" i="18"/>
  <c r="P17" i="19"/>
  <c r="P17" i="18"/>
  <c r="P17" i="17"/>
  <c r="P17" i="9"/>
  <c r="P64" i="19"/>
  <c r="I17" i="19"/>
  <c r="I17" i="17"/>
  <c r="I18" i="21"/>
  <c r="I17" i="9"/>
  <c r="I17" i="18"/>
  <c r="I63" i="9"/>
  <c r="I58" i="9" s="1"/>
  <c r="C83" i="18"/>
  <c r="D69" i="18"/>
  <c r="U42" i="21"/>
  <c r="U41" i="17"/>
  <c r="U41" i="18"/>
  <c r="U42" i="19"/>
  <c r="U32" i="9"/>
  <c r="V52" i="44" s="1"/>
  <c r="M63" i="18"/>
  <c r="M17" i="9"/>
  <c r="M17" i="18"/>
  <c r="M17" i="19"/>
  <c r="M17" i="17"/>
  <c r="M64" i="19"/>
  <c r="M63" i="9"/>
  <c r="M58" i="9" s="1"/>
  <c r="M18" i="21"/>
  <c r="J63" i="9"/>
  <c r="J58" i="9" s="1"/>
  <c r="C32" i="9"/>
  <c r="E33" i="19"/>
  <c r="C87" i="9"/>
  <c r="D69" i="9"/>
  <c r="R63" i="18"/>
  <c r="R18" i="21"/>
  <c r="R17" i="19"/>
  <c r="R17" i="9"/>
  <c r="R63" i="9"/>
  <c r="R58" i="9" s="1"/>
  <c r="R64" i="19"/>
  <c r="R17" i="18"/>
  <c r="R17" i="17"/>
  <c r="Q41" i="17"/>
  <c r="Q32" i="9"/>
  <c r="R52" i="44" s="1"/>
  <c r="Q42" i="19"/>
  <c r="Q41" i="18"/>
  <c r="Q42" i="21"/>
  <c r="N17" i="19"/>
  <c r="N63" i="9"/>
  <c r="N58" i="9" s="1"/>
  <c r="N17" i="18"/>
  <c r="N17" i="9"/>
  <c r="N18" i="21"/>
  <c r="N17" i="17"/>
  <c r="N64" i="19"/>
  <c r="N63" i="18"/>
  <c r="U63" i="9"/>
  <c r="U58" i="9" s="1"/>
  <c r="Q63" i="9"/>
  <c r="Q58" i="9" s="1"/>
  <c r="Q17" i="18"/>
  <c r="Q17" i="9"/>
  <c r="Q18" i="21"/>
  <c r="Q64" i="19"/>
  <c r="Q63" i="18"/>
  <c r="Q17" i="17"/>
  <c r="Q17" i="19"/>
  <c r="D32" i="9"/>
  <c r="D68" i="9" s="1"/>
  <c r="O17" i="17"/>
  <c r="O17" i="9"/>
  <c r="O18" i="21"/>
  <c r="O17" i="19"/>
  <c r="O17" i="18"/>
  <c r="O63" i="18"/>
  <c r="O64" i="19"/>
  <c r="E33" i="21"/>
  <c r="F18" i="44" s="1"/>
  <c r="H17" i="9"/>
  <c r="H17" i="17"/>
  <c r="H17" i="18"/>
  <c r="H17" i="19"/>
  <c r="H18" i="21"/>
  <c r="G17" i="9"/>
  <c r="G17" i="19"/>
  <c r="G17" i="18"/>
  <c r="G17" i="17"/>
  <c r="G18" i="21"/>
  <c r="P42" i="19"/>
  <c r="P42" i="21"/>
  <c r="P41" i="17"/>
  <c r="P32" i="9"/>
  <c r="Q52" i="44" s="1"/>
  <c r="P41" i="18"/>
  <c r="K17" i="18"/>
  <c r="K17" i="17"/>
  <c r="K63" i="18"/>
  <c r="K63" i="9"/>
  <c r="K58" i="9" s="1"/>
  <c r="K17" i="19"/>
  <c r="K17" i="9"/>
  <c r="K64" i="19"/>
  <c r="K18" i="21"/>
  <c r="E18" i="21"/>
  <c r="E17" i="18"/>
  <c r="E17" i="19"/>
  <c r="E17" i="17"/>
  <c r="E17" i="9"/>
  <c r="T41" i="17"/>
  <c r="T41" i="18"/>
  <c r="T32" i="9"/>
  <c r="U52" i="44" s="1"/>
  <c r="T42" i="21"/>
  <c r="T42" i="19"/>
  <c r="D67" i="18" l="1"/>
  <c r="X17" i="44"/>
  <c r="Q17" i="44"/>
  <c r="R17" i="44"/>
  <c r="V17" i="44"/>
  <c r="S17" i="44"/>
  <c r="W17" i="44"/>
  <c r="U17" i="44"/>
  <c r="T17" i="44"/>
  <c r="J2" i="43" a="1"/>
  <c r="J2" i="43" s="1"/>
  <c r="K59" i="40"/>
  <c r="D68" i="17"/>
  <c r="U59" i="40"/>
  <c r="W23" i="40"/>
  <c r="V24" i="40"/>
  <c r="V33" i="40" s="1"/>
  <c r="V30" i="40"/>
  <c r="V62" i="40" s="1"/>
  <c r="V59" i="40" s="1"/>
  <c r="D68" i="19"/>
  <c r="D68" i="21"/>
  <c r="D67" i="9"/>
  <c r="D66" i="9" s="1"/>
  <c r="L41" i="18"/>
  <c r="L42" i="19"/>
  <c r="L41" i="17"/>
  <c r="L32" i="9"/>
  <c r="M52" i="44" s="1"/>
  <c r="L42" i="21"/>
  <c r="Q37" i="17"/>
  <c r="Q38" i="19"/>
  <c r="Q38" i="21"/>
  <c r="R12" i="44" s="1"/>
  <c r="Q37" i="18"/>
  <c r="R36" i="17"/>
  <c r="R36" i="18"/>
  <c r="R37" i="19"/>
  <c r="R37" i="21"/>
  <c r="S11" i="44" s="1"/>
  <c r="K42" i="21"/>
  <c r="K41" i="17"/>
  <c r="K41" i="18"/>
  <c r="K32" i="9"/>
  <c r="L52" i="44" s="1"/>
  <c r="K42" i="19"/>
  <c r="O37" i="17"/>
  <c r="U37" i="21"/>
  <c r="V11" i="44" s="1"/>
  <c r="U36" i="17"/>
  <c r="U36" i="18"/>
  <c r="U37" i="19"/>
  <c r="J42" i="21"/>
  <c r="J41" i="18"/>
  <c r="J32" i="9"/>
  <c r="K52" i="44" s="1"/>
  <c r="J42" i="19"/>
  <c r="J41" i="17"/>
  <c r="W38" i="21"/>
  <c r="X12" i="44" s="1"/>
  <c r="W38" i="19"/>
  <c r="W37" i="17"/>
  <c r="W37" i="18"/>
  <c r="S36" i="17"/>
  <c r="S37" i="21"/>
  <c r="T11" i="44" s="1"/>
  <c r="S37" i="19"/>
  <c r="S36" i="18"/>
  <c r="V37" i="17"/>
  <c r="V38" i="19"/>
  <c r="V38" i="21"/>
  <c r="W12" i="44" s="1"/>
  <c r="V37" i="18"/>
  <c r="U38" i="19"/>
  <c r="U37" i="18"/>
  <c r="U38" i="21"/>
  <c r="V12" i="44" s="1"/>
  <c r="U37" i="17"/>
  <c r="V37" i="21"/>
  <c r="W11" i="44" s="1"/>
  <c r="V37" i="19"/>
  <c r="V36" i="18"/>
  <c r="V36" i="17"/>
  <c r="M41" i="17"/>
  <c r="M42" i="21"/>
  <c r="M41" i="18"/>
  <c r="M32" i="9"/>
  <c r="N52" i="44" s="1"/>
  <c r="M42" i="19"/>
  <c r="T37" i="17"/>
  <c r="T38" i="21"/>
  <c r="U12" i="44" s="1"/>
  <c r="T38" i="19"/>
  <c r="T37" i="18"/>
  <c r="R37" i="18"/>
  <c r="R38" i="19"/>
  <c r="R38" i="21"/>
  <c r="S12" i="44" s="1"/>
  <c r="R37" i="17"/>
  <c r="T36" i="18"/>
  <c r="T37" i="19"/>
  <c r="T36" i="17"/>
  <c r="T37" i="21"/>
  <c r="U11" i="44" s="1"/>
  <c r="C14" i="22"/>
  <c r="C15" i="22"/>
  <c r="C18" i="22"/>
  <c r="C17" i="22"/>
  <c r="C16" i="22"/>
  <c r="I32" i="9"/>
  <c r="J52" i="44" s="1"/>
  <c r="I42" i="19"/>
  <c r="I41" i="18"/>
  <c r="I42" i="21"/>
  <c r="I41" i="17"/>
  <c r="S37" i="17"/>
  <c r="S38" i="19"/>
  <c r="S37" i="18"/>
  <c r="S38" i="21"/>
  <c r="T12" i="44" s="1"/>
  <c r="Q36" i="17"/>
  <c r="Q36" i="18"/>
  <c r="Q37" i="19"/>
  <c r="P37" i="19"/>
  <c r="H41" i="18"/>
  <c r="H42" i="19"/>
  <c r="P38" i="21"/>
  <c r="Q12" i="44" s="1"/>
  <c r="P37" i="18"/>
  <c r="P38" i="19"/>
  <c r="P37" i="17"/>
  <c r="W37" i="19"/>
  <c r="W37" i="21"/>
  <c r="X11" i="44" s="1"/>
  <c r="W36" i="18"/>
  <c r="W36" i="17"/>
  <c r="D71" i="40" l="1"/>
  <c r="D67" i="40" s="1"/>
  <c r="D58" i="40" s="1"/>
  <c r="D57" i="40" s="1"/>
  <c r="D70" i="17"/>
  <c r="D66" i="17" s="1"/>
  <c r="D57" i="17" s="1"/>
  <c r="D56" i="17" s="1"/>
  <c r="D83" i="17" s="1"/>
  <c r="D71" i="21"/>
  <c r="D67" i="21" s="1"/>
  <c r="D58" i="21" s="1"/>
  <c r="D57" i="21" s="1"/>
  <c r="D70" i="18"/>
  <c r="D66" i="18" s="1"/>
  <c r="D57" i="18" s="1"/>
  <c r="D56" i="18" s="1"/>
  <c r="D83" i="18" s="1"/>
  <c r="D85" i="18" s="1"/>
  <c r="D71" i="19"/>
  <c r="D67" i="19" s="1"/>
  <c r="X24" i="44"/>
  <c r="W31" i="44"/>
  <c r="X32" i="44"/>
  <c r="V25" i="44"/>
  <c r="V32" i="44"/>
  <c r="W32" i="44"/>
  <c r="W25" i="44"/>
  <c r="V31" i="44"/>
  <c r="X31" i="44"/>
  <c r="V24" i="44"/>
  <c r="W24" i="44"/>
  <c r="X25" i="44"/>
  <c r="J17" i="44"/>
  <c r="K17" i="44"/>
  <c r="U31" i="44"/>
  <c r="T32" i="44"/>
  <c r="T25" i="44"/>
  <c r="S25" i="44"/>
  <c r="S32" i="44"/>
  <c r="S24" i="44"/>
  <c r="U32" i="44"/>
  <c r="S31" i="44"/>
  <c r="Q25" i="44"/>
  <c r="U25" i="44"/>
  <c r="Q31" i="44"/>
  <c r="R31" i="44"/>
  <c r="R32" i="44"/>
  <c r="Q32" i="44"/>
  <c r="T31" i="44"/>
  <c r="R25" i="44"/>
  <c r="R24" i="44"/>
  <c r="U24" i="44"/>
  <c r="T24" i="44"/>
  <c r="L17" i="44"/>
  <c r="N17" i="44"/>
  <c r="M17" i="44"/>
  <c r="P25" i="44"/>
  <c r="H37" i="17"/>
  <c r="W30" i="40"/>
  <c r="W62" i="40" s="1"/>
  <c r="E2" i="43" s="1" a="1"/>
  <c r="E2" i="43" s="1"/>
  <c r="W24" i="40"/>
  <c r="D77" i="21"/>
  <c r="D78" i="21"/>
  <c r="D76" i="9"/>
  <c r="D77" i="9"/>
  <c r="D86" i="18" l="1"/>
  <c r="D84" i="18"/>
  <c r="D87" i="18"/>
  <c r="D88" i="18"/>
  <c r="E69" i="18"/>
  <c r="E67" i="18"/>
  <c r="E68" i="18"/>
  <c r="D11" i="22"/>
  <c r="D15" i="22" s="1"/>
  <c r="E68" i="40"/>
  <c r="E69" i="40"/>
  <c r="D92" i="40"/>
  <c r="E70" i="40"/>
  <c r="F2" i="43" a="1"/>
  <c r="F2" i="43" s="1"/>
  <c r="I25" i="44"/>
  <c r="W33" i="40"/>
  <c r="W59" i="40"/>
  <c r="I37" i="17"/>
  <c r="D57" i="9"/>
  <c r="D56" i="9" s="1"/>
  <c r="D87" i="9" s="1"/>
  <c r="D85" i="17"/>
  <c r="D88" i="17"/>
  <c r="D87" i="17"/>
  <c r="D84" i="17"/>
  <c r="D86" i="17"/>
  <c r="D58" i="19"/>
  <c r="D57" i="19" s="1"/>
  <c r="E68" i="21"/>
  <c r="E69" i="21"/>
  <c r="E70" i="21"/>
  <c r="D100" i="21"/>
  <c r="E67" i="17"/>
  <c r="E68" i="17"/>
  <c r="E69" i="17"/>
  <c r="D88" i="9" l="1"/>
  <c r="E93" i="18"/>
  <c r="E94" i="18" s="1"/>
  <c r="E92" i="18" s="1"/>
  <c r="E97" i="18" s="1"/>
  <c r="D95" i="40"/>
  <c r="D93" i="40"/>
  <c r="D87" i="40"/>
  <c r="D88" i="40" s="1"/>
  <c r="D94" i="40"/>
  <c r="D96" i="40"/>
  <c r="D97" i="40"/>
  <c r="E77" i="40"/>
  <c r="E78" i="40"/>
  <c r="J25" i="44"/>
  <c r="F10" i="44"/>
  <c r="E93" i="17"/>
  <c r="E94" i="17" s="1"/>
  <c r="E92" i="17" s="1"/>
  <c r="E97" i="17" s="1"/>
  <c r="D95" i="21"/>
  <c r="D96" i="21" s="1"/>
  <c r="J37" i="17"/>
  <c r="E68" i="9"/>
  <c r="E67" i="9"/>
  <c r="E69" i="9"/>
  <c r="D17" i="22"/>
  <c r="D16" i="22"/>
  <c r="D14" i="22"/>
  <c r="D18" i="22"/>
  <c r="D102" i="21"/>
  <c r="D105" i="21"/>
  <c r="D104" i="21"/>
  <c r="D101" i="21"/>
  <c r="D103" i="21"/>
  <c r="E77" i="21"/>
  <c r="E78" i="21"/>
  <c r="E68" i="19"/>
  <c r="D84" i="19"/>
  <c r="E70" i="19"/>
  <c r="E69" i="19"/>
  <c r="F6" i="44" l="1"/>
  <c r="E102" i="40"/>
  <c r="E103" i="40" s="1"/>
  <c r="F45" i="44"/>
  <c r="K25" i="44"/>
  <c r="E110" i="21"/>
  <c r="E111" i="21" s="1"/>
  <c r="E76" i="9"/>
  <c r="E77" i="9"/>
  <c r="D89" i="9"/>
  <c r="D90" i="9"/>
  <c r="D92" i="9"/>
  <c r="D91" i="9"/>
  <c r="D83" i="9"/>
  <c r="D84" i="9" s="1"/>
  <c r="D87" i="19"/>
  <c r="D89" i="19"/>
  <c r="D85" i="19"/>
  <c r="D86" i="19"/>
  <c r="D88" i="19"/>
  <c r="D93" i="9" l="1"/>
  <c r="E97" i="9"/>
  <c r="E66" i="9"/>
  <c r="E57" i="9" s="1"/>
  <c r="E56" i="9" s="1"/>
  <c r="E71" i="21"/>
  <c r="E67" i="21" s="1"/>
  <c r="E71" i="19"/>
  <c r="E67" i="19" s="1"/>
  <c r="E58" i="19" s="1"/>
  <c r="E57" i="19" s="1"/>
  <c r="F69" i="19" s="1"/>
  <c r="E70" i="18"/>
  <c r="E66" i="18" s="1"/>
  <c r="E57" i="18" s="1"/>
  <c r="E56" i="18" s="1"/>
  <c r="E70" i="17"/>
  <c r="E66" i="17" s="1"/>
  <c r="E57" i="17" s="1"/>
  <c r="E56" i="17" s="1"/>
  <c r="E71" i="40"/>
  <c r="E67" i="40" s="1"/>
  <c r="E58" i="40" s="1"/>
  <c r="E57" i="40" s="1"/>
  <c r="F42" i="44"/>
  <c r="E94" i="19"/>
  <c r="E95" i="19" s="1"/>
  <c r="E93" i="19" s="1"/>
  <c r="E98" i="19" s="1"/>
  <c r="D94" i="9"/>
  <c r="E58" i="21" l="1"/>
  <c r="E57" i="21" s="1"/>
  <c r="D107" i="46"/>
  <c r="D107" i="47"/>
  <c r="D107" i="49"/>
  <c r="D106" i="47"/>
  <c r="E96" i="47" s="1"/>
  <c r="D106" i="49"/>
  <c r="E96" i="49" s="1"/>
  <c r="D106" i="46"/>
  <c r="E96" i="46" s="1"/>
  <c r="F41" i="44"/>
  <c r="E87" i="9"/>
  <c r="F30" i="44"/>
  <c r="F70" i="19"/>
  <c r="F68" i="19"/>
  <c r="E84" i="19"/>
  <c r="E80" i="19" s="1"/>
  <c r="F67" i="9"/>
  <c r="F76" i="9" s="1"/>
  <c r="F68" i="9"/>
  <c r="F69" i="9"/>
  <c r="F68" i="40"/>
  <c r="E11" i="22"/>
  <c r="F69" i="40"/>
  <c r="F70" i="40"/>
  <c r="E92" i="40"/>
  <c r="F67" i="17"/>
  <c r="F69" i="17"/>
  <c r="E83" i="17"/>
  <c r="F23" i="44"/>
  <c r="F68" i="17"/>
  <c r="F69" i="18"/>
  <c r="F67" i="18"/>
  <c r="F27" i="44"/>
  <c r="F68" i="18"/>
  <c r="E83" i="18"/>
  <c r="D91" i="19"/>
  <c r="D99" i="40"/>
  <c r="D107" i="21"/>
  <c r="D90" i="17"/>
  <c r="D90" i="18"/>
  <c r="D89" i="18"/>
  <c r="F69" i="21" l="1"/>
  <c r="F70" i="21"/>
  <c r="E100" i="21"/>
  <c r="F68" i="21"/>
  <c r="F90" i="21"/>
  <c r="F5" i="44"/>
  <c r="G45" i="44"/>
  <c r="E102" i="49"/>
  <c r="E103" i="49"/>
  <c r="E103" i="47"/>
  <c r="E102" i="47"/>
  <c r="E101" i="47" s="1"/>
  <c r="E107" i="47" s="1"/>
  <c r="E103" i="46"/>
  <c r="E102" i="46"/>
  <c r="E83" i="9"/>
  <c r="E92" i="9" s="1"/>
  <c r="F70" i="17"/>
  <c r="F66" i="17" s="1"/>
  <c r="F57" i="17" s="1"/>
  <c r="F56" i="17" s="1"/>
  <c r="F77" i="9"/>
  <c r="E79" i="17"/>
  <c r="E87" i="17" s="1"/>
  <c r="E87" i="40"/>
  <c r="E97" i="40" s="1"/>
  <c r="E95" i="21"/>
  <c r="E104" i="21" s="1"/>
  <c r="E79" i="18"/>
  <c r="E88" i="18" s="1"/>
  <c r="G10" i="44"/>
  <c r="E15" i="22"/>
  <c r="E16" i="22"/>
  <c r="E14" i="22"/>
  <c r="E17" i="22"/>
  <c r="E18" i="22"/>
  <c r="F77" i="40"/>
  <c r="F78" i="40"/>
  <c r="G42" i="44"/>
  <c r="D98" i="40"/>
  <c r="D89" i="17"/>
  <c r="D90" i="19"/>
  <c r="E81" i="19" s="1"/>
  <c r="E87" i="19" s="1"/>
  <c r="D106" i="21"/>
  <c r="E89" i="19"/>
  <c r="E88" i="19"/>
  <c r="E101" i="46" l="1"/>
  <c r="E107" i="46" s="1"/>
  <c r="E91" i="9"/>
  <c r="E101" i="49"/>
  <c r="E107" i="49" s="1"/>
  <c r="F102" i="49" s="1"/>
  <c r="E106" i="46"/>
  <c r="F96" i="46" s="1"/>
  <c r="F110" i="46"/>
  <c r="F111" i="46" s="1"/>
  <c r="F103" i="46"/>
  <c r="F102" i="46"/>
  <c r="F110" i="47"/>
  <c r="F111" i="47" s="1"/>
  <c r="E106" i="47"/>
  <c r="F96" i="47" s="1"/>
  <c r="F102" i="47"/>
  <c r="F103" i="47"/>
  <c r="E106" i="49"/>
  <c r="F96" i="49" s="1"/>
  <c r="F110" i="49"/>
  <c r="F111" i="49" s="1"/>
  <c r="E84" i="9"/>
  <c r="E89" i="9" s="1"/>
  <c r="F71" i="40"/>
  <c r="F67" i="40" s="1"/>
  <c r="F58" i="40" s="1"/>
  <c r="F57" i="40" s="1"/>
  <c r="G70" i="40" s="1"/>
  <c r="F71" i="21"/>
  <c r="F67" i="21" s="1"/>
  <c r="F71" i="19"/>
  <c r="F67" i="19" s="1"/>
  <c r="F58" i="19" s="1"/>
  <c r="F57" i="19" s="1"/>
  <c r="G30" i="44" s="1"/>
  <c r="F70" i="18"/>
  <c r="F66" i="18" s="1"/>
  <c r="F57" i="18" s="1"/>
  <c r="F56" i="18" s="1"/>
  <c r="G69" i="18" s="1"/>
  <c r="F66" i="9"/>
  <c r="F57" i="9" s="1"/>
  <c r="F56" i="9" s="1"/>
  <c r="E80" i="17"/>
  <c r="E85" i="17" s="1"/>
  <c r="E88" i="40"/>
  <c r="E94" i="40" s="1"/>
  <c r="E80" i="18"/>
  <c r="E85" i="18" s="1"/>
  <c r="E88" i="17"/>
  <c r="E87" i="18"/>
  <c r="E96" i="40"/>
  <c r="E105" i="21"/>
  <c r="G23" i="44"/>
  <c r="G69" i="17"/>
  <c r="F83" i="17"/>
  <c r="E96" i="21"/>
  <c r="E103" i="21" s="1"/>
  <c r="E90" i="9"/>
  <c r="E86" i="19"/>
  <c r="E85" i="19" s="1"/>
  <c r="E91" i="19" s="1"/>
  <c r="F109" i="21"/>
  <c r="F103" i="49" l="1"/>
  <c r="F101" i="49" s="1"/>
  <c r="F107" i="49" s="1"/>
  <c r="F101" i="46"/>
  <c r="F107" i="46" s="1"/>
  <c r="G102" i="46" s="1"/>
  <c r="F11" i="22"/>
  <c r="G110" i="46"/>
  <c r="F101" i="47"/>
  <c r="F107" i="47" s="1"/>
  <c r="G69" i="40"/>
  <c r="G70" i="19"/>
  <c r="E88" i="9"/>
  <c r="E93" i="9" s="1"/>
  <c r="G41" i="44"/>
  <c r="G68" i="40"/>
  <c r="G77" i="40" s="1"/>
  <c r="E95" i="40"/>
  <c r="E93" i="40" s="1"/>
  <c r="E99" i="40" s="1"/>
  <c r="F92" i="40"/>
  <c r="F87" i="40" s="1"/>
  <c r="F96" i="40" s="1"/>
  <c r="E86" i="18"/>
  <c r="E84" i="18" s="1"/>
  <c r="E90" i="18" s="1"/>
  <c r="G27" i="44"/>
  <c r="F83" i="18"/>
  <c r="F79" i="18" s="1"/>
  <c r="F88" i="18" s="1"/>
  <c r="G67" i="9"/>
  <c r="G71" i="40" s="1"/>
  <c r="G69" i="9"/>
  <c r="G68" i="9"/>
  <c r="F87" i="9"/>
  <c r="F84" i="19"/>
  <c r="F80" i="19" s="1"/>
  <c r="F89" i="19" s="1"/>
  <c r="E86" i="17"/>
  <c r="E84" i="17" s="1"/>
  <c r="F93" i="17" s="1"/>
  <c r="F94" i="17" s="1"/>
  <c r="F92" i="17" s="1"/>
  <c r="F97" i="17" s="1"/>
  <c r="E102" i="21"/>
  <c r="E101" i="21" s="1"/>
  <c r="F61" i="44"/>
  <c r="F113" i="21"/>
  <c r="F79" i="17"/>
  <c r="F87" i="17" s="1"/>
  <c r="F94" i="19"/>
  <c r="F95" i="19" s="1"/>
  <c r="F93" i="19" s="1"/>
  <c r="F98" i="19" s="1"/>
  <c r="F97" i="9"/>
  <c r="E94" i="9"/>
  <c r="E90" i="19"/>
  <c r="F106" i="46" l="1"/>
  <c r="G96" i="46" s="1"/>
  <c r="G103" i="46"/>
  <c r="G101" i="46" s="1"/>
  <c r="G110" i="47"/>
  <c r="F106" i="47"/>
  <c r="G96" i="47" s="1"/>
  <c r="G110" i="49"/>
  <c r="F106" i="49"/>
  <c r="G96" i="49" s="1"/>
  <c r="G111" i="46"/>
  <c r="G102" i="49"/>
  <c r="G103" i="49"/>
  <c r="G102" i="47"/>
  <c r="G103" i="47"/>
  <c r="G67" i="40"/>
  <c r="G58" i="40" s="1"/>
  <c r="G57" i="40" s="1"/>
  <c r="G92" i="40" s="1"/>
  <c r="G78" i="40"/>
  <c r="G77" i="9"/>
  <c r="H45" i="44"/>
  <c r="F81" i="19"/>
  <c r="F87" i="19" s="1"/>
  <c r="G76" i="9"/>
  <c r="H42" i="44" s="1"/>
  <c r="G70" i="17"/>
  <c r="G71" i="21"/>
  <c r="G70" i="18"/>
  <c r="G71" i="19"/>
  <c r="G66" i="9"/>
  <c r="G57" i="9" s="1"/>
  <c r="G56" i="9" s="1"/>
  <c r="F88" i="19"/>
  <c r="F110" i="21"/>
  <c r="F111" i="21" s="1"/>
  <c r="F58" i="44"/>
  <c r="F60" i="44"/>
  <c r="F59" i="44"/>
  <c r="F87" i="18"/>
  <c r="F88" i="17"/>
  <c r="E89" i="17"/>
  <c r="F97" i="40"/>
  <c r="E90" i="17"/>
  <c r="E98" i="40"/>
  <c r="F88" i="40" s="1"/>
  <c r="F95" i="40" s="1"/>
  <c r="F102" i="40"/>
  <c r="F103" i="40" s="1"/>
  <c r="F93" i="18"/>
  <c r="F94" i="18" s="1"/>
  <c r="F92" i="18" s="1"/>
  <c r="F97" i="18" s="1"/>
  <c r="E89" i="18"/>
  <c r="F80" i="18" s="1"/>
  <c r="F86" i="18" s="1"/>
  <c r="E106" i="21"/>
  <c r="F62" i="44" s="1"/>
  <c r="E107" i="21"/>
  <c r="F86" i="19"/>
  <c r="F83" i="9"/>
  <c r="G107" i="46" l="1"/>
  <c r="H110" i="46"/>
  <c r="H111" i="46" s="1"/>
  <c r="H109" i="46" s="1"/>
  <c r="H36" i="46" s="1"/>
  <c r="G106" i="46"/>
  <c r="H70" i="40"/>
  <c r="H69" i="40"/>
  <c r="G11" i="22"/>
  <c r="G101" i="47"/>
  <c r="G107" i="47" s="1"/>
  <c r="F85" i="19"/>
  <c r="F90" i="19" s="1"/>
  <c r="G101" i="49"/>
  <c r="G107" i="49" s="1"/>
  <c r="G111" i="49"/>
  <c r="G111" i="47"/>
  <c r="H110" i="47"/>
  <c r="H111" i="47" s="1"/>
  <c r="H109" i="47" s="1"/>
  <c r="F91" i="19"/>
  <c r="F80" i="17"/>
  <c r="F85" i="17" s="1"/>
  <c r="F94" i="40"/>
  <c r="F93" i="40" s="1"/>
  <c r="G87" i="40"/>
  <c r="G97" i="40" s="1"/>
  <c r="G87" i="9"/>
  <c r="H41" i="44"/>
  <c r="H69" i="9"/>
  <c r="F85" i="18"/>
  <c r="F84" i="18" s="1"/>
  <c r="F90" i="18" s="1"/>
  <c r="H68" i="9"/>
  <c r="F86" i="17"/>
  <c r="F91" i="9"/>
  <c r="F84" i="9"/>
  <c r="F89" i="9" s="1"/>
  <c r="F92" i="9"/>
  <c r="H113" i="46" l="1"/>
  <c r="H100" i="46" s="1"/>
  <c r="H95" i="46" s="1"/>
  <c r="H96" i="46" s="1"/>
  <c r="H110" i="49"/>
  <c r="H111" i="49" s="1"/>
  <c r="H109" i="49" s="1"/>
  <c r="H36" i="49" s="1"/>
  <c r="G94" i="19"/>
  <c r="G95" i="19" s="1"/>
  <c r="G93" i="19" s="1"/>
  <c r="H36" i="47"/>
  <c r="H113" i="47"/>
  <c r="H100" i="47" s="1"/>
  <c r="H68" i="46"/>
  <c r="H90" i="46"/>
  <c r="H91" i="46" s="1"/>
  <c r="G106" i="49"/>
  <c r="G106" i="47"/>
  <c r="F99" i="40"/>
  <c r="F98" i="40"/>
  <c r="G102" i="40"/>
  <c r="G103" i="40" s="1"/>
  <c r="G96" i="40"/>
  <c r="F84" i="17"/>
  <c r="G93" i="17" s="1"/>
  <c r="G94" i="17" s="1"/>
  <c r="G92" i="17" s="1"/>
  <c r="G93" i="18"/>
  <c r="G94" i="18" s="1"/>
  <c r="G92" i="18" s="1"/>
  <c r="F89" i="18"/>
  <c r="F90" i="9"/>
  <c r="H113" i="49" l="1"/>
  <c r="H100" i="49" s="1"/>
  <c r="H95" i="49" s="1"/>
  <c r="H96" i="49" s="1"/>
  <c r="H103" i="46"/>
  <c r="H105" i="46"/>
  <c r="H102" i="46"/>
  <c r="H104" i="46"/>
  <c r="H95" i="47"/>
  <c r="H96" i="47" s="1"/>
  <c r="H67" i="46"/>
  <c r="H58" i="46" s="1"/>
  <c r="H57" i="46" s="1"/>
  <c r="H78" i="46"/>
  <c r="H88" i="46" s="1"/>
  <c r="H77" i="46"/>
  <c r="H90" i="49"/>
  <c r="H91" i="49" s="1"/>
  <c r="H68" i="49"/>
  <c r="H90" i="47"/>
  <c r="H91" i="47" s="1"/>
  <c r="H68" i="47"/>
  <c r="F88" i="9"/>
  <c r="G97" i="9" s="1"/>
  <c r="G88" i="40"/>
  <c r="F90" i="17"/>
  <c r="F89" i="17"/>
  <c r="G109" i="21"/>
  <c r="H101" i="46" l="1"/>
  <c r="I110" i="46" s="1"/>
  <c r="I111" i="46" s="1"/>
  <c r="I109" i="46" s="1"/>
  <c r="I36" i="46" s="1"/>
  <c r="I68" i="46" s="1"/>
  <c r="F94" i="9"/>
  <c r="H107" i="46"/>
  <c r="H104" i="49"/>
  <c r="H102" i="49"/>
  <c r="H103" i="49"/>
  <c r="H101" i="49" s="1"/>
  <c r="H105" i="49"/>
  <c r="H106" i="46"/>
  <c r="H104" i="47"/>
  <c r="H105" i="47"/>
  <c r="H102" i="47"/>
  <c r="H103" i="47"/>
  <c r="I69" i="46"/>
  <c r="H85" i="46"/>
  <c r="H84" i="46"/>
  <c r="I70" i="46"/>
  <c r="H86" i="46"/>
  <c r="H67" i="47"/>
  <c r="H58" i="47" s="1"/>
  <c r="H57" i="47" s="1"/>
  <c r="H78" i="47"/>
  <c r="H88" i="47" s="1"/>
  <c r="H77" i="47"/>
  <c r="H67" i="49"/>
  <c r="H58" i="49" s="1"/>
  <c r="H57" i="49" s="1"/>
  <c r="H78" i="49"/>
  <c r="H88" i="49" s="1"/>
  <c r="H77" i="49"/>
  <c r="G94" i="40"/>
  <c r="G95" i="40"/>
  <c r="F93" i="9"/>
  <c r="G83" i="9"/>
  <c r="G91" i="9" s="1"/>
  <c r="I113" i="46" l="1"/>
  <c r="I100" i="46" s="1"/>
  <c r="I95" i="46" s="1"/>
  <c r="I96" i="46" s="1"/>
  <c r="H107" i="49"/>
  <c r="I110" i="49"/>
  <c r="I111" i="49" s="1"/>
  <c r="I109" i="49" s="1"/>
  <c r="I113" i="49" s="1"/>
  <c r="I100" i="49" s="1"/>
  <c r="H106" i="49"/>
  <c r="I90" i="46"/>
  <c r="I91" i="46" s="1"/>
  <c r="H85" i="49"/>
  <c r="I69" i="49"/>
  <c r="H84" i="49"/>
  <c r="I70" i="49"/>
  <c r="H86" i="49"/>
  <c r="I70" i="47"/>
  <c r="H86" i="47"/>
  <c r="I69" i="47"/>
  <c r="H85" i="47"/>
  <c r="H84" i="47"/>
  <c r="I78" i="46"/>
  <c r="I88" i="46" s="1"/>
  <c r="I77" i="46"/>
  <c r="I67" i="46"/>
  <c r="I58" i="46" s="1"/>
  <c r="I57" i="46" s="1"/>
  <c r="H101" i="47"/>
  <c r="I95" i="49"/>
  <c r="G93" i="40"/>
  <c r="G92" i="9"/>
  <c r="G84" i="9"/>
  <c r="G90" i="9" s="1"/>
  <c r="E109" i="21"/>
  <c r="E113" i="21" s="1"/>
  <c r="I103" i="46" l="1"/>
  <c r="I105" i="46"/>
  <c r="I104" i="46"/>
  <c r="I36" i="49"/>
  <c r="I102" i="46"/>
  <c r="I96" i="49"/>
  <c r="I101" i="46"/>
  <c r="I105" i="49"/>
  <c r="I102" i="49"/>
  <c r="I103" i="49"/>
  <c r="I101" i="49" s="1"/>
  <c r="I104" i="49"/>
  <c r="H107" i="47"/>
  <c r="I110" i="47"/>
  <c r="I111" i="47" s="1"/>
  <c r="I109" i="47" s="1"/>
  <c r="I85" i="46"/>
  <c r="J69" i="46"/>
  <c r="I84" i="46"/>
  <c r="I86" i="46"/>
  <c r="J70" i="46"/>
  <c r="H106" i="47"/>
  <c r="H102" i="40"/>
  <c r="H103" i="40" s="1"/>
  <c r="H101" i="40" s="1"/>
  <c r="G98" i="40"/>
  <c r="G99" i="40"/>
  <c r="G89" i="9"/>
  <c r="I68" i="49" l="1"/>
  <c r="I90" i="49"/>
  <c r="I91" i="49" s="1"/>
  <c r="J110" i="46"/>
  <c r="J111" i="46" s="1"/>
  <c r="J109" i="46" s="1"/>
  <c r="I107" i="46"/>
  <c r="I106" i="46"/>
  <c r="I107" i="49"/>
  <c r="J110" i="49"/>
  <c r="J111" i="49" s="1"/>
  <c r="J109" i="49" s="1"/>
  <c r="I36" i="47"/>
  <c r="I113" i="47"/>
  <c r="I100" i="47" s="1"/>
  <c r="I106" i="49"/>
  <c r="H36" i="40"/>
  <c r="H68" i="40" s="1"/>
  <c r="H67" i="40" s="1"/>
  <c r="H58" i="40" s="1"/>
  <c r="H57" i="40" s="1"/>
  <c r="H11" i="22" s="1"/>
  <c r="H106" i="40"/>
  <c r="H92" i="40" s="1"/>
  <c r="G88" i="9"/>
  <c r="F78" i="21"/>
  <c r="F77" i="21"/>
  <c r="I77" i="49" l="1"/>
  <c r="I67" i="49"/>
  <c r="I58" i="49" s="1"/>
  <c r="I57" i="49" s="1"/>
  <c r="I78" i="49"/>
  <c r="I88" i="49" s="1"/>
  <c r="J36" i="46"/>
  <c r="J113" i="46"/>
  <c r="J100" i="46" s="1"/>
  <c r="I95" i="47"/>
  <c r="I96" i="47" s="1"/>
  <c r="I90" i="47"/>
  <c r="I91" i="47" s="1"/>
  <c r="I68" i="47"/>
  <c r="J113" i="49"/>
  <c r="J100" i="49" s="1"/>
  <c r="J36" i="49"/>
  <c r="G79" i="21"/>
  <c r="G87" i="21"/>
  <c r="H77" i="40"/>
  <c r="H78" i="40"/>
  <c r="I70" i="40"/>
  <c r="I69" i="40"/>
  <c r="H87" i="40"/>
  <c r="H88" i="40" s="1"/>
  <c r="H94" i="40" s="1"/>
  <c r="F88" i="21"/>
  <c r="G6" i="44"/>
  <c r="G93" i="9"/>
  <c r="G94" i="9"/>
  <c r="H97" i="9"/>
  <c r="H98" i="9" s="1"/>
  <c r="F58" i="21"/>
  <c r="F57" i="21" s="1"/>
  <c r="I86" i="49" l="1"/>
  <c r="I84" i="49"/>
  <c r="I85" i="49"/>
  <c r="J69" i="49"/>
  <c r="J70" i="49"/>
  <c r="I104" i="47"/>
  <c r="I105" i="47"/>
  <c r="I102" i="47"/>
  <c r="I103" i="47"/>
  <c r="J95" i="46"/>
  <c r="J102" i="46" s="1"/>
  <c r="J68" i="46"/>
  <c r="J90" i="46"/>
  <c r="J91" i="46" s="1"/>
  <c r="G70" i="21"/>
  <c r="J95" i="49"/>
  <c r="J96" i="49" s="1"/>
  <c r="I67" i="47"/>
  <c r="I58" i="47" s="1"/>
  <c r="I57" i="47" s="1"/>
  <c r="I78" i="47"/>
  <c r="I88" i="47" s="1"/>
  <c r="I77" i="47"/>
  <c r="J90" i="49"/>
  <c r="J91" i="49" s="1"/>
  <c r="J68" i="49"/>
  <c r="H96" i="40"/>
  <c r="H95" i="40"/>
  <c r="H93" i="40" s="1"/>
  <c r="H97" i="40"/>
  <c r="G5" i="44"/>
  <c r="H7" i="44"/>
  <c r="G50" i="21"/>
  <c r="G90" i="21"/>
  <c r="G91" i="21" s="1"/>
  <c r="G19" i="20"/>
  <c r="F15" i="22"/>
  <c r="F86" i="21"/>
  <c r="F100" i="21"/>
  <c r="F85" i="21"/>
  <c r="F84" i="21"/>
  <c r="J103" i="46" l="1"/>
  <c r="J101" i="46" s="1"/>
  <c r="J105" i="46"/>
  <c r="J103" i="49"/>
  <c r="I101" i="47"/>
  <c r="J104" i="49"/>
  <c r="J105" i="49"/>
  <c r="J78" i="46"/>
  <c r="J88" i="46" s="1"/>
  <c r="J77" i="46"/>
  <c r="J67" i="46"/>
  <c r="J58" i="46" s="1"/>
  <c r="J57" i="46" s="1"/>
  <c r="J102" i="49"/>
  <c r="J96" i="46"/>
  <c r="J104" i="46"/>
  <c r="I86" i="47"/>
  <c r="J69" i="47"/>
  <c r="I85" i="47"/>
  <c r="I84" i="47"/>
  <c r="J70" i="47"/>
  <c r="J67" i="49"/>
  <c r="J58" i="49" s="1"/>
  <c r="J57" i="49" s="1"/>
  <c r="J78" i="49"/>
  <c r="J88" i="49" s="1"/>
  <c r="J77" i="49"/>
  <c r="H98" i="40"/>
  <c r="H99" i="40"/>
  <c r="I102" i="40"/>
  <c r="I103" i="40" s="1"/>
  <c r="I101" i="40" s="1"/>
  <c r="F14" i="22"/>
  <c r="F17" i="22"/>
  <c r="F18" i="22"/>
  <c r="F16" i="22"/>
  <c r="F95" i="21"/>
  <c r="F96" i="21" s="1"/>
  <c r="G60" i="21"/>
  <c r="G52" i="21"/>
  <c r="G20" i="20"/>
  <c r="J107" i="46" l="1"/>
  <c r="J101" i="49"/>
  <c r="K110" i="49" s="1"/>
  <c r="K111" i="49" s="1"/>
  <c r="K109" i="49" s="1"/>
  <c r="J110" i="47"/>
  <c r="J111" i="47" s="1"/>
  <c r="J109" i="47" s="1"/>
  <c r="I107" i="47"/>
  <c r="I106" i="47"/>
  <c r="J86" i="46"/>
  <c r="J84" i="46"/>
  <c r="J85" i="46"/>
  <c r="K70" i="46"/>
  <c r="K69" i="46"/>
  <c r="J106" i="46"/>
  <c r="K110" i="46"/>
  <c r="K111" i="46" s="1"/>
  <c r="K109" i="46" s="1"/>
  <c r="J106" i="49"/>
  <c r="J107" i="49"/>
  <c r="K36" i="49"/>
  <c r="K68" i="49" s="1"/>
  <c r="K113" i="49"/>
  <c r="K100" i="49" s="1"/>
  <c r="J84" i="49"/>
  <c r="K69" i="49"/>
  <c r="J85" i="49"/>
  <c r="K70" i="49"/>
  <c r="J86" i="49"/>
  <c r="I106" i="40"/>
  <c r="I92" i="40" s="1"/>
  <c r="I36" i="40"/>
  <c r="I68" i="40" s="1"/>
  <c r="G59" i="18"/>
  <c r="F102" i="21"/>
  <c r="F103" i="21"/>
  <c r="F105" i="21"/>
  <c r="F104" i="21"/>
  <c r="G52" i="19"/>
  <c r="G22" i="19" s="1"/>
  <c r="G60" i="19"/>
  <c r="G51" i="18"/>
  <c r="G59" i="17"/>
  <c r="G51" i="17"/>
  <c r="G22" i="17" s="1"/>
  <c r="J36" i="47" l="1"/>
  <c r="J113" i="47"/>
  <c r="J100" i="47" s="1"/>
  <c r="K113" i="46"/>
  <c r="K100" i="46" s="1"/>
  <c r="K36" i="46"/>
  <c r="K90" i="49"/>
  <c r="K91" i="49" s="1"/>
  <c r="K67" i="49"/>
  <c r="K58" i="49" s="1"/>
  <c r="K57" i="49" s="1"/>
  <c r="K78" i="49"/>
  <c r="K88" i="49" s="1"/>
  <c r="K77" i="49"/>
  <c r="K95" i="49"/>
  <c r="K96" i="49" s="1"/>
  <c r="I67" i="40"/>
  <c r="I58" i="40" s="1"/>
  <c r="I57" i="40" s="1"/>
  <c r="I78" i="40"/>
  <c r="I77" i="40"/>
  <c r="I87" i="40"/>
  <c r="I88" i="40" s="1"/>
  <c r="I94" i="40" s="1"/>
  <c r="G61" i="44"/>
  <c r="H16" i="44"/>
  <c r="G113" i="21"/>
  <c r="G22" i="18"/>
  <c r="G29" i="18" s="1"/>
  <c r="F101" i="21"/>
  <c r="G62" i="21"/>
  <c r="G23" i="19"/>
  <c r="G30" i="19"/>
  <c r="G33" i="21"/>
  <c r="G68" i="21" s="1"/>
  <c r="G23" i="17"/>
  <c r="G97" i="17" s="1"/>
  <c r="G29" i="17"/>
  <c r="J95" i="47" l="1"/>
  <c r="J104" i="47" s="1"/>
  <c r="J103" i="47"/>
  <c r="J105" i="47"/>
  <c r="J90" i="47"/>
  <c r="J91" i="47" s="1"/>
  <c r="J68" i="47"/>
  <c r="K68" i="46"/>
  <c r="K90" i="46"/>
  <c r="K91" i="46" s="1"/>
  <c r="K104" i="49"/>
  <c r="K95" i="46"/>
  <c r="K102" i="46" s="1"/>
  <c r="K105" i="49"/>
  <c r="K83" i="49"/>
  <c r="L69" i="49"/>
  <c r="K84" i="49"/>
  <c r="L70" i="49"/>
  <c r="K85" i="49"/>
  <c r="K86" i="49"/>
  <c r="K102" i="49"/>
  <c r="K103" i="49"/>
  <c r="G59" i="44"/>
  <c r="G58" i="44"/>
  <c r="I97" i="40"/>
  <c r="I95" i="40"/>
  <c r="I96" i="40"/>
  <c r="I11" i="22"/>
  <c r="J70" i="40"/>
  <c r="J69" i="40"/>
  <c r="G60" i="44"/>
  <c r="G98" i="19"/>
  <c r="H33" i="44"/>
  <c r="H10" i="44"/>
  <c r="H18" i="44"/>
  <c r="G59" i="21"/>
  <c r="H8" i="44"/>
  <c r="G110" i="21"/>
  <c r="G111" i="21" s="1"/>
  <c r="G23" i="18"/>
  <c r="G97" i="18" s="1"/>
  <c r="F107" i="21"/>
  <c r="F106" i="21"/>
  <c r="G62" i="44" s="1"/>
  <c r="H51" i="21"/>
  <c r="G69" i="21"/>
  <c r="G61" i="18"/>
  <c r="G58" i="18" s="1"/>
  <c r="H50" i="18"/>
  <c r="G32" i="17"/>
  <c r="G67" i="17" s="1"/>
  <c r="G61" i="17"/>
  <c r="G58" i="17" s="1"/>
  <c r="H50" i="17"/>
  <c r="G62" i="19"/>
  <c r="G59" i="19" s="1"/>
  <c r="H51" i="19"/>
  <c r="G33" i="19"/>
  <c r="G68" i="19" s="1"/>
  <c r="J78" i="47" l="1"/>
  <c r="J88" i="47" s="1"/>
  <c r="J77" i="47"/>
  <c r="J67" i="47"/>
  <c r="J58" i="47" s="1"/>
  <c r="J57" i="47" s="1"/>
  <c r="J96" i="47"/>
  <c r="J102" i="47"/>
  <c r="J101" i="47" s="1"/>
  <c r="K96" i="46"/>
  <c r="K104" i="46"/>
  <c r="K103" i="46"/>
  <c r="K101" i="46" s="1"/>
  <c r="K105" i="46"/>
  <c r="K78" i="46"/>
  <c r="K88" i="46" s="1"/>
  <c r="K67" i="46"/>
  <c r="K58" i="46" s="1"/>
  <c r="K57" i="46" s="1"/>
  <c r="K77" i="46"/>
  <c r="K101" i="49"/>
  <c r="I93" i="40"/>
  <c r="I98" i="40" s="1"/>
  <c r="G77" i="21"/>
  <c r="G78" i="21"/>
  <c r="G88" i="21" s="1"/>
  <c r="G67" i="21"/>
  <c r="G58" i="21" s="1"/>
  <c r="G32" i="18"/>
  <c r="G67" i="18" s="1"/>
  <c r="G68" i="17"/>
  <c r="G66" i="17" s="1"/>
  <c r="G57" i="17" s="1"/>
  <c r="G56" i="17" s="1"/>
  <c r="H23" i="44" s="1"/>
  <c r="G69" i="19"/>
  <c r="G67" i="19" s="1"/>
  <c r="G58" i="19" s="1"/>
  <c r="G57" i="19" s="1"/>
  <c r="H30" i="44" s="1"/>
  <c r="L110" i="46" l="1"/>
  <c r="L111" i="46"/>
  <c r="L109" i="46" s="1"/>
  <c r="K110" i="47"/>
  <c r="K111" i="47" s="1"/>
  <c r="K109" i="47" s="1"/>
  <c r="J107" i="47"/>
  <c r="J106" i="47"/>
  <c r="K106" i="46"/>
  <c r="K107" i="46"/>
  <c r="K69" i="47"/>
  <c r="J86" i="47"/>
  <c r="J85" i="47"/>
  <c r="K70" i="47"/>
  <c r="J84" i="47"/>
  <c r="K83" i="46"/>
  <c r="K84" i="46"/>
  <c r="L69" i="46"/>
  <c r="K86" i="46"/>
  <c r="L70" i="46"/>
  <c r="K85" i="46"/>
  <c r="L113" i="46"/>
  <c r="L100" i="46" s="1"/>
  <c r="L36" i="46"/>
  <c r="L110" i="49"/>
  <c r="L111" i="49" s="1"/>
  <c r="L109" i="49" s="1"/>
  <c r="K107" i="49"/>
  <c r="G57" i="21"/>
  <c r="H5" i="44" s="1"/>
  <c r="K106" i="49"/>
  <c r="H79" i="21"/>
  <c r="H87" i="21"/>
  <c r="H6" i="44"/>
  <c r="J102" i="40"/>
  <c r="J103" i="40" s="1"/>
  <c r="J101" i="40" s="1"/>
  <c r="I99" i="40"/>
  <c r="G21" i="20"/>
  <c r="G22" i="20"/>
  <c r="G68" i="18"/>
  <c r="G66" i="18" s="1"/>
  <c r="G57" i="18" s="1"/>
  <c r="G56" i="18" s="1"/>
  <c r="G83" i="17"/>
  <c r="H69" i="17"/>
  <c r="G84" i="19"/>
  <c r="H70" i="19"/>
  <c r="G16" i="22"/>
  <c r="G17" i="22"/>
  <c r="G14" i="22"/>
  <c r="G15" i="22"/>
  <c r="G18" i="22"/>
  <c r="K36" i="47" l="1"/>
  <c r="K113" i="47"/>
  <c r="K100" i="47" s="1"/>
  <c r="G86" i="21"/>
  <c r="H70" i="21"/>
  <c r="G84" i="21"/>
  <c r="G85" i="21"/>
  <c r="G23" i="20"/>
  <c r="G100" i="21"/>
  <c r="G95" i="21" s="1"/>
  <c r="G96" i="21" s="1"/>
  <c r="L36" i="49"/>
  <c r="L113" i="49"/>
  <c r="L100" i="49" s="1"/>
  <c r="L68" i="46"/>
  <c r="L90" i="46"/>
  <c r="L91" i="46" s="1"/>
  <c r="L95" i="46"/>
  <c r="L96" i="46" s="1"/>
  <c r="H13" i="21"/>
  <c r="J36" i="40"/>
  <c r="J68" i="40" s="1"/>
  <c r="J106" i="40"/>
  <c r="J92" i="40" s="1"/>
  <c r="I7" i="44"/>
  <c r="H50" i="21"/>
  <c r="H60" i="21"/>
  <c r="H52" i="21"/>
  <c r="H19" i="20"/>
  <c r="G83" i="18"/>
  <c r="G79" i="18" s="1"/>
  <c r="G80" i="18" s="1"/>
  <c r="H27" i="44"/>
  <c r="H69" i="18"/>
  <c r="H59" i="18"/>
  <c r="H51" i="18"/>
  <c r="G80" i="19"/>
  <c r="G81" i="19" s="1"/>
  <c r="H51" i="17"/>
  <c r="H59" i="17"/>
  <c r="G79" i="17"/>
  <c r="G80" i="17" s="1"/>
  <c r="H52" i="19"/>
  <c r="H60" i="19"/>
  <c r="K95" i="47" l="1"/>
  <c r="K103" i="47" s="1"/>
  <c r="K90" i="47"/>
  <c r="K91" i="47" s="1"/>
  <c r="K68" i="47"/>
  <c r="L104" i="46"/>
  <c r="L103" i="46"/>
  <c r="L102" i="46"/>
  <c r="L101" i="46" s="1"/>
  <c r="M110" i="46" s="1"/>
  <c r="L95" i="49"/>
  <c r="L96" i="49" s="1"/>
  <c r="L78" i="46"/>
  <c r="L88" i="46" s="1"/>
  <c r="L67" i="46"/>
  <c r="L58" i="46" s="1"/>
  <c r="L57" i="46" s="1"/>
  <c r="L77" i="46"/>
  <c r="L68" i="49"/>
  <c r="L90" i="49"/>
  <c r="L91" i="49" s="1"/>
  <c r="L105" i="46"/>
  <c r="J87" i="40"/>
  <c r="J88" i="40" s="1"/>
  <c r="J95" i="40" s="1"/>
  <c r="J78" i="40"/>
  <c r="J67" i="40"/>
  <c r="J58" i="40" s="1"/>
  <c r="J57" i="40" s="1"/>
  <c r="J77" i="40"/>
  <c r="H23" i="21"/>
  <c r="H24" i="21" s="1"/>
  <c r="H20" i="20"/>
  <c r="G104" i="21"/>
  <c r="G102" i="21"/>
  <c r="G105" i="21"/>
  <c r="G103" i="21"/>
  <c r="G88" i="18"/>
  <c r="G86" i="18"/>
  <c r="G87" i="19"/>
  <c r="G87" i="18"/>
  <c r="G86" i="19"/>
  <c r="G85" i="18"/>
  <c r="G89" i="19"/>
  <c r="G88" i="19"/>
  <c r="G86" i="17"/>
  <c r="G85" i="17"/>
  <c r="G88" i="17"/>
  <c r="G87" i="17"/>
  <c r="H22" i="17"/>
  <c r="H22" i="18"/>
  <c r="H22" i="19"/>
  <c r="K102" i="47" l="1"/>
  <c r="K105" i="47"/>
  <c r="L103" i="49"/>
  <c r="K101" i="47"/>
  <c r="K78" i="47"/>
  <c r="K88" i="47" s="1"/>
  <c r="K67" i="47"/>
  <c r="K58" i="47" s="1"/>
  <c r="K57" i="47" s="1"/>
  <c r="K77" i="47"/>
  <c r="L106" i="46"/>
  <c r="L102" i="49"/>
  <c r="L101" i="49" s="1"/>
  <c r="K104" i="47"/>
  <c r="K96" i="47"/>
  <c r="L104" i="49"/>
  <c r="L105" i="49"/>
  <c r="L85" i="46"/>
  <c r="L86" i="46"/>
  <c r="L84" i="46"/>
  <c r="M70" i="46"/>
  <c r="L83" i="46"/>
  <c r="M69" i="46"/>
  <c r="L107" i="46"/>
  <c r="L67" i="49"/>
  <c r="L58" i="49" s="1"/>
  <c r="L57" i="49" s="1"/>
  <c r="L77" i="49"/>
  <c r="L78" i="49"/>
  <c r="L88" i="49" s="1"/>
  <c r="M111" i="46"/>
  <c r="M109" i="46" s="1"/>
  <c r="J94" i="40"/>
  <c r="J93" i="40" s="1"/>
  <c r="J97" i="40"/>
  <c r="J96" i="40"/>
  <c r="J11" i="22"/>
  <c r="K70" i="40"/>
  <c r="K69" i="40"/>
  <c r="H30" i="21"/>
  <c r="H62" i="21" s="1"/>
  <c r="H61" i="44"/>
  <c r="G101" i="21"/>
  <c r="G84" i="18"/>
  <c r="G90" i="18" s="1"/>
  <c r="I16" i="44"/>
  <c r="G85" i="19"/>
  <c r="G90" i="19" s="1"/>
  <c r="G84" i="17"/>
  <c r="G90" i="17" s="1"/>
  <c r="H29" i="17"/>
  <c r="H23" i="17"/>
  <c r="H33" i="21"/>
  <c r="I18" i="44" s="1"/>
  <c r="H23" i="19"/>
  <c r="H30" i="19"/>
  <c r="H23" i="18"/>
  <c r="H29" i="18"/>
  <c r="M110" i="49" l="1"/>
  <c r="L110" i="47"/>
  <c r="L111" i="47" s="1"/>
  <c r="L109" i="47" s="1"/>
  <c r="K106" i="47"/>
  <c r="K107" i="47"/>
  <c r="K84" i="47"/>
  <c r="L70" i="47"/>
  <c r="K86" i="47"/>
  <c r="L69" i="47"/>
  <c r="K85" i="47"/>
  <c r="K83" i="47"/>
  <c r="L106" i="49"/>
  <c r="M111" i="49"/>
  <c r="M109" i="49" s="1"/>
  <c r="L107" i="49"/>
  <c r="M113" i="46"/>
  <c r="M100" i="46" s="1"/>
  <c r="M36" i="46"/>
  <c r="L83" i="49"/>
  <c r="L86" i="49"/>
  <c r="L85" i="49"/>
  <c r="L84" i="49"/>
  <c r="M69" i="49"/>
  <c r="M70" i="49"/>
  <c r="H59" i="44"/>
  <c r="H58" i="44"/>
  <c r="K102" i="40"/>
  <c r="K103" i="40" s="1"/>
  <c r="K101" i="40" s="1"/>
  <c r="K106" i="40" s="1"/>
  <c r="K92" i="40" s="1"/>
  <c r="I51" i="21"/>
  <c r="J98" i="40"/>
  <c r="J99" i="40"/>
  <c r="H110" i="21"/>
  <c r="H111" i="21" s="1"/>
  <c r="H109" i="21" s="1"/>
  <c r="G107" i="21"/>
  <c r="G106" i="21"/>
  <c r="H62" i="44" s="1"/>
  <c r="H60" i="44"/>
  <c r="I33" i="44"/>
  <c r="H59" i="21"/>
  <c r="I8" i="44"/>
  <c r="G89" i="18"/>
  <c r="H93" i="18"/>
  <c r="H94" i="18" s="1"/>
  <c r="H92" i="18" s="1"/>
  <c r="G89" i="17"/>
  <c r="G91" i="19"/>
  <c r="H69" i="21"/>
  <c r="H32" i="18"/>
  <c r="H32" i="17"/>
  <c r="H61" i="18"/>
  <c r="H58" i="18" s="1"/>
  <c r="I50" i="18"/>
  <c r="H62" i="19"/>
  <c r="H59" i="19" s="1"/>
  <c r="I51" i="19"/>
  <c r="H33" i="19"/>
  <c r="H61" i="17"/>
  <c r="H58" i="17" s="1"/>
  <c r="I50" i="17"/>
  <c r="L113" i="47" l="1"/>
  <c r="L100" i="47" s="1"/>
  <c r="L36" i="47"/>
  <c r="M36" i="49"/>
  <c r="M113" i="49"/>
  <c r="M100" i="49" s="1"/>
  <c r="M68" i="46"/>
  <c r="M90" i="46"/>
  <c r="M91" i="46" s="1"/>
  <c r="M95" i="46"/>
  <c r="M96" i="46" s="1"/>
  <c r="K36" i="40"/>
  <c r="K68" i="40" s="1"/>
  <c r="K77" i="40" s="1"/>
  <c r="H36" i="21"/>
  <c r="K87" i="40"/>
  <c r="K88" i="40" s="1"/>
  <c r="K94" i="40" s="1"/>
  <c r="H113" i="21"/>
  <c r="H100" i="21" s="1"/>
  <c r="H35" i="18"/>
  <c r="H67" i="18" s="1"/>
  <c r="H97" i="18"/>
  <c r="H83" i="18" s="1"/>
  <c r="H68" i="18"/>
  <c r="H69" i="19"/>
  <c r="H68" i="17"/>
  <c r="L90" i="47" l="1"/>
  <c r="L91" i="47" s="1"/>
  <c r="L68" i="47"/>
  <c r="L95" i="47"/>
  <c r="L96" i="47" s="1"/>
  <c r="L104" i="47"/>
  <c r="M95" i="49"/>
  <c r="M90" i="49"/>
  <c r="M91" i="49" s="1"/>
  <c r="M68" i="49"/>
  <c r="M105" i="46"/>
  <c r="M103" i="46"/>
  <c r="M104" i="46"/>
  <c r="M102" i="46"/>
  <c r="M78" i="46"/>
  <c r="M88" i="46" s="1"/>
  <c r="M77" i="46"/>
  <c r="M67" i="46"/>
  <c r="M58" i="46" s="1"/>
  <c r="M57" i="46" s="1"/>
  <c r="K78" i="40"/>
  <c r="K67" i="40"/>
  <c r="K58" i="40" s="1"/>
  <c r="K57" i="40" s="1"/>
  <c r="K11" i="22" s="1"/>
  <c r="H68" i="21"/>
  <c r="H77" i="21" s="1"/>
  <c r="I87" i="21" s="1"/>
  <c r="H90" i="21"/>
  <c r="H91" i="21" s="1"/>
  <c r="I13" i="44"/>
  <c r="K95" i="40"/>
  <c r="K93" i="40" s="1"/>
  <c r="K96" i="40"/>
  <c r="K97" i="40"/>
  <c r="H95" i="21"/>
  <c r="H96" i="21" s="1"/>
  <c r="H103" i="21" s="1"/>
  <c r="H66" i="18"/>
  <c r="H57" i="18" s="1"/>
  <c r="H56" i="18" s="1"/>
  <c r="H15" i="22"/>
  <c r="H79" i="18"/>
  <c r="H80" i="18" s="1"/>
  <c r="L105" i="47" l="1"/>
  <c r="L103" i="47"/>
  <c r="L102" i="47"/>
  <c r="L101" i="47" s="1"/>
  <c r="L106" i="47" s="1"/>
  <c r="L77" i="47"/>
  <c r="L67" i="47"/>
  <c r="L58" i="47" s="1"/>
  <c r="L57" i="47" s="1"/>
  <c r="L78" i="47"/>
  <c r="L88" i="47" s="1"/>
  <c r="L107" i="47"/>
  <c r="M78" i="49"/>
  <c r="M88" i="49" s="1"/>
  <c r="M77" i="49"/>
  <c r="M67" i="49"/>
  <c r="M58" i="49" s="1"/>
  <c r="M57" i="49" s="1"/>
  <c r="M96" i="49"/>
  <c r="M105" i="49"/>
  <c r="M104" i="49"/>
  <c r="M101" i="46"/>
  <c r="M106" i="46" s="1"/>
  <c r="M103" i="49"/>
  <c r="M102" i="49"/>
  <c r="N70" i="46"/>
  <c r="M86" i="46"/>
  <c r="M84" i="46"/>
  <c r="M85" i="46"/>
  <c r="N69" i="46"/>
  <c r="M83" i="46"/>
  <c r="H67" i="21"/>
  <c r="H58" i="21" s="1"/>
  <c r="H57" i="21" s="1"/>
  <c r="H78" i="21"/>
  <c r="H88" i="21" s="1"/>
  <c r="I10" i="44"/>
  <c r="L69" i="40"/>
  <c r="K83" i="40"/>
  <c r="L70" i="40"/>
  <c r="H105" i="21"/>
  <c r="H104" i="21"/>
  <c r="I61" i="44" s="1"/>
  <c r="H102" i="21"/>
  <c r="H101" i="21" s="1"/>
  <c r="K98" i="40"/>
  <c r="L102" i="40"/>
  <c r="L103" i="40" s="1"/>
  <c r="L101" i="40" s="1"/>
  <c r="K99" i="40"/>
  <c r="H21" i="20"/>
  <c r="I69" i="18"/>
  <c r="I27" i="44"/>
  <c r="I6" i="44"/>
  <c r="H18" i="22"/>
  <c r="H17" i="22"/>
  <c r="H14" i="22"/>
  <c r="H16" i="22"/>
  <c r="I60" i="19"/>
  <c r="H85" i="18"/>
  <c r="H87" i="18"/>
  <c r="H88" i="18"/>
  <c r="H86" i="18"/>
  <c r="M110" i="47" l="1"/>
  <c r="M111" i="47" s="1"/>
  <c r="M109" i="47" s="1"/>
  <c r="M101" i="49"/>
  <c r="L84" i="47"/>
  <c r="M70" i="47"/>
  <c r="M69" i="47"/>
  <c r="L86" i="47"/>
  <c r="L85" i="47"/>
  <c r="L83" i="47"/>
  <c r="M107" i="46"/>
  <c r="N110" i="46"/>
  <c r="N111" i="46" s="1"/>
  <c r="N109" i="46" s="1"/>
  <c r="N36" i="46" s="1"/>
  <c r="M107" i="49"/>
  <c r="N110" i="49"/>
  <c r="N111" i="49" s="1"/>
  <c r="N109" i="49" s="1"/>
  <c r="M106" i="49"/>
  <c r="M84" i="49"/>
  <c r="N70" i="49"/>
  <c r="M86" i="49"/>
  <c r="M85" i="49"/>
  <c r="N69" i="49"/>
  <c r="M83" i="49"/>
  <c r="I5" i="44"/>
  <c r="H85" i="21"/>
  <c r="I70" i="21"/>
  <c r="H84" i="21"/>
  <c r="H22" i="20"/>
  <c r="H86" i="21"/>
  <c r="I79" i="21"/>
  <c r="H23" i="20"/>
  <c r="H107" i="21"/>
  <c r="I58" i="44"/>
  <c r="L106" i="40"/>
  <c r="L92" i="40" s="1"/>
  <c r="L87" i="40" s="1"/>
  <c r="L88" i="40" s="1"/>
  <c r="L94" i="40" s="1"/>
  <c r="L36" i="40"/>
  <c r="L68" i="40" s="1"/>
  <c r="I60" i="44"/>
  <c r="I59" i="44"/>
  <c r="J7" i="44"/>
  <c r="I51" i="18"/>
  <c r="I59" i="18"/>
  <c r="I52" i="19"/>
  <c r="I51" i="17"/>
  <c r="I22" i="17" s="1"/>
  <c r="I59" i="17"/>
  <c r="I110" i="21"/>
  <c r="I111" i="21" s="1"/>
  <c r="I109" i="21" s="1"/>
  <c r="H106" i="21"/>
  <c r="I62" i="44" s="1"/>
  <c r="H84" i="18"/>
  <c r="I93" i="18" s="1"/>
  <c r="I94" i="18" s="1"/>
  <c r="I92" i="18" s="1"/>
  <c r="M113" i="47" l="1"/>
  <c r="M100" i="47" s="1"/>
  <c r="M36" i="47"/>
  <c r="N113" i="46"/>
  <c r="N100" i="46" s="1"/>
  <c r="N95" i="46" s="1"/>
  <c r="N96" i="46" s="1"/>
  <c r="N113" i="49"/>
  <c r="N100" i="49" s="1"/>
  <c r="N36" i="49"/>
  <c r="N90" i="46"/>
  <c r="N91" i="46" s="1"/>
  <c r="N68" i="46"/>
  <c r="I19" i="20"/>
  <c r="I60" i="21"/>
  <c r="I13" i="21"/>
  <c r="I50" i="21"/>
  <c r="I52" i="21"/>
  <c r="L96" i="40"/>
  <c r="L97" i="40"/>
  <c r="L77" i="40"/>
  <c r="L78" i="40"/>
  <c r="L67" i="40"/>
  <c r="L58" i="40" s="1"/>
  <c r="L57" i="40" s="1"/>
  <c r="I20" i="20"/>
  <c r="I22" i="18"/>
  <c r="I23" i="18" s="1"/>
  <c r="I97" i="18" s="1"/>
  <c r="L95" i="40"/>
  <c r="L93" i="40" s="1"/>
  <c r="I36" i="21"/>
  <c r="I22" i="19"/>
  <c r="I23" i="19" s="1"/>
  <c r="H89" i="18"/>
  <c r="H90" i="18"/>
  <c r="I23" i="17"/>
  <c r="I29" i="17"/>
  <c r="I35" i="18"/>
  <c r="M90" i="47" l="1"/>
  <c r="M91" i="47" s="1"/>
  <c r="M68" i="47"/>
  <c r="M95" i="47"/>
  <c r="M104" i="47" s="1"/>
  <c r="N103" i="46"/>
  <c r="N105" i="46"/>
  <c r="N104" i="46"/>
  <c r="N90" i="49"/>
  <c r="N91" i="49" s="1"/>
  <c r="N68" i="49"/>
  <c r="N102" i="46"/>
  <c r="N101" i="46" s="1"/>
  <c r="N95" i="49"/>
  <c r="N105" i="49" s="1"/>
  <c r="N77" i="46"/>
  <c r="N78" i="46"/>
  <c r="N88" i="46" s="1"/>
  <c r="N67" i="46"/>
  <c r="N58" i="46" s="1"/>
  <c r="N57" i="46" s="1"/>
  <c r="I23" i="21"/>
  <c r="I30" i="21" s="1"/>
  <c r="J51" i="21" s="1"/>
  <c r="J13" i="44"/>
  <c r="L83" i="40"/>
  <c r="M69" i="40"/>
  <c r="M70" i="40"/>
  <c r="L11" i="22"/>
  <c r="I29" i="18"/>
  <c r="J50" i="18" s="1"/>
  <c r="J33" i="44"/>
  <c r="I90" i="21"/>
  <c r="I91" i="21" s="1"/>
  <c r="M102" i="40"/>
  <c r="M103" i="40" s="1"/>
  <c r="M101" i="40" s="1"/>
  <c r="L99" i="40"/>
  <c r="L98" i="40"/>
  <c r="I30" i="19"/>
  <c r="I62" i="19" s="1"/>
  <c r="I59" i="19" s="1"/>
  <c r="I32" i="18"/>
  <c r="I68" i="18" s="1"/>
  <c r="I61" i="17"/>
  <c r="I58" i="17" s="1"/>
  <c r="J50" i="17"/>
  <c r="I32" i="17"/>
  <c r="I33" i="19"/>
  <c r="M105" i="47" l="1"/>
  <c r="M96" i="47"/>
  <c r="M103" i="47"/>
  <c r="M102" i="47"/>
  <c r="M101" i="47" s="1"/>
  <c r="M77" i="47"/>
  <c r="M67" i="47"/>
  <c r="M58" i="47" s="1"/>
  <c r="M57" i="47" s="1"/>
  <c r="M78" i="47"/>
  <c r="M88" i="47" s="1"/>
  <c r="N96" i="49"/>
  <c r="N103" i="49"/>
  <c r="N104" i="49"/>
  <c r="O110" i="46"/>
  <c r="O111" i="46" s="1"/>
  <c r="O109" i="46" s="1"/>
  <c r="N106" i="46"/>
  <c r="N107" i="46"/>
  <c r="N78" i="49"/>
  <c r="N88" i="49" s="1"/>
  <c r="N67" i="49"/>
  <c r="N58" i="49" s="1"/>
  <c r="N57" i="49" s="1"/>
  <c r="N77" i="49"/>
  <c r="N102" i="49"/>
  <c r="O70" i="46"/>
  <c r="N86" i="46"/>
  <c r="N84" i="46"/>
  <c r="N85" i="46"/>
  <c r="O69" i="46"/>
  <c r="N83" i="46"/>
  <c r="I24" i="21"/>
  <c r="I62" i="21"/>
  <c r="J8" i="44" s="1"/>
  <c r="I61" i="18"/>
  <c r="I58" i="18" s="1"/>
  <c r="M106" i="40"/>
  <c r="M92" i="40" s="1"/>
  <c r="M36" i="40"/>
  <c r="J51" i="19"/>
  <c r="I67" i="18"/>
  <c r="I66" i="18" s="1"/>
  <c r="M107" i="47" l="1"/>
  <c r="N110" i="47"/>
  <c r="N111" i="47" s="1"/>
  <c r="N109" i="47" s="1"/>
  <c r="N36" i="47" s="1"/>
  <c r="N90" i="47" s="1"/>
  <c r="N91" i="47" s="1"/>
  <c r="M86" i="47"/>
  <c r="M85" i="47"/>
  <c r="M83" i="47"/>
  <c r="M84" i="47"/>
  <c r="N70" i="47"/>
  <c r="N101" i="49"/>
  <c r="N106" i="49" s="1"/>
  <c r="M106" i="47"/>
  <c r="N107" i="49"/>
  <c r="O110" i="49"/>
  <c r="O111" i="49" s="1"/>
  <c r="O109" i="49" s="1"/>
  <c r="O69" i="49"/>
  <c r="N84" i="49"/>
  <c r="N83" i="49"/>
  <c r="N85" i="49"/>
  <c r="O70" i="49"/>
  <c r="N86" i="49"/>
  <c r="O113" i="46"/>
  <c r="O100" i="46" s="1"/>
  <c r="O36" i="46"/>
  <c r="I33" i="21"/>
  <c r="I113" i="21"/>
  <c r="I100" i="21" s="1"/>
  <c r="J16" i="44"/>
  <c r="I59" i="21"/>
  <c r="I57" i="18"/>
  <c r="I56" i="18" s="1"/>
  <c r="J27" i="44" s="1"/>
  <c r="I69" i="21"/>
  <c r="I83" i="18"/>
  <c r="I79" i="18" s="1"/>
  <c r="I80" i="18" s="1"/>
  <c r="M68" i="40"/>
  <c r="M78" i="40" s="1"/>
  <c r="M87" i="40"/>
  <c r="M88" i="40" s="1"/>
  <c r="I16" i="22"/>
  <c r="O95" i="46" l="1"/>
  <c r="O104" i="46" s="1"/>
  <c r="O90" i="46"/>
  <c r="O91" i="46" s="1"/>
  <c r="O68" i="46"/>
  <c r="O36" i="49"/>
  <c r="O113" i="49"/>
  <c r="O100" i="49" s="1"/>
  <c r="I68" i="21"/>
  <c r="I67" i="21" s="1"/>
  <c r="I58" i="21" s="1"/>
  <c r="I57" i="21" s="1"/>
  <c r="J18" i="44"/>
  <c r="I95" i="21"/>
  <c r="I96" i="21" s="1"/>
  <c r="I102" i="21" s="1"/>
  <c r="J69" i="18"/>
  <c r="I88" i="18"/>
  <c r="I87" i="18"/>
  <c r="I85" i="18"/>
  <c r="I86" i="18"/>
  <c r="M67" i="40"/>
  <c r="M58" i="40" s="1"/>
  <c r="M57" i="40" s="1"/>
  <c r="N70" i="40" s="1"/>
  <c r="M77" i="40"/>
  <c r="M95" i="40"/>
  <c r="M94" i="40"/>
  <c r="M97" i="40"/>
  <c r="M96" i="40"/>
  <c r="I14" i="22"/>
  <c r="I17" i="22"/>
  <c r="I18" i="22"/>
  <c r="I15" i="22"/>
  <c r="O105" i="46" l="1"/>
  <c r="O102" i="46"/>
  <c r="O103" i="46"/>
  <c r="O95" i="49"/>
  <c r="O105" i="49" s="1"/>
  <c r="O90" i="49"/>
  <c r="O91" i="49" s="1"/>
  <c r="O68" i="49"/>
  <c r="O78" i="46"/>
  <c r="O88" i="46" s="1"/>
  <c r="O67" i="46"/>
  <c r="O58" i="46" s="1"/>
  <c r="O57" i="46" s="1"/>
  <c r="O77" i="46"/>
  <c r="O96" i="46"/>
  <c r="O101" i="46"/>
  <c r="I105" i="21"/>
  <c r="I86" i="21"/>
  <c r="J5" i="44"/>
  <c r="I23" i="20"/>
  <c r="I84" i="21"/>
  <c r="I104" i="21"/>
  <c r="J61" i="44" s="1"/>
  <c r="I78" i="21"/>
  <c r="J10" i="44"/>
  <c r="I85" i="21"/>
  <c r="J70" i="21"/>
  <c r="I103" i="21"/>
  <c r="I101" i="21" s="1"/>
  <c r="I77" i="21"/>
  <c r="J87" i="21" s="1"/>
  <c r="J58" i="44"/>
  <c r="I84" i="18"/>
  <c r="I90" i="18" s="1"/>
  <c r="J59" i="44"/>
  <c r="N69" i="40"/>
  <c r="M83" i="40"/>
  <c r="M11" i="22"/>
  <c r="H36" i="44" s="1"/>
  <c r="M93" i="40"/>
  <c r="M99" i="40" s="1"/>
  <c r="O86" i="46" l="1"/>
  <c r="O85" i="46"/>
  <c r="O83" i="46"/>
  <c r="P69" i="46"/>
  <c r="P70" i="46"/>
  <c r="O84" i="46"/>
  <c r="O78" i="49"/>
  <c r="O88" i="49" s="1"/>
  <c r="O67" i="49"/>
  <c r="O58" i="49" s="1"/>
  <c r="O57" i="49" s="1"/>
  <c r="O77" i="49"/>
  <c r="O107" i="46"/>
  <c r="P110" i="46"/>
  <c r="P111" i="46" s="1"/>
  <c r="P109" i="46" s="1"/>
  <c r="O96" i="49"/>
  <c r="O103" i="49"/>
  <c r="O104" i="49"/>
  <c r="O102" i="49"/>
  <c r="O106" i="46"/>
  <c r="J60" i="44"/>
  <c r="I107" i="21"/>
  <c r="J110" i="21"/>
  <c r="J111" i="21" s="1"/>
  <c r="J109" i="21" s="1"/>
  <c r="J36" i="21" s="1"/>
  <c r="K13" i="44" s="1"/>
  <c r="J6" i="44"/>
  <c r="I21" i="20"/>
  <c r="I22" i="20"/>
  <c r="I88" i="21"/>
  <c r="I106" i="21"/>
  <c r="J62" i="44" s="1"/>
  <c r="I89" i="18"/>
  <c r="J93" i="18"/>
  <c r="J94" i="18" s="1"/>
  <c r="J92" i="18" s="1"/>
  <c r="J35" i="18" s="1"/>
  <c r="N102" i="40"/>
  <c r="N103" i="40" s="1"/>
  <c r="N101" i="40" s="1"/>
  <c r="N106" i="40" s="1"/>
  <c r="N92" i="40" s="1"/>
  <c r="M98" i="40"/>
  <c r="J52" i="19"/>
  <c r="J51" i="17"/>
  <c r="O101" i="49" l="1"/>
  <c r="O106" i="49" s="1"/>
  <c r="O85" i="49"/>
  <c r="O86" i="49"/>
  <c r="O84" i="49"/>
  <c r="O83" i="49"/>
  <c r="P70" i="49"/>
  <c r="P69" i="49"/>
  <c r="O107" i="49"/>
  <c r="P36" i="46"/>
  <c r="P113" i="46"/>
  <c r="P100" i="46" s="1"/>
  <c r="J90" i="21"/>
  <c r="J91" i="21" s="1"/>
  <c r="N36" i="40"/>
  <c r="N87" i="40"/>
  <c r="J59" i="18"/>
  <c r="J51" i="18"/>
  <c r="J60" i="19"/>
  <c r="J22" i="19"/>
  <c r="J30" i="19" s="1"/>
  <c r="J62" i="19" s="1"/>
  <c r="J59" i="17"/>
  <c r="J22" i="17"/>
  <c r="J29" i="17" s="1"/>
  <c r="K50" i="17" s="1"/>
  <c r="P110" i="49" l="1"/>
  <c r="P111" i="49" s="1"/>
  <c r="P109" i="49" s="1"/>
  <c r="P36" i="49" s="1"/>
  <c r="P95" i="46"/>
  <c r="P96" i="46" s="1"/>
  <c r="P103" i="46"/>
  <c r="P90" i="46"/>
  <c r="P91" i="46" s="1"/>
  <c r="P68" i="46"/>
  <c r="P113" i="49"/>
  <c r="P100" i="49" s="1"/>
  <c r="J19" i="20"/>
  <c r="K7" i="44"/>
  <c r="J13" i="21"/>
  <c r="J60" i="21"/>
  <c r="J52" i="21"/>
  <c r="J50" i="21"/>
  <c r="J79" i="21"/>
  <c r="G24" i="20"/>
  <c r="N68" i="40"/>
  <c r="N77" i="40" s="1"/>
  <c r="N97" i="40"/>
  <c r="N96" i="40"/>
  <c r="N88" i="40"/>
  <c r="N94" i="40" s="1"/>
  <c r="J22" i="18"/>
  <c r="J23" i="18" s="1"/>
  <c r="J97" i="18" s="1"/>
  <c r="J59" i="19"/>
  <c r="K51" i="19"/>
  <c r="J23" i="19"/>
  <c r="J61" i="17"/>
  <c r="J58" i="17" s="1"/>
  <c r="J23" i="17"/>
  <c r="J32" i="17" s="1"/>
  <c r="P102" i="46" l="1"/>
  <c r="P104" i="46"/>
  <c r="P78" i="46"/>
  <c r="P88" i="46" s="1"/>
  <c r="P77" i="46"/>
  <c r="P67" i="46"/>
  <c r="P58" i="46" s="1"/>
  <c r="P57" i="46" s="1"/>
  <c r="P101" i="46"/>
  <c r="P105" i="46"/>
  <c r="P95" i="49"/>
  <c r="P96" i="49" s="1"/>
  <c r="P105" i="49"/>
  <c r="P90" i="49"/>
  <c r="P91" i="49" s="1"/>
  <c r="P68" i="49"/>
  <c r="J23" i="21"/>
  <c r="J24" i="21" s="1"/>
  <c r="K16" i="44" s="1"/>
  <c r="J20" i="20"/>
  <c r="G26" i="20" s="1"/>
  <c r="K33" i="44"/>
  <c r="N67" i="40"/>
  <c r="N58" i="40" s="1"/>
  <c r="N57" i="40" s="1"/>
  <c r="N83" i="40" s="1"/>
  <c r="N78" i="40"/>
  <c r="N95" i="40"/>
  <c r="J29" i="18"/>
  <c r="K50" i="18" s="1"/>
  <c r="J33" i="19"/>
  <c r="J32" i="18"/>
  <c r="P106" i="46" l="1"/>
  <c r="P103" i="49"/>
  <c r="P85" i="46"/>
  <c r="Q70" i="46"/>
  <c r="Q69" i="46"/>
  <c r="P84" i="46"/>
  <c r="P86" i="46"/>
  <c r="P83" i="46"/>
  <c r="P67" i="49"/>
  <c r="P58" i="49" s="1"/>
  <c r="P57" i="49" s="1"/>
  <c r="P77" i="49"/>
  <c r="P78" i="49"/>
  <c r="P88" i="49" s="1"/>
  <c r="P104" i="49"/>
  <c r="P102" i="49"/>
  <c r="P101" i="49" s="1"/>
  <c r="Q110" i="46"/>
  <c r="Q111" i="46" s="1"/>
  <c r="Q109" i="46" s="1"/>
  <c r="P107" i="46"/>
  <c r="J30" i="21"/>
  <c r="K51" i="21" s="1"/>
  <c r="J113" i="21"/>
  <c r="J33" i="21"/>
  <c r="K18" i="44" s="1"/>
  <c r="N11" i="22"/>
  <c r="O70" i="40"/>
  <c r="O69" i="40"/>
  <c r="N93" i="40"/>
  <c r="O102" i="40" s="1"/>
  <c r="O103" i="40" s="1"/>
  <c r="O101" i="40" s="1"/>
  <c r="O106" i="40" s="1"/>
  <c r="O92" i="40" s="1"/>
  <c r="J61" i="18"/>
  <c r="J67" i="18"/>
  <c r="J68" i="18"/>
  <c r="P107" i="49" l="1"/>
  <c r="P106" i="49"/>
  <c r="Q110" i="49"/>
  <c r="Q111" i="49" s="1"/>
  <c r="Q109" i="49" s="1"/>
  <c r="Q70" i="49"/>
  <c r="P85" i="49"/>
  <c r="Q69" i="49"/>
  <c r="P84" i="49"/>
  <c r="P83" i="49"/>
  <c r="P86" i="49"/>
  <c r="Q113" i="46"/>
  <c r="Q100" i="46" s="1"/>
  <c r="Q36" i="46"/>
  <c r="J62" i="21"/>
  <c r="J100" i="21" s="1"/>
  <c r="J95" i="21" s="1"/>
  <c r="J96" i="21" s="1"/>
  <c r="J69" i="21"/>
  <c r="J68" i="21"/>
  <c r="K10" i="44" s="1"/>
  <c r="K8" i="44"/>
  <c r="N98" i="40"/>
  <c r="N99" i="40"/>
  <c r="O36" i="40"/>
  <c r="O68" i="40" s="1"/>
  <c r="O78" i="40" s="1"/>
  <c r="J58" i="18"/>
  <c r="J83" i="18"/>
  <c r="J79" i="18" s="1"/>
  <c r="J87" i="18" s="1"/>
  <c r="O87" i="40"/>
  <c r="J66" i="18"/>
  <c r="Q113" i="49" l="1"/>
  <c r="Q100" i="49" s="1"/>
  <c r="Q36" i="49"/>
  <c r="Q95" i="46"/>
  <c r="Q96" i="46" s="1"/>
  <c r="Q68" i="46"/>
  <c r="Q90" i="46"/>
  <c r="Q91" i="46" s="1"/>
  <c r="J59" i="21"/>
  <c r="J77" i="21" s="1"/>
  <c r="J78" i="21"/>
  <c r="J22" i="20" s="1"/>
  <c r="J67" i="21"/>
  <c r="J102" i="21"/>
  <c r="J103" i="21"/>
  <c r="J105" i="21"/>
  <c r="J104" i="21"/>
  <c r="K61" i="44" s="1"/>
  <c r="O77" i="40"/>
  <c r="O67" i="40"/>
  <c r="O58" i="40" s="1"/>
  <c r="O57" i="40" s="1"/>
  <c r="O83" i="40" s="1"/>
  <c r="O88" i="40"/>
  <c r="O95" i="40" s="1"/>
  <c r="J57" i="18"/>
  <c r="J56" i="18" s="1"/>
  <c r="O97" i="40"/>
  <c r="O96" i="40"/>
  <c r="J15" i="22"/>
  <c r="J14" i="22"/>
  <c r="J17" i="22"/>
  <c r="J18" i="22"/>
  <c r="J16" i="22"/>
  <c r="J88" i="18"/>
  <c r="J80" i="18"/>
  <c r="J85" i="18" s="1"/>
  <c r="Q103" i="46" l="1"/>
  <c r="Q102" i="46"/>
  <c r="Q101" i="46" s="1"/>
  <c r="Q104" i="46"/>
  <c r="R110" i="46" s="1"/>
  <c r="Q67" i="46"/>
  <c r="Q58" i="46" s="1"/>
  <c r="Q57" i="46" s="1"/>
  <c r="Q77" i="46"/>
  <c r="Q78" i="46"/>
  <c r="Q88" i="46" s="1"/>
  <c r="Q105" i="46"/>
  <c r="Q106" i="46" s="1"/>
  <c r="Q68" i="49"/>
  <c r="Q90" i="49"/>
  <c r="Q91" i="49" s="1"/>
  <c r="Q95" i="49"/>
  <c r="K6" i="44"/>
  <c r="K87" i="21"/>
  <c r="J58" i="21"/>
  <c r="J21" i="20"/>
  <c r="J88" i="21"/>
  <c r="J101" i="21"/>
  <c r="J106" i="21" s="1"/>
  <c r="K62" i="44" s="1"/>
  <c r="O11" i="22"/>
  <c r="P69" i="40"/>
  <c r="P70" i="40"/>
  <c r="K60" i="44"/>
  <c r="K59" i="44"/>
  <c r="K69" i="18"/>
  <c r="K27" i="44"/>
  <c r="O94" i="40"/>
  <c r="O93" i="40" s="1"/>
  <c r="O99" i="40" s="1"/>
  <c r="J86" i="18"/>
  <c r="J84" i="18" s="1"/>
  <c r="J90" i="18" s="1"/>
  <c r="J57" i="21" l="1"/>
  <c r="J84" i="21" s="1"/>
  <c r="R111" i="46"/>
  <c r="R109" i="46" s="1"/>
  <c r="R36" i="46" s="1"/>
  <c r="Q96" i="49"/>
  <c r="Q105" i="49"/>
  <c r="Q103" i="49"/>
  <c r="Q104" i="49"/>
  <c r="Q84" i="46"/>
  <c r="Q83" i="46"/>
  <c r="R70" i="46"/>
  <c r="Q85" i="46"/>
  <c r="Q86" i="46"/>
  <c r="R69" i="46"/>
  <c r="Q102" i="49"/>
  <c r="Q101" i="49" s="1"/>
  <c r="Q107" i="46"/>
  <c r="Q77" i="49"/>
  <c r="Q67" i="49"/>
  <c r="Q58" i="49" s="1"/>
  <c r="Q57" i="49" s="1"/>
  <c r="Q78" i="49"/>
  <c r="Q88" i="49" s="1"/>
  <c r="K70" i="21"/>
  <c r="J23" i="20"/>
  <c r="K5" i="44"/>
  <c r="J85" i="21"/>
  <c r="J86" i="21"/>
  <c r="J107" i="21"/>
  <c r="K110" i="21"/>
  <c r="K111" i="21" s="1"/>
  <c r="K109" i="21" s="1"/>
  <c r="K58" i="44"/>
  <c r="P102" i="40"/>
  <c r="P103" i="40" s="1"/>
  <c r="P101" i="40" s="1"/>
  <c r="P106" i="40" s="1"/>
  <c r="P92" i="40" s="1"/>
  <c r="P87" i="40" s="1"/>
  <c r="O98" i="40"/>
  <c r="K93" i="18"/>
  <c r="K94" i="18" s="1"/>
  <c r="K92" i="18" s="1"/>
  <c r="J89" i="18"/>
  <c r="R68" i="46" l="1"/>
  <c r="R77" i="46" s="1"/>
  <c r="R90" i="46"/>
  <c r="R91" i="46" s="1"/>
  <c r="R113" i="46"/>
  <c r="R100" i="46" s="1"/>
  <c r="R110" i="49"/>
  <c r="R111" i="49" s="1"/>
  <c r="R109" i="49" s="1"/>
  <c r="R113" i="49" s="1"/>
  <c r="R100" i="49" s="1"/>
  <c r="Q107" i="49"/>
  <c r="Q106" i="49"/>
  <c r="Q84" i="49"/>
  <c r="Q86" i="49"/>
  <c r="R69" i="49"/>
  <c r="Q85" i="49"/>
  <c r="R70" i="49"/>
  <c r="Q83" i="49"/>
  <c r="R95" i="46"/>
  <c r="R96" i="46" s="1"/>
  <c r="K36" i="21"/>
  <c r="K90" i="21" s="1"/>
  <c r="K91" i="21" s="1"/>
  <c r="P36" i="40"/>
  <c r="P68" i="40" s="1"/>
  <c r="P78" i="40" s="1"/>
  <c r="P97" i="40"/>
  <c r="P88" i="40"/>
  <c r="P95" i="40" s="1"/>
  <c r="P96" i="40"/>
  <c r="K35" i="18"/>
  <c r="K51" i="18"/>
  <c r="K59" i="17"/>
  <c r="K59" i="18"/>
  <c r="R105" i="46" l="1"/>
  <c r="R78" i="46"/>
  <c r="R88" i="46" s="1"/>
  <c r="R36" i="49"/>
  <c r="R90" i="49" s="1"/>
  <c r="R91" i="49" s="1"/>
  <c r="R67" i="46"/>
  <c r="R58" i="46" s="1"/>
  <c r="R57" i="46" s="1"/>
  <c r="R84" i="46" s="1"/>
  <c r="R103" i="46"/>
  <c r="R102" i="46"/>
  <c r="R85" i="46"/>
  <c r="R86" i="46"/>
  <c r="S70" i="46"/>
  <c r="R83" i="46"/>
  <c r="S69" i="46"/>
  <c r="R104" i="46"/>
  <c r="R95" i="49"/>
  <c r="R96" i="49" s="1"/>
  <c r="R101" i="49" s="1"/>
  <c r="K79" i="21"/>
  <c r="K60" i="21"/>
  <c r="L13" i="44"/>
  <c r="K52" i="21"/>
  <c r="K19" i="20"/>
  <c r="K13" i="21"/>
  <c r="L7" i="44"/>
  <c r="K50" i="21"/>
  <c r="P67" i="40"/>
  <c r="P58" i="40" s="1"/>
  <c r="P57" i="40" s="1"/>
  <c r="P83" i="40" s="1"/>
  <c r="P77" i="40"/>
  <c r="K22" i="18"/>
  <c r="K29" i="18" s="1"/>
  <c r="L50" i="18" s="1"/>
  <c r="P94" i="40"/>
  <c r="P93" i="40" s="1"/>
  <c r="K52" i="19"/>
  <c r="K22" i="19" s="1"/>
  <c r="K30" i="19" s="1"/>
  <c r="K62" i="19" s="1"/>
  <c r="K60" i="19"/>
  <c r="K51" i="17"/>
  <c r="K22" i="17" s="1"/>
  <c r="K29" i="17" s="1"/>
  <c r="K61" i="17" s="1"/>
  <c r="K58" i="17" s="1"/>
  <c r="R101" i="46" l="1"/>
  <c r="R68" i="49"/>
  <c r="R67" i="49" s="1"/>
  <c r="R58" i="49" s="1"/>
  <c r="R57" i="49" s="1"/>
  <c r="R103" i="49"/>
  <c r="R107" i="46"/>
  <c r="S110" i="46"/>
  <c r="S111" i="46" s="1"/>
  <c r="S109" i="46" s="1"/>
  <c r="R102" i="49"/>
  <c r="R104" i="49"/>
  <c r="R106" i="46"/>
  <c r="R105" i="49"/>
  <c r="K23" i="21"/>
  <c r="K30" i="21" s="1"/>
  <c r="K62" i="21" s="1"/>
  <c r="K59" i="21" s="1"/>
  <c r="K20" i="20"/>
  <c r="Q69" i="40"/>
  <c r="P11" i="22"/>
  <c r="Q70" i="40"/>
  <c r="K61" i="18"/>
  <c r="K58" i="18" s="1"/>
  <c r="K23" i="18"/>
  <c r="K32" i="18" s="1"/>
  <c r="P99" i="40"/>
  <c r="Q102" i="40"/>
  <c r="Q103" i="40" s="1"/>
  <c r="Q101" i="40" s="1"/>
  <c r="P98" i="40"/>
  <c r="L51" i="19"/>
  <c r="K59" i="19"/>
  <c r="K23" i="19"/>
  <c r="K23" i="17"/>
  <c r="K32" i="17" s="1"/>
  <c r="L50" i="17"/>
  <c r="L51" i="21" l="1"/>
  <c r="R78" i="49"/>
  <c r="R88" i="49" s="1"/>
  <c r="R77" i="49"/>
  <c r="S110" i="49"/>
  <c r="R106" i="49"/>
  <c r="S113" i="46"/>
  <c r="S100" i="46" s="1"/>
  <c r="S36" i="46"/>
  <c r="S70" i="49"/>
  <c r="S69" i="49"/>
  <c r="R86" i="49"/>
  <c r="R85" i="49"/>
  <c r="R84" i="49"/>
  <c r="R83" i="49"/>
  <c r="R107" i="49"/>
  <c r="S111" i="49"/>
  <c r="S109" i="49" s="1"/>
  <c r="L8" i="44"/>
  <c r="K24" i="21"/>
  <c r="L33" i="44"/>
  <c r="K97" i="18"/>
  <c r="K83" i="18" s="1"/>
  <c r="K79" i="18" s="1"/>
  <c r="K80" i="18" s="1"/>
  <c r="K85" i="18" s="1"/>
  <c r="K67" i="18"/>
  <c r="K68" i="18"/>
  <c r="Q106" i="40"/>
  <c r="Q92" i="40" s="1"/>
  <c r="Q36" i="40"/>
  <c r="Q68" i="40" s="1"/>
  <c r="K33" i="19"/>
  <c r="K16" i="22"/>
  <c r="S68" i="46" l="1"/>
  <c r="S90" i="46"/>
  <c r="S91" i="46" s="1"/>
  <c r="S95" i="46"/>
  <c r="S96" i="46" s="1"/>
  <c r="S105" i="46"/>
  <c r="S102" i="46"/>
  <c r="S113" i="49"/>
  <c r="S100" i="49" s="1"/>
  <c r="S36" i="49"/>
  <c r="K113" i="21"/>
  <c r="K100" i="21" s="1"/>
  <c r="K95" i="21" s="1"/>
  <c r="K33" i="21"/>
  <c r="K68" i="21" s="1"/>
  <c r="K77" i="21" s="1"/>
  <c r="L16" i="44"/>
  <c r="L18" i="44"/>
  <c r="K66" i="18"/>
  <c r="K57" i="18" s="1"/>
  <c r="K56" i="18" s="1"/>
  <c r="K86" i="18"/>
  <c r="K84" i="18" s="1"/>
  <c r="K88" i="18"/>
  <c r="K87" i="18"/>
  <c r="Q78" i="40"/>
  <c r="Q77" i="40"/>
  <c r="Q67" i="40"/>
  <c r="Q58" i="40" s="1"/>
  <c r="Q57" i="40" s="1"/>
  <c r="Q83" i="40" s="1"/>
  <c r="Q87" i="40"/>
  <c r="Q88" i="40" s="1"/>
  <c r="K17" i="22"/>
  <c r="K15" i="22"/>
  <c r="K14" i="22"/>
  <c r="K18" i="22"/>
  <c r="S104" i="46" l="1"/>
  <c r="S103" i="46"/>
  <c r="S101" i="46" s="1"/>
  <c r="S78" i="46"/>
  <c r="S88" i="46" s="1"/>
  <c r="S67" i="46"/>
  <c r="S58" i="46" s="1"/>
  <c r="S57" i="46" s="1"/>
  <c r="S77" i="46"/>
  <c r="S68" i="49"/>
  <c r="S90" i="49"/>
  <c r="S91" i="49" s="1"/>
  <c r="S95" i="49"/>
  <c r="S96" i="49" s="1"/>
  <c r="K96" i="21"/>
  <c r="K105" i="21"/>
  <c r="K104" i="21"/>
  <c r="L61" i="44" s="1"/>
  <c r="K102" i="21"/>
  <c r="K103" i="21"/>
  <c r="K69" i="21"/>
  <c r="K67" i="21" s="1"/>
  <c r="K58" i="21" s="1"/>
  <c r="K57" i="21" s="1"/>
  <c r="K85" i="21" s="1"/>
  <c r="L87" i="21"/>
  <c r="K21" i="20"/>
  <c r="L69" i="18"/>
  <c r="L27" i="44"/>
  <c r="L6" i="44"/>
  <c r="K78" i="21"/>
  <c r="K88" i="21" s="1"/>
  <c r="L10" i="44"/>
  <c r="K75" i="18"/>
  <c r="K89" i="18"/>
  <c r="K90" i="18"/>
  <c r="L93" i="18"/>
  <c r="L94" i="18" s="1"/>
  <c r="L92" i="18" s="1"/>
  <c r="L35" i="18" s="1"/>
  <c r="Q95" i="40"/>
  <c r="Q97" i="40"/>
  <c r="Q94" i="40"/>
  <c r="Q11" i="22"/>
  <c r="R69" i="40"/>
  <c r="R70" i="40"/>
  <c r="Q96" i="40"/>
  <c r="S107" i="46" l="1"/>
  <c r="T110" i="46"/>
  <c r="T111" i="46" s="1"/>
  <c r="T109" i="46" s="1"/>
  <c r="S86" i="46"/>
  <c r="S85" i="46"/>
  <c r="S84" i="46"/>
  <c r="S83" i="46"/>
  <c r="T69" i="46"/>
  <c r="T70" i="46"/>
  <c r="S106" i="46"/>
  <c r="S102" i="49"/>
  <c r="S104" i="49"/>
  <c r="S67" i="49"/>
  <c r="S58" i="49" s="1"/>
  <c r="S57" i="49" s="1"/>
  <c r="S78" i="49"/>
  <c r="S88" i="49" s="1"/>
  <c r="S77" i="49"/>
  <c r="S103" i="49"/>
  <c r="S105" i="49"/>
  <c r="S101" i="49"/>
  <c r="K101" i="21"/>
  <c r="K107" i="21" s="1"/>
  <c r="L58" i="44"/>
  <c r="L60" i="44"/>
  <c r="L59" i="44"/>
  <c r="K86" i="21"/>
  <c r="K83" i="21"/>
  <c r="K23" i="20"/>
  <c r="L70" i="21"/>
  <c r="K84" i="21"/>
  <c r="L5" i="44"/>
  <c r="K22" i="20"/>
  <c r="Q93" i="40"/>
  <c r="R102" i="40" s="1"/>
  <c r="R103" i="40" s="1"/>
  <c r="R101" i="40" s="1"/>
  <c r="L51" i="18"/>
  <c r="T36" i="46" l="1"/>
  <c r="T113" i="46"/>
  <c r="T100" i="46" s="1"/>
  <c r="T70" i="49"/>
  <c r="T69" i="49"/>
  <c r="S85" i="49"/>
  <c r="S83" i="49"/>
  <c r="S84" i="49"/>
  <c r="S86" i="49"/>
  <c r="S107" i="49"/>
  <c r="T110" i="49"/>
  <c r="T111" i="49" s="1"/>
  <c r="T109" i="49" s="1"/>
  <c r="L110" i="21"/>
  <c r="L111" i="21" s="1"/>
  <c r="L109" i="21" s="1"/>
  <c r="L36" i="21" s="1"/>
  <c r="S106" i="49"/>
  <c r="K106" i="21"/>
  <c r="L62" i="44" s="1"/>
  <c r="Q99" i="40"/>
  <c r="Q98" i="40"/>
  <c r="R106" i="40"/>
  <c r="R92" i="40" s="1"/>
  <c r="R36" i="40"/>
  <c r="R68" i="40" s="1"/>
  <c r="L59" i="18"/>
  <c r="L22" i="18"/>
  <c r="L29" i="18" s="1"/>
  <c r="L61" i="18" s="1"/>
  <c r="L51" i="17"/>
  <c r="L22" i="17" s="1"/>
  <c r="L59" i="17"/>
  <c r="L52" i="19"/>
  <c r="L60" i="19"/>
  <c r="T95" i="46" l="1"/>
  <c r="T96" i="46" s="1"/>
  <c r="T90" i="46"/>
  <c r="T91" i="46" s="1"/>
  <c r="T68" i="46"/>
  <c r="T113" i="49"/>
  <c r="T100" i="49" s="1"/>
  <c r="T36" i="49"/>
  <c r="M13" i="44"/>
  <c r="L90" i="21"/>
  <c r="L91" i="21" s="1"/>
  <c r="R78" i="40"/>
  <c r="R77" i="40"/>
  <c r="R67" i="40"/>
  <c r="R58" i="40" s="1"/>
  <c r="R57" i="40" s="1"/>
  <c r="R83" i="40" s="1"/>
  <c r="R87" i="40"/>
  <c r="R88" i="40" s="1"/>
  <c r="R95" i="40" s="1"/>
  <c r="L58" i="18"/>
  <c r="L23" i="18"/>
  <c r="M50" i="18"/>
  <c r="L29" i="17"/>
  <c r="L61" i="17" s="1"/>
  <c r="L58" i="17" s="1"/>
  <c r="L23" i="17"/>
  <c r="L32" i="17" s="1"/>
  <c r="L22" i="19"/>
  <c r="T105" i="46" l="1"/>
  <c r="T67" i="46"/>
  <c r="T58" i="46" s="1"/>
  <c r="T57" i="46" s="1"/>
  <c r="T77" i="46"/>
  <c r="T78" i="46"/>
  <c r="T88" i="46" s="1"/>
  <c r="T103" i="46"/>
  <c r="T102" i="46"/>
  <c r="T101" i="46" s="1"/>
  <c r="T104" i="46"/>
  <c r="T68" i="49"/>
  <c r="T90" i="49"/>
  <c r="T91" i="49" s="1"/>
  <c r="T95" i="49"/>
  <c r="T96" i="49" s="1"/>
  <c r="T101" i="49" s="1"/>
  <c r="R94" i="40"/>
  <c r="R93" i="40" s="1"/>
  <c r="R96" i="40"/>
  <c r="R97" i="40"/>
  <c r="L97" i="18"/>
  <c r="L83" i="18" s="1"/>
  <c r="R11" i="22"/>
  <c r="S70" i="40"/>
  <c r="S69" i="40"/>
  <c r="L32" i="18"/>
  <c r="L68" i="18" s="1"/>
  <c r="M50" i="17"/>
  <c r="L30" i="19"/>
  <c r="L23" i="19"/>
  <c r="T104" i="49" l="1"/>
  <c r="T106" i="46"/>
  <c r="T107" i="46"/>
  <c r="U110" i="46"/>
  <c r="U111" i="46" s="1"/>
  <c r="U109" i="46" s="1"/>
  <c r="T86" i="46"/>
  <c r="T85" i="46"/>
  <c r="T83" i="46"/>
  <c r="U69" i="46"/>
  <c r="T84" i="46"/>
  <c r="U70" i="46"/>
  <c r="T105" i="49"/>
  <c r="T67" i="49"/>
  <c r="T58" i="49" s="1"/>
  <c r="T57" i="49" s="1"/>
  <c r="T78" i="49"/>
  <c r="T88" i="49" s="1"/>
  <c r="T77" i="49"/>
  <c r="T103" i="49"/>
  <c r="T102" i="49"/>
  <c r="U110" i="49" s="1"/>
  <c r="L13" i="21"/>
  <c r="L19" i="20"/>
  <c r="M7" i="44"/>
  <c r="L52" i="21"/>
  <c r="L60" i="21"/>
  <c r="L50" i="21"/>
  <c r="L23" i="21" s="1"/>
  <c r="L30" i="21" s="1"/>
  <c r="L79" i="21"/>
  <c r="M33" i="44"/>
  <c r="S102" i="40"/>
  <c r="S103" i="40" s="1"/>
  <c r="S101" i="40" s="1"/>
  <c r="S36" i="40" s="1"/>
  <c r="S68" i="40" s="1"/>
  <c r="R98" i="40"/>
  <c r="R99" i="40"/>
  <c r="L79" i="18"/>
  <c r="L33" i="19"/>
  <c r="L67" i="18"/>
  <c r="L66" i="18" s="1"/>
  <c r="L57" i="18" s="1"/>
  <c r="L56" i="18" s="1"/>
  <c r="L62" i="19"/>
  <c r="L59" i="19" s="1"/>
  <c r="M51" i="19"/>
  <c r="T107" i="49" l="1"/>
  <c r="U111" i="49"/>
  <c r="U109" i="49" s="1"/>
  <c r="U113" i="49" s="1"/>
  <c r="U100" i="49" s="1"/>
  <c r="U113" i="46"/>
  <c r="U100" i="46" s="1"/>
  <c r="U36" i="46"/>
  <c r="U36" i="49"/>
  <c r="U68" i="49" s="1"/>
  <c r="T106" i="49"/>
  <c r="U70" i="49"/>
  <c r="T86" i="49"/>
  <c r="T84" i="49"/>
  <c r="U69" i="49"/>
  <c r="T83" i="49"/>
  <c r="T85" i="49"/>
  <c r="L20" i="20"/>
  <c r="L75" i="18"/>
  <c r="M27" i="44"/>
  <c r="S106" i="40"/>
  <c r="S92" i="40" s="1"/>
  <c r="S87" i="40" s="1"/>
  <c r="S88" i="40" s="1"/>
  <c r="L24" i="21"/>
  <c r="L62" i="21"/>
  <c r="M51" i="21"/>
  <c r="L80" i="18"/>
  <c r="L85" i="18" s="1"/>
  <c r="L88" i="18"/>
  <c r="L87" i="18"/>
  <c r="S67" i="40"/>
  <c r="S58" i="40" s="1"/>
  <c r="S57" i="40" s="1"/>
  <c r="S83" i="40" s="1"/>
  <c r="S77" i="40"/>
  <c r="S78" i="40"/>
  <c r="C30" i="22"/>
  <c r="C27" i="22"/>
  <c r="C31" i="22"/>
  <c r="L17" i="22"/>
  <c r="M69" i="18"/>
  <c r="U90" i="49" l="1"/>
  <c r="U91" i="49" s="1"/>
  <c r="U68" i="46"/>
  <c r="U90" i="46"/>
  <c r="U91" i="46" s="1"/>
  <c r="U95" i="46"/>
  <c r="U96" i="46" s="1"/>
  <c r="U67" i="49"/>
  <c r="U58" i="49" s="1"/>
  <c r="U57" i="49" s="1"/>
  <c r="U77" i="49"/>
  <c r="U78" i="49"/>
  <c r="U88" i="49" s="1"/>
  <c r="U95" i="49"/>
  <c r="U96" i="49" s="1"/>
  <c r="L59" i="21"/>
  <c r="M8" i="44"/>
  <c r="M16" i="44"/>
  <c r="L86" i="18"/>
  <c r="L84" i="18" s="1"/>
  <c r="L89" i="18" s="1"/>
  <c r="L33" i="21"/>
  <c r="L113" i="21"/>
  <c r="L100" i="21" s="1"/>
  <c r="S95" i="40"/>
  <c r="S97" i="40"/>
  <c r="S96" i="40"/>
  <c r="S94" i="40"/>
  <c r="S11" i="22"/>
  <c r="T70" i="40"/>
  <c r="T69" i="40"/>
  <c r="C29" i="22"/>
  <c r="C28" i="22"/>
  <c r="C22" i="22"/>
  <c r="L16" i="22"/>
  <c r="L18" i="22"/>
  <c r="L14" i="22"/>
  <c r="L15" i="22"/>
  <c r="U104" i="46" l="1"/>
  <c r="U102" i="46"/>
  <c r="U105" i="46"/>
  <c r="U103" i="46"/>
  <c r="U103" i="49"/>
  <c r="U77" i="46"/>
  <c r="U67" i="46"/>
  <c r="U58" i="46" s="1"/>
  <c r="U57" i="46" s="1"/>
  <c r="U78" i="46"/>
  <c r="U88" i="46" s="1"/>
  <c r="U105" i="49"/>
  <c r="U102" i="49"/>
  <c r="U104" i="49"/>
  <c r="U86" i="49"/>
  <c r="V69" i="49"/>
  <c r="U85" i="49"/>
  <c r="U84" i="49"/>
  <c r="U83" i="49"/>
  <c r="V70" i="49"/>
  <c r="U101" i="49"/>
  <c r="L95" i="21"/>
  <c r="L105" i="21" s="1"/>
  <c r="L68" i="21"/>
  <c r="L77" i="21" s="1"/>
  <c r="M18" i="44"/>
  <c r="S93" i="40"/>
  <c r="S98" i="40" s="1"/>
  <c r="L69" i="21"/>
  <c r="M93" i="18"/>
  <c r="M94" i="18" s="1"/>
  <c r="M92" i="18" s="1"/>
  <c r="M35" i="18" s="1"/>
  <c r="L90" i="18"/>
  <c r="N12" i="19"/>
  <c r="U101" i="46" l="1"/>
  <c r="U85" i="46"/>
  <c r="U83" i="46"/>
  <c r="V70" i="46"/>
  <c r="U84" i="46"/>
  <c r="V69" i="46"/>
  <c r="U86" i="46"/>
  <c r="U107" i="49"/>
  <c r="U106" i="49"/>
  <c r="V110" i="49"/>
  <c r="V111" i="49" s="1"/>
  <c r="V109" i="49" s="1"/>
  <c r="M87" i="21"/>
  <c r="L104" i="21"/>
  <c r="L96" i="21"/>
  <c r="L103" i="21" s="1"/>
  <c r="N52" i="19"/>
  <c r="N50" i="19"/>
  <c r="L67" i="21"/>
  <c r="L58" i="21" s="1"/>
  <c r="L57" i="21" s="1"/>
  <c r="S99" i="40"/>
  <c r="L21" i="20"/>
  <c r="M6" i="44"/>
  <c r="L78" i="21"/>
  <c r="L88" i="21" s="1"/>
  <c r="M10" i="44"/>
  <c r="T102" i="40"/>
  <c r="T103" i="40" s="1"/>
  <c r="T101" i="40" s="1"/>
  <c r="T106" i="40" s="1"/>
  <c r="T92" i="40" s="1"/>
  <c r="T87" i="40" s="1"/>
  <c r="T97" i="40" s="1"/>
  <c r="L102" i="21"/>
  <c r="M51" i="18"/>
  <c r="M60" i="19"/>
  <c r="M51" i="17"/>
  <c r="M22" i="17" s="1"/>
  <c r="M29" i="17" s="1"/>
  <c r="M61" i="17" s="1"/>
  <c r="N12" i="17"/>
  <c r="M59" i="17"/>
  <c r="M52" i="19"/>
  <c r="M59" i="18"/>
  <c r="O12" i="19"/>
  <c r="O52" i="19" s="1"/>
  <c r="N60" i="19"/>
  <c r="U107" i="46" l="1"/>
  <c r="V110" i="46"/>
  <c r="V111" i="46" s="1"/>
  <c r="V109" i="46" s="1"/>
  <c r="U106" i="46"/>
  <c r="V113" i="49"/>
  <c r="V100" i="49" s="1"/>
  <c r="V36" i="49"/>
  <c r="M61" i="44"/>
  <c r="M5" i="44"/>
  <c r="M70" i="21"/>
  <c r="L86" i="21"/>
  <c r="L83" i="21"/>
  <c r="L85" i="21"/>
  <c r="L84" i="21"/>
  <c r="L23" i="20"/>
  <c r="N59" i="17"/>
  <c r="N49" i="17"/>
  <c r="O50" i="17" s="1"/>
  <c r="O50" i="19"/>
  <c r="L101" i="21"/>
  <c r="T36" i="40"/>
  <c r="L22" i="20"/>
  <c r="M22" i="18"/>
  <c r="M29" i="18" s="1"/>
  <c r="T96" i="40"/>
  <c r="T88" i="40"/>
  <c r="M22" i="19"/>
  <c r="M30" i="19" s="1"/>
  <c r="M62" i="19" s="1"/>
  <c r="M59" i="19" s="1"/>
  <c r="O12" i="17"/>
  <c r="O59" i="17" s="1"/>
  <c r="N51" i="17"/>
  <c r="N50" i="17"/>
  <c r="M58" i="17"/>
  <c r="M23" i="17"/>
  <c r="M32" i="17" s="1"/>
  <c r="O60" i="19"/>
  <c r="P12" i="19"/>
  <c r="P52" i="19" s="1"/>
  <c r="N59" i="18"/>
  <c r="N51" i="18"/>
  <c r="V113" i="46" l="1"/>
  <c r="V100" i="46" s="1"/>
  <c r="V36" i="46"/>
  <c r="V90" i="49"/>
  <c r="V91" i="49" s="1"/>
  <c r="V68" i="49"/>
  <c r="V95" i="49"/>
  <c r="V96" i="49" s="1"/>
  <c r="V102" i="49" s="1"/>
  <c r="L106" i="21"/>
  <c r="M62" i="44" s="1"/>
  <c r="M58" i="44"/>
  <c r="M59" i="44"/>
  <c r="M60" i="44"/>
  <c r="T68" i="40"/>
  <c r="T78" i="40" s="1"/>
  <c r="L107" i="21"/>
  <c r="M110" i="21"/>
  <c r="M111" i="21" s="1"/>
  <c r="M109" i="21" s="1"/>
  <c r="M36" i="21" s="1"/>
  <c r="P50" i="19"/>
  <c r="O49" i="17"/>
  <c r="P50" i="17" s="1"/>
  <c r="M23" i="18"/>
  <c r="M97" i="18" s="1"/>
  <c r="T94" i="40"/>
  <c r="T95" i="40"/>
  <c r="O51" i="19"/>
  <c r="N51" i="19"/>
  <c r="N22" i="19" s="1"/>
  <c r="N30" i="19" s="1"/>
  <c r="N62" i="19" s="1"/>
  <c r="N59" i="19" s="1"/>
  <c r="M23" i="19"/>
  <c r="P12" i="17"/>
  <c r="Q12" i="17" s="1"/>
  <c r="R12" i="17" s="1"/>
  <c r="O51" i="17"/>
  <c r="P51" i="19"/>
  <c r="N22" i="17"/>
  <c r="N29" i="17" s="1"/>
  <c r="N61" i="17" s="1"/>
  <c r="N58" i="17" s="1"/>
  <c r="N50" i="18"/>
  <c r="N22" i="18" s="1"/>
  <c r="M61" i="18"/>
  <c r="Q12" i="19"/>
  <c r="Q52" i="19" s="1"/>
  <c r="P60" i="19"/>
  <c r="V68" i="46" l="1"/>
  <c r="V90" i="46"/>
  <c r="V91" i="46" s="1"/>
  <c r="V95" i="46"/>
  <c r="V96" i="46" s="1"/>
  <c r="V104" i="46"/>
  <c r="V105" i="46"/>
  <c r="V101" i="49"/>
  <c r="V104" i="49"/>
  <c r="V105" i="49"/>
  <c r="V78" i="49"/>
  <c r="V88" i="49" s="1"/>
  <c r="V77" i="49"/>
  <c r="V67" i="49"/>
  <c r="V58" i="49" s="1"/>
  <c r="V57" i="49" s="1"/>
  <c r="V103" i="49"/>
  <c r="T67" i="40"/>
  <c r="T58" i="40" s="1"/>
  <c r="T57" i="40" s="1"/>
  <c r="T83" i="40" s="1"/>
  <c r="T77" i="40"/>
  <c r="N13" i="44"/>
  <c r="N33" i="44"/>
  <c r="P49" i="17"/>
  <c r="Q49" i="17" s="1"/>
  <c r="R49" i="17" s="1"/>
  <c r="Q50" i="19"/>
  <c r="M32" i="18"/>
  <c r="M68" i="18" s="1"/>
  <c r="M83" i="18"/>
  <c r="M90" i="21"/>
  <c r="M91" i="21" s="1"/>
  <c r="T93" i="40"/>
  <c r="T98" i="40" s="1"/>
  <c r="M33" i="19"/>
  <c r="P59" i="17"/>
  <c r="P51" i="17"/>
  <c r="Q59" i="17"/>
  <c r="Q51" i="17"/>
  <c r="O22" i="17"/>
  <c r="O29" i="17" s="1"/>
  <c r="O61" i="17" s="1"/>
  <c r="O58" i="17" s="1"/>
  <c r="Q51" i="19"/>
  <c r="N23" i="17"/>
  <c r="N32" i="17" s="1"/>
  <c r="O22" i="19"/>
  <c r="O30" i="19" s="1"/>
  <c r="O62" i="19" s="1"/>
  <c r="O59" i="19" s="1"/>
  <c r="N23" i="19"/>
  <c r="M58" i="18"/>
  <c r="Q60" i="19"/>
  <c r="R12" i="19"/>
  <c r="S12" i="19" s="1"/>
  <c r="M16" i="22"/>
  <c r="S12" i="17"/>
  <c r="R51" i="17"/>
  <c r="R59" i="17"/>
  <c r="N23" i="18"/>
  <c r="N29" i="18"/>
  <c r="V102" i="46" l="1"/>
  <c r="V103" i="46"/>
  <c r="V101" i="46" s="1"/>
  <c r="V77" i="46"/>
  <c r="V67" i="46"/>
  <c r="V58" i="46" s="1"/>
  <c r="V57" i="46" s="1"/>
  <c r="V78" i="46"/>
  <c r="V88" i="46" s="1"/>
  <c r="V106" i="49"/>
  <c r="V83" i="49"/>
  <c r="W70" i="49"/>
  <c r="V84" i="49"/>
  <c r="V85" i="49"/>
  <c r="W69" i="49"/>
  <c r="V86" i="49"/>
  <c r="V107" i="49"/>
  <c r="W110" i="49"/>
  <c r="W111" i="49" s="1"/>
  <c r="W109" i="49" s="1"/>
  <c r="U69" i="40"/>
  <c r="T11" i="22"/>
  <c r="U70" i="40"/>
  <c r="M79" i="21"/>
  <c r="Q50" i="17"/>
  <c r="O33" i="44"/>
  <c r="R50" i="19"/>
  <c r="S50" i="19" s="1"/>
  <c r="S49" i="17"/>
  <c r="M67" i="18"/>
  <c r="M66" i="18" s="1"/>
  <c r="M57" i="18" s="1"/>
  <c r="M56" i="18" s="1"/>
  <c r="N7" i="44"/>
  <c r="T99" i="40"/>
  <c r="U102" i="40"/>
  <c r="U103" i="40" s="1"/>
  <c r="U101" i="40" s="1"/>
  <c r="U106" i="40" s="1"/>
  <c r="U92" i="40" s="1"/>
  <c r="U87" i="40" s="1"/>
  <c r="U96" i="40" s="1"/>
  <c r="N33" i="19"/>
  <c r="P22" i="17"/>
  <c r="P29" i="17" s="1"/>
  <c r="P61" i="17" s="1"/>
  <c r="P58" i="17" s="1"/>
  <c r="R50" i="17"/>
  <c r="R51" i="19"/>
  <c r="P22" i="19"/>
  <c r="P30" i="19" s="1"/>
  <c r="P62" i="19" s="1"/>
  <c r="P59" i="19" s="1"/>
  <c r="O23" i="17"/>
  <c r="O32" i="17" s="1"/>
  <c r="O23" i="19"/>
  <c r="M79" i="18"/>
  <c r="M87" i="18" s="1"/>
  <c r="R60" i="19"/>
  <c r="R52" i="19"/>
  <c r="D31" i="22"/>
  <c r="D28" i="22"/>
  <c r="D27" i="22"/>
  <c r="D22" i="22"/>
  <c r="M17" i="22"/>
  <c r="D30" i="22"/>
  <c r="M15" i="22"/>
  <c r="M14" i="22"/>
  <c r="M18" i="22"/>
  <c r="D29" i="22"/>
  <c r="S59" i="17"/>
  <c r="T12" i="17"/>
  <c r="S51" i="17"/>
  <c r="S52" i="19"/>
  <c r="T12" i="19"/>
  <c r="S60" i="19"/>
  <c r="N61" i="18"/>
  <c r="N58" i="18" s="1"/>
  <c r="O50" i="18"/>
  <c r="N32" i="18"/>
  <c r="V84" i="46" l="1"/>
  <c r="V85" i="46"/>
  <c r="V83" i="46"/>
  <c r="W69" i="46"/>
  <c r="V86" i="46"/>
  <c r="W70" i="46"/>
  <c r="W110" i="46"/>
  <c r="W111" i="46" s="1"/>
  <c r="W109" i="46" s="1"/>
  <c r="V107" i="46"/>
  <c r="V106" i="46"/>
  <c r="W36" i="49"/>
  <c r="W113" i="49"/>
  <c r="W100" i="49" s="1"/>
  <c r="M13" i="21"/>
  <c r="M52" i="21"/>
  <c r="M60" i="21"/>
  <c r="N79" i="21"/>
  <c r="M50" i="21"/>
  <c r="M19" i="20"/>
  <c r="O12" i="20" s="1"/>
  <c r="N12" i="20" s="1"/>
  <c r="Q12" i="20"/>
  <c r="P12" i="20" s="1"/>
  <c r="M20" i="20"/>
  <c r="G27" i="20" s="1"/>
  <c r="P33" i="44"/>
  <c r="T49" i="17"/>
  <c r="T50" i="19"/>
  <c r="M75" i="18"/>
  <c r="N27" i="44"/>
  <c r="U36" i="40"/>
  <c r="U68" i="40" s="1"/>
  <c r="U77" i="40" s="1"/>
  <c r="D81" i="21"/>
  <c r="U88" i="40"/>
  <c r="U94" i="40" s="1"/>
  <c r="U97" i="40"/>
  <c r="O33" i="19"/>
  <c r="P23" i="17"/>
  <c r="P32" i="17" s="1"/>
  <c r="T50" i="17"/>
  <c r="Q22" i="17"/>
  <c r="Q29" i="17" s="1"/>
  <c r="Q61" i="17" s="1"/>
  <c r="Q58" i="17" s="1"/>
  <c r="Q22" i="19"/>
  <c r="Q30" i="19" s="1"/>
  <c r="Q62" i="19" s="1"/>
  <c r="Q59" i="19" s="1"/>
  <c r="P23" i="19"/>
  <c r="T51" i="19"/>
  <c r="N69" i="18"/>
  <c r="M88" i="18"/>
  <c r="M80" i="18"/>
  <c r="T52" i="19"/>
  <c r="T60" i="19"/>
  <c r="U12" i="19"/>
  <c r="U12" i="17"/>
  <c r="T51" i="17"/>
  <c r="T59" i="17"/>
  <c r="N68" i="18"/>
  <c r="W113" i="46" l="1"/>
  <c r="W100" i="46" s="1"/>
  <c r="W36" i="46"/>
  <c r="W95" i="49"/>
  <c r="W96" i="49" s="1"/>
  <c r="W101" i="49" s="1"/>
  <c r="W105" i="49"/>
  <c r="W102" i="49"/>
  <c r="W103" i="49"/>
  <c r="W90" i="49"/>
  <c r="W91" i="49" s="1"/>
  <c r="W68" i="49"/>
  <c r="N50" i="21"/>
  <c r="N60" i="21"/>
  <c r="G25" i="20"/>
  <c r="N52" i="21"/>
  <c r="O7" i="44"/>
  <c r="N13" i="21"/>
  <c r="M23" i="21"/>
  <c r="M24" i="21" s="1"/>
  <c r="O79" i="21"/>
  <c r="U67" i="40"/>
  <c r="U58" i="40" s="1"/>
  <c r="U57" i="40" s="1"/>
  <c r="U83" i="40" s="1"/>
  <c r="U78" i="40"/>
  <c r="Q33" i="44"/>
  <c r="U50" i="19"/>
  <c r="U49" i="17"/>
  <c r="U95" i="40"/>
  <c r="U93" i="40" s="1"/>
  <c r="V102" i="40" s="1"/>
  <c r="V103" i="40" s="1"/>
  <c r="V101" i="40" s="1"/>
  <c r="P33" i="19"/>
  <c r="Q23" i="17"/>
  <c r="Q32" i="17" s="1"/>
  <c r="Q23" i="19"/>
  <c r="U50" i="17"/>
  <c r="S50" i="17"/>
  <c r="R22" i="17"/>
  <c r="R23" i="17" s="1"/>
  <c r="R32" i="17" s="1"/>
  <c r="R22" i="19"/>
  <c r="S22" i="19" s="1"/>
  <c r="S30" i="19" s="1"/>
  <c r="S62" i="19" s="1"/>
  <c r="S59" i="19" s="1"/>
  <c r="S51" i="19"/>
  <c r="M85" i="18"/>
  <c r="M86" i="18"/>
  <c r="U60" i="19"/>
  <c r="U52" i="19"/>
  <c r="V12" i="19"/>
  <c r="V12" i="17"/>
  <c r="U51" i="17"/>
  <c r="U59" i="17"/>
  <c r="O59" i="18"/>
  <c r="O51" i="18"/>
  <c r="W68" i="46" l="1"/>
  <c r="W90" i="46"/>
  <c r="W91" i="46" s="1"/>
  <c r="W95" i="46"/>
  <c r="W96" i="46" s="1"/>
  <c r="W67" i="49"/>
  <c r="W58" i="49" s="1"/>
  <c r="W57" i="49" s="1"/>
  <c r="W78" i="49"/>
  <c r="W88" i="49" s="1"/>
  <c r="W77" i="49"/>
  <c r="W104" i="49"/>
  <c r="W107" i="49" s="1"/>
  <c r="N16" i="44"/>
  <c r="M113" i="21"/>
  <c r="O60" i="21"/>
  <c r="O52" i="21"/>
  <c r="M33" i="21"/>
  <c r="M68" i="21" s="1"/>
  <c r="P7" i="44"/>
  <c r="P79" i="21"/>
  <c r="M30" i="21"/>
  <c r="O51" i="21" s="1"/>
  <c r="O13" i="21"/>
  <c r="O50" i="21"/>
  <c r="P50" i="21" s="1"/>
  <c r="U11" i="22"/>
  <c r="V70" i="40"/>
  <c r="V69" i="40"/>
  <c r="R33" i="44"/>
  <c r="V49" i="17"/>
  <c r="V50" i="19"/>
  <c r="U98" i="40"/>
  <c r="U99" i="40"/>
  <c r="V36" i="40"/>
  <c r="V68" i="40" s="1"/>
  <c r="V106" i="40"/>
  <c r="Q33" i="19"/>
  <c r="V50" i="17"/>
  <c r="R30" i="19"/>
  <c r="R62" i="19" s="1"/>
  <c r="R59" i="19" s="1"/>
  <c r="S23" i="19"/>
  <c r="T22" i="19"/>
  <c r="T23" i="19" s="1"/>
  <c r="R23" i="19"/>
  <c r="U51" i="19"/>
  <c r="R29" i="17"/>
  <c r="R61" i="17" s="1"/>
  <c r="R58" i="17" s="1"/>
  <c r="S22" i="17"/>
  <c r="T22" i="17" s="1"/>
  <c r="T29" i="17" s="1"/>
  <c r="T61" i="17" s="1"/>
  <c r="T58" i="17" s="1"/>
  <c r="M84" i="18"/>
  <c r="N93" i="18" s="1"/>
  <c r="N94" i="18" s="1"/>
  <c r="N92" i="18" s="1"/>
  <c r="V59" i="17"/>
  <c r="V51" i="17"/>
  <c r="W12" i="17"/>
  <c r="V60" i="19"/>
  <c r="V52" i="19"/>
  <c r="W12" i="19"/>
  <c r="V51" i="19"/>
  <c r="O22" i="18"/>
  <c r="W102" i="46" l="1"/>
  <c r="W104" i="46"/>
  <c r="W103" i="46"/>
  <c r="W105" i="46"/>
  <c r="W78" i="46"/>
  <c r="W88" i="46" s="1"/>
  <c r="W77" i="46"/>
  <c r="W67" i="46"/>
  <c r="W58" i="46" s="1"/>
  <c r="W57" i="46" s="1"/>
  <c r="W106" i="49"/>
  <c r="W85" i="49"/>
  <c r="W83" i="49"/>
  <c r="W84" i="49"/>
  <c r="W86" i="49"/>
  <c r="N18" i="44"/>
  <c r="M69" i="21"/>
  <c r="M67" i="21" s="1"/>
  <c r="N51" i="21"/>
  <c r="N23" i="21" s="1"/>
  <c r="O23" i="21" s="1"/>
  <c r="O24" i="21" s="1"/>
  <c r="M62" i="21"/>
  <c r="M59" i="21" s="1"/>
  <c r="M77" i="21" s="1"/>
  <c r="N87" i="21" s="1"/>
  <c r="Q79" i="21"/>
  <c r="Q7" i="44"/>
  <c r="P13" i="21"/>
  <c r="S33" i="44"/>
  <c r="U33" i="44"/>
  <c r="T33" i="44"/>
  <c r="W50" i="19"/>
  <c r="W49" i="17"/>
  <c r="M78" i="21"/>
  <c r="M88" i="21" s="1"/>
  <c r="N10" i="44"/>
  <c r="V92" i="40"/>
  <c r="N97" i="18"/>
  <c r="U22" i="19"/>
  <c r="V22" i="19" s="1"/>
  <c r="R33" i="19"/>
  <c r="T33" i="19"/>
  <c r="S33" i="19"/>
  <c r="W50" i="17"/>
  <c r="T30" i="19"/>
  <c r="T62" i="19" s="1"/>
  <c r="T59" i="19" s="1"/>
  <c r="T23" i="17"/>
  <c r="T32" i="17" s="1"/>
  <c r="V78" i="40"/>
  <c r="V67" i="40"/>
  <c r="V58" i="40" s="1"/>
  <c r="V57" i="40" s="1"/>
  <c r="V77" i="40"/>
  <c r="S23" i="17"/>
  <c r="S32" i="17" s="1"/>
  <c r="U22" i="17"/>
  <c r="U29" i="17" s="1"/>
  <c r="U61" i="17" s="1"/>
  <c r="U58" i="17" s="1"/>
  <c r="S29" i="17"/>
  <c r="S61" i="17" s="1"/>
  <c r="S58" i="17" s="1"/>
  <c r="M90" i="18"/>
  <c r="M89" i="18"/>
  <c r="N35" i="18"/>
  <c r="N67" i="18" s="1"/>
  <c r="N66" i="18" s="1"/>
  <c r="N57" i="18" s="1"/>
  <c r="N56" i="18" s="1"/>
  <c r="O27" i="44" s="1"/>
  <c r="W52" i="19"/>
  <c r="W60" i="19"/>
  <c r="W51" i="19"/>
  <c r="W51" i="17"/>
  <c r="W59" i="17"/>
  <c r="O29" i="18"/>
  <c r="O23" i="18"/>
  <c r="M100" i="21" l="1"/>
  <c r="W83" i="46"/>
  <c r="W84" i="46"/>
  <c r="W86" i="46"/>
  <c r="W85" i="46"/>
  <c r="W101" i="46"/>
  <c r="W107" i="46" s="1"/>
  <c r="Q13" i="21"/>
  <c r="R7" i="44"/>
  <c r="N24" i="21"/>
  <c r="N30" i="21"/>
  <c r="N62" i="21" s="1"/>
  <c r="O8" i="44" s="1"/>
  <c r="Q50" i="21"/>
  <c r="N8" i="44"/>
  <c r="R79" i="21"/>
  <c r="O30" i="21"/>
  <c r="O62" i="21" s="1"/>
  <c r="O16" i="44"/>
  <c r="N33" i="21"/>
  <c r="O18" i="44" s="1"/>
  <c r="M21" i="20"/>
  <c r="M58" i="21"/>
  <c r="M57" i="21" s="1"/>
  <c r="S7" i="44"/>
  <c r="M95" i="21"/>
  <c r="M96" i="21" s="1"/>
  <c r="M103" i="21" s="1"/>
  <c r="M22" i="20"/>
  <c r="P16" i="44"/>
  <c r="N6" i="44"/>
  <c r="V11" i="22"/>
  <c r="V83" i="40"/>
  <c r="V87" i="40"/>
  <c r="V88" i="40" s="1"/>
  <c r="V95" i="40" s="1"/>
  <c r="N83" i="18"/>
  <c r="U23" i="19"/>
  <c r="U30" i="19"/>
  <c r="U62" i="19" s="1"/>
  <c r="U59" i="19" s="1"/>
  <c r="V22" i="17"/>
  <c r="W69" i="40"/>
  <c r="W70" i="40"/>
  <c r="U23" i="17"/>
  <c r="U32" i="17" s="1"/>
  <c r="N75" i="18"/>
  <c r="O69" i="18"/>
  <c r="W22" i="19"/>
  <c r="W23" i="19" s="1"/>
  <c r="V30" i="19"/>
  <c r="V62" i="19" s="1"/>
  <c r="V59" i="19" s="1"/>
  <c r="V23" i="19"/>
  <c r="O32" i="18"/>
  <c r="O61" i="18"/>
  <c r="O58" i="18" s="1"/>
  <c r="P50" i="18"/>
  <c r="P51" i="21"/>
  <c r="O33" i="21"/>
  <c r="P18" i="44" s="1"/>
  <c r="N59" i="21" l="1"/>
  <c r="W106" i="46"/>
  <c r="S79" i="21"/>
  <c r="R13" i="21"/>
  <c r="R50" i="21"/>
  <c r="M83" i="21"/>
  <c r="M85" i="21"/>
  <c r="M86" i="21"/>
  <c r="N70" i="21"/>
  <c r="M104" i="21"/>
  <c r="M105" i="21"/>
  <c r="W33" i="44"/>
  <c r="V33" i="44"/>
  <c r="X33" i="44"/>
  <c r="N5" i="44"/>
  <c r="M84" i="21"/>
  <c r="M23" i="20"/>
  <c r="M102" i="21"/>
  <c r="N69" i="21"/>
  <c r="O59" i="21"/>
  <c r="P8" i="44"/>
  <c r="V96" i="40"/>
  <c r="V94" i="40"/>
  <c r="V93" i="40" s="1"/>
  <c r="W22" i="17"/>
  <c r="W29" i="17" s="1"/>
  <c r="W61" i="17" s="1"/>
  <c r="W58" i="17" s="1"/>
  <c r="V97" i="40"/>
  <c r="N79" i="18"/>
  <c r="V33" i="19"/>
  <c r="W33" i="19"/>
  <c r="U33" i="19"/>
  <c r="V29" i="17"/>
  <c r="V61" i="17" s="1"/>
  <c r="V58" i="17" s="1"/>
  <c r="V23" i="17"/>
  <c r="V32" i="17" s="1"/>
  <c r="W30" i="19"/>
  <c r="W62" i="19" s="1"/>
  <c r="W59" i="19" s="1"/>
  <c r="O68" i="18"/>
  <c r="T7" i="44" l="1"/>
  <c r="S13" i="21"/>
  <c r="T79" i="21"/>
  <c r="S50" i="21"/>
  <c r="M12" i="20"/>
  <c r="L12" i="20"/>
  <c r="N61" i="44"/>
  <c r="U7" i="44"/>
  <c r="T13" i="21"/>
  <c r="U79" i="21"/>
  <c r="T50" i="21"/>
  <c r="M101" i="21"/>
  <c r="V99" i="40"/>
  <c r="W102" i="40"/>
  <c r="W103" i="40" s="1"/>
  <c r="W101" i="40" s="1"/>
  <c r="W23" i="17"/>
  <c r="W32" i="17" s="1"/>
  <c r="V98" i="40"/>
  <c r="N87" i="18"/>
  <c r="N80" i="18"/>
  <c r="N85" i="18" s="1"/>
  <c r="N88" i="18"/>
  <c r="N18" i="22"/>
  <c r="E30" i="22"/>
  <c r="N17" i="22"/>
  <c r="N14" i="22"/>
  <c r="E29" i="22"/>
  <c r="N16" i="22"/>
  <c r="N15" i="22"/>
  <c r="E22" i="22"/>
  <c r="E27" i="22"/>
  <c r="E28" i="22"/>
  <c r="E31" i="22"/>
  <c r="U13" i="21" l="1"/>
  <c r="V79" i="21"/>
  <c r="V7" i="44"/>
  <c r="M107" i="21"/>
  <c r="N58" i="44"/>
  <c r="U50" i="21"/>
  <c r="N60" i="44"/>
  <c r="M106" i="21"/>
  <c r="N62" i="44" s="1"/>
  <c r="N59" i="44"/>
  <c r="N110" i="21"/>
  <c r="N111" i="21" s="1"/>
  <c r="N109" i="21" s="1"/>
  <c r="N113" i="21" s="1"/>
  <c r="N100" i="21" s="1"/>
  <c r="N86" i="18"/>
  <c r="N84" i="18" s="1"/>
  <c r="W36" i="40"/>
  <c r="W106" i="40"/>
  <c r="W92" i="40" s="1"/>
  <c r="W87" i="40" s="1"/>
  <c r="W96" i="40" s="1"/>
  <c r="P52" i="21"/>
  <c r="P60" i="21"/>
  <c r="V13" i="21" l="1"/>
  <c r="W79" i="21"/>
  <c r="W7" i="44"/>
  <c r="V50" i="21"/>
  <c r="N95" i="21"/>
  <c r="N105" i="21" s="1"/>
  <c r="N36" i="21"/>
  <c r="L2" i="43" a="1"/>
  <c r="L2" i="43" s="1"/>
  <c r="W68" i="40"/>
  <c r="W67" i="40" s="1"/>
  <c r="W58" i="40" s="1"/>
  <c r="W57" i="40" s="1"/>
  <c r="W83" i="40" s="1"/>
  <c r="G12" i="20" s="1"/>
  <c r="N90" i="18"/>
  <c r="N89" i="18"/>
  <c r="O93" i="18"/>
  <c r="O94" i="18" s="1"/>
  <c r="O92" i="18" s="1"/>
  <c r="O97" i="18" s="1"/>
  <c r="O83" i="18" s="1"/>
  <c r="W88" i="40"/>
  <c r="W95" i="40" s="1"/>
  <c r="W97" i="40"/>
  <c r="P23" i="21"/>
  <c r="P51" i="18"/>
  <c r="P59" i="18"/>
  <c r="X7" i="44" l="1"/>
  <c r="W13" i="21"/>
  <c r="W50" i="21"/>
  <c r="O13" i="44"/>
  <c r="N90" i="21"/>
  <c r="N91" i="21" s="1"/>
  <c r="N68" i="21"/>
  <c r="N67" i="21" s="1"/>
  <c r="N58" i="21" s="1"/>
  <c r="N57" i="21" s="1"/>
  <c r="N104" i="21"/>
  <c r="N96" i="21"/>
  <c r="N103" i="21" s="1"/>
  <c r="K2" i="43" a="1"/>
  <c r="K2" i="43" s="1"/>
  <c r="W77" i="40"/>
  <c r="I12" i="20" s="1"/>
  <c r="W78" i="40"/>
  <c r="O35" i="18"/>
  <c r="O67" i="18" s="1"/>
  <c r="O66" i="18" s="1"/>
  <c r="O57" i="18" s="1"/>
  <c r="O56" i="18" s="1"/>
  <c r="W94" i="40"/>
  <c r="W11" i="22"/>
  <c r="J12" i="20"/>
  <c r="O79" i="18"/>
  <c r="O80" i="18" s="1"/>
  <c r="O86" i="18" s="1"/>
  <c r="P24" i="21"/>
  <c r="P30" i="21"/>
  <c r="P22" i="18"/>
  <c r="O10" i="44" l="1"/>
  <c r="N77" i="21"/>
  <c r="N78" i="21"/>
  <c r="N88" i="21" s="1"/>
  <c r="N102" i="21"/>
  <c r="O5" i="44"/>
  <c r="O69" i="21"/>
  <c r="N83" i="21"/>
  <c r="N85" i="21"/>
  <c r="O70" i="21"/>
  <c r="N86" i="21"/>
  <c r="N84" i="21"/>
  <c r="Q16" i="44"/>
  <c r="P69" i="18"/>
  <c r="P27" i="44"/>
  <c r="O75" i="18"/>
  <c r="W93" i="40"/>
  <c r="W99" i="40" s="1"/>
  <c r="O85" i="18"/>
  <c r="O84" i="18" s="1"/>
  <c r="O88" i="18"/>
  <c r="O87" i="18"/>
  <c r="O18" i="22"/>
  <c r="F29" i="22"/>
  <c r="F30" i="22"/>
  <c r="F31" i="22"/>
  <c r="F28" i="22"/>
  <c r="O17" i="22"/>
  <c r="F27" i="22"/>
  <c r="O16" i="22"/>
  <c r="O15" i="22"/>
  <c r="O14" i="22"/>
  <c r="F22" i="22"/>
  <c r="P62" i="21"/>
  <c r="Q51" i="21"/>
  <c r="P23" i="18"/>
  <c r="P29" i="18"/>
  <c r="P33" i="21"/>
  <c r="Q18" i="44" s="1"/>
  <c r="O87" i="21" l="1"/>
  <c r="O6" i="44"/>
  <c r="O61" i="44"/>
  <c r="N101" i="21"/>
  <c r="P59" i="21"/>
  <c r="Q8" i="44"/>
  <c r="P93" i="18"/>
  <c r="P94" i="18" s="1"/>
  <c r="P92" i="18" s="1"/>
  <c r="P97" i="18" s="1"/>
  <c r="W98" i="40"/>
  <c r="O90" i="18"/>
  <c r="O89" i="18"/>
  <c r="P32" i="18"/>
  <c r="P61" i="18"/>
  <c r="P58" i="18" s="1"/>
  <c r="Q50" i="18"/>
  <c r="O59" i="44" l="1"/>
  <c r="O58" i="44"/>
  <c r="O60" i="44"/>
  <c r="N106" i="21"/>
  <c r="O62" i="44" s="1"/>
  <c r="O110" i="21"/>
  <c r="O111" i="21" s="1"/>
  <c r="O109" i="21" s="1"/>
  <c r="N107" i="21"/>
  <c r="P35" i="18"/>
  <c r="P67" i="18" s="1"/>
  <c r="P83" i="18"/>
  <c r="P68" i="18"/>
  <c r="O36" i="21" l="1"/>
  <c r="O113" i="21"/>
  <c r="O100" i="21" s="1"/>
  <c r="P66" i="18"/>
  <c r="P57" i="18" s="1"/>
  <c r="P56" i="18" s="1"/>
  <c r="P79" i="18"/>
  <c r="P80" i="18" s="1"/>
  <c r="Q60" i="21"/>
  <c r="Q52" i="21"/>
  <c r="O95" i="21" l="1"/>
  <c r="O104" i="21" s="1"/>
  <c r="O90" i="21"/>
  <c r="O91" i="21" s="1"/>
  <c r="O68" i="21"/>
  <c r="P13" i="44"/>
  <c r="Q69" i="18"/>
  <c r="Q27" i="44"/>
  <c r="P75" i="18"/>
  <c r="P88" i="18"/>
  <c r="P87" i="18"/>
  <c r="P85" i="18"/>
  <c r="Q23" i="21"/>
  <c r="Q59" i="18"/>
  <c r="Q51" i="18"/>
  <c r="P86" i="18"/>
  <c r="P10" i="44" l="1"/>
  <c r="O67" i="21"/>
  <c r="O58" i="21" s="1"/>
  <c r="O57" i="21" s="1"/>
  <c r="O78" i="21"/>
  <c r="O77" i="21"/>
  <c r="P87" i="21" s="1"/>
  <c r="O105" i="21"/>
  <c r="O96" i="21"/>
  <c r="Q22" i="18"/>
  <c r="Q30" i="21"/>
  <c r="Q24" i="21"/>
  <c r="P84" i="18"/>
  <c r="O102" i="21" l="1"/>
  <c r="O103" i="21"/>
  <c r="P6" i="44"/>
  <c r="O88" i="21"/>
  <c r="P69" i="21"/>
  <c r="P70" i="21"/>
  <c r="O86" i="21"/>
  <c r="O85" i="21"/>
  <c r="O84" i="21"/>
  <c r="P5" i="44"/>
  <c r="O83" i="21"/>
  <c r="R16" i="44"/>
  <c r="Q62" i="21"/>
  <c r="R51" i="21"/>
  <c r="Q29" i="18"/>
  <c r="Q23" i="18"/>
  <c r="P90" i="18"/>
  <c r="Q93" i="18"/>
  <c r="Q94" i="18" s="1"/>
  <c r="Q92" i="18" s="1"/>
  <c r="Q33" i="21"/>
  <c r="R18" i="44" s="1"/>
  <c r="P89" i="18"/>
  <c r="P61" i="44" l="1"/>
  <c r="O101" i="21"/>
  <c r="Q59" i="21"/>
  <c r="R8" i="44"/>
  <c r="Q97" i="18"/>
  <c r="P18" i="22"/>
  <c r="P14" i="22"/>
  <c r="P17" i="22"/>
  <c r="P16" i="22"/>
  <c r="G28" i="22"/>
  <c r="G22" i="22"/>
  <c r="G30" i="22"/>
  <c r="P15" i="22"/>
  <c r="G29" i="22"/>
  <c r="G27" i="22"/>
  <c r="G31" i="22"/>
  <c r="Q61" i="18"/>
  <c r="Q58" i="18" s="1"/>
  <c r="R50" i="18"/>
  <c r="Q35" i="18"/>
  <c r="Q32" i="18"/>
  <c r="Q68" i="18" s="1"/>
  <c r="O106" i="21" l="1"/>
  <c r="P62" i="44" s="1"/>
  <c r="P58" i="44"/>
  <c r="P60" i="44"/>
  <c r="P59" i="44"/>
  <c r="P110" i="21"/>
  <c r="P111" i="21" s="1"/>
  <c r="P109" i="21" s="1"/>
  <c r="P113" i="21" s="1"/>
  <c r="P100" i="21" s="1"/>
  <c r="O107" i="21"/>
  <c r="Q83" i="18"/>
  <c r="Q79" i="18" s="1"/>
  <c r="Q80" i="18" s="1"/>
  <c r="Q67" i="18"/>
  <c r="Q66" i="18" s="1"/>
  <c r="Q57" i="18" s="1"/>
  <c r="Q56" i="18" s="1"/>
  <c r="R27" i="44" s="1"/>
  <c r="P36" i="21" l="1"/>
  <c r="P95" i="21"/>
  <c r="P105" i="21" s="1"/>
  <c r="Q87" i="18"/>
  <c r="Q85" i="18"/>
  <c r="R52" i="21"/>
  <c r="R60" i="21"/>
  <c r="R69" i="18"/>
  <c r="Q75" i="18"/>
  <c r="Q88" i="18"/>
  <c r="Q86" i="18"/>
  <c r="Q13" i="44" l="1"/>
  <c r="P90" i="21"/>
  <c r="P91" i="21" s="1"/>
  <c r="P68" i="21"/>
  <c r="P67" i="21" s="1"/>
  <c r="P58" i="21" s="1"/>
  <c r="P57" i="21" s="1"/>
  <c r="P104" i="21"/>
  <c r="P96" i="21"/>
  <c r="P102" i="21" s="1"/>
  <c r="Q84" i="18"/>
  <c r="Q89" i="18" s="1"/>
  <c r="R23" i="21"/>
  <c r="R59" i="18"/>
  <c r="R51" i="18"/>
  <c r="Q10" i="44" l="1"/>
  <c r="P78" i="21"/>
  <c r="P88" i="21" s="1"/>
  <c r="P77" i="21"/>
  <c r="Q87" i="21" s="1"/>
  <c r="P103" i="21"/>
  <c r="Q61" i="44" s="1"/>
  <c r="Q69" i="21"/>
  <c r="P84" i="21"/>
  <c r="Q5" i="44"/>
  <c r="Q70" i="21"/>
  <c r="P85" i="21"/>
  <c r="P86" i="21"/>
  <c r="P83" i="21"/>
  <c r="Q90" i="18"/>
  <c r="R93" i="18"/>
  <c r="R94" i="18" s="1"/>
  <c r="R92" i="18" s="1"/>
  <c r="R24" i="21"/>
  <c r="R30" i="21"/>
  <c r="R22" i="18"/>
  <c r="Q6" i="44" l="1"/>
  <c r="P101" i="21"/>
  <c r="S16" i="44"/>
  <c r="R35" i="18"/>
  <c r="Q17" i="22"/>
  <c r="Q14" i="22"/>
  <c r="H28" i="22"/>
  <c r="Q16" i="22"/>
  <c r="H27" i="22"/>
  <c r="Q18" i="22"/>
  <c r="Q15" i="22"/>
  <c r="H29" i="22"/>
  <c r="H22" i="22"/>
  <c r="H31" i="22"/>
  <c r="H30" i="22"/>
  <c r="R62" i="21"/>
  <c r="S51" i="21"/>
  <c r="R29" i="18"/>
  <c r="R23" i="18"/>
  <c r="R97" i="18" s="1"/>
  <c r="R33" i="21"/>
  <c r="S18" i="44" s="1"/>
  <c r="Q60" i="44" l="1"/>
  <c r="Q58" i="44"/>
  <c r="Q59" i="44"/>
  <c r="Q110" i="21"/>
  <c r="Q111" i="21" s="1"/>
  <c r="Q109" i="21" s="1"/>
  <c r="Q113" i="21" s="1"/>
  <c r="Q100" i="21" s="1"/>
  <c r="P106" i="21"/>
  <c r="Q62" i="44" s="1"/>
  <c r="P107" i="21"/>
  <c r="R59" i="21"/>
  <c r="S8" i="44"/>
  <c r="R61" i="18"/>
  <c r="R58" i="18" s="1"/>
  <c r="S50" i="18"/>
  <c r="R32" i="18"/>
  <c r="R67" i="18" s="1"/>
  <c r="Q36" i="21" l="1"/>
  <c r="Q95" i="21"/>
  <c r="R83" i="18"/>
  <c r="R79" i="18" s="1"/>
  <c r="R80" i="18" s="1"/>
  <c r="R68" i="18"/>
  <c r="R66" i="18" s="1"/>
  <c r="R57" i="18" s="1"/>
  <c r="R56" i="18" s="1"/>
  <c r="S27" i="44" s="1"/>
  <c r="R13" i="44" l="1"/>
  <c r="Q68" i="21"/>
  <c r="Q78" i="21" s="1"/>
  <c r="Q90" i="21"/>
  <c r="Q91" i="21" s="1"/>
  <c r="Q105" i="21"/>
  <c r="Q104" i="21"/>
  <c r="Q96" i="21"/>
  <c r="Q103" i="21" s="1"/>
  <c r="R18" i="22"/>
  <c r="R15" i="22"/>
  <c r="R14" i="22"/>
  <c r="R17" i="22"/>
  <c r="H12" i="20" s="1"/>
  <c r="R16" i="22"/>
  <c r="I27" i="22"/>
  <c r="I28" i="22"/>
  <c r="I22" i="22"/>
  <c r="I31" i="22"/>
  <c r="I29" i="22"/>
  <c r="I30" i="22"/>
  <c r="R88" i="18"/>
  <c r="R85" i="18"/>
  <c r="R87" i="18"/>
  <c r="R86" i="18"/>
  <c r="S52" i="21"/>
  <c r="S60" i="21"/>
  <c r="R75" i="18"/>
  <c r="S69" i="18"/>
  <c r="Q67" i="21" l="1"/>
  <c r="Q58" i="21" s="1"/>
  <c r="Q57" i="21" s="1"/>
  <c r="R70" i="21" s="1"/>
  <c r="R10" i="44"/>
  <c r="Q77" i="21"/>
  <c r="R87" i="21" s="1"/>
  <c r="I36" i="44"/>
  <c r="Q102" i="21"/>
  <c r="Q88" i="21"/>
  <c r="R84" i="18"/>
  <c r="R90" i="18" s="1"/>
  <c r="S23" i="21"/>
  <c r="S51" i="18"/>
  <c r="S59" i="18"/>
  <c r="R69" i="21" l="1"/>
  <c r="Q85" i="21"/>
  <c r="Q84" i="21"/>
  <c r="R5" i="44"/>
  <c r="Q86" i="21"/>
  <c r="Q83" i="21"/>
  <c r="O36" i="44"/>
  <c r="S36" i="44" s="1" a="1"/>
  <c r="S36" i="44" s="1"/>
  <c r="P36" i="44"/>
  <c r="R36" i="44" s="1"/>
  <c r="R6" i="44"/>
  <c r="J36" i="44" a="1"/>
  <c r="J36" i="44" s="1"/>
  <c r="V36" i="44" s="1"/>
  <c r="K36" i="44" a="1"/>
  <c r="K36" i="44" s="1"/>
  <c r="M36" i="44" a="1"/>
  <c r="M36" i="44" s="1"/>
  <c r="L36" i="44" a="1"/>
  <c r="L36" i="44" s="1"/>
  <c r="R61" i="44"/>
  <c r="Q101" i="21"/>
  <c r="R89" i="18"/>
  <c r="S93" i="18"/>
  <c r="S94" i="18" s="1"/>
  <c r="S92" i="18" s="1"/>
  <c r="S30" i="21"/>
  <c r="S24" i="21"/>
  <c r="S22" i="18"/>
  <c r="T36" i="44" l="1"/>
  <c r="W36" i="44"/>
  <c r="R59" i="44"/>
  <c r="R58" i="44"/>
  <c r="Q36" i="44" a="1"/>
  <c r="Q36" i="44" s="1"/>
  <c r="R60" i="44"/>
  <c r="R110" i="21"/>
  <c r="R111" i="21" s="1"/>
  <c r="R109" i="21" s="1"/>
  <c r="Q106" i="21"/>
  <c r="R62" i="44" s="1"/>
  <c r="Q107" i="21"/>
  <c r="T16" i="44"/>
  <c r="S35" i="18"/>
  <c r="S62" i="21"/>
  <c r="T51" i="21"/>
  <c r="S29" i="18"/>
  <c r="S23" i="18"/>
  <c r="S97" i="18" s="1"/>
  <c r="S33" i="21"/>
  <c r="T18" i="44" s="1"/>
  <c r="F36" i="44" l="1"/>
  <c r="R113" i="21"/>
  <c r="R100" i="21" s="1"/>
  <c r="R36" i="21"/>
  <c r="S59" i="21"/>
  <c r="T8" i="44"/>
  <c r="S32" i="18"/>
  <c r="S67" i="18" s="1"/>
  <c r="S61" i="18"/>
  <c r="S58" i="18" s="1"/>
  <c r="T50" i="18"/>
  <c r="S13" i="44" l="1"/>
  <c r="R68" i="21"/>
  <c r="R90" i="21"/>
  <c r="R91" i="21" s="1"/>
  <c r="R95" i="21"/>
  <c r="S83" i="18"/>
  <c r="S68" i="18"/>
  <c r="S66" i="18" s="1"/>
  <c r="S57" i="18" s="1"/>
  <c r="S56" i="18" s="1"/>
  <c r="T27" i="44" s="1"/>
  <c r="R96" i="21" l="1"/>
  <c r="R103" i="21" s="1"/>
  <c r="R104" i="21"/>
  <c r="S10" i="44"/>
  <c r="R78" i="21"/>
  <c r="R77" i="21"/>
  <c r="S87" i="21" s="1"/>
  <c r="R67" i="21"/>
  <c r="R58" i="21" s="1"/>
  <c r="R57" i="21" s="1"/>
  <c r="R105" i="21"/>
  <c r="S79" i="18"/>
  <c r="S80" i="18" s="1"/>
  <c r="T69" i="18"/>
  <c r="S75" i="18"/>
  <c r="T52" i="21"/>
  <c r="T60" i="21"/>
  <c r="R102" i="21" l="1"/>
  <c r="S60" i="44" s="1"/>
  <c r="S61" i="44"/>
  <c r="S6" i="44"/>
  <c r="R88" i="21"/>
  <c r="S70" i="21"/>
  <c r="S5" i="44"/>
  <c r="R84" i="21"/>
  <c r="S69" i="21"/>
  <c r="R83" i="21"/>
  <c r="R85" i="21"/>
  <c r="R86" i="21"/>
  <c r="S85" i="18"/>
  <c r="S86" i="18"/>
  <c r="S87" i="18"/>
  <c r="S88" i="18"/>
  <c r="T23" i="21"/>
  <c r="T51" i="18"/>
  <c r="T59" i="18"/>
  <c r="R101" i="21" l="1"/>
  <c r="S84" i="18"/>
  <c r="S90" i="18" s="1"/>
  <c r="T22" i="18"/>
  <c r="T24" i="21"/>
  <c r="T30" i="21"/>
  <c r="R107" i="21" l="1"/>
  <c r="S58" i="44"/>
  <c r="S59" i="44"/>
  <c r="R106" i="21"/>
  <c r="S62" i="44" s="1"/>
  <c r="S110" i="21"/>
  <c r="S111" i="21" s="1"/>
  <c r="S109" i="21" s="1"/>
  <c r="S36" i="21" s="1"/>
  <c r="S89" i="18"/>
  <c r="T93" i="18"/>
  <c r="T94" i="18" s="1"/>
  <c r="T92" i="18" s="1"/>
  <c r="T35" i="18" s="1"/>
  <c r="U16" i="44"/>
  <c r="T62" i="21"/>
  <c r="U51" i="21"/>
  <c r="T33" i="21"/>
  <c r="T29" i="18"/>
  <c r="T23" i="18"/>
  <c r="S90" i="21" l="1"/>
  <c r="S91" i="21" s="1"/>
  <c r="S68" i="21"/>
  <c r="S67" i="21" s="1"/>
  <c r="S58" i="21" s="1"/>
  <c r="S57" i="21" s="1"/>
  <c r="T69" i="21" s="1"/>
  <c r="T13" i="44"/>
  <c r="S113" i="21"/>
  <c r="S100" i="21" s="1"/>
  <c r="T97" i="18"/>
  <c r="T59" i="21"/>
  <c r="U8" i="44"/>
  <c r="U18" i="44"/>
  <c r="T61" i="18"/>
  <c r="T58" i="18" s="1"/>
  <c r="U50" i="18"/>
  <c r="T32" i="18"/>
  <c r="T67" i="18" s="1"/>
  <c r="T10" i="44" l="1"/>
  <c r="S77" i="21"/>
  <c r="T6" i="44" s="1"/>
  <c r="S78" i="21"/>
  <c r="S88" i="21" s="1"/>
  <c r="S95" i="21"/>
  <c r="S96" i="21" s="1"/>
  <c r="S103" i="21" s="1"/>
  <c r="S85" i="21"/>
  <c r="S86" i="21"/>
  <c r="S83" i="21"/>
  <c r="S84" i="21"/>
  <c r="T70" i="21"/>
  <c r="T5" i="44"/>
  <c r="T83" i="18"/>
  <c r="T79" i="18" s="1"/>
  <c r="T80" i="18" s="1"/>
  <c r="T68" i="18"/>
  <c r="T66" i="18" s="1"/>
  <c r="T57" i="18" s="1"/>
  <c r="T56" i="18" s="1"/>
  <c r="T87" i="21" l="1"/>
  <c r="S102" i="21"/>
  <c r="S101" i="21" s="1"/>
  <c r="T58" i="44" s="1"/>
  <c r="S105" i="21"/>
  <c r="S104" i="21"/>
  <c r="T61" i="44" s="1"/>
  <c r="T60" i="44"/>
  <c r="U27" i="44"/>
  <c r="T75" i="18"/>
  <c r="U69" i="18"/>
  <c r="U60" i="21"/>
  <c r="U52" i="21"/>
  <c r="T88" i="18"/>
  <c r="T85" i="18"/>
  <c r="T87" i="18"/>
  <c r="T86" i="18"/>
  <c r="T59" i="44" l="1"/>
  <c r="S107" i="21"/>
  <c r="T110" i="21"/>
  <c r="T111" i="21" s="1"/>
  <c r="T109" i="21" s="1"/>
  <c r="T62" i="44"/>
  <c r="S106" i="21"/>
  <c r="T84" i="18"/>
  <c r="T90" i="18" s="1"/>
  <c r="U59" i="18"/>
  <c r="U51" i="18"/>
  <c r="U23" i="21"/>
  <c r="T113" i="21" l="1"/>
  <c r="T100" i="21" s="1"/>
  <c r="T95" i="21" s="1"/>
  <c r="T96" i="21" s="1"/>
  <c r="T36" i="21"/>
  <c r="U13" i="44"/>
  <c r="T89" i="18"/>
  <c r="U93" i="18"/>
  <c r="U94" i="18" s="1"/>
  <c r="U92" i="18" s="1"/>
  <c r="U30" i="21"/>
  <c r="U24" i="21"/>
  <c r="U22" i="18"/>
  <c r="T68" i="21" l="1"/>
  <c r="T67" i="21" s="1"/>
  <c r="T58" i="21" s="1"/>
  <c r="T57" i="21" s="1"/>
  <c r="T90" i="21"/>
  <c r="T91" i="21" s="1"/>
  <c r="T103" i="21"/>
  <c r="T104" i="21"/>
  <c r="U61" i="44" s="1"/>
  <c r="T102" i="21"/>
  <c r="T105" i="21"/>
  <c r="U10" i="44"/>
  <c r="V16" i="44"/>
  <c r="U35" i="18"/>
  <c r="U62" i="21"/>
  <c r="V51" i="21"/>
  <c r="U23" i="18"/>
  <c r="U97" i="18" s="1"/>
  <c r="U29" i="18"/>
  <c r="U33" i="21"/>
  <c r="T77" i="21" l="1"/>
  <c r="U87" i="21" s="1"/>
  <c r="T78" i="21"/>
  <c r="T88" i="21" s="1"/>
  <c r="T101" i="21"/>
  <c r="T106" i="21" s="1"/>
  <c r="U62" i="44" s="1"/>
  <c r="U60" i="44"/>
  <c r="T86" i="21"/>
  <c r="T85" i="21"/>
  <c r="T84" i="21"/>
  <c r="U70" i="21"/>
  <c r="T83" i="21"/>
  <c r="U5" i="44"/>
  <c r="V18" i="44"/>
  <c r="U59" i="21"/>
  <c r="V8" i="44"/>
  <c r="U69" i="21"/>
  <c r="U61" i="18"/>
  <c r="U58" i="18" s="1"/>
  <c r="V50" i="18"/>
  <c r="U32" i="18"/>
  <c r="U67" i="18" s="1"/>
  <c r="U6" i="44" l="1"/>
  <c r="U110" i="21"/>
  <c r="U111" i="21" s="1"/>
  <c r="U109" i="21" s="1"/>
  <c r="U36" i="21" s="1"/>
  <c r="T107" i="21"/>
  <c r="U59" i="44"/>
  <c r="U58" i="44"/>
  <c r="U83" i="18"/>
  <c r="U79" i="18" s="1"/>
  <c r="U80" i="18" s="1"/>
  <c r="U68" i="18"/>
  <c r="U66" i="18" s="1"/>
  <c r="U57" i="18" s="1"/>
  <c r="U56" i="18" s="1"/>
  <c r="V27" i="44" s="1"/>
  <c r="U113" i="21" l="1"/>
  <c r="U100" i="21" s="1"/>
  <c r="U95" i="21" s="1"/>
  <c r="U96" i="21" s="1"/>
  <c r="U102" i="21" s="1"/>
  <c r="V13" i="44"/>
  <c r="U90" i="21"/>
  <c r="U91" i="21" s="1"/>
  <c r="U68" i="21"/>
  <c r="V69" i="18"/>
  <c r="U75" i="18"/>
  <c r="U87" i="18"/>
  <c r="U88" i="18"/>
  <c r="U86" i="18"/>
  <c r="U85" i="18"/>
  <c r="V52" i="21"/>
  <c r="V60" i="21"/>
  <c r="U104" i="21" l="1"/>
  <c r="U105" i="21"/>
  <c r="U103" i="21"/>
  <c r="U101" i="21" s="1"/>
  <c r="V59" i="44" s="1"/>
  <c r="V58" i="44"/>
  <c r="V61" i="44"/>
  <c r="V10" i="44"/>
  <c r="U78" i="21"/>
  <c r="U77" i="21"/>
  <c r="V87" i="21" s="1"/>
  <c r="U67" i="21"/>
  <c r="U58" i="21" s="1"/>
  <c r="U57" i="21" s="1"/>
  <c r="V60" i="44"/>
  <c r="U84" i="18"/>
  <c r="V93" i="18" s="1"/>
  <c r="V94" i="18" s="1"/>
  <c r="V92" i="18" s="1"/>
  <c r="V23" i="21"/>
  <c r="V51" i="18"/>
  <c r="V59" i="18"/>
  <c r="U107" i="21" l="1"/>
  <c r="U106" i="21"/>
  <c r="V62" i="44" s="1"/>
  <c r="V110" i="21"/>
  <c r="V111" i="21" s="1"/>
  <c r="V70" i="21"/>
  <c r="U85" i="21"/>
  <c r="U86" i="21"/>
  <c r="U83" i="21"/>
  <c r="V5" i="44"/>
  <c r="U84" i="21"/>
  <c r="V6" i="44"/>
  <c r="U88" i="21"/>
  <c r="V109" i="21"/>
  <c r="U90" i="18"/>
  <c r="U89" i="18"/>
  <c r="V22" i="18"/>
  <c r="V24" i="21"/>
  <c r="V30" i="21"/>
  <c r="V35" i="18"/>
  <c r="V36" i="21" l="1"/>
  <c r="W16" i="44"/>
  <c r="V113" i="21"/>
  <c r="V62" i="21"/>
  <c r="W51" i="21"/>
  <c r="V33" i="21"/>
  <c r="V23" i="18"/>
  <c r="V97" i="18" s="1"/>
  <c r="V29" i="18"/>
  <c r="W13" i="44" l="1"/>
  <c r="V90" i="21"/>
  <c r="V91" i="21" s="1"/>
  <c r="V68" i="21"/>
  <c r="W10" i="44" s="1"/>
  <c r="W18" i="44"/>
  <c r="V59" i="21"/>
  <c r="W8" i="44"/>
  <c r="V100" i="21"/>
  <c r="V61" i="18"/>
  <c r="V58" i="18" s="1"/>
  <c r="W50" i="18"/>
  <c r="V69" i="21"/>
  <c r="V32" i="18"/>
  <c r="V67" i="18" s="1"/>
  <c r="V67" i="21" l="1"/>
  <c r="V58" i="21" s="1"/>
  <c r="V57" i="21" s="1"/>
  <c r="W5" i="44" s="1"/>
  <c r="V78" i="21"/>
  <c r="V88" i="21" s="1"/>
  <c r="V77" i="21"/>
  <c r="W87" i="21" s="1"/>
  <c r="V95" i="21"/>
  <c r="V96" i="21" s="1"/>
  <c r="V103" i="21" s="1"/>
  <c r="V83" i="18"/>
  <c r="V79" i="18" s="1"/>
  <c r="V80" i="18" s="1"/>
  <c r="V68" i="18"/>
  <c r="V66" i="18" s="1"/>
  <c r="V57" i="18" s="1"/>
  <c r="V56" i="18" s="1"/>
  <c r="W27" i="44" s="1"/>
  <c r="V85" i="21" l="1"/>
  <c r="V86" i="21"/>
  <c r="V83" i="21"/>
  <c r="V84" i="21"/>
  <c r="W6" i="44"/>
  <c r="W70" i="21"/>
  <c r="V104" i="21"/>
  <c r="V105" i="21"/>
  <c r="V102" i="21"/>
  <c r="V87" i="18"/>
  <c r="V86" i="18"/>
  <c r="V88" i="18"/>
  <c r="V75" i="18"/>
  <c r="W69" i="18"/>
  <c r="W60" i="21"/>
  <c r="W52" i="21"/>
  <c r="V85" i="18"/>
  <c r="W61" i="44" l="1"/>
  <c r="V101" i="21"/>
  <c r="W23" i="21"/>
  <c r="W30" i="21" s="1"/>
  <c r="W62" i="21" s="1"/>
  <c r="X8" i="44" s="1"/>
  <c r="V84" i="18"/>
  <c r="W93" i="18" s="1"/>
  <c r="W94" i="18" s="1"/>
  <c r="W92" i="18" s="1"/>
  <c r="W59" i="18"/>
  <c r="W51" i="18"/>
  <c r="V106" i="21" l="1"/>
  <c r="W62" i="44" s="1"/>
  <c r="W58" i="44"/>
  <c r="W110" i="21"/>
  <c r="W111" i="21" s="1"/>
  <c r="W109" i="21" s="1"/>
  <c r="W60" i="44"/>
  <c r="W59" i="44"/>
  <c r="V107" i="21"/>
  <c r="W24" i="21"/>
  <c r="W22" i="18"/>
  <c r="W23" i="18" s="1"/>
  <c r="W97" i="18" s="1"/>
  <c r="V89" i="18"/>
  <c r="V90" i="18"/>
  <c r="W59" i="21"/>
  <c r="W35" i="18"/>
  <c r="W36" i="21" l="1"/>
  <c r="X16" i="44"/>
  <c r="W113" i="21"/>
  <c r="W100" i="21" s="1"/>
  <c r="W33" i="21"/>
  <c r="W29" i="18"/>
  <c r="W61" i="18" s="1"/>
  <c r="W58" i="18" s="1"/>
  <c r="W32" i="18"/>
  <c r="W67" i="18" s="1"/>
  <c r="X13" i="44" l="1"/>
  <c r="W90" i="21"/>
  <c r="W91" i="21" s="1"/>
  <c r="W95" i="21"/>
  <c r="W96" i="21" s="1"/>
  <c r="W103" i="21" s="1"/>
  <c r="W68" i="21"/>
  <c r="W77" i="21" s="1"/>
  <c r="X18" i="44"/>
  <c r="W83" i="18"/>
  <c r="W79" i="18" s="1"/>
  <c r="W80" i="18" s="1"/>
  <c r="W85" i="18" s="1"/>
  <c r="W69" i="21"/>
  <c r="W68" i="18"/>
  <c r="W66" i="18" s="1"/>
  <c r="W57" i="18" s="1"/>
  <c r="W56" i="18" s="1"/>
  <c r="W105" i="21" l="1"/>
  <c r="W102" i="21"/>
  <c r="W101" i="21" s="1"/>
  <c r="W104" i="21"/>
  <c r="X61" i="44" s="1"/>
  <c r="W67" i="21"/>
  <c r="W58" i="21" s="1"/>
  <c r="W57" i="21" s="1"/>
  <c r="X27" i="44"/>
  <c r="J14" i="20"/>
  <c r="X6" i="44"/>
  <c r="W78" i="21"/>
  <c r="W88" i="21" s="1"/>
  <c r="X10" i="44"/>
  <c r="W87" i="18"/>
  <c r="W88" i="18"/>
  <c r="W86" i="18"/>
  <c r="W84" i="18" s="1"/>
  <c r="W75" i="18"/>
  <c r="G14" i="20" s="1"/>
  <c r="X5" i="44" l="1"/>
  <c r="W86" i="21"/>
  <c r="W85" i="21"/>
  <c r="W84" i="21"/>
  <c r="W83" i="21"/>
  <c r="W107" i="21"/>
  <c r="X58" i="44"/>
  <c r="X60" i="44"/>
  <c r="X59" i="44"/>
  <c r="W90" i="18"/>
  <c r="W89" i="18"/>
  <c r="W106" i="21"/>
  <c r="X62" i="44" s="1"/>
  <c r="H93" i="17"/>
  <c r="H94" i="17" s="1"/>
  <c r="H92" i="17" s="1"/>
  <c r="H97" i="17" s="1"/>
  <c r="H83" i="17" s="1"/>
  <c r="H35" i="17" l="1"/>
  <c r="H67" i="17" s="1"/>
  <c r="H66" i="17" s="1"/>
  <c r="H57" i="17" s="1"/>
  <c r="H56" i="17" s="1"/>
  <c r="I23" i="44" s="1"/>
  <c r="H79" i="17" l="1"/>
  <c r="H80" i="17" s="1"/>
  <c r="I69" i="17"/>
  <c r="I68" i="17"/>
  <c r="H87" i="17" l="1"/>
  <c r="H86" i="17"/>
  <c r="H85" i="17"/>
  <c r="H88" i="17"/>
  <c r="H84" i="17" l="1"/>
  <c r="I93" i="17" s="1"/>
  <c r="I94" i="17" s="1"/>
  <c r="I92" i="17" s="1"/>
  <c r="I97" i="17" s="1"/>
  <c r="I83" i="17" s="1"/>
  <c r="H89" i="17" l="1"/>
  <c r="H90" i="17"/>
  <c r="I35" i="17"/>
  <c r="I67" i="17" s="1"/>
  <c r="I66" i="17" s="1"/>
  <c r="I57" i="17" s="1"/>
  <c r="I56" i="17" s="1"/>
  <c r="J23" i="44" s="1"/>
  <c r="I79" i="17" l="1"/>
  <c r="I80" i="17" s="1"/>
  <c r="J68" i="17"/>
  <c r="J69" i="17"/>
  <c r="I87" i="17" l="1"/>
  <c r="I88" i="17"/>
  <c r="I86" i="17"/>
  <c r="I85" i="17"/>
  <c r="I84" i="17" l="1"/>
  <c r="J93" i="17" s="1"/>
  <c r="J94" i="17" s="1"/>
  <c r="J92" i="17" s="1"/>
  <c r="J97" i="17" s="1"/>
  <c r="J83" i="17" s="1"/>
  <c r="I89" i="17" l="1"/>
  <c r="I90" i="17"/>
  <c r="J35" i="17"/>
  <c r="J67" i="17" s="1"/>
  <c r="J66" i="17" s="1"/>
  <c r="J57" i="17" s="1"/>
  <c r="J56" i="17" s="1"/>
  <c r="K23" i="44" s="1"/>
  <c r="K37" i="17" l="1"/>
  <c r="K36" i="17"/>
  <c r="K68" i="17"/>
  <c r="K69" i="17"/>
  <c r="J79" i="17"/>
  <c r="J80" i="17" s="1"/>
  <c r="L24" i="44" l="1"/>
  <c r="L25" i="44"/>
  <c r="J88" i="17"/>
  <c r="J85" i="17"/>
  <c r="J87" i="17"/>
  <c r="J86" i="17"/>
  <c r="J84" i="17" l="1"/>
  <c r="J89" i="17" s="1"/>
  <c r="K93" i="17" l="1"/>
  <c r="K94" i="17" s="1"/>
  <c r="K92" i="17" s="1"/>
  <c r="K97" i="17" s="1"/>
  <c r="K83" i="17" s="1"/>
  <c r="J90" i="17"/>
  <c r="K35" i="17" l="1"/>
  <c r="K67" i="17" s="1"/>
  <c r="K66" i="17" s="1"/>
  <c r="K57" i="17" s="1"/>
  <c r="K56" i="17" s="1"/>
  <c r="K79" i="17"/>
  <c r="K80" i="17" s="1"/>
  <c r="L69" i="17" l="1"/>
  <c r="L23" i="44"/>
  <c r="K75" i="17"/>
  <c r="L68" i="17"/>
  <c r="K86" i="17"/>
  <c r="K88" i="17"/>
  <c r="K85" i="17"/>
  <c r="K87" i="17"/>
  <c r="K84" i="17" l="1"/>
  <c r="K90" i="17" s="1"/>
  <c r="K89" i="17" l="1"/>
  <c r="L93" i="17"/>
  <c r="L94" i="17" s="1"/>
  <c r="L92" i="17" s="1"/>
  <c r="L97" i="17" s="1"/>
  <c r="L83" i="17" s="1"/>
  <c r="L79" i="17" l="1"/>
  <c r="L80" i="17" s="1"/>
  <c r="L35" i="17"/>
  <c r="L67" i="17" s="1"/>
  <c r="L66" i="17" s="1"/>
  <c r="L57" i="17" s="1"/>
  <c r="L56" i="17" s="1"/>
  <c r="L75" i="17" l="1"/>
  <c r="M23" i="44"/>
  <c r="M69" i="17"/>
  <c r="M68" i="17"/>
  <c r="L87" i="17"/>
  <c r="L86" i="17"/>
  <c r="L85" i="17"/>
  <c r="L88" i="17"/>
  <c r="L84" i="17" l="1"/>
  <c r="L89" i="17" s="1"/>
  <c r="M93" i="17" l="1"/>
  <c r="M94" i="17" s="1"/>
  <c r="M92" i="17" s="1"/>
  <c r="M97" i="17" s="1"/>
  <c r="M83" i="17" s="1"/>
  <c r="L90" i="17"/>
  <c r="M35" i="17" l="1"/>
  <c r="M67" i="17" s="1"/>
  <c r="M66" i="17" s="1"/>
  <c r="M57" i="17" s="1"/>
  <c r="M56" i="17" s="1"/>
  <c r="N69" i="17" l="1"/>
  <c r="N23" i="44"/>
  <c r="M79" i="17"/>
  <c r="M80" i="17" s="1"/>
  <c r="M86" i="17" s="1"/>
  <c r="N37" i="17"/>
  <c r="N36" i="17"/>
  <c r="M75" i="17"/>
  <c r="N68" i="17"/>
  <c r="O24" i="44" l="1"/>
  <c r="O25" i="44"/>
  <c r="M85" i="17"/>
  <c r="M84" i="17" s="1"/>
  <c r="M88" i="17"/>
  <c r="M87" i="17"/>
  <c r="M90" i="17" l="1"/>
  <c r="N93" i="17"/>
  <c r="N94" i="17" s="1"/>
  <c r="N92" i="17" s="1"/>
  <c r="N97" i="17" s="1"/>
  <c r="N83" i="17" s="1"/>
  <c r="N79" i="17" s="1"/>
  <c r="M89" i="17"/>
  <c r="N35" i="17" l="1"/>
  <c r="N67" i="17" s="1"/>
  <c r="N66" i="17" s="1"/>
  <c r="N57" i="17" s="1"/>
  <c r="N56" i="17" s="1"/>
  <c r="N80" i="17"/>
  <c r="N86" i="17" s="1"/>
  <c r="N87" i="17"/>
  <c r="N88" i="17"/>
  <c r="O68" i="17" l="1"/>
  <c r="O23" i="44"/>
  <c r="O69" i="17"/>
  <c r="N75" i="17"/>
  <c r="N85" i="17"/>
  <c r="N84" i="17" s="1"/>
  <c r="N89" i="17" l="1"/>
  <c r="N90" i="17"/>
  <c r="O93" i="17"/>
  <c r="O94" i="17" s="1"/>
  <c r="O92" i="17" s="1"/>
  <c r="O97" i="17" s="1"/>
  <c r="O83" i="17" s="1"/>
  <c r="O35" i="17" l="1"/>
  <c r="O67" i="17" s="1"/>
  <c r="O66" i="17" s="1"/>
  <c r="O57" i="17" s="1"/>
  <c r="O56" i="17" s="1"/>
  <c r="O79" i="17"/>
  <c r="O80" i="17" s="1"/>
  <c r="P68" i="17" l="1"/>
  <c r="P23" i="44"/>
  <c r="P69" i="17"/>
  <c r="O75" i="17"/>
  <c r="O87" i="17"/>
  <c r="O86" i="17"/>
  <c r="O88" i="17"/>
  <c r="O85" i="17"/>
  <c r="O84" i="17" l="1"/>
  <c r="P93" i="17" s="1"/>
  <c r="P94" i="17" s="1"/>
  <c r="P92" i="17" s="1"/>
  <c r="P97" i="17" s="1"/>
  <c r="P83" i="17" s="1"/>
  <c r="O89" i="17" l="1"/>
  <c r="O90" i="17"/>
  <c r="P35" i="17"/>
  <c r="P67" i="17" s="1"/>
  <c r="P66" i="17" s="1"/>
  <c r="P57" i="17" s="1"/>
  <c r="P56" i="17" s="1"/>
  <c r="Q23" i="44" s="1"/>
  <c r="Q68" i="17" l="1"/>
  <c r="Q69" i="17"/>
  <c r="P75" i="17"/>
  <c r="P79" i="17"/>
  <c r="P80" i="17" s="1"/>
  <c r="P88" i="17" l="1"/>
  <c r="P87" i="17"/>
  <c r="P85" i="17"/>
  <c r="P86" i="17"/>
  <c r="P84" i="17" l="1"/>
  <c r="P90" i="17" l="1"/>
  <c r="Q93" i="17"/>
  <c r="Q94" i="17" s="1"/>
  <c r="Q92" i="17" s="1"/>
  <c r="Q97" i="17" s="1"/>
  <c r="Q83" i="17" s="1"/>
  <c r="P89" i="17"/>
  <c r="Q35" i="17" l="1"/>
  <c r="Q67" i="17" s="1"/>
  <c r="Q66" i="17" s="1"/>
  <c r="Q57" i="17" s="1"/>
  <c r="Q56" i="17" s="1"/>
  <c r="R23" i="44" s="1"/>
  <c r="R68" i="17" l="1"/>
  <c r="R69" i="17"/>
  <c r="Q75" i="17"/>
  <c r="Q79" i="17"/>
  <c r="Q80" i="17" s="1"/>
  <c r="Q85" i="17" l="1"/>
  <c r="Q87" i="17"/>
  <c r="Q88" i="17"/>
  <c r="Q86" i="17"/>
  <c r="Q84" i="17" l="1"/>
  <c r="R93" i="17" l="1"/>
  <c r="R94" i="17" s="1"/>
  <c r="R92" i="17" s="1"/>
  <c r="R97" i="17" s="1"/>
  <c r="R83" i="17" s="1"/>
  <c r="Q90" i="17"/>
  <c r="Q89" i="17"/>
  <c r="R35" i="17" l="1"/>
  <c r="R67" i="17" s="1"/>
  <c r="R66" i="17" s="1"/>
  <c r="R57" i="17" s="1"/>
  <c r="R56" i="17" s="1"/>
  <c r="S23" i="44" s="1"/>
  <c r="R75" i="17" l="1"/>
  <c r="S69" i="17"/>
  <c r="S68" i="17"/>
  <c r="R79" i="17"/>
  <c r="R80" i="17" s="1"/>
  <c r="R87" i="17" l="1"/>
  <c r="R88" i="17"/>
  <c r="R86" i="17"/>
  <c r="R85" i="17"/>
  <c r="R84" i="17" l="1"/>
  <c r="R90" i="17" s="1"/>
  <c r="R89" i="17" l="1"/>
  <c r="S93" i="17"/>
  <c r="S94" i="17" s="1"/>
  <c r="S92" i="17" s="1"/>
  <c r="S97" i="17" s="1"/>
  <c r="S83" i="17" s="1"/>
  <c r="S35" i="17" l="1"/>
  <c r="S67" i="17" s="1"/>
  <c r="S66" i="17" s="1"/>
  <c r="S57" i="17" s="1"/>
  <c r="S56" i="17" s="1"/>
  <c r="S79" i="17"/>
  <c r="S80" i="17" s="1"/>
  <c r="T68" i="17" l="1"/>
  <c r="T23" i="44"/>
  <c r="S75" i="17"/>
  <c r="T69" i="17"/>
  <c r="S87" i="17"/>
  <c r="S86" i="17"/>
  <c r="S88" i="17"/>
  <c r="S85" i="17"/>
  <c r="S84" i="17" l="1"/>
  <c r="S90" i="17" s="1"/>
  <c r="S89" i="17" l="1"/>
  <c r="T93" i="17"/>
  <c r="T94" i="17" s="1"/>
  <c r="T92" i="17" s="1"/>
  <c r="T97" i="17" s="1"/>
  <c r="T83" i="17" s="1"/>
  <c r="T79" i="17" l="1"/>
  <c r="T80" i="17" s="1"/>
  <c r="T35" i="17"/>
  <c r="T67" i="17" s="1"/>
  <c r="T66" i="17" s="1"/>
  <c r="T57" i="17" s="1"/>
  <c r="T56" i="17" s="1"/>
  <c r="U23" i="44" s="1"/>
  <c r="U69" i="17" l="1"/>
  <c r="U68" i="17"/>
  <c r="T75" i="17"/>
  <c r="T85" i="17"/>
  <c r="T88" i="17"/>
  <c r="T86" i="17"/>
  <c r="T87" i="17"/>
  <c r="T84" i="17" l="1"/>
  <c r="T90" i="17" l="1"/>
  <c r="U93" i="17"/>
  <c r="U94" i="17" s="1"/>
  <c r="U92" i="17" s="1"/>
  <c r="U97" i="17" s="1"/>
  <c r="U83" i="17" s="1"/>
  <c r="T89" i="17"/>
  <c r="U35" i="17" l="1"/>
  <c r="U67" i="17" s="1"/>
  <c r="U66" i="17" s="1"/>
  <c r="U57" i="17" s="1"/>
  <c r="U56" i="17" s="1"/>
  <c r="V23" i="44" s="1"/>
  <c r="U79" i="17" l="1"/>
  <c r="U80" i="17" s="1"/>
  <c r="V69" i="17"/>
  <c r="U75" i="17"/>
  <c r="V68" i="17"/>
  <c r="U87" i="17" l="1"/>
  <c r="U85" i="17"/>
  <c r="U86" i="17"/>
  <c r="U88" i="17"/>
  <c r="U84" i="17" l="1"/>
  <c r="U89" i="17" s="1"/>
  <c r="V93" i="17" l="1"/>
  <c r="V94" i="17" s="1"/>
  <c r="V92" i="17" s="1"/>
  <c r="V97" i="17" s="1"/>
  <c r="V83" i="17" s="1"/>
  <c r="U90" i="17"/>
  <c r="V35" i="17" l="1"/>
  <c r="V67" i="17" s="1"/>
  <c r="V66" i="17" s="1"/>
  <c r="V57" i="17" s="1"/>
  <c r="V56" i="17" s="1"/>
  <c r="V79" i="17"/>
  <c r="V80" i="17" s="1"/>
  <c r="V75" i="17" l="1"/>
  <c r="W23" i="44"/>
  <c r="W69" i="17"/>
  <c r="W68" i="17"/>
  <c r="V85" i="17"/>
  <c r="V88" i="17"/>
  <c r="V87" i="17"/>
  <c r="V86" i="17"/>
  <c r="V84" i="17" l="1"/>
  <c r="W93" i="17" s="1"/>
  <c r="W94" i="17" s="1"/>
  <c r="W92" i="17" s="1"/>
  <c r="W97" i="17" s="1"/>
  <c r="W83" i="17" s="1"/>
  <c r="W79" i="17" l="1"/>
  <c r="W35" i="17"/>
  <c r="W67" i="17" s="1"/>
  <c r="W66" i="17" s="1"/>
  <c r="W57" i="17" s="1"/>
  <c r="W56" i="17" s="1"/>
  <c r="X23" i="44" s="1"/>
  <c r="V90" i="17"/>
  <c r="V89" i="17"/>
  <c r="W75" i="17" l="1"/>
  <c r="G13" i="20" s="1"/>
  <c r="J13" i="20"/>
  <c r="W80" i="17"/>
  <c r="W85" i="17" s="1"/>
  <c r="W87" i="17"/>
  <c r="W88" i="17"/>
  <c r="W86" i="17" l="1"/>
  <c r="W84" i="17" s="1"/>
  <c r="W90" i="17" s="1"/>
  <c r="W89" i="17" l="1"/>
  <c r="H94" i="19"/>
  <c r="H95" i="19" s="1"/>
  <c r="H93" i="19" s="1"/>
  <c r="H98" i="19" s="1"/>
  <c r="H84" i="19" s="1"/>
  <c r="H36" i="19" l="1"/>
  <c r="H68" i="19" s="1"/>
  <c r="H67" i="19" s="1"/>
  <c r="H58" i="19" s="1"/>
  <c r="H57" i="19" s="1"/>
  <c r="I30" i="44" s="1"/>
  <c r="H80" i="19" l="1"/>
  <c r="H81" i="19" s="1"/>
  <c r="I70" i="19"/>
  <c r="I69" i="19"/>
  <c r="H87" i="19" l="1"/>
  <c r="H88" i="19"/>
  <c r="H89" i="19"/>
  <c r="H86" i="19"/>
  <c r="H85" i="19" l="1"/>
  <c r="I94" i="19" s="1"/>
  <c r="I95" i="19" s="1"/>
  <c r="I93" i="19" s="1"/>
  <c r="I98" i="19" s="1"/>
  <c r="I84" i="19" s="1"/>
  <c r="I36" i="19" l="1"/>
  <c r="I68" i="19" s="1"/>
  <c r="I67" i="19" s="1"/>
  <c r="I58" i="19" s="1"/>
  <c r="I57" i="19" s="1"/>
  <c r="H90" i="19"/>
  <c r="I80" i="19"/>
  <c r="H91" i="19"/>
  <c r="J69" i="19" l="1"/>
  <c r="J30" i="44"/>
  <c r="J70" i="19"/>
  <c r="I81" i="19"/>
  <c r="I86" i="19" s="1"/>
  <c r="I89" i="19"/>
  <c r="I88" i="19"/>
  <c r="I87" i="19" l="1"/>
  <c r="I85" i="19" s="1"/>
  <c r="I91" i="19" s="1"/>
  <c r="J94" i="19" l="1"/>
  <c r="J95" i="19" s="1"/>
  <c r="J93" i="19" s="1"/>
  <c r="J98" i="19" s="1"/>
  <c r="J84" i="19" s="1"/>
  <c r="I90" i="19"/>
  <c r="J36" i="19" l="1"/>
  <c r="J68" i="19" s="1"/>
  <c r="J67" i="19" s="1"/>
  <c r="J58" i="19" s="1"/>
  <c r="J57" i="19" s="1"/>
  <c r="J80" i="19"/>
  <c r="J81" i="19" s="1"/>
  <c r="K70" i="19" l="1"/>
  <c r="K30" i="44"/>
  <c r="K69" i="19"/>
  <c r="J87" i="19"/>
  <c r="J89" i="19"/>
  <c r="J86" i="19"/>
  <c r="J88" i="19"/>
  <c r="J85" i="19" l="1"/>
  <c r="K94" i="19" s="1"/>
  <c r="K95" i="19" s="1"/>
  <c r="K93" i="19" s="1"/>
  <c r="K98" i="19" s="1"/>
  <c r="K84" i="19" s="1"/>
  <c r="K36" i="19" l="1"/>
  <c r="K68" i="19" s="1"/>
  <c r="K67" i="19" s="1"/>
  <c r="K58" i="19" s="1"/>
  <c r="K57" i="19" s="1"/>
  <c r="J91" i="19"/>
  <c r="J90" i="19"/>
  <c r="K80" i="19"/>
  <c r="L70" i="19" l="1"/>
  <c r="L30" i="44"/>
  <c r="L69" i="19"/>
  <c r="K76" i="19"/>
  <c r="K81" i="19"/>
  <c r="K86" i="19" s="1"/>
  <c r="K88" i="19"/>
  <c r="K89" i="19"/>
  <c r="K87" i="19" l="1"/>
  <c r="K85" i="19" s="1"/>
  <c r="K91" i="19" s="1"/>
  <c r="K90" i="19" l="1"/>
  <c r="L94" i="19"/>
  <c r="L95" i="19" s="1"/>
  <c r="L93" i="19" s="1"/>
  <c r="L98" i="19" s="1"/>
  <c r="L84" i="19" s="1"/>
  <c r="L36" i="19" l="1"/>
  <c r="L68" i="19" s="1"/>
  <c r="L67" i="19" s="1"/>
  <c r="L58" i="19" s="1"/>
  <c r="L57" i="19" s="1"/>
  <c r="L80" i="19"/>
  <c r="L81" i="19" s="1"/>
  <c r="L87" i="19" s="1"/>
  <c r="M69" i="19" l="1"/>
  <c r="M30" i="44"/>
  <c r="M70" i="19"/>
  <c r="L76" i="19"/>
  <c r="L89" i="19"/>
  <c r="L86" i="19"/>
  <c r="L85" i="19" s="1"/>
  <c r="L88" i="19"/>
  <c r="M94" i="19" l="1"/>
  <c r="M95" i="19" s="1"/>
  <c r="M93" i="19" s="1"/>
  <c r="M98" i="19" s="1"/>
  <c r="M84" i="19" s="1"/>
  <c r="L90" i="19"/>
  <c r="L91" i="19"/>
  <c r="M36" i="19" l="1"/>
  <c r="M68" i="19" s="1"/>
  <c r="M67" i="19" s="1"/>
  <c r="M58" i="19" s="1"/>
  <c r="M57" i="19" s="1"/>
  <c r="M80" i="19"/>
  <c r="M81" i="19" s="1"/>
  <c r="M87" i="19" s="1"/>
  <c r="N70" i="19" l="1"/>
  <c r="N30" i="44"/>
  <c r="M76" i="19"/>
  <c r="N69" i="19"/>
  <c r="M88" i="19"/>
  <c r="M89" i="19"/>
  <c r="M86" i="19"/>
  <c r="M85" i="19" s="1"/>
  <c r="N94" i="19" l="1"/>
  <c r="N95" i="19" s="1"/>
  <c r="N93" i="19" s="1"/>
  <c r="N98" i="19" s="1"/>
  <c r="N84" i="19" s="1"/>
  <c r="M91" i="19"/>
  <c r="M90" i="19"/>
  <c r="N36" i="19" l="1"/>
  <c r="N68" i="19" s="1"/>
  <c r="N67" i="19" s="1"/>
  <c r="N58" i="19" s="1"/>
  <c r="N57" i="19" s="1"/>
  <c r="N80" i="19"/>
  <c r="N81" i="19" s="1"/>
  <c r="O70" i="19" l="1"/>
  <c r="O30" i="44"/>
  <c r="O69" i="19"/>
  <c r="N76" i="19"/>
  <c r="N89" i="19"/>
  <c r="N87" i="19"/>
  <c r="N88" i="19"/>
  <c r="N86" i="19"/>
  <c r="N85" i="19" l="1"/>
  <c r="O94" i="19" s="1"/>
  <c r="O95" i="19" s="1"/>
  <c r="O93" i="19" s="1"/>
  <c r="O98" i="19" s="1"/>
  <c r="O84" i="19" s="1"/>
  <c r="N90" i="19" l="1"/>
  <c r="N91" i="19"/>
  <c r="O36" i="19"/>
  <c r="O68" i="19" s="1"/>
  <c r="O67" i="19" s="1"/>
  <c r="O58" i="19" s="1"/>
  <c r="O57" i="19" s="1"/>
  <c r="P30" i="44" s="1"/>
  <c r="O80" i="19" l="1"/>
  <c r="O81" i="19" s="1"/>
  <c r="P69" i="19"/>
  <c r="O76" i="19"/>
  <c r="P70" i="19"/>
  <c r="O88" i="19" l="1"/>
  <c r="O87" i="19"/>
  <c r="O89" i="19"/>
  <c r="O86" i="19"/>
  <c r="O85" i="19" l="1"/>
  <c r="P94" i="19" s="1"/>
  <c r="P95" i="19" s="1"/>
  <c r="P93" i="19" s="1"/>
  <c r="P98" i="19" s="1"/>
  <c r="P84" i="19" s="1"/>
  <c r="O90" i="19" l="1"/>
  <c r="O91" i="19"/>
  <c r="P36" i="19"/>
  <c r="P68" i="19" s="1"/>
  <c r="P67" i="19" s="1"/>
  <c r="P58" i="19" s="1"/>
  <c r="P57" i="19" s="1"/>
  <c r="Q30" i="44" s="1"/>
  <c r="P80" i="19" l="1"/>
  <c r="P81" i="19" s="1"/>
  <c r="Q70" i="19"/>
  <c r="P76" i="19"/>
  <c r="Q69" i="19"/>
  <c r="P86" i="19" l="1"/>
  <c r="P88" i="19"/>
  <c r="P87" i="19"/>
  <c r="P89" i="19"/>
  <c r="P85" i="19" l="1"/>
  <c r="Q94" i="19" s="1"/>
  <c r="Q95" i="19" s="1"/>
  <c r="Q93" i="19" s="1"/>
  <c r="Q98" i="19" s="1"/>
  <c r="Q84" i="19" s="1"/>
  <c r="P91" i="19" l="1"/>
  <c r="P90" i="19"/>
  <c r="Q80" i="19"/>
  <c r="Q36" i="19"/>
  <c r="Q68" i="19" s="1"/>
  <c r="Q67" i="19" s="1"/>
  <c r="Q58" i="19" s="1"/>
  <c r="Q57" i="19" s="1"/>
  <c r="R70" i="19" l="1"/>
  <c r="R30" i="44"/>
  <c r="Q81" i="19"/>
  <c r="Q87" i="19" s="1"/>
  <c r="Q76" i="19"/>
  <c r="R69" i="19"/>
  <c r="Q89" i="19"/>
  <c r="Q88" i="19"/>
  <c r="Q86" i="19" l="1"/>
  <c r="Q85" i="19" s="1"/>
  <c r="Q91" i="19" s="1"/>
  <c r="Q90" i="19" l="1"/>
  <c r="R94" i="19"/>
  <c r="R95" i="19" s="1"/>
  <c r="R93" i="19" s="1"/>
  <c r="R98" i="19" s="1"/>
  <c r="R84" i="19" s="1"/>
  <c r="R36" i="19" l="1"/>
  <c r="R68" i="19" s="1"/>
  <c r="R67" i="19" s="1"/>
  <c r="R58" i="19" s="1"/>
  <c r="R57" i="19" s="1"/>
  <c r="R80" i="19"/>
  <c r="R81" i="19" s="1"/>
  <c r="S70" i="19" l="1"/>
  <c r="S30" i="44"/>
  <c r="S69" i="19"/>
  <c r="R76" i="19"/>
  <c r="R88" i="19"/>
  <c r="R87" i="19"/>
  <c r="R86" i="19"/>
  <c r="R89" i="19"/>
  <c r="R85" i="19" l="1"/>
  <c r="S94" i="19" l="1"/>
  <c r="S95" i="19" s="1"/>
  <c r="S93" i="19" s="1"/>
  <c r="S98" i="19" s="1"/>
  <c r="S84" i="19" s="1"/>
  <c r="R91" i="19"/>
  <c r="R90" i="19"/>
  <c r="S36" i="19" l="1"/>
  <c r="S68" i="19" s="1"/>
  <c r="S67" i="19" s="1"/>
  <c r="S58" i="19" s="1"/>
  <c r="S57" i="19" s="1"/>
  <c r="T30" i="44" s="1"/>
  <c r="S80" i="19"/>
  <c r="S81" i="19" s="1"/>
  <c r="S88" i="19" l="1"/>
  <c r="S87" i="19"/>
  <c r="S86" i="19"/>
  <c r="S89" i="19"/>
  <c r="T69" i="19"/>
  <c r="T70" i="19"/>
  <c r="S76" i="19"/>
  <c r="S85" i="19" l="1"/>
  <c r="T94" i="19" s="1"/>
  <c r="T95" i="19" s="1"/>
  <c r="T93" i="19" s="1"/>
  <c r="T98" i="19" s="1"/>
  <c r="T84" i="19" s="1"/>
  <c r="T36" i="19" l="1"/>
  <c r="T68" i="19" s="1"/>
  <c r="T67" i="19" s="1"/>
  <c r="T58" i="19" s="1"/>
  <c r="T57" i="19" s="1"/>
  <c r="S91" i="19"/>
  <c r="S90" i="19"/>
  <c r="T80" i="19"/>
  <c r="U70" i="19" l="1"/>
  <c r="U30" i="44"/>
  <c r="T76" i="19"/>
  <c r="U69" i="19"/>
  <c r="T81" i="19"/>
  <c r="T86" i="19" s="1"/>
  <c r="T88" i="19"/>
  <c r="T89" i="19"/>
  <c r="T87" i="19" l="1"/>
  <c r="T85" i="19" s="1"/>
  <c r="U94" i="19" s="1"/>
  <c r="U95" i="19" s="1"/>
  <c r="U93" i="19" s="1"/>
  <c r="U98" i="19" s="1"/>
  <c r="U84" i="19" s="1"/>
  <c r="T90" i="19" l="1"/>
  <c r="T91" i="19"/>
  <c r="U36" i="19"/>
  <c r="U68" i="19" s="1"/>
  <c r="U67" i="19" s="1"/>
  <c r="U58" i="19" s="1"/>
  <c r="U57" i="19" s="1"/>
  <c r="V30" i="44" s="1"/>
  <c r="U80" i="19" l="1"/>
  <c r="U81" i="19" s="1"/>
  <c r="V69" i="19"/>
  <c r="V70" i="19"/>
  <c r="U76" i="19"/>
  <c r="U88" i="19" l="1"/>
  <c r="U86" i="19"/>
  <c r="U89" i="19"/>
  <c r="U87" i="19"/>
  <c r="U85" i="19" l="1"/>
  <c r="V94" i="19" s="1"/>
  <c r="V95" i="19" s="1"/>
  <c r="V93" i="19" s="1"/>
  <c r="V98" i="19" l="1"/>
  <c r="V84" i="19" s="1"/>
  <c r="U90" i="19"/>
  <c r="U91" i="19"/>
  <c r="V36" i="19"/>
  <c r="V68" i="19" s="1"/>
  <c r="V67" i="19" s="1"/>
  <c r="V58" i="19" s="1"/>
  <c r="V57" i="19" s="1"/>
  <c r="W30" i="44" s="1"/>
  <c r="V80" i="19" l="1"/>
  <c r="V81" i="19" s="1"/>
  <c r="W70" i="19"/>
  <c r="W69" i="19"/>
  <c r="V76" i="19"/>
  <c r="V88" i="19" l="1"/>
  <c r="V89" i="19"/>
  <c r="V87" i="19"/>
  <c r="V86" i="19"/>
  <c r="V85" i="19" l="1"/>
  <c r="W94" i="19" s="1"/>
  <c r="W95" i="19" s="1"/>
  <c r="W93" i="19" s="1"/>
  <c r="W98" i="19" l="1"/>
  <c r="W84" i="19" s="1"/>
  <c r="V90" i="19"/>
  <c r="V91" i="19"/>
  <c r="W36" i="19"/>
  <c r="W68" i="19" s="1"/>
  <c r="W67" i="19" s="1"/>
  <c r="W58" i="19" s="1"/>
  <c r="W57" i="19" s="1"/>
  <c r="J15" i="20" l="1"/>
  <c r="X30" i="44"/>
  <c r="W76" i="19"/>
  <c r="G15" i="20" s="1"/>
  <c r="W80" i="19"/>
  <c r="W81" i="19" s="1"/>
  <c r="H3" i="20" l="1"/>
  <c r="W88" i="19"/>
  <c r="W86" i="19"/>
  <c r="W89" i="19"/>
  <c r="W87" i="19"/>
  <c r="W85" i="19" l="1"/>
  <c r="W91" i="19" s="1"/>
  <c r="W90" i="19" l="1"/>
  <c r="H96" i="9"/>
  <c r="H101" i="9" l="1"/>
  <c r="H87" i="9" s="1"/>
  <c r="H83" i="9" s="1"/>
  <c r="H84" i="9" s="1"/>
  <c r="H90" i="9" s="1"/>
  <c r="H35" i="9"/>
  <c r="H67" i="9" s="1"/>
  <c r="H77" i="9" s="1"/>
  <c r="I48" i="44"/>
  <c r="H91" i="9" l="1"/>
  <c r="H66" i="9"/>
  <c r="H57" i="9" s="1"/>
  <c r="H56" i="9" s="1"/>
  <c r="I41" i="44" s="1"/>
  <c r="H92" i="9"/>
  <c r="H76" i="9"/>
  <c r="I42" i="44" s="1"/>
  <c r="I45" i="44"/>
  <c r="H89" i="9"/>
  <c r="H88" i="9" s="1"/>
  <c r="H94" i="9" l="1"/>
  <c r="I68" i="9"/>
  <c r="I69" i="9"/>
  <c r="H93" i="9"/>
  <c r="I97" i="9"/>
  <c r="I98" i="9" s="1"/>
  <c r="I96" i="9" l="1"/>
  <c r="I101" i="9" l="1"/>
  <c r="I87" i="9" s="1"/>
  <c r="I35" i="9"/>
  <c r="I67" i="9" l="1"/>
  <c r="J45" i="44" s="1"/>
  <c r="J48" i="44"/>
  <c r="I83" i="9"/>
  <c r="I84" i="9" s="1"/>
  <c r="I89" i="9" s="1"/>
  <c r="I77" i="9" l="1"/>
  <c r="I76" i="9"/>
  <c r="J42" i="44" s="1"/>
  <c r="I66" i="9"/>
  <c r="I57" i="9" s="1"/>
  <c r="I56" i="9" s="1"/>
  <c r="J68" i="9" s="1"/>
  <c r="I90" i="9"/>
  <c r="I88" i="9" s="1"/>
  <c r="I92" i="9"/>
  <c r="I91" i="9"/>
  <c r="J41" i="44"/>
  <c r="J69" i="9" l="1"/>
  <c r="J97" i="9"/>
  <c r="J98" i="9" s="1"/>
  <c r="J96" i="9" s="1"/>
  <c r="J101" i="9" s="1"/>
  <c r="J87" i="9" s="1"/>
  <c r="I94" i="9"/>
  <c r="I93" i="9"/>
  <c r="J35" i="9" l="1"/>
  <c r="J67" i="9" s="1"/>
  <c r="J77" i="9" s="1"/>
  <c r="J83" i="9"/>
  <c r="J84" i="9" s="1"/>
  <c r="J90" i="9" s="1"/>
  <c r="K48" i="44" l="1"/>
  <c r="J66" i="9"/>
  <c r="J57" i="9" s="1"/>
  <c r="J56" i="9" s="1"/>
  <c r="K41" i="44" s="1"/>
  <c r="J76" i="9"/>
  <c r="K42" i="44" s="1"/>
  <c r="K45" i="44"/>
  <c r="J92" i="9"/>
  <c r="J89" i="9"/>
  <c r="J88" i="9" s="1"/>
  <c r="J91" i="9"/>
  <c r="K69" i="9"/>
  <c r="K68" i="9" l="1"/>
  <c r="K97" i="9"/>
  <c r="K98" i="9" s="1"/>
  <c r="K96" i="9" s="1"/>
  <c r="J93" i="9"/>
  <c r="J94" i="9"/>
  <c r="K101" i="9" l="1"/>
  <c r="K87" i="9" s="1"/>
  <c r="K35" i="9"/>
  <c r="K67" i="9" l="1"/>
  <c r="K77" i="9" s="1"/>
  <c r="L48" i="44"/>
  <c r="K83" i="9"/>
  <c r="K84" i="9" s="1"/>
  <c r="K89" i="9" s="1"/>
  <c r="K66" i="9"/>
  <c r="K57" i="9" s="1"/>
  <c r="K56" i="9" s="1"/>
  <c r="L41" i="44" s="1"/>
  <c r="K76" i="9" l="1"/>
  <c r="L42" i="44" s="1"/>
  <c r="L45" i="44"/>
  <c r="K92" i="9"/>
  <c r="K91" i="9"/>
  <c r="K90" i="9"/>
  <c r="K88" i="9" s="1"/>
  <c r="L68" i="9"/>
  <c r="L69" i="9"/>
  <c r="L97" i="9" l="1"/>
  <c r="L98" i="9" s="1"/>
  <c r="L96" i="9" s="1"/>
  <c r="L101" i="9" s="1"/>
  <c r="L87" i="9" s="1"/>
  <c r="K94" i="9"/>
  <c r="K93" i="9"/>
  <c r="L35" i="9" l="1"/>
  <c r="L67" i="9" l="1"/>
  <c r="L77" i="9" s="1"/>
  <c r="M48" i="44"/>
  <c r="L83" i="9"/>
  <c r="L84" i="9" s="1"/>
  <c r="L66" i="9" l="1"/>
  <c r="L57" i="9" s="1"/>
  <c r="L56" i="9" s="1"/>
  <c r="M41" i="44" s="1"/>
  <c r="L76" i="9"/>
  <c r="M42" i="44" s="1"/>
  <c r="M45" i="44"/>
  <c r="L92" i="9"/>
  <c r="L90" i="9"/>
  <c r="L89" i="9"/>
  <c r="L91" i="9"/>
  <c r="M68" i="9" l="1"/>
  <c r="M69" i="9"/>
  <c r="L88" i="9"/>
  <c r="L94" i="9" s="1"/>
  <c r="L93" i="9" l="1"/>
  <c r="M97" i="9"/>
  <c r="M98" i="9" s="1"/>
  <c r="M96" i="9" s="1"/>
  <c r="M101" i="9" l="1"/>
  <c r="M87" i="9" s="1"/>
  <c r="M35" i="9"/>
  <c r="M67" i="9" l="1"/>
  <c r="M77" i="9" s="1"/>
  <c r="N48" i="44"/>
  <c r="M83" i="9"/>
  <c r="M84" i="9" s="1"/>
  <c r="M89" i="9" s="1"/>
  <c r="M66" i="9" l="1"/>
  <c r="M57" i="9" s="1"/>
  <c r="M56" i="9" s="1"/>
  <c r="M76" i="9"/>
  <c r="N42" i="44" s="1"/>
  <c r="N45" i="44"/>
  <c r="M92" i="9"/>
  <c r="M91" i="9"/>
  <c r="M90" i="9"/>
  <c r="M88" i="9" s="1"/>
  <c r="N68" i="9"/>
  <c r="N69" i="9" l="1"/>
  <c r="N41" i="44"/>
  <c r="N97" i="9"/>
  <c r="N98" i="9" s="1"/>
  <c r="M94" i="9"/>
  <c r="M93" i="9"/>
  <c r="N96" i="9" l="1"/>
  <c r="N101" i="9" s="1"/>
  <c r="N87" i="9" s="1"/>
  <c r="N35" i="9" l="1"/>
  <c r="N67" i="9" l="1"/>
  <c r="O45" i="44" s="1"/>
  <c r="O48" i="44"/>
  <c r="N83" i="9"/>
  <c r="N66" i="9" l="1"/>
  <c r="N57" i="9" s="1"/>
  <c r="N56" i="9" s="1"/>
  <c r="N77" i="9"/>
  <c r="N76" i="9"/>
  <c r="O42" i="44" s="1"/>
  <c r="N92" i="9"/>
  <c r="N91" i="9"/>
  <c r="N84" i="9"/>
  <c r="N90" i="9" s="1"/>
  <c r="O41" i="44" l="1"/>
  <c r="O69" i="9"/>
  <c r="O68" i="9"/>
  <c r="N89" i="9"/>
  <c r="N88" i="9" l="1"/>
  <c r="N94" i="9" s="1"/>
  <c r="O97" i="9" l="1"/>
  <c r="O98" i="9" s="1"/>
  <c r="O96" i="9" s="1"/>
  <c r="N93" i="9"/>
  <c r="O35" i="9" l="1"/>
  <c r="O101" i="9"/>
  <c r="O87" i="9" s="1"/>
  <c r="O67" i="9" l="1"/>
  <c r="O66" i="9" s="1"/>
  <c r="O57" i="9" s="1"/>
  <c r="O56" i="9" s="1"/>
  <c r="P69" i="9" s="1"/>
  <c r="P48" i="44"/>
  <c r="O83" i="9"/>
  <c r="O84" i="9" s="1"/>
  <c r="O76" i="9" l="1"/>
  <c r="P42" i="44" s="1"/>
  <c r="P41" i="44"/>
  <c r="O77" i="9"/>
  <c r="P45" i="44"/>
  <c r="P68" i="9"/>
  <c r="O92" i="9"/>
  <c r="O89" i="9"/>
  <c r="O91" i="9"/>
  <c r="O90" i="9"/>
  <c r="O88" i="9" l="1"/>
  <c r="O94" i="9" s="1"/>
  <c r="O93" i="9" l="1"/>
  <c r="P97" i="9"/>
  <c r="P98" i="9" s="1"/>
  <c r="P96" i="9" s="1"/>
  <c r="P101" i="9" s="1"/>
  <c r="P87" i="9" s="1"/>
  <c r="P35" i="9" l="1"/>
  <c r="P83" i="9"/>
  <c r="P84" i="9" s="1"/>
  <c r="P90" i="9" s="1"/>
  <c r="P67" i="9" l="1"/>
  <c r="P66" i="9" s="1"/>
  <c r="P57" i="9" s="1"/>
  <c r="P56" i="9" s="1"/>
  <c r="Q48" i="44"/>
  <c r="P91" i="9"/>
  <c r="P92" i="9"/>
  <c r="P89" i="9"/>
  <c r="P88" i="9" s="1"/>
  <c r="P77" i="9" l="1"/>
  <c r="Q68" i="9"/>
  <c r="Q41" i="44"/>
  <c r="P76" i="9"/>
  <c r="Q42" i="44" s="1"/>
  <c r="Q45" i="44"/>
  <c r="Q69" i="9"/>
  <c r="P94" i="9"/>
  <c r="P93" i="9"/>
  <c r="Q97" i="9"/>
  <c r="Q98" i="9" s="1"/>
  <c r="Q96" i="9" s="1"/>
  <c r="Q101" i="9" s="1"/>
  <c r="Q87" i="9" s="1"/>
  <c r="Q35" i="9" l="1"/>
  <c r="Q67" i="9" l="1"/>
  <c r="R45" i="44" s="1"/>
  <c r="R48" i="44"/>
  <c r="Q83" i="9"/>
  <c r="Q84" i="9" s="1"/>
  <c r="Q76" i="9" l="1"/>
  <c r="R42" i="44" s="1"/>
  <c r="Q66" i="9"/>
  <c r="Q57" i="9" s="1"/>
  <c r="Q56" i="9" s="1"/>
  <c r="Q77" i="9"/>
  <c r="Q90" i="9"/>
  <c r="Q91" i="9"/>
  <c r="Q92" i="9"/>
  <c r="Q89" i="9"/>
  <c r="R69" i="9" l="1"/>
  <c r="R41" i="44"/>
  <c r="R68" i="9"/>
  <c r="Q88" i="9"/>
  <c r="Q93" i="9" s="1"/>
  <c r="Q94" i="9" l="1"/>
  <c r="R97" i="9"/>
  <c r="R98" i="9" s="1"/>
  <c r="R96" i="9" s="1"/>
  <c r="R101" i="9" s="1"/>
  <c r="R87" i="9" s="1"/>
  <c r="R35" i="9" l="1"/>
  <c r="R67" i="9" l="1"/>
  <c r="S45" i="44" s="1"/>
  <c r="S48" i="44"/>
  <c r="R83" i="9"/>
  <c r="R84" i="9" s="1"/>
  <c r="R77" i="9" l="1"/>
  <c r="R76" i="9"/>
  <c r="S42" i="44" s="1"/>
  <c r="R66" i="9"/>
  <c r="R57" i="9" s="1"/>
  <c r="R56" i="9" s="1"/>
  <c r="S41" i="44" s="1"/>
  <c r="R92" i="9"/>
  <c r="R90" i="9"/>
  <c r="R91" i="9"/>
  <c r="R89" i="9"/>
  <c r="S68" i="9" l="1"/>
  <c r="S69" i="9"/>
  <c r="R88" i="9"/>
  <c r="R94" i="9" s="1"/>
  <c r="S97" i="9" l="1"/>
  <c r="S98" i="9" s="1"/>
  <c r="S96" i="9" s="1"/>
  <c r="R93" i="9"/>
  <c r="S35" i="9" l="1"/>
  <c r="S101" i="9"/>
  <c r="S87" i="9" s="1"/>
  <c r="S67" i="9" l="1"/>
  <c r="S76" i="9" s="1"/>
  <c r="T42" i="44" s="1"/>
  <c r="T48" i="44"/>
  <c r="S83" i="9"/>
  <c r="S84" i="9" s="1"/>
  <c r="S77" i="9" l="1"/>
  <c r="S66" i="9"/>
  <c r="S57" i="9" s="1"/>
  <c r="S56" i="9" s="1"/>
  <c r="T45" i="44"/>
  <c r="S89" i="9"/>
  <c r="S92" i="9"/>
  <c r="S91" i="9"/>
  <c r="S90" i="9"/>
  <c r="T41" i="44" l="1"/>
  <c r="T68" i="9"/>
  <c r="T69" i="9"/>
  <c r="S88" i="9"/>
  <c r="S94" i="9" s="1"/>
  <c r="S93" i="9" l="1"/>
  <c r="T97" i="9"/>
  <c r="T98" i="9" s="1"/>
  <c r="T96" i="9" s="1"/>
  <c r="T35" i="9" s="1"/>
  <c r="T67" i="9" l="1"/>
  <c r="T66" i="9" s="1"/>
  <c r="T57" i="9" s="1"/>
  <c r="T56" i="9" s="1"/>
  <c r="U48" i="44"/>
  <c r="T101" i="9"/>
  <c r="T87" i="9" s="1"/>
  <c r="T77" i="9" l="1"/>
  <c r="T83" i="9"/>
  <c r="T84" i="9" s="1"/>
  <c r="T90" i="9" s="1"/>
  <c r="U41" i="44"/>
  <c r="T76" i="9"/>
  <c r="U42" i="44" s="1"/>
  <c r="U45" i="44"/>
  <c r="U69" i="9"/>
  <c r="U68" i="9"/>
  <c r="T92" i="9" l="1"/>
  <c r="T91" i="9"/>
  <c r="T89" i="9"/>
  <c r="T88" i="9" s="1"/>
  <c r="T93" i="9" l="1"/>
  <c r="T94" i="9"/>
  <c r="U97" i="9"/>
  <c r="U98" i="9" s="1"/>
  <c r="U96" i="9" s="1"/>
  <c r="U101" i="9" s="1"/>
  <c r="U87" i="9" s="1"/>
  <c r="U35" i="9" l="1"/>
  <c r="U83" i="9"/>
  <c r="U84" i="9" s="1"/>
  <c r="U67" i="9" l="1"/>
  <c r="U77" i="9" s="1"/>
  <c r="V48" i="44"/>
  <c r="U91" i="9"/>
  <c r="U92" i="9"/>
  <c r="U89" i="9"/>
  <c r="U90" i="9"/>
  <c r="U76" i="9" l="1"/>
  <c r="V42" i="44" s="1"/>
  <c r="U66" i="9"/>
  <c r="U57" i="9" s="1"/>
  <c r="U56" i="9" s="1"/>
  <c r="V45" i="44"/>
  <c r="U88" i="9"/>
  <c r="U93" i="9" s="1"/>
  <c r="V41" i="44" l="1"/>
  <c r="V69" i="9"/>
  <c r="V68" i="9"/>
  <c r="U94" i="9"/>
  <c r="V97" i="9"/>
  <c r="V98" i="9" s="1"/>
  <c r="V96" i="9" s="1"/>
  <c r="V35" i="9" l="1"/>
  <c r="V101" i="9"/>
  <c r="V87" i="9" s="1"/>
  <c r="V67" i="9" l="1"/>
  <c r="V77" i="9" s="1"/>
  <c r="W48" i="44"/>
  <c r="V83" i="9"/>
  <c r="V84" i="9" s="1"/>
  <c r="V66" i="9" l="1"/>
  <c r="V57" i="9" s="1"/>
  <c r="V56" i="9" s="1"/>
  <c r="W69" i="9" s="1"/>
  <c r="V76" i="9"/>
  <c r="W42" i="44" s="1"/>
  <c r="W45" i="44"/>
  <c r="V92" i="9"/>
  <c r="V91" i="9"/>
  <c r="V89" i="9"/>
  <c r="V90" i="9"/>
  <c r="W68" i="9" l="1"/>
  <c r="W41" i="44"/>
  <c r="V88" i="9"/>
  <c r="V93" i="9" s="1"/>
  <c r="W97" i="9" l="1"/>
  <c r="W98" i="9" s="1"/>
  <c r="W96" i="9" s="1"/>
  <c r="W101" i="9" s="1"/>
  <c r="V94" i="9"/>
  <c r="W35" i="9" l="1"/>
  <c r="W87" i="9"/>
  <c r="W67" i="9" l="1"/>
  <c r="W76" i="9" s="1"/>
  <c r="X42" i="44" s="1"/>
  <c r="X48" i="44"/>
  <c r="W83" i="9"/>
  <c r="W84" i="9" s="1"/>
  <c r="W77" i="9" l="1"/>
  <c r="W66" i="9"/>
  <c r="W57" i="9" s="1"/>
  <c r="W56" i="9" s="1"/>
  <c r="X45" i="44"/>
  <c r="W91" i="9"/>
  <c r="W90" i="9"/>
  <c r="W89" i="9"/>
  <c r="W92" i="9"/>
  <c r="X41" i="44" l="1"/>
  <c r="W88" i="9"/>
  <c r="W94" i="9" s="1"/>
  <c r="W93" i="9" l="1"/>
  <c r="G110" i="50" l="1"/>
  <c r="G111" i="50" s="1"/>
  <c r="H110" i="50" l="1"/>
  <c r="H111" i="50" s="1"/>
  <c r="H109" i="50" s="1"/>
  <c r="H36" i="50" s="1"/>
  <c r="H113" i="50" l="1"/>
  <c r="H100" i="50" s="1"/>
  <c r="H95" i="50" s="1"/>
  <c r="H96" i="50" s="1"/>
  <c r="H90" i="50"/>
  <c r="H91" i="50" s="1"/>
  <c r="H68" i="50"/>
  <c r="H103" i="50" l="1"/>
  <c r="H102" i="50"/>
  <c r="H104" i="50"/>
  <c r="H78" i="50"/>
  <c r="H88" i="50" s="1"/>
  <c r="H67" i="50"/>
  <c r="H58" i="50" s="1"/>
  <c r="H57" i="50" s="1"/>
  <c r="H77" i="50"/>
  <c r="H105" i="50"/>
  <c r="H101" i="50" l="1"/>
  <c r="H106" i="50" s="1"/>
  <c r="H85" i="50"/>
  <c r="I70" i="50"/>
  <c r="H86" i="50"/>
  <c r="H84" i="50"/>
  <c r="I69" i="50"/>
  <c r="H107" i="50" l="1"/>
  <c r="I110" i="50"/>
  <c r="I111" i="50" s="1"/>
  <c r="I109" i="50" s="1"/>
  <c r="I113" i="50" s="1"/>
  <c r="I100" i="50" s="1"/>
  <c r="I36" i="50" l="1"/>
  <c r="I68" i="50" s="1"/>
  <c r="I95" i="50"/>
  <c r="I96" i="50" s="1"/>
  <c r="I90" i="50" l="1"/>
  <c r="I91" i="50" s="1"/>
  <c r="I102" i="50"/>
  <c r="I103" i="50"/>
  <c r="I105" i="50"/>
  <c r="I104" i="50"/>
  <c r="I67" i="50"/>
  <c r="I58" i="50" s="1"/>
  <c r="I57" i="50" s="1"/>
  <c r="I78" i="50"/>
  <c r="I88" i="50" s="1"/>
  <c r="I77" i="50"/>
  <c r="I85" i="50" l="1"/>
  <c r="J70" i="50"/>
  <c r="J69" i="50"/>
  <c r="I86" i="50"/>
  <c r="I84" i="50"/>
  <c r="I101" i="50"/>
  <c r="J110" i="50" l="1"/>
  <c r="J111" i="50" s="1"/>
  <c r="J109" i="50" s="1"/>
  <c r="I107" i="50"/>
  <c r="I106" i="50"/>
  <c r="J113" i="50" l="1"/>
  <c r="J100" i="50" s="1"/>
  <c r="J36" i="50"/>
  <c r="J90" i="50" l="1"/>
  <c r="J91" i="50" s="1"/>
  <c r="J68" i="50"/>
  <c r="J95" i="50"/>
  <c r="J96" i="50" s="1"/>
  <c r="J102" i="50" l="1"/>
  <c r="J103" i="50"/>
  <c r="J104" i="50"/>
  <c r="J105" i="50"/>
  <c r="J101" i="50"/>
  <c r="K110" i="50" s="1"/>
  <c r="J67" i="50"/>
  <c r="J58" i="50" s="1"/>
  <c r="J57" i="50" s="1"/>
  <c r="J78" i="50"/>
  <c r="J88" i="50" s="1"/>
  <c r="J77" i="50"/>
  <c r="J106" i="50" l="1"/>
  <c r="K111" i="50"/>
  <c r="K109" i="50" s="1"/>
  <c r="J107" i="50"/>
  <c r="K70" i="50"/>
  <c r="K69" i="50"/>
  <c r="J86" i="50"/>
  <c r="J84" i="50"/>
  <c r="J85" i="50"/>
  <c r="K113" i="50"/>
  <c r="K100" i="50" s="1"/>
  <c r="K36" i="50"/>
  <c r="K90" i="50" s="1"/>
  <c r="K91" i="50" s="1"/>
  <c r="K95" i="50" l="1"/>
  <c r="K96" i="50" s="1"/>
  <c r="K102" i="50"/>
  <c r="K103" i="50"/>
  <c r="K105" i="50"/>
  <c r="K104" i="50"/>
  <c r="K68" i="50"/>
  <c r="K101" i="50" l="1"/>
  <c r="L110" i="50" s="1"/>
  <c r="L111" i="50" s="1"/>
  <c r="L109" i="50" s="1"/>
  <c r="K78" i="50"/>
  <c r="K88" i="50" s="1"/>
  <c r="K67" i="50"/>
  <c r="K58" i="50" s="1"/>
  <c r="K57" i="50" s="1"/>
  <c r="K77" i="50"/>
  <c r="K106" i="50" l="1"/>
  <c r="K107" i="50"/>
  <c r="L113" i="50"/>
  <c r="L100" i="50" s="1"/>
  <c r="L36" i="50"/>
  <c r="L70" i="50"/>
  <c r="K84" i="50"/>
  <c r="L68" i="50"/>
  <c r="L69" i="50"/>
  <c r="L90" i="50"/>
  <c r="L91" i="50" s="1"/>
  <c r="K86" i="50"/>
  <c r="K83" i="50"/>
  <c r="K85" i="50"/>
  <c r="L95" i="50"/>
  <c r="L96" i="50" s="1"/>
  <c r="L102" i="50" l="1"/>
  <c r="L105" i="50"/>
  <c r="L104" i="50"/>
  <c r="L67" i="50"/>
  <c r="L58" i="50" s="1"/>
  <c r="L57" i="50" s="1"/>
  <c r="L77" i="50"/>
  <c r="L78" i="50"/>
  <c r="L88" i="50" s="1"/>
  <c r="L103" i="50"/>
  <c r="M70" i="50" l="1"/>
  <c r="L86" i="50"/>
  <c r="L84" i="50"/>
  <c r="L85" i="50"/>
  <c r="L83" i="50"/>
  <c r="M69" i="50"/>
  <c r="L101" i="50"/>
  <c r="L107" i="50" l="1"/>
  <c r="M110" i="50"/>
  <c r="M111" i="50" s="1"/>
  <c r="M109" i="50" s="1"/>
  <c r="L106" i="50"/>
  <c r="M36" i="50" l="1"/>
  <c r="M113" i="50"/>
  <c r="M100" i="50" s="1"/>
  <c r="M95" i="50" l="1"/>
  <c r="M96" i="50" s="1"/>
  <c r="M68" i="50"/>
  <c r="M90" i="50"/>
  <c r="M91" i="50" s="1"/>
  <c r="M103" i="50" l="1"/>
  <c r="M77" i="50"/>
  <c r="M78" i="50"/>
  <c r="M88" i="50" s="1"/>
  <c r="M67" i="50"/>
  <c r="M58" i="50" s="1"/>
  <c r="M57" i="50" s="1"/>
  <c r="M105" i="50"/>
  <c r="M104" i="50"/>
  <c r="M102" i="50"/>
  <c r="M101" i="50" s="1"/>
  <c r="M106" i="50" l="1"/>
  <c r="N110" i="50"/>
  <c r="N111" i="50" s="1"/>
  <c r="N109" i="50" s="1"/>
  <c r="M107" i="50"/>
  <c r="M85" i="50"/>
  <c r="M84" i="50"/>
  <c r="M83" i="50"/>
  <c r="N69" i="50"/>
  <c r="N70" i="50"/>
  <c r="M86" i="50"/>
  <c r="N36" i="50" l="1"/>
  <c r="N113" i="50"/>
  <c r="N100" i="50" s="1"/>
  <c r="N95" i="50" l="1"/>
  <c r="N96" i="50" s="1"/>
  <c r="N68" i="50"/>
  <c r="N90" i="50"/>
  <c r="N91" i="50" s="1"/>
  <c r="N104" i="50" l="1"/>
  <c r="N67" i="50"/>
  <c r="N58" i="50" s="1"/>
  <c r="N57" i="50" s="1"/>
  <c r="N78" i="50"/>
  <c r="N88" i="50" s="1"/>
  <c r="N77" i="50"/>
  <c r="N102" i="50"/>
  <c r="N105" i="50"/>
  <c r="N103" i="50"/>
  <c r="N101" i="50" l="1"/>
  <c r="N85" i="50"/>
  <c r="O70" i="50"/>
  <c r="O69" i="50"/>
  <c r="N86" i="50"/>
  <c r="N83" i="50"/>
  <c r="N84" i="50"/>
  <c r="O110" i="50" l="1"/>
  <c r="O111" i="50" s="1"/>
  <c r="O109" i="50" s="1"/>
  <c r="N107" i="50"/>
  <c r="N106" i="50"/>
  <c r="O36" i="50" l="1"/>
  <c r="O113" i="50"/>
  <c r="O100" i="50" s="1"/>
  <c r="O95" i="50" l="1"/>
  <c r="O96" i="50" s="1"/>
  <c r="O90" i="50"/>
  <c r="O91" i="50" s="1"/>
  <c r="O68" i="50"/>
  <c r="O104" i="50" l="1"/>
  <c r="O105" i="50"/>
  <c r="O102" i="50"/>
  <c r="O103" i="50"/>
  <c r="O101" i="50" s="1"/>
  <c r="O77" i="50"/>
  <c r="O78" i="50"/>
  <c r="O88" i="50" s="1"/>
  <c r="O67" i="50"/>
  <c r="O58" i="50" s="1"/>
  <c r="O57" i="50" s="1"/>
  <c r="O106" i="50" l="1"/>
  <c r="P110" i="50"/>
  <c r="P111" i="50" s="1"/>
  <c r="P109" i="50" s="1"/>
  <c r="O107" i="50"/>
  <c r="P70" i="50"/>
  <c r="O83" i="50"/>
  <c r="O84" i="50"/>
  <c r="O85" i="50"/>
  <c r="O86" i="50"/>
  <c r="P69" i="50"/>
  <c r="P113" i="50"/>
  <c r="P100" i="50" s="1"/>
  <c r="P36" i="50"/>
  <c r="P68" i="50" s="1"/>
  <c r="P77" i="50" l="1"/>
  <c r="P78" i="50"/>
  <c r="P88" i="50" s="1"/>
  <c r="P67" i="50"/>
  <c r="P58" i="50" s="1"/>
  <c r="P57" i="50" s="1"/>
  <c r="P95" i="50"/>
  <c r="P96" i="50" s="1"/>
  <c r="P90" i="50"/>
  <c r="P91" i="50" s="1"/>
  <c r="P105" i="50" l="1"/>
  <c r="P104" i="50"/>
  <c r="P103" i="50"/>
  <c r="P102" i="50"/>
  <c r="P84" i="50"/>
  <c r="Q69" i="50"/>
  <c r="P86" i="50"/>
  <c r="P85" i="50"/>
  <c r="Q70" i="50"/>
  <c r="P83" i="50"/>
  <c r="P101" i="50" l="1"/>
  <c r="Q110" i="50" s="1"/>
  <c r="Q111" i="50" s="1"/>
  <c r="Q109" i="50" s="1"/>
  <c r="P106" i="50" l="1"/>
  <c r="P107" i="50"/>
  <c r="Q113" i="50"/>
  <c r="Q100" i="50" s="1"/>
  <c r="Q36" i="50"/>
  <c r="Q90" i="50" l="1"/>
  <c r="Q91" i="50" s="1"/>
  <c r="Q68" i="50"/>
  <c r="Q95" i="50"/>
  <c r="Q96" i="50" s="1"/>
  <c r="Q102" i="50" l="1"/>
  <c r="Q104" i="50"/>
  <c r="Q103" i="50"/>
  <c r="Q101" i="50" s="1"/>
  <c r="Q105" i="50"/>
  <c r="Q77" i="50"/>
  <c r="Q67" i="50"/>
  <c r="Q58" i="50" s="1"/>
  <c r="Q57" i="50" s="1"/>
  <c r="Q78" i="50"/>
  <c r="Q88" i="50" s="1"/>
  <c r="Q106" i="50" l="1"/>
  <c r="R110" i="50"/>
  <c r="R111" i="50" s="1"/>
  <c r="R109" i="50" s="1"/>
  <c r="Q107" i="50"/>
  <c r="R69" i="50"/>
  <c r="Q83" i="50"/>
  <c r="Q86" i="50"/>
  <c r="Q84" i="50"/>
  <c r="R70" i="50"/>
  <c r="Q85" i="50"/>
  <c r="R36" i="50"/>
  <c r="R68" i="50" s="1"/>
  <c r="R113" i="50"/>
  <c r="R100" i="50" s="1"/>
  <c r="R67" i="50" l="1"/>
  <c r="R58" i="50" s="1"/>
  <c r="R57" i="50" s="1"/>
  <c r="R77" i="50"/>
  <c r="R78" i="50"/>
  <c r="R88" i="50" s="1"/>
  <c r="R95" i="50"/>
  <c r="R96" i="50" s="1"/>
  <c r="R103" i="50" s="1"/>
  <c r="R90" i="50"/>
  <c r="R91" i="50" s="1"/>
  <c r="R105" i="50" l="1"/>
  <c r="R104" i="50"/>
  <c r="R102" i="50"/>
  <c r="R101" i="50" s="1"/>
  <c r="R85" i="50"/>
  <c r="R86" i="50"/>
  <c r="S70" i="50"/>
  <c r="S69" i="50"/>
  <c r="R84" i="50"/>
  <c r="R83" i="50"/>
  <c r="S110" i="50" l="1"/>
  <c r="S111" i="50" s="1"/>
  <c r="S109" i="50" s="1"/>
  <c r="R107" i="50"/>
  <c r="R106" i="50"/>
  <c r="S36" i="50" l="1"/>
  <c r="S113" i="50"/>
  <c r="S100" i="50" s="1"/>
  <c r="S95" i="50" l="1"/>
  <c r="S96" i="50" s="1"/>
  <c r="S102" i="50" s="1"/>
  <c r="S90" i="50"/>
  <c r="S91" i="50" s="1"/>
  <c r="S68" i="50"/>
  <c r="S103" i="50" l="1"/>
  <c r="S104" i="50"/>
  <c r="S105" i="50"/>
  <c r="S101" i="50"/>
  <c r="S77" i="50"/>
  <c r="S78" i="50"/>
  <c r="S88" i="50" s="1"/>
  <c r="S67" i="50"/>
  <c r="S58" i="50" s="1"/>
  <c r="S57" i="50" s="1"/>
  <c r="S106" i="50" l="1"/>
  <c r="S86" i="50"/>
  <c r="S85" i="50"/>
  <c r="S83" i="50"/>
  <c r="T69" i="50"/>
  <c r="T70" i="50"/>
  <c r="S84" i="50"/>
  <c r="S107" i="50"/>
  <c r="T110" i="50"/>
  <c r="T111" i="50" s="1"/>
  <c r="T109" i="50" s="1"/>
  <c r="T36" i="50" l="1"/>
  <c r="T113" i="50"/>
  <c r="T100" i="50" s="1"/>
  <c r="T95" i="50" l="1"/>
  <c r="T96" i="50" s="1"/>
  <c r="T103" i="50" s="1"/>
  <c r="T90" i="50"/>
  <c r="T91" i="50" s="1"/>
  <c r="T68" i="50"/>
  <c r="T105" i="50" l="1"/>
  <c r="T104" i="50"/>
  <c r="T77" i="50"/>
  <c r="T78" i="50"/>
  <c r="T88" i="50" s="1"/>
  <c r="T67" i="50"/>
  <c r="T58" i="50" s="1"/>
  <c r="T57" i="50" s="1"/>
  <c r="T102" i="50"/>
  <c r="T101" i="50" s="1"/>
  <c r="U110" i="50" l="1"/>
  <c r="U111" i="50" s="1"/>
  <c r="U109" i="50" s="1"/>
  <c r="T107" i="50"/>
  <c r="U69" i="50"/>
  <c r="T84" i="50"/>
  <c r="T83" i="50"/>
  <c r="T86" i="50"/>
  <c r="U70" i="50"/>
  <c r="T85" i="50"/>
  <c r="T106" i="50"/>
  <c r="U113" i="50" l="1"/>
  <c r="U100" i="50" s="1"/>
  <c r="U36" i="50"/>
  <c r="U90" i="50" l="1"/>
  <c r="U91" i="50" s="1"/>
  <c r="U68" i="50"/>
  <c r="U95" i="50"/>
  <c r="U96" i="50" s="1"/>
  <c r="U103" i="50" s="1"/>
  <c r="U104" i="50" l="1"/>
  <c r="U105" i="50"/>
  <c r="U67" i="50"/>
  <c r="U58" i="50" s="1"/>
  <c r="U57" i="50" s="1"/>
  <c r="U77" i="50"/>
  <c r="U78" i="50"/>
  <c r="U88" i="50" s="1"/>
  <c r="U102" i="50"/>
  <c r="U101" i="50" s="1"/>
  <c r="V110" i="50" l="1"/>
  <c r="V111" i="50" s="1"/>
  <c r="V109" i="50" s="1"/>
  <c r="U107" i="50"/>
  <c r="U106" i="50"/>
  <c r="U85" i="50"/>
  <c r="U83" i="50"/>
  <c r="U86" i="50"/>
  <c r="V70" i="50"/>
  <c r="U84" i="50"/>
  <c r="V69" i="50"/>
  <c r="V113" i="50" l="1"/>
  <c r="V100" i="50" s="1"/>
  <c r="V36" i="50"/>
  <c r="V68" i="50" l="1"/>
  <c r="V90" i="50"/>
  <c r="V91" i="50" s="1"/>
  <c r="V95" i="50"/>
  <c r="V96" i="50" s="1"/>
  <c r="V102" i="50" s="1"/>
  <c r="V104" i="50" l="1"/>
  <c r="V103" i="50"/>
  <c r="V101" i="50" s="1"/>
  <c r="W110" i="50" s="1"/>
  <c r="V105" i="50"/>
  <c r="V77" i="50"/>
  <c r="V67" i="50"/>
  <c r="V58" i="50" s="1"/>
  <c r="V57" i="50" s="1"/>
  <c r="V78" i="50"/>
  <c r="V88" i="50" s="1"/>
  <c r="V106" i="50" l="1"/>
  <c r="W70" i="50"/>
  <c r="V83" i="50"/>
  <c r="V86" i="50"/>
  <c r="W69" i="50"/>
  <c r="V84" i="50"/>
  <c r="V85" i="50"/>
  <c r="W111" i="50"/>
  <c r="W109" i="50" s="1"/>
  <c r="V107" i="50"/>
  <c r="W113" i="50" l="1"/>
  <c r="W100" i="50" s="1"/>
  <c r="W36" i="50"/>
  <c r="W68" i="50" l="1"/>
  <c r="W90" i="50"/>
  <c r="W91" i="50" s="1"/>
  <c r="W95" i="50"/>
  <c r="W96" i="50" s="1"/>
  <c r="W103" i="50" l="1"/>
  <c r="W102" i="50"/>
  <c r="W104" i="50"/>
  <c r="W105" i="50"/>
  <c r="W101" i="50"/>
  <c r="W77" i="50"/>
  <c r="W78" i="50"/>
  <c r="W88" i="50" s="1"/>
  <c r="W67" i="50"/>
  <c r="W58" i="50" s="1"/>
  <c r="W57" i="50" s="1"/>
  <c r="W107" i="50" l="1"/>
  <c r="W83" i="50"/>
  <c r="W84" i="50"/>
  <c r="W85" i="50"/>
  <c r="W86" i="50"/>
  <c r="W106" i="50"/>
  <c r="W60" i="51" l="1"/>
  <c r="V60" i="51"/>
  <c r="U60" i="51"/>
  <c r="T60" i="51"/>
  <c r="S60" i="51"/>
  <c r="R60" i="51"/>
  <c r="Q60" i="51"/>
  <c r="P60" i="51"/>
  <c r="O60" i="51"/>
  <c r="N60" i="51"/>
  <c r="N50" i="51"/>
  <c r="N23" i="51" s="1"/>
  <c r="W52" i="51"/>
  <c r="W79" i="51"/>
  <c r="V52" i="51"/>
  <c r="V79" i="51"/>
  <c r="U52" i="51"/>
  <c r="U79" i="51"/>
  <c r="T79" i="51"/>
  <c r="T52" i="51"/>
  <c r="S79" i="51"/>
  <c r="S52" i="51"/>
  <c r="R79" i="51"/>
  <c r="R52" i="51"/>
  <c r="Q52" i="51"/>
  <c r="Q79" i="51"/>
  <c r="P79" i="51"/>
  <c r="P52" i="51"/>
  <c r="O79" i="51"/>
  <c r="O52" i="51"/>
  <c r="N79" i="51"/>
  <c r="N52" i="51"/>
  <c r="O50" i="51" l="1"/>
  <c r="N24" i="51"/>
  <c r="N30" i="51"/>
  <c r="N62" i="51" s="1"/>
  <c r="N59" i="51" s="1"/>
  <c r="P50" i="51" l="1"/>
  <c r="O51" i="51"/>
  <c r="O23" i="51" s="1"/>
  <c r="O30" i="51" s="1"/>
  <c r="O62" i="51" s="1"/>
  <c r="O59" i="51" s="1"/>
  <c r="N113" i="51"/>
  <c r="N100" i="51" s="1"/>
  <c r="N33" i="51"/>
  <c r="N68" i="51" s="1"/>
  <c r="P51" i="51" l="1"/>
  <c r="O24" i="51"/>
  <c r="O33" i="51" s="1"/>
  <c r="N69" i="51"/>
  <c r="Q50" i="51"/>
  <c r="Q51" i="51"/>
  <c r="P23" i="51"/>
  <c r="N67" i="51"/>
  <c r="N58" i="51" s="1"/>
  <c r="N57" i="51" s="1"/>
  <c r="N78" i="51"/>
  <c r="N88" i="51" s="1"/>
  <c r="N95" i="51"/>
  <c r="N96" i="51" s="1"/>
  <c r="N77" i="51"/>
  <c r="N104" i="51" l="1"/>
  <c r="Q23" i="51"/>
  <c r="P30" i="51"/>
  <c r="P62" i="51" s="1"/>
  <c r="P59" i="51" s="1"/>
  <c r="P24" i="51"/>
  <c r="P33" i="51" s="1"/>
  <c r="R51" i="51"/>
  <c r="R50" i="51"/>
  <c r="N102" i="51"/>
  <c r="N105" i="51"/>
  <c r="N103" i="51"/>
  <c r="O69" i="51"/>
  <c r="N83" i="51"/>
  <c r="N85" i="51"/>
  <c r="N86" i="51"/>
  <c r="O70" i="51"/>
  <c r="N84" i="51"/>
  <c r="S50" i="51" l="1"/>
  <c r="R23" i="51"/>
  <c r="S51" i="51"/>
  <c r="Q24" i="51"/>
  <c r="Q33" i="51" s="1"/>
  <c r="Q30" i="51"/>
  <c r="Q62" i="51" s="1"/>
  <c r="Q59" i="51" s="1"/>
  <c r="N101" i="51"/>
  <c r="R24" i="51" l="1"/>
  <c r="R33" i="51" s="1"/>
  <c r="R30" i="51"/>
  <c r="R62" i="51" s="1"/>
  <c r="R59" i="51" s="1"/>
  <c r="S23" i="51"/>
  <c r="T51" i="51"/>
  <c r="T50" i="51"/>
  <c r="O110" i="51"/>
  <c r="O111" i="51" s="1"/>
  <c r="O109" i="51" s="1"/>
  <c r="N107" i="51"/>
  <c r="N106" i="51"/>
  <c r="T23" i="51" l="1"/>
  <c r="U50" i="51"/>
  <c r="U51" i="51"/>
  <c r="S24" i="51"/>
  <c r="S33" i="51" s="1"/>
  <c r="S30" i="51"/>
  <c r="S62" i="51" s="1"/>
  <c r="S59" i="51" s="1"/>
  <c r="O36" i="51"/>
  <c r="O113" i="51"/>
  <c r="O100" i="51" s="1"/>
  <c r="V51" i="51" l="1"/>
  <c r="V50" i="51"/>
  <c r="U23" i="51"/>
  <c r="T24" i="51"/>
  <c r="T33" i="51" s="1"/>
  <c r="T30" i="51"/>
  <c r="T62" i="51" s="1"/>
  <c r="T59" i="51" s="1"/>
  <c r="O95" i="51"/>
  <c r="O96" i="51" s="1"/>
  <c r="O68" i="51"/>
  <c r="O90" i="51"/>
  <c r="O91" i="51" s="1"/>
  <c r="U30" i="51" l="1"/>
  <c r="U62" i="51" s="1"/>
  <c r="U59" i="51" s="1"/>
  <c r="U24" i="51"/>
  <c r="U33" i="51" s="1"/>
  <c r="W51" i="51"/>
  <c r="V23" i="51"/>
  <c r="W50" i="51"/>
  <c r="W23" i="51" s="1"/>
  <c r="O103" i="51"/>
  <c r="O67" i="51"/>
  <c r="O58" i="51" s="1"/>
  <c r="O57" i="51" s="1"/>
  <c r="O78" i="51"/>
  <c r="O88" i="51" s="1"/>
  <c r="O77" i="51"/>
  <c r="O102" i="51"/>
  <c r="O104" i="51"/>
  <c r="O101" i="51"/>
  <c r="O105" i="51"/>
  <c r="W30" i="51" l="1"/>
  <c r="W62" i="51" s="1"/>
  <c r="W59" i="51" s="1"/>
  <c r="W24" i="51"/>
  <c r="W33" i="51" s="1"/>
  <c r="V24" i="51"/>
  <c r="V33" i="51" s="1"/>
  <c r="V30" i="51"/>
  <c r="V62" i="51" s="1"/>
  <c r="V59" i="51" s="1"/>
  <c r="O85" i="51"/>
  <c r="O86" i="51"/>
  <c r="P70" i="51"/>
  <c r="P69" i="51"/>
  <c r="O83" i="51"/>
  <c r="O84" i="51"/>
  <c r="P110" i="51"/>
  <c r="P111" i="51" s="1"/>
  <c r="P109" i="51" s="1"/>
  <c r="O107" i="51"/>
  <c r="O106" i="51"/>
  <c r="P113" i="51" l="1"/>
  <c r="P100" i="51" s="1"/>
  <c r="P36" i="51"/>
  <c r="P68" i="51" l="1"/>
  <c r="P90" i="51"/>
  <c r="P91" i="51" s="1"/>
  <c r="P95" i="51"/>
  <c r="P96" i="51" s="1"/>
  <c r="P104" i="51" l="1"/>
  <c r="P103" i="51"/>
  <c r="P102" i="51"/>
  <c r="P105" i="51"/>
  <c r="P101" i="51"/>
  <c r="P67" i="51"/>
  <c r="P58" i="51" s="1"/>
  <c r="P57" i="51" s="1"/>
  <c r="P78" i="51"/>
  <c r="P88" i="51" s="1"/>
  <c r="P77" i="51"/>
  <c r="P106" i="51" l="1"/>
  <c r="P85" i="51"/>
  <c r="P86" i="51"/>
  <c r="P83" i="51"/>
  <c r="P84" i="51"/>
  <c r="Q70" i="51"/>
  <c r="Q69" i="51"/>
  <c r="P107" i="51"/>
  <c r="Q110" i="51"/>
  <c r="Q111" i="51" s="1"/>
  <c r="Q109" i="51" s="1"/>
  <c r="Q36" i="51" l="1"/>
  <c r="Q113" i="51"/>
  <c r="Q100" i="51" s="1"/>
  <c r="Q95" i="51" l="1"/>
  <c r="Q96" i="51" s="1"/>
  <c r="Q105" i="51"/>
  <c r="Q90" i="51"/>
  <c r="Q91" i="51" s="1"/>
  <c r="Q68" i="51"/>
  <c r="Q67" i="51" l="1"/>
  <c r="Q58" i="51" s="1"/>
  <c r="Q57" i="51" s="1"/>
  <c r="Q78" i="51"/>
  <c r="Q88" i="51" s="1"/>
  <c r="Q77" i="51"/>
  <c r="Q103" i="51"/>
  <c r="Q104" i="51"/>
  <c r="Q102" i="51"/>
  <c r="Q101" i="51" s="1"/>
  <c r="Q107" i="51" l="1"/>
  <c r="R110" i="51"/>
  <c r="R111" i="51" s="1"/>
  <c r="R109" i="51" s="1"/>
  <c r="Q106" i="51"/>
  <c r="Q84" i="51"/>
  <c r="Q83" i="51"/>
  <c r="Q85" i="51"/>
  <c r="Q86" i="51"/>
  <c r="R70" i="51"/>
  <c r="R69" i="51"/>
  <c r="R36" i="51" l="1"/>
  <c r="R113" i="51"/>
  <c r="R100" i="51" s="1"/>
  <c r="R95" i="51" l="1"/>
  <c r="R96" i="51" s="1"/>
  <c r="R68" i="51"/>
  <c r="R90" i="51"/>
  <c r="R91" i="51" s="1"/>
  <c r="R67" i="51" l="1"/>
  <c r="R58" i="51" s="1"/>
  <c r="R57" i="51" s="1"/>
  <c r="R78" i="51"/>
  <c r="R88" i="51" s="1"/>
  <c r="R77" i="51"/>
  <c r="R105" i="51"/>
  <c r="R102" i="51"/>
  <c r="R104" i="51"/>
  <c r="R103" i="51"/>
  <c r="R101" i="51" l="1"/>
  <c r="R106" i="51"/>
  <c r="S110" i="51"/>
  <c r="S111" i="51" s="1"/>
  <c r="S109" i="51" s="1"/>
  <c r="R107" i="51"/>
  <c r="R84" i="51"/>
  <c r="R86" i="51"/>
  <c r="S69" i="51"/>
  <c r="R85" i="51"/>
  <c r="S70" i="51"/>
  <c r="R83" i="51"/>
  <c r="S36" i="51" l="1"/>
  <c r="S113" i="51"/>
  <c r="S100" i="51" s="1"/>
  <c r="S95" i="51" l="1"/>
  <c r="S96" i="51" s="1"/>
  <c r="S90" i="51"/>
  <c r="S91" i="51" s="1"/>
  <c r="S68" i="51"/>
  <c r="S67" i="51" l="1"/>
  <c r="S58" i="51" s="1"/>
  <c r="S57" i="51" s="1"/>
  <c r="S78" i="51"/>
  <c r="S88" i="51" s="1"/>
  <c r="S77" i="51"/>
  <c r="S105" i="51"/>
  <c r="S102" i="51"/>
  <c r="S101" i="51" s="1"/>
  <c r="S104" i="51"/>
  <c r="S103" i="51"/>
  <c r="S106" i="51" l="1"/>
  <c r="T110" i="51"/>
  <c r="T111" i="51" s="1"/>
  <c r="T109" i="51" s="1"/>
  <c r="S107" i="51"/>
  <c r="T36" i="51"/>
  <c r="T113" i="51"/>
  <c r="T100" i="51" s="1"/>
  <c r="T70" i="51"/>
  <c r="T68" i="51"/>
  <c r="S84" i="51"/>
  <c r="S83" i="51"/>
  <c r="S86" i="51"/>
  <c r="S85" i="51"/>
  <c r="T90" i="51"/>
  <c r="T91" i="51" s="1"/>
  <c r="T69" i="51"/>
  <c r="T67" i="51" l="1"/>
  <c r="T58" i="51" s="1"/>
  <c r="T57" i="51" s="1"/>
  <c r="T78" i="51"/>
  <c r="T88" i="51" s="1"/>
  <c r="T77" i="51"/>
  <c r="T95" i="51"/>
  <c r="T96" i="51" s="1"/>
  <c r="T103" i="51" l="1"/>
  <c r="T104" i="51"/>
  <c r="T102" i="51"/>
  <c r="T101" i="51" s="1"/>
  <c r="T105" i="51"/>
  <c r="T84" i="51"/>
  <c r="T85" i="51"/>
  <c r="T86" i="51"/>
  <c r="U70" i="51"/>
  <c r="U69" i="51"/>
  <c r="T83" i="51"/>
  <c r="T106" i="51" l="1"/>
  <c r="U110" i="51"/>
  <c r="U111" i="51" s="1"/>
  <c r="U109" i="51" s="1"/>
  <c r="T107" i="51"/>
  <c r="U36" i="51" l="1"/>
  <c r="U113" i="51"/>
  <c r="U100" i="51" s="1"/>
  <c r="U95" i="51" l="1"/>
  <c r="U96" i="51" s="1"/>
  <c r="U68" i="51"/>
  <c r="U90" i="51"/>
  <c r="U91" i="51" s="1"/>
  <c r="U67" i="51" l="1"/>
  <c r="U58" i="51" s="1"/>
  <c r="U57" i="51" s="1"/>
  <c r="U78" i="51"/>
  <c r="U88" i="51" s="1"/>
  <c r="U77" i="51"/>
  <c r="U105" i="51"/>
  <c r="U104" i="51"/>
  <c r="U102" i="51"/>
  <c r="U101" i="51" s="1"/>
  <c r="U103" i="51"/>
  <c r="U106" i="51" l="1"/>
  <c r="U107" i="51"/>
  <c r="V110" i="51"/>
  <c r="V111" i="51" s="1"/>
  <c r="V109" i="51" s="1"/>
  <c r="V36" i="51"/>
  <c r="V113" i="51"/>
  <c r="V100" i="51" s="1"/>
  <c r="V70" i="51"/>
  <c r="V90" i="51"/>
  <c r="V91" i="51" s="1"/>
  <c r="V68" i="51"/>
  <c r="V69" i="51"/>
  <c r="U83" i="51"/>
  <c r="U86" i="51"/>
  <c r="U84" i="51"/>
  <c r="U85" i="51"/>
  <c r="V67" i="51" l="1"/>
  <c r="V58" i="51" s="1"/>
  <c r="V57" i="51" s="1"/>
  <c r="V78" i="51"/>
  <c r="V88" i="51" s="1"/>
  <c r="V77" i="51"/>
  <c r="V95" i="51"/>
  <c r="V96" i="51" s="1"/>
  <c r="V105" i="51" l="1"/>
  <c r="V102" i="51"/>
  <c r="V103" i="51"/>
  <c r="V101" i="51" s="1"/>
  <c r="V104" i="51"/>
  <c r="W69" i="51"/>
  <c r="V85" i="51"/>
  <c r="V84" i="51"/>
  <c r="V86" i="51"/>
  <c r="W70" i="51"/>
  <c r="V83" i="51"/>
  <c r="W110" i="51" l="1"/>
  <c r="W111" i="51" s="1"/>
  <c r="W109" i="51" s="1"/>
  <c r="V107" i="51"/>
  <c r="V106" i="51"/>
  <c r="W36" i="51" l="1"/>
  <c r="W113" i="51"/>
  <c r="W100" i="51" s="1"/>
  <c r="W95" i="51" l="1"/>
  <c r="W96" i="51" s="1"/>
  <c r="W68" i="51"/>
  <c r="W90" i="51"/>
  <c r="W91" i="51" s="1"/>
  <c r="W67" i="51" l="1"/>
  <c r="W58" i="51" s="1"/>
  <c r="W57" i="51" s="1"/>
  <c r="W78" i="51"/>
  <c r="W88" i="51" s="1"/>
  <c r="W77" i="51"/>
  <c r="W105" i="51"/>
  <c r="W104" i="51"/>
  <c r="W102" i="51"/>
  <c r="W101" i="51" s="1"/>
  <c r="W103" i="51"/>
  <c r="W106" i="51" l="1"/>
  <c r="W107" i="51"/>
  <c r="W83" i="51"/>
  <c r="W84" i="51"/>
  <c r="W85" i="51"/>
  <c r="W86" i="51"/>
  <c r="R96" i="47" l="1"/>
  <c r="R95" i="47"/>
  <c r="R91" i="47"/>
  <c r="R90" i="47"/>
  <c r="P67" i="47"/>
  <c r="P68" i="47"/>
  <c r="Q67" i="47"/>
  <c r="Q68" i="47"/>
  <c r="U96" i="47"/>
  <c r="U95" i="47"/>
  <c r="W33" i="47"/>
  <c r="W24" i="47"/>
  <c r="Q88" i="47"/>
  <c r="Q78" i="47"/>
  <c r="V91" i="47"/>
  <c r="V90" i="47"/>
  <c r="P51" i="47"/>
  <c r="P62" i="47"/>
  <c r="P30" i="47"/>
  <c r="P96" i="47"/>
  <c r="P95" i="47"/>
  <c r="P88" i="47"/>
  <c r="P78" i="47"/>
  <c r="U36" i="47"/>
  <c r="U110" i="47"/>
  <c r="U111" i="47"/>
  <c r="U109" i="47"/>
  <c r="U113" i="47"/>
  <c r="W91" i="47"/>
  <c r="W90" i="47"/>
  <c r="P91" i="47"/>
  <c r="P90" i="47"/>
  <c r="Q91" i="47"/>
  <c r="Q90" i="47"/>
  <c r="S62" i="47"/>
  <c r="S30" i="47"/>
  <c r="V62" i="47"/>
  <c r="V30" i="47"/>
  <c r="V96" i="47"/>
  <c r="V95" i="47"/>
  <c r="R88" i="47"/>
  <c r="R78" i="47"/>
  <c r="Q62" i="47"/>
  <c r="Q30" i="47"/>
  <c r="S113" i="47"/>
  <c r="S110" i="47"/>
  <c r="S111" i="47"/>
  <c r="S109" i="47"/>
  <c r="S36" i="47"/>
  <c r="V78" i="47"/>
  <c r="V88" i="47"/>
  <c r="Q77" i="47"/>
  <c r="Q60" i="47"/>
  <c r="Q59" i="47"/>
  <c r="Q58" i="47"/>
  <c r="P33" i="47"/>
  <c r="P23" i="47"/>
  <c r="P24" i="47"/>
  <c r="W51" i="47"/>
  <c r="U67" i="47"/>
  <c r="U68" i="47"/>
  <c r="N69" i="47"/>
  <c r="S33" i="47"/>
  <c r="S23" i="47"/>
  <c r="S24" i="47"/>
  <c r="V113" i="47"/>
  <c r="V110" i="47"/>
  <c r="V111" i="47"/>
  <c r="V109" i="47"/>
  <c r="V36" i="47"/>
  <c r="Q113" i="47"/>
  <c r="Q110" i="47"/>
  <c r="Q111" i="47"/>
  <c r="Q109" i="47"/>
  <c r="Q36" i="47"/>
  <c r="O58" i="47"/>
  <c r="O59" i="47"/>
  <c r="O77" i="47"/>
  <c r="R51" i="47"/>
  <c r="N33" i="47"/>
  <c r="N68" i="47"/>
  <c r="N67" i="47"/>
  <c r="N62" i="47"/>
  <c r="N30" i="47"/>
  <c r="O62" i="47"/>
  <c r="O30" i="47"/>
  <c r="T78" i="47"/>
  <c r="T88" i="47"/>
  <c r="N77" i="47"/>
  <c r="O88" i="47"/>
  <c r="O60" i="47"/>
  <c r="O78" i="47"/>
  <c r="V58" i="47"/>
  <c r="V60" i="47"/>
  <c r="V59" i="47"/>
  <c r="V77" i="47"/>
  <c r="T86" i="47"/>
  <c r="U70" i="47"/>
  <c r="T85" i="47"/>
  <c r="T83" i="47"/>
  <c r="T84" i="47"/>
  <c r="U69" i="47"/>
  <c r="R67" i="47"/>
  <c r="R68" i="47"/>
  <c r="W62" i="47"/>
  <c r="W50" i="47"/>
  <c r="W23" i="47"/>
  <c r="W30" i="47"/>
  <c r="R113" i="47"/>
  <c r="R110" i="47"/>
  <c r="R111" i="47"/>
  <c r="R109" i="47"/>
  <c r="R36" i="47"/>
  <c r="R33" i="47"/>
  <c r="R24" i="47"/>
  <c r="S50" i="47"/>
  <c r="T51" i="47"/>
  <c r="U90" i="47"/>
  <c r="U91" i="47"/>
  <c r="U77" i="47"/>
  <c r="U59" i="47"/>
  <c r="U58" i="47"/>
  <c r="P36" i="47"/>
  <c r="P110" i="47"/>
  <c r="P111" i="47"/>
  <c r="P109" i="47"/>
  <c r="P113" i="47"/>
  <c r="T33" i="47"/>
  <c r="T24" i="47"/>
  <c r="S77" i="47"/>
  <c r="S59" i="47"/>
  <c r="S58" i="47"/>
  <c r="U62" i="47"/>
  <c r="U30" i="47"/>
  <c r="T91" i="47"/>
  <c r="T90" i="47"/>
  <c r="O67" i="47"/>
  <c r="O68" i="47"/>
  <c r="O33" i="47"/>
  <c r="O50" i="47"/>
  <c r="O23" i="47"/>
  <c r="O24" i="47"/>
  <c r="O91" i="47"/>
  <c r="O90" i="47"/>
  <c r="S91" i="47"/>
  <c r="S90" i="47"/>
  <c r="S51" i="47"/>
  <c r="N83" i="47"/>
  <c r="N86" i="47"/>
  <c r="O69" i="47"/>
  <c r="O70" i="47"/>
  <c r="N85" i="47"/>
  <c r="N84" i="47"/>
  <c r="V67" i="47"/>
  <c r="V68" i="47"/>
  <c r="O96" i="47"/>
  <c r="O95" i="47"/>
  <c r="R50" i="47"/>
  <c r="R23" i="47"/>
  <c r="R30" i="47"/>
  <c r="R62" i="47"/>
  <c r="W13" i="47"/>
  <c r="W79" i="47"/>
  <c r="W52" i="47"/>
  <c r="W96" i="47"/>
  <c r="W95" i="47"/>
  <c r="N102" i="47"/>
  <c r="N101" i="47"/>
  <c r="N106" i="47"/>
  <c r="N107" i="47"/>
  <c r="N105" i="47"/>
  <c r="N103" i="47"/>
  <c r="N104" i="47"/>
  <c r="S52" i="47"/>
  <c r="S13" i="47"/>
  <c r="S79" i="47"/>
  <c r="N78" i="47"/>
  <c r="N88" i="47"/>
  <c r="U60" i="47"/>
  <c r="U78" i="47"/>
  <c r="U88" i="47"/>
  <c r="T113" i="47"/>
  <c r="T110" i="47"/>
  <c r="T111" i="47"/>
  <c r="T109" i="47"/>
  <c r="T36" i="47"/>
  <c r="W69" i="47"/>
  <c r="V86" i="47"/>
  <c r="V85" i="47"/>
  <c r="W70" i="47"/>
  <c r="V84" i="47"/>
  <c r="V83" i="47"/>
  <c r="W88" i="47"/>
  <c r="W78" i="47"/>
  <c r="N95" i="47"/>
  <c r="N96" i="47"/>
  <c r="O79" i="47"/>
  <c r="O13" i="47"/>
  <c r="O52" i="47"/>
  <c r="T67" i="47"/>
  <c r="T68" i="47"/>
  <c r="P77" i="47"/>
  <c r="P60" i="47"/>
  <c r="P59" i="47"/>
  <c r="P58" i="47"/>
  <c r="W77" i="47"/>
  <c r="W12" i="47"/>
  <c r="W60" i="47"/>
  <c r="W59" i="47"/>
  <c r="W58" i="47"/>
  <c r="R58" i="47"/>
  <c r="R60" i="47"/>
  <c r="R59" i="47"/>
  <c r="R77" i="47"/>
  <c r="W85" i="47"/>
  <c r="W84" i="47"/>
  <c r="W86" i="47"/>
  <c r="W57" i="47"/>
  <c r="W83" i="47"/>
  <c r="W101" i="47"/>
  <c r="W104" i="47"/>
  <c r="W105" i="47"/>
  <c r="W102" i="47"/>
  <c r="W107" i="47"/>
  <c r="W106" i="47"/>
  <c r="W100" i="47"/>
  <c r="W103" i="47"/>
  <c r="T13" i="47"/>
  <c r="T79" i="47"/>
  <c r="T52" i="47"/>
  <c r="P52" i="47"/>
  <c r="P13" i="47"/>
  <c r="P79" i="47"/>
  <c r="V51" i="47"/>
  <c r="P50" i="47"/>
  <c r="Q51" i="47"/>
  <c r="V52" i="47"/>
  <c r="V13" i="47"/>
  <c r="V79" i="47"/>
  <c r="T62" i="47"/>
  <c r="T23" i="47"/>
  <c r="T30" i="47"/>
  <c r="V57" i="47"/>
  <c r="W68" i="47"/>
  <c r="W67" i="47"/>
  <c r="Q106" i="47"/>
  <c r="Q103" i="47"/>
  <c r="Q105" i="47"/>
  <c r="Q102" i="47"/>
  <c r="Q101" i="47"/>
  <c r="Q104" i="47"/>
  <c r="Q107" i="47"/>
  <c r="S96" i="47"/>
  <c r="S95" i="47"/>
  <c r="Q33" i="47"/>
  <c r="Q50" i="47"/>
  <c r="Q23" i="47"/>
  <c r="Q24" i="47"/>
  <c r="Q95" i="47"/>
  <c r="Q96" i="47"/>
  <c r="P107" i="47"/>
  <c r="P102" i="47"/>
  <c r="P103" i="47"/>
  <c r="P104" i="47"/>
  <c r="P101" i="47"/>
  <c r="P106" i="47"/>
  <c r="P105" i="47"/>
  <c r="T104" i="47"/>
  <c r="T107" i="47"/>
  <c r="T103" i="47"/>
  <c r="T105" i="47"/>
  <c r="T101" i="47"/>
  <c r="T106" i="47"/>
  <c r="T102" i="47"/>
  <c r="T77" i="47"/>
  <c r="T60" i="47"/>
  <c r="T59" i="47"/>
  <c r="T58" i="47"/>
  <c r="R104" i="47"/>
  <c r="R103" i="47"/>
  <c r="R101" i="47"/>
  <c r="R107" i="47"/>
  <c r="R106" i="47"/>
  <c r="R105" i="47"/>
  <c r="R102" i="47"/>
  <c r="Q13" i="47"/>
  <c r="Q52" i="47"/>
  <c r="Q79" i="47"/>
  <c r="T95" i="47"/>
  <c r="T96" i="47"/>
  <c r="V12" i="47"/>
  <c r="V50" i="47"/>
  <c r="V23" i="47"/>
  <c r="V24" i="47"/>
  <c r="V33" i="47"/>
  <c r="S69" i="47"/>
  <c r="R84" i="47"/>
  <c r="R86" i="47"/>
  <c r="R83" i="47"/>
  <c r="S70" i="47"/>
  <c r="R85" i="47"/>
  <c r="N79" i="47"/>
  <c r="N52" i="47"/>
  <c r="R13" i="47"/>
  <c r="R79" i="47"/>
  <c r="R52" i="47"/>
  <c r="U83" i="47"/>
  <c r="V70" i="47"/>
  <c r="U85" i="47"/>
  <c r="V69" i="47"/>
  <c r="U84" i="47"/>
  <c r="T57" i="47"/>
  <c r="U57" i="47"/>
  <c r="U86" i="47"/>
  <c r="U52" i="47"/>
  <c r="U79" i="47"/>
  <c r="U13" i="47"/>
  <c r="Q85" i="47"/>
  <c r="Q86" i="47"/>
  <c r="R70" i="47"/>
  <c r="R69" i="47"/>
  <c r="Q84" i="47"/>
  <c r="Q83" i="47"/>
  <c r="S102" i="47"/>
  <c r="S101" i="47"/>
  <c r="S105" i="47"/>
  <c r="S104" i="47"/>
  <c r="S107" i="47"/>
  <c r="S103" i="47"/>
  <c r="S106" i="47"/>
  <c r="O51" i="47"/>
  <c r="O86" i="47"/>
  <c r="P69" i="47"/>
  <c r="O84" i="47"/>
  <c r="O83" i="47"/>
  <c r="P70" i="47"/>
  <c r="O85" i="47"/>
  <c r="W113" i="47"/>
  <c r="W110" i="47"/>
  <c r="W111" i="47"/>
  <c r="W109" i="47"/>
  <c r="W36" i="47"/>
  <c r="O105" i="47"/>
  <c r="O103" i="47"/>
  <c r="O104" i="47"/>
  <c r="O107" i="47"/>
  <c r="O102" i="47"/>
  <c r="O101" i="47"/>
  <c r="O106" i="47"/>
  <c r="T69" i="47"/>
  <c r="S86" i="47"/>
  <c r="S85" i="47"/>
  <c r="T70" i="47"/>
  <c r="S84" i="47"/>
  <c r="S57" i="47"/>
  <c r="S83" i="47"/>
  <c r="U12" i="47"/>
  <c r="U50" i="47"/>
  <c r="U23" i="47"/>
  <c r="U24" i="47"/>
  <c r="U33" i="47"/>
  <c r="V104" i="47"/>
  <c r="V101" i="47"/>
  <c r="V105" i="47"/>
  <c r="V106" i="47"/>
  <c r="V107" i="47"/>
  <c r="V103" i="47"/>
  <c r="V100" i="47"/>
  <c r="V102" i="47"/>
  <c r="S60" i="47"/>
  <c r="S78" i="47"/>
  <c r="S88" i="47"/>
  <c r="O36" i="47"/>
  <c r="O110" i="47"/>
  <c r="O111" i="47"/>
  <c r="O109" i="47"/>
  <c r="O113" i="47"/>
  <c r="O12" i="47"/>
  <c r="P12" i="47"/>
  <c r="Q12" i="47"/>
  <c r="R12" i="47"/>
  <c r="S12" i="47"/>
  <c r="T12" i="47"/>
  <c r="T50" i="47"/>
  <c r="U51" i="47"/>
  <c r="P83" i="47"/>
  <c r="P84" i="47"/>
  <c r="Q69" i="47"/>
  <c r="P85" i="47"/>
  <c r="P86" i="47"/>
  <c r="Q70" i="47"/>
  <c r="U104" i="47"/>
  <c r="U103" i="47"/>
  <c r="U106" i="47"/>
  <c r="U101" i="47"/>
  <c r="U102" i="47"/>
  <c r="U107" i="47"/>
  <c r="N50" i="47"/>
  <c r="N23" i="47"/>
  <c r="N24" i="47"/>
  <c r="N113" i="47"/>
  <c r="N100" i="47"/>
  <c r="O100" i="47"/>
  <c r="P100" i="47"/>
  <c r="Q100" i="47"/>
  <c r="R100" i="47"/>
  <c r="S100" i="47"/>
  <c r="T100" i="47"/>
  <c r="U100" i="47"/>
  <c r="U105" i="47"/>
  <c r="N13" i="47"/>
  <c r="N12" i="47"/>
  <c r="N60" i="47"/>
  <c r="N59" i="47"/>
  <c r="N58" i="47"/>
  <c r="N57" i="47"/>
  <c r="O57" i="47"/>
  <c r="P57" i="47"/>
  <c r="Q57" i="47"/>
  <c r="R57" i="47"/>
  <c r="S68" i="47"/>
  <c r="S67" i="4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<sst xmlns="http://schemas.openxmlformats.org/spreadsheetml/2006/main" count="1405" uniqueCount="412">
  <si>
    <t>European Commission</t>
  </si>
  <si>
    <t>Directorate-General for Economic and Financial Affairs</t>
  </si>
  <si>
    <t>Unit C2  - Sustainability of public finances</t>
  </si>
  <si>
    <t>ECFIN-Secretariat-C2@ec.europa.eu</t>
  </si>
  <si>
    <t>FILE DESCRIPTION</t>
  </si>
  <si>
    <t>HOW TO USE THIS TOOL TO CALCULATE NEW DEBT PROJECTIONS</t>
  </si>
  <si>
    <t>The spreadsheet is composed of the following elements:</t>
  </si>
  <si>
    <t>Coloured cells indicate data sources as follows (this colour-coding holds in the other spreadsheets):</t>
  </si>
  <si>
    <r>
      <t xml:space="preserve">Cells in </t>
    </r>
    <r>
      <rPr>
        <i/>
        <sz val="11"/>
        <color rgb="FF0070C0"/>
        <rFont val="Calibri"/>
        <family val="2"/>
        <scheme val="minor"/>
      </rPr>
      <t>light orange</t>
    </r>
    <r>
      <rPr>
        <sz val="11"/>
        <color rgb="FF0070C0"/>
        <rFont val="Calibri"/>
        <family val="2"/>
        <scheme val="minor"/>
      </rPr>
      <t xml:space="preserve"> provide parameters needed to compute the decomposition of government debt according to its maturity structure (i.e. short-term and long-term debt, maturing, rolled-over and non-maturing debt). </t>
    </r>
    <r>
      <rPr>
        <b/>
        <u/>
        <sz val="11"/>
        <color rgb="FF0070C0"/>
        <rFont val="Calibri"/>
        <family val="2"/>
        <scheme val="minor"/>
      </rPr>
      <t>These are fixed shares which the user cannot change.</t>
    </r>
  </si>
  <si>
    <r>
      <t xml:space="preserve">Cells in </t>
    </r>
    <r>
      <rPr>
        <i/>
        <sz val="11"/>
        <color rgb="FF0070C0"/>
        <rFont val="Calibri"/>
        <family val="2"/>
        <scheme val="minor"/>
      </rPr>
      <t>dark orange</t>
    </r>
    <r>
      <rPr>
        <sz val="11"/>
        <color rgb="FF0070C0"/>
        <rFont val="Calibri"/>
        <family val="2"/>
        <scheme val="minor"/>
      </rPr>
      <t xml:space="preserve"> indicate financial market prices.</t>
    </r>
  </si>
  <si>
    <t>· Financial stress scenario</t>
  </si>
  <si>
    <t>· Lower SPB scenario</t>
  </si>
  <si>
    <t>· Adverse 'r-g' scenario</t>
  </si>
  <si>
    <r>
      <t>In the sheets associated with the stress-test scenarios, i.e. "</t>
    </r>
    <r>
      <rPr>
        <b/>
        <sz val="11"/>
        <color rgb="FF0070C0"/>
        <rFont val="Calibri"/>
        <family val="2"/>
        <scheme val="minor"/>
      </rPr>
      <t>Financial stress</t>
    </r>
    <r>
      <rPr>
        <sz val="11"/>
        <color rgb="FF0070C0"/>
        <rFont val="Calibri"/>
        <family val="2"/>
        <scheme val="minor"/>
      </rPr>
      <t>", "</t>
    </r>
    <r>
      <rPr>
        <b/>
        <sz val="11"/>
        <color rgb="FF0070C0"/>
        <rFont val="Calibri"/>
        <family val="2"/>
        <scheme val="minor"/>
      </rPr>
      <t>Lower SPB</t>
    </r>
    <r>
      <rPr>
        <sz val="11"/>
        <color rgb="FF0070C0"/>
        <rFont val="Calibri"/>
        <family val="2"/>
        <scheme val="minor"/>
      </rPr>
      <t>" and "</t>
    </r>
    <r>
      <rPr>
        <b/>
        <sz val="11"/>
        <color rgb="FF0070C0"/>
        <rFont val="Calibri"/>
        <family val="2"/>
        <scheme val="minor"/>
      </rPr>
      <t>Adverse (r-g)</t>
    </r>
    <r>
      <rPr>
        <sz val="11"/>
        <color rgb="FF0070C0"/>
        <rFont val="Calibri"/>
        <family val="2"/>
        <scheme val="minor"/>
      </rPr>
      <t>", initial shocks are identified as follows:</t>
    </r>
  </si>
  <si>
    <t>WHERE ARE THE MAIN RESULTS LOCATED?</t>
  </si>
  <si>
    <t>Country</t>
  </si>
  <si>
    <t>Annual adjustment (when benchmark not binding)</t>
  </si>
  <si>
    <t>Deficit resilience safeguard</t>
  </si>
  <si>
    <t>Criterion 1 
(Debt decreasing under deterministic scenarios)</t>
  </si>
  <si>
    <t>Criterion 2 *
(Debt declining with sufficient probability)</t>
  </si>
  <si>
    <t>Criterion 3 
(Deficit below 
3% of GDP)</t>
  </si>
  <si>
    <t>0.5 pp. of GDP adjustment if deficit in previous year &gt; 3% of GDP</t>
  </si>
  <si>
    <t>Number of years the benchmark applies</t>
  </si>
  <si>
    <t>0.40 pp. (0.25 pp.) of GDP adjustment under plan without (with) extension if structural deficit in previous year 
&gt; 1.5% of GDP</t>
  </si>
  <si>
    <t>Number of years the deficit resilience safeguard applies 
(over the adjustment horizon)</t>
  </si>
  <si>
    <t>Adjustment scenario</t>
  </si>
  <si>
    <t>Financial stress scenario</t>
  </si>
  <si>
    <t>Lower SPB scenario</t>
  </si>
  <si>
    <t>Adverse r-g scenario</t>
  </si>
  <si>
    <r>
      <t xml:space="preserve">Annual adjustment </t>
    </r>
    <r>
      <rPr>
        <sz val="10"/>
        <rFont val="Arial"/>
        <family val="2"/>
      </rPr>
      <t>(change in SPB)</t>
    </r>
  </si>
  <si>
    <t>Net primary expenditure growth</t>
  </si>
  <si>
    <t>Average annual adjustment over the plan period</t>
  </si>
  <si>
    <t>Average annual adjustment over the adjustment period</t>
  </si>
  <si>
    <t>Average net primary expenditure growth over the plan period</t>
  </si>
  <si>
    <t>Average net primary expenditure growth over the adjustment period</t>
  </si>
  <si>
    <t>No extension</t>
  </si>
  <si>
    <t>Extension</t>
  </si>
  <si>
    <t>Annual adjustment</t>
  </si>
  <si>
    <t>Key years</t>
  </si>
  <si>
    <t>Last year of no-fiscal-policy-change projections</t>
  </si>
  <si>
    <t>Structural primary balance</t>
  </si>
  <si>
    <t>Headline balance</t>
  </si>
  <si>
    <t>Structural balance</t>
  </si>
  <si>
    <t>Debt</t>
  </si>
  <si>
    <t>Last year of adjustment</t>
  </si>
  <si>
    <t>Key assumptions</t>
  </si>
  <si>
    <t>Fiscal assumptions (% of GDP)</t>
  </si>
  <si>
    <t/>
  </si>
  <si>
    <t>Structural primary balance ('+' means 'surplus')</t>
  </si>
  <si>
    <t>One-off and other temporary measures</t>
  </si>
  <si>
    <t>Stock-flow adjustments (without exchange rate effect)</t>
  </si>
  <si>
    <t>Stock-flow adjustment (total)</t>
  </si>
  <si>
    <t>Total ageing cost (net of taxes on pensions)</t>
  </si>
  <si>
    <t>of which: Public pensions expenditure</t>
  </si>
  <si>
    <t xml:space="preserve">            Health care expenditure</t>
  </si>
  <si>
    <t xml:space="preserve">            Long-term care expenditure</t>
  </si>
  <si>
    <t xml:space="preserve">            Education &amp; unemployment benefits expenditure</t>
  </si>
  <si>
    <t xml:space="preserve">           Taxes on pensions</t>
  </si>
  <si>
    <t>Property income</t>
  </si>
  <si>
    <t>Actual GDP</t>
  </si>
  <si>
    <t>Growth rate</t>
  </si>
  <si>
    <t>Level</t>
  </si>
  <si>
    <t>Potential GDP</t>
  </si>
  <si>
    <t>Nominal implicit interest rate on debt</t>
  </si>
  <si>
    <t>Short-term nominal interest rate</t>
  </si>
  <si>
    <t>Long-term nominal interest rate</t>
  </si>
  <si>
    <t>GDP deflator (national currency)</t>
  </si>
  <si>
    <t>Additional parameters</t>
  </si>
  <si>
    <t>Fiscal multiplier</t>
  </si>
  <si>
    <t xml:space="preserve">Carnot, N. and de Castro, F. (2015), “The Discretionary Fiscal Effort: an Assessment of Fiscal Policy and its Output Effect”, European Economy, Economic Papers, No. 543. </t>
  </si>
  <si>
    <t>Mourre, G. et al. (2019), "The Semi-Elasticities Underlying the Cyclically-Adjusted Budget Balance: An Update and Further Analysis", European Economy, Discussion Paper, No. 098.</t>
  </si>
  <si>
    <t>Bloomberg data, country-specific forward market rates.</t>
  </si>
  <si>
    <t>DSM 2023</t>
  </si>
  <si>
    <t>Share of short-term debt in total government debt</t>
  </si>
  <si>
    <t>Share of long-term debt in total government debt</t>
  </si>
  <si>
    <t>Bloomberg data, inflation swaps.</t>
  </si>
  <si>
    <t>Central bank inflation target</t>
  </si>
  <si>
    <t>Share of outstanding debt in total debt in 2022</t>
  </si>
  <si>
    <t>Derived from the model and made consistent with the short-term forecast.</t>
  </si>
  <si>
    <t>Share of new long-term debt in 2022</t>
  </si>
  <si>
    <t>Share of new short-term debt in 2022</t>
  </si>
  <si>
    <t>Stochastic projections: ranges around adjustment scenario</t>
  </si>
  <si>
    <t>T+1</t>
  </si>
  <si>
    <t>T+2</t>
  </si>
  <si>
    <t>T+3</t>
  </si>
  <si>
    <t>T+4</t>
  </si>
  <si>
    <t>T+5</t>
  </si>
  <si>
    <t>Stock flow adjustments (without exchange rate effect)</t>
  </si>
  <si>
    <t>GDP growth assumptions</t>
  </si>
  <si>
    <t>Actual GDP (real)</t>
  </si>
  <si>
    <t xml:space="preserve">Potential GDP (real) </t>
  </si>
  <si>
    <t>Output gap</t>
  </si>
  <si>
    <t>Actual GDP (nominal, national currency)</t>
  </si>
  <si>
    <t>Interest rate</t>
  </si>
  <si>
    <t>Long-term interest rate</t>
  </si>
  <si>
    <t>Short-term interest rate</t>
  </si>
  <si>
    <t>Share of long-term debt that matures every year</t>
  </si>
  <si>
    <t>Inflation and exchange rate</t>
  </si>
  <si>
    <t>Exchange rate composite change (weighted by share of debt in each currency)</t>
  </si>
  <si>
    <t>Intermediate calculations (growth rate equation)</t>
  </si>
  <si>
    <t>Auxiliary variable to control the closure of the output gap</t>
  </si>
  <si>
    <t>OG intermediate auxiliary value</t>
  </si>
  <si>
    <t>GDP intermediate growth rate - only feedback effect and no closure of the OG</t>
  </si>
  <si>
    <t>Debt projections</t>
  </si>
  <si>
    <t xml:space="preserve">Gross debt </t>
  </si>
  <si>
    <t>Change in debt (-1+2+3)</t>
  </si>
  <si>
    <t>(1) Primary balance (1.1 + 1.2 - 1.3 -1.4 -1.5 - 1.6 -1.7)</t>
  </si>
  <si>
    <t>(1.1) Structural primary balance (before ageing cost)</t>
  </si>
  <si>
    <t>(1.2) Cumulated budgetary effort (in terms of primary balance)</t>
  </si>
  <si>
    <t>(1.3) Cyclical component</t>
  </si>
  <si>
    <t>(1.4) One-off and other temporary measures</t>
  </si>
  <si>
    <t>(1.5) Cost of ageing</t>
  </si>
  <si>
    <t>(1.6) Property incomes</t>
  </si>
  <si>
    <t>(1.7) Revenues</t>
  </si>
  <si>
    <t>(2) Snowball effect (2.1 + 2.2 + 2.3)</t>
  </si>
  <si>
    <t>(2.1) Interest expenditure</t>
  </si>
  <si>
    <t>(2.2) Growth effect</t>
  </si>
  <si>
    <t>(2.3) Inflation effect</t>
  </si>
  <si>
    <t>(2.4) Exchange rate effect linked to the interest rate</t>
  </si>
  <si>
    <t>(3 ) Stock flow adjustments (3.1 + 3.2)</t>
  </si>
  <si>
    <t>(3.1) Base</t>
  </si>
  <si>
    <t>(3.2) Adjustment due to the exchange rate effect linked to debt value</t>
  </si>
  <si>
    <t>Other budgetary variables</t>
  </si>
  <si>
    <t>Net expenditure growth</t>
  </si>
  <si>
    <t>Debt decomposition and IIR</t>
  </si>
  <si>
    <t>Auxiliary variable identifying whether debt is increasing</t>
  </si>
  <si>
    <t>Auxiliary variable identifying whether some debt is rolled over even though debt is decreasing</t>
  </si>
  <si>
    <r>
      <rPr>
        <i/>
        <sz val="8"/>
        <color theme="1"/>
        <rFont val="Arial"/>
        <family val="2"/>
      </rPr>
      <t>Of which</t>
    </r>
    <r>
      <rPr>
        <sz val="8"/>
        <color theme="1"/>
        <rFont val="Arial"/>
        <family val="2"/>
      </rPr>
      <t xml:space="preserve"> Outstanding debt</t>
    </r>
  </si>
  <si>
    <t>Rolled over long-term debt</t>
  </si>
  <si>
    <t>Rolled over short-term debt</t>
  </si>
  <si>
    <t>New long-term debt</t>
  </si>
  <si>
    <t>New short-term debt</t>
  </si>
  <si>
    <t>IIR</t>
  </si>
  <si>
    <t>Long-term implicit interest rate</t>
  </si>
  <si>
    <r>
      <t>Nominal implicit interest rate on debt (</t>
    </r>
    <r>
      <rPr>
        <b/>
        <sz val="8"/>
        <color theme="1"/>
        <rFont val="Arial"/>
        <family val="2"/>
      </rPr>
      <t>Excel approximation</t>
    </r>
    <r>
      <rPr>
        <sz val="8"/>
        <color theme="1"/>
        <rFont val="Arial"/>
        <family val="2"/>
      </rPr>
      <t>)</t>
    </r>
  </si>
  <si>
    <t>Diff. STATA</t>
  </si>
  <si>
    <t>Per memo - STATA results</t>
  </si>
  <si>
    <t>CY</t>
  </si>
  <si>
    <t>EL</t>
  </si>
  <si>
    <t>IE</t>
  </si>
  <si>
    <t>PT</t>
  </si>
  <si>
    <t>Interest rates</t>
  </si>
  <si>
    <t>GDP deflator (National currency)</t>
  </si>
  <si>
    <t>Average net primary expenditure growth</t>
  </si>
  <si>
    <t>Approximation of interest payments in % GDP</t>
  </si>
  <si>
    <t>Growth rate (including feedback and output-gap closure effect)</t>
  </si>
  <si>
    <t>per memo: initial shock (GDP growth rate in baseline scenario - 0.5)</t>
  </si>
  <si>
    <t>Potential GDP (real)</t>
  </si>
  <si>
    <t>Interest rates and inflation</t>
  </si>
  <si>
    <t>First year of stochastic projections</t>
  </si>
  <si>
    <t>Last year of stochastic projections</t>
  </si>
  <si>
    <t>Baseline assumptions</t>
  </si>
  <si>
    <t>Distribution of debt paths</t>
  </si>
  <si>
    <t>p10</t>
  </si>
  <si>
    <t>p30</t>
  </si>
  <si>
    <t>p70</t>
  </si>
  <si>
    <t>p90</t>
  </si>
  <si>
    <t>Graph</t>
  </si>
  <si>
    <t>p30_p10</t>
  </si>
  <si>
    <t>p50_p30</t>
  </si>
  <si>
    <t>p70_p50</t>
  </si>
  <si>
    <t>p90_p70</t>
  </si>
  <si>
    <t>p50</t>
  </si>
  <si>
    <t>FI</t>
  </si>
  <si>
    <r>
      <rPr>
        <i/>
        <sz val="11"/>
        <color rgb="FF0070C0"/>
        <rFont val="Calibri"/>
        <family val="2"/>
        <scheme val="minor"/>
      </rPr>
      <t>Dark grey</t>
    </r>
    <r>
      <rPr>
        <sz val="11"/>
        <color rgb="FF0070C0"/>
        <rFont val="Calibri"/>
        <family val="2"/>
        <scheme val="minor"/>
      </rPr>
      <t xml:space="preserve"> indicates the period in which the SPB, net of changes in cost of ageing, remains constant at its value of end of adjustment.</t>
    </r>
  </si>
  <si>
    <t>Additionally, for the lower SPB scenario, the cells get thick black borders in the years when the SPB is gradually reduced.</t>
  </si>
  <si>
    <r>
      <t xml:space="preserve">All variables that are shocked turn </t>
    </r>
    <r>
      <rPr>
        <i/>
        <sz val="11"/>
        <color rgb="FF0070C0"/>
        <rFont val="Calibri"/>
        <family val="2"/>
        <scheme val="minor"/>
      </rPr>
      <t>very dark grey</t>
    </r>
    <r>
      <rPr>
        <sz val="11"/>
        <color rgb="FF0070C0"/>
        <rFont val="Calibri"/>
        <family val="2"/>
        <scheme val="minor"/>
      </rPr>
      <t>.</t>
    </r>
  </si>
  <si>
    <t>Table 1 - Adjustment input data</t>
  </si>
  <si>
    <t>Table 2 - DSA-based criteria</t>
  </si>
  <si>
    <t>Table 3 - Safeguards and benchmark</t>
  </si>
  <si>
    <t>Table 5 - DSA-based adjustment *</t>
  </si>
  <si>
    <t>Last year before the adjustment</t>
  </si>
  <si>
    <t>Table 4 - Main fiscal variables</t>
  </si>
  <si>
    <r>
      <rPr>
        <i/>
        <sz val="11"/>
        <color rgb="FF0070C0"/>
        <rFont val="Calibri"/>
        <family val="2"/>
        <scheme val="minor"/>
      </rPr>
      <t>Light grey</t>
    </r>
    <r>
      <rPr>
        <sz val="11"/>
        <color rgb="FF0070C0"/>
        <rFont val="Calibri"/>
        <family val="2"/>
        <scheme val="minor"/>
      </rPr>
      <t xml:space="preserve"> indicates the pre-plan period, corresponding to the EC forecast</t>
    </r>
  </si>
  <si>
    <t>Sources</t>
  </si>
  <si>
    <t>Eurostat, average shares over the 3 last available years.</t>
  </si>
  <si>
    <t>ECB, country-specific historical average shares over the 6 last available years. For post-programme countries (CY, El , IE and PT), the redemption profile of official loans has been taken into account for the computation of the share of long-term debt that matures every year. For these countries, changing this parameter would not affect debt projections.</t>
  </si>
  <si>
    <t>Share of rolled-over long-term debt in 2022</t>
  </si>
  <si>
    <t>Share of rolled-over short-term debt in 2022</t>
  </si>
  <si>
    <t>Difference between debt level in 50th and 10th percentiles of the distribution</t>
  </si>
  <si>
    <t>Difference between debt level in 50th and 30th percentiles of the distribution</t>
  </si>
  <si>
    <t>Difference between debt level in 70th and 50th percentiles of the distribution</t>
  </si>
  <si>
    <t>Difference between debt level in 90th and 50th percentiles of the distribution</t>
  </si>
  <si>
    <r>
      <t xml:space="preserve">The sheet "Input data" in light blue presents the </t>
    </r>
    <r>
      <rPr>
        <b/>
        <sz val="11"/>
        <color rgb="FF0070C0"/>
        <rFont val="Calibri"/>
        <family val="2"/>
        <scheme val="minor"/>
      </rPr>
      <t>input data</t>
    </r>
    <r>
      <rPr>
        <sz val="11"/>
        <color rgb="FF0070C0"/>
        <rFont val="Calibri"/>
        <family val="2"/>
        <scheme val="minor"/>
      </rPr>
      <t>, including fiscal and GDP growth assumptions as well as  additional fiscal parameters. Unless stated otherwise below,</t>
    </r>
    <r>
      <rPr>
        <b/>
        <u/>
        <sz val="11"/>
        <color rgb="FF0070C0"/>
        <rFont val="Calibri"/>
        <family val="2"/>
        <scheme val="minor"/>
      </rPr>
      <t xml:space="preserve"> the user can change all values in this tab.</t>
    </r>
  </si>
  <si>
    <r>
      <rPr>
        <i/>
        <sz val="11"/>
        <color rgb="FF0070C0"/>
        <rFont val="Calibri"/>
        <family val="2"/>
        <scheme val="minor"/>
      </rPr>
      <t>Mild grey</t>
    </r>
    <r>
      <rPr>
        <sz val="11"/>
        <color rgb="FF0070C0"/>
        <rFont val="Calibri"/>
        <family val="2"/>
        <scheme val="minor"/>
      </rPr>
      <t xml:space="preserve"> indicates the period during which the SPB adjusts  according to the path set in sheet "</t>
    </r>
    <r>
      <rPr>
        <b/>
        <sz val="11"/>
        <color rgb="FF0070C0"/>
        <rFont val="Calibri"/>
        <family val="2"/>
        <scheme val="minor"/>
      </rPr>
      <t>Criteria results</t>
    </r>
    <r>
      <rPr>
        <sz val="11"/>
        <color rgb="FF0070C0"/>
        <rFont val="Calibri"/>
        <family val="2"/>
        <scheme val="minor"/>
      </rPr>
      <t>"</t>
    </r>
  </si>
  <si>
    <t>IIR difference STATA - Excel</t>
  </si>
  <si>
    <t>(i - g)</t>
  </si>
  <si>
    <t>Debt increasing? (For criterion 1)</t>
  </si>
  <si>
    <t>Gross debt ratio in the Adjust. no safeguard</t>
  </si>
  <si>
    <t>p50 - Adjust. no safeguard</t>
  </si>
  <si>
    <t xml:space="preserve">* The adjustment in this table does not account for the minimum adjustment of 0.5 pp. of GDP as a benchmark nor for the debt sustainability and deficit resillience safeguards. </t>
  </si>
  <si>
    <t xml:space="preserve">· Adjustment scenario without safeguard and benchmark </t>
  </si>
  <si>
    <t>Annual change in SPB</t>
  </si>
  <si>
    <t>Debt declines by 1pp (0.5pp) of GDP on average as long as debt exceeds 90% (60%) of GDP</t>
  </si>
  <si>
    <t>Average change in debt</t>
  </si>
  <si>
    <t>Debt sustainability safeguard *</t>
  </si>
  <si>
    <t>Deficit benchmark **</t>
  </si>
  <si>
    <t>Each scenario is computed automatically based on the yearly adjustment path set in "Criteria results" (see above).</t>
  </si>
  <si>
    <t xml:space="preserve">The next spreadsheets present the deterministic and stochastic projections. Each deterministic projection provides a single path for debt until 2038 or 2041 under certain assumptions for budgetary, macroeconomic and financial variables, while the outcome of the stochastic projections is a distribution of debt paths resulting from a wide set of shocks. 
The sheets are grouped in four blocs, identified by their colour coding:
</t>
  </si>
  <si>
    <t>Within the orange sheet and each green sheet, the background of the SPB line has three colours. Each colour corresponds to a specific period of the projections:</t>
  </si>
  <si>
    <r>
      <t xml:space="preserve">The sheet in dark green presents the </t>
    </r>
    <r>
      <rPr>
        <u/>
        <sz val="11"/>
        <color rgb="FF0070C0"/>
        <rFont val="Calibri"/>
        <family val="2"/>
        <scheme val="minor"/>
      </rPr>
      <t>stochastic projections</t>
    </r>
    <r>
      <rPr>
        <sz val="11"/>
        <color rgb="FF0070C0"/>
        <rFont val="Calibri"/>
        <family val="2"/>
        <scheme val="minor"/>
      </rPr>
      <t xml:space="preserve"> surrounding the adjustment scenario without safeguard and benchmark .</t>
    </r>
  </si>
  <si>
    <t>Level (billions, national currency)</t>
  </si>
  <si>
    <t xml:space="preserve">Adjustment in a plan without extension </t>
  </si>
  <si>
    <t xml:space="preserve">Adjustment in a plan with extension </t>
  </si>
  <si>
    <t xml:space="preserve">    </t>
  </si>
  <si>
    <t>* The average change in debt is computed from the year before the start of the reference trajectory or the year in which the excessive deficit procedure is projected to be abrogated, whichever occurs last, until the end of the adjustment period. 
** The deficit benchmark is applied in terms of change in SPB during the transitory period of 2025-2027 and in terms of change in SB thereafter.</t>
  </si>
  <si>
    <t>country</t>
  </si>
  <si>
    <t>year</t>
  </si>
  <si>
    <t>spb_gdp_DSM</t>
  </si>
  <si>
    <t>exchrate_ameco</t>
  </si>
  <si>
    <t>cyclcomp_gdp_DSM</t>
  </si>
  <si>
    <t>rGDPgr_DSM</t>
  </si>
  <si>
    <t>infl_DSM</t>
  </si>
  <si>
    <t>oneOffMeasures_DSM</t>
  </si>
  <si>
    <t>Stockflowadjustments_DSM</t>
  </si>
  <si>
    <t>AgeingCost_DSM</t>
  </si>
  <si>
    <t>gdebt_gdp_DSM</t>
  </si>
  <si>
    <t>nIIR_DSM</t>
  </si>
  <si>
    <t>Debt decreasing? (For criterion 1)</t>
  </si>
  <si>
    <t>Table 7a: Debt and headline balance projections and key underlying assumptions (under the planned fiscal path)</t>
  </si>
  <si>
    <t>Gross debt</t>
  </si>
  <si>
    <t>(% GDP)</t>
  </si>
  <si>
    <t>General government balance</t>
  </si>
  <si>
    <t>(% pot. GDP)</t>
  </si>
  <si>
    <t>Cyclical component</t>
  </si>
  <si>
    <t>One-off measures</t>
  </si>
  <si>
    <t>Interest expenditure</t>
  </si>
  <si>
    <t>(%)</t>
  </si>
  <si>
    <t>Implicit average interest rate</t>
  </si>
  <si>
    <t>Stock-flow adjustment</t>
  </si>
  <si>
    <t>(growth rate)</t>
  </si>
  <si>
    <t>Real GDP</t>
  </si>
  <si>
    <t>GDP deflator</t>
  </si>
  <si>
    <t>Nominal GDP</t>
  </si>
  <si>
    <t>Table 7b: Debt projections and key stressed variables, deterministic scenarios and stochastic simulations</t>
  </si>
  <si>
    <t>Adverse 'r-g' scenario</t>
  </si>
  <si>
    <t>Stochastic simulations</t>
  </si>
  <si>
    <t>Probability of debt being below its value in T+4/7</t>
  </si>
  <si>
    <t>Table 7c: Debt and headline balance projections and underlying assumptions (under 'no-fiscal-policy-change' baseline)</t>
  </si>
  <si>
    <t>Table 7d: Debt projections and additional assumptions (under the planned fiscal path)</t>
  </si>
  <si>
    <t>line</t>
  </si>
  <si>
    <t>approximation</t>
  </si>
  <si>
    <t>SF24</t>
  </si>
  <si>
    <t>Real GDP growth assumptions (based on SF 2024 T+10 projections and AR 2024 projections)</t>
  </si>
  <si>
    <t>Average (2025-28)</t>
  </si>
  <si>
    <r>
      <t xml:space="preserve">Cells in </t>
    </r>
    <r>
      <rPr>
        <i/>
        <sz val="11"/>
        <color rgb="FF0070C0"/>
        <rFont val="Calibri"/>
        <family val="2"/>
        <scheme val="minor"/>
      </rPr>
      <t>light blue</t>
    </r>
    <r>
      <rPr>
        <sz val="11"/>
        <color rgb="FF0070C0"/>
        <rFont val="Calibri"/>
        <family val="2"/>
        <scheme val="minor"/>
      </rPr>
      <t xml:space="preserve"> indicate values from the Ageing Report 2024</t>
    </r>
  </si>
  <si>
    <t xml:space="preserve">Share of primary expenditure in GDP in 2024 </t>
  </si>
  <si>
    <t>Long-term nominal interest rate (T+10 convergence value)</t>
  </si>
  <si>
    <t>Short-term nominal interest rate (T+10 convergence value)</t>
  </si>
  <si>
    <t>Long-term nominal interest rate (T+30 convergence value)</t>
  </si>
  <si>
    <t>Short-term nominal interest rate (T+30 convergence value)</t>
  </si>
  <si>
    <t>Share of long-term debt that matures every year (T+10 convergence value)</t>
  </si>
  <si>
    <t>GDP deflator (national currency) (T+10 convergence value)</t>
  </si>
  <si>
    <t>GDP deflator (national currency) (T+30 convergence value)</t>
  </si>
  <si>
    <r>
      <t xml:space="preserve">Data reported in this file are based on the </t>
    </r>
    <r>
      <rPr>
        <i/>
        <sz val="11"/>
        <color rgb="FF0070C0"/>
        <rFont val="Calibri"/>
        <family val="2"/>
        <scheme val="minor"/>
      </rPr>
      <t>European Commission (EC) 2024 spring forecast (SF 2024)</t>
    </r>
    <r>
      <rPr>
        <sz val="11"/>
        <color rgb="FF0070C0"/>
        <rFont val="Calibri"/>
        <family val="2"/>
        <scheme val="minor"/>
      </rPr>
      <t xml:space="preserve"> and macroeconomic and budgetary projections from the joint </t>
    </r>
    <r>
      <rPr>
        <i/>
        <sz val="11"/>
        <color rgb="FF0070C0"/>
        <rFont val="Calibri"/>
        <family val="2"/>
        <scheme val="minor"/>
      </rPr>
      <t>EC-EPC Ageing Report 2024 (AR 2024)</t>
    </r>
    <r>
      <rPr>
        <sz val="11"/>
        <color rgb="FF0070C0"/>
        <rFont val="Calibri"/>
        <family val="2"/>
        <scheme val="minor"/>
      </rPr>
      <t>.</t>
    </r>
  </si>
  <si>
    <t>Interest rates (SF 2024, %)</t>
  </si>
  <si>
    <t>Inflation (SF 2024, %)</t>
  </si>
  <si>
    <t>Net primary expenditure growth (SF 2024, %)</t>
  </si>
  <si>
    <t>Budget balance semi-elasticity</t>
  </si>
  <si>
    <t>Structural balance ensuring safety margin (for deficit resilience safeguard)</t>
  </si>
  <si>
    <t>Change in interest payments (for deficit benchmark in SB terms from 2028 onwards)</t>
  </si>
  <si>
    <t>Debt above 90% (for debt sustainability safeguard)</t>
  </si>
  <si>
    <t>Debt between 60% and 90% (for debt sustainability safeguard)</t>
  </si>
  <si>
    <t>Debt above 60% (for debt sustainability safeguard)</t>
  </si>
  <si>
    <t>Deficit exceeding 3% / under EDP (for deficit benchmark and debt sustainability safeguard)</t>
  </si>
  <si>
    <t>Table 6 - Reference trajectory</t>
  </si>
  <si>
    <t xml:space="preserve">Table 5 "DSA-based adjustment" summarises the key characteristics of the adjustment path that complies with the DSA-based criteria before applying the safeguards and benchmark, for a plan both with and without extension. </t>
  </si>
  <si>
    <t xml:space="preserve">Table 4 "Main fiscal variables" reports the annual adjustment over the adjustment period, in terms of change in SPB (line 19) and net primary expenditure growth (line 20). The table also reports the headline balance, the structural balance and  debt (lines 21 to 23). The average annual adjustment is reported in cells G24 (average change in SPB over the 4-year plan period), G25 (average change in SPB over the 4-year or 7-year adjustment period), G26 (average net primary expenditure growth over the plan period) and G27 (average net primary expenditure growth over the adjustment period). </t>
  </si>
  <si>
    <r>
      <t>The grey sheet "</t>
    </r>
    <r>
      <rPr>
        <b/>
        <sz val="11"/>
        <color rgb="FF0070C0"/>
        <rFont val="Calibri"/>
        <family val="2"/>
        <scheme val="minor"/>
      </rPr>
      <t>Criteria results</t>
    </r>
    <r>
      <rPr>
        <sz val="11"/>
        <color rgb="FF0070C0"/>
        <rFont val="Calibri"/>
        <family val="2"/>
        <scheme val="minor"/>
      </rPr>
      <t>" contains three types of cells identified by different colours:</t>
    </r>
  </si>
  <si>
    <r>
      <t>The sheet "</t>
    </r>
    <r>
      <rPr>
        <b/>
        <sz val="11"/>
        <color rgb="FF0070C0"/>
        <rFont val="Calibri"/>
        <family val="2"/>
        <scheme val="minor"/>
      </rPr>
      <t>Criteria results</t>
    </r>
    <r>
      <rPr>
        <sz val="11"/>
        <color rgb="FF0070C0"/>
        <rFont val="Calibri"/>
        <family val="2"/>
        <scheme val="minor"/>
      </rPr>
      <t>" contains six tables:
Table 1 "Adjustment input data": the user can set the duration of the plan (4 years under no extension or 7 years under extension) and the yearly adjustment pace in cells F5 and F6 in yellow. Note that the country cell (F4) cannot be changed.</t>
    </r>
  </si>
  <si>
    <r>
      <t xml:space="preserve">Cells in </t>
    </r>
    <r>
      <rPr>
        <i/>
        <sz val="11"/>
        <color rgb="FF0070C0"/>
        <rFont val="Calibri"/>
        <family val="2"/>
        <scheme val="minor"/>
      </rPr>
      <t>light grey</t>
    </r>
    <r>
      <rPr>
        <sz val="11"/>
        <color rgb="FF0070C0"/>
        <rFont val="Calibri"/>
        <family val="2"/>
        <scheme val="minor"/>
      </rPr>
      <t xml:space="preserve"> indicate a Commission forecast (available in the AMECO database)</t>
    </r>
  </si>
  <si>
    <t>Cost of ageing and selected public revenue (based on the Commission-Council 2024 Ageing Report ("AR 2024"))</t>
  </si>
  <si>
    <r>
      <t>Cells in</t>
    </r>
    <r>
      <rPr>
        <i/>
        <sz val="11"/>
        <color rgb="FF0070C0"/>
        <rFont val="Calibri"/>
        <family val="2"/>
        <scheme val="minor"/>
      </rPr>
      <t xml:space="preserve"> light red</t>
    </r>
    <r>
      <rPr>
        <sz val="11"/>
        <color rgb="FF0070C0"/>
        <rFont val="Calibri"/>
        <family val="2"/>
        <scheme val="minor"/>
      </rPr>
      <t xml:space="preserve"> indicate whether the country is subject to an ongoing excessive deficit procedure (EDP) or whether the Commission's June 2024 report under Art. 126(3) of the Treaty recommends opening an EDP. If neither of these conditions are met, the deficit benchmark is not relevant and therefore not applied.</t>
    </r>
  </si>
  <si>
    <t>Non-coloured parameters in cells C49:C70 were calibrated based on different data sources. The data sources are indicated in the corresponding cells of column E.
The last part of the sheet "Input data" (cells C73:G77) provides the parameters measuring the size of the cone of the fanchart that results from the stochastic analysis. For reproducibility reasons, these parameters are kept constant.</t>
  </si>
  <si>
    <t xml:space="preserve">The sheet in orange presents the scenario that automatically corrects the yearly adjustment path to account for the deficit benchmark and the deficit resillience safeguard. By contrast, the yearly adjustment profile is not automatically adjusted to ensure that the debt sustainability safeguard is met. However, the sheet "Criteria results" indicates whether that safeguard is met. </t>
  </si>
  <si>
    <r>
      <t xml:space="preserve">The sheets in green present the </t>
    </r>
    <r>
      <rPr>
        <u/>
        <sz val="11"/>
        <color rgb="FF0070C0"/>
        <rFont val="Calibri"/>
        <family val="2"/>
        <scheme val="minor"/>
      </rPr>
      <t>deterministic projections</t>
    </r>
    <r>
      <rPr>
        <sz val="11"/>
        <color rgb="FF0070C0"/>
        <rFont val="Calibri"/>
        <family val="2"/>
        <scheme val="minor"/>
      </rPr>
      <t xml:space="preserve"> that are used to compute the DSA-based requirements (in the sheet "Criteria results"). They include four scenarios:
</t>
    </r>
  </si>
  <si>
    <r>
      <rPr>
        <b/>
        <sz val="11"/>
        <color rgb="FF0070C0"/>
        <rFont val="Calibri"/>
        <family val="2"/>
        <scheme val="minor"/>
      </rPr>
      <t>Debt projections</t>
    </r>
    <r>
      <rPr>
        <sz val="11"/>
        <color rgb="FF0070C0"/>
        <rFont val="Calibri"/>
        <family val="2"/>
        <scheme val="minor"/>
      </rPr>
      <t xml:space="preserve"> can be found in line 56 or 57 of each scenario. The corresponding </t>
    </r>
    <r>
      <rPr>
        <b/>
        <sz val="11"/>
        <color rgb="FF0070C0"/>
        <rFont val="Calibri"/>
        <family val="2"/>
        <scheme val="minor"/>
      </rPr>
      <t>net expenditure growth</t>
    </r>
    <r>
      <rPr>
        <sz val="11"/>
        <color rgb="FF0070C0"/>
        <rFont val="Calibri"/>
        <family val="2"/>
        <scheme val="minor"/>
      </rPr>
      <t xml:space="preserve"> is located in line 79 or 80 in the baseline and adjustment scenario (and Adj. no safeguard) sheets. The average net expenditure growth over the adjustment period is computed in cell D81 of the sheet "Adjustment scenario". As a reminder, these numbers are also available in Table 4 in "Criteria results".</t>
    </r>
  </si>
  <si>
    <r>
      <t>This file contains a simplified version of the EC model used to calculate the general governement debt ratio dynamics for EU countries under different scenarios. A detailed description of the EC's general govern</t>
    </r>
    <r>
      <rPr>
        <strike/>
        <sz val="11"/>
        <color rgb="FF0070C0"/>
        <rFont val="Calibri"/>
        <family val="2"/>
        <scheme val="minor"/>
      </rPr>
      <t>e</t>
    </r>
    <r>
      <rPr>
        <sz val="11"/>
        <color rgb="FF0070C0"/>
        <rFont val="Calibri"/>
        <family val="2"/>
        <scheme val="minor"/>
      </rPr>
      <t>ment debt projections can be found</t>
    </r>
    <r>
      <rPr>
        <b/>
        <sz val="11"/>
        <color rgb="FF0070C0"/>
        <rFont val="Calibri"/>
        <family val="2"/>
        <scheme val="minor"/>
      </rPr>
      <t xml:space="preserve"> </t>
    </r>
    <r>
      <rPr>
        <sz val="11"/>
        <color rgb="FF0070C0"/>
        <rFont val="Calibri"/>
        <family val="2"/>
        <scheme val="minor"/>
      </rPr>
      <t xml:space="preserve">in the </t>
    </r>
    <r>
      <rPr>
        <b/>
        <sz val="11"/>
        <color rgb="FF0070C0"/>
        <rFont val="Calibri"/>
        <family val="2"/>
        <scheme val="minor"/>
      </rPr>
      <t>"</t>
    </r>
    <r>
      <rPr>
        <b/>
        <u/>
        <sz val="11"/>
        <color rgb="FF0070C0"/>
        <rFont val="Calibri"/>
        <family val="2"/>
        <scheme val="minor"/>
      </rPr>
      <t>Debt Sustainability Monitor 2023" (DSM, March 2024)</t>
    </r>
    <r>
      <rPr>
        <b/>
        <sz val="11"/>
        <color rgb="FF0070C0"/>
        <rFont val="Calibri"/>
        <family val="2"/>
        <scheme val="minor"/>
      </rPr>
      <t xml:space="preserve">. </t>
    </r>
  </si>
  <si>
    <t>Table 6 "Reference trajectory" reports the net expenditure growth and the corresponding annual change in SPB that are consistent with all requirements including the safeguards and benchmark, both without and with extension.</t>
  </si>
  <si>
    <t xml:space="preserve">Table 2 "DSA-based criteria" reports whether the chosen adjustment fulfils each of the DSA-based criteria. </t>
  </si>
  <si>
    <t>Table 3 "Safeguards and benchmark" reports whether (i) the chosen adjustment ensures that the debt sustainability safeguard is met, (ii) the 'deficit benchmark', i.e. the minimum adjustment of 0.5 pp. of GDP as a benchmark when the country is in EDP and/or the deficit exceeds 3% of GDP, is binding, and (iii) the deficit resilience safeguard is binding.</t>
  </si>
  <si>
    <t>To the right of Table 1, a message automatically signals whether the chosen adjustment is sufficient to fulfill all the requirements, summarising the results from Tables 2 and 3.</t>
  </si>
  <si>
    <t>Number of years of adjustment</t>
  </si>
  <si>
    <t>Probability that debt decreases</t>
  </si>
  <si>
    <r>
      <t xml:space="preserve">Cells with a </t>
    </r>
    <r>
      <rPr>
        <i/>
        <sz val="11"/>
        <color rgb="FF0070C0"/>
        <rFont val="Calibri"/>
        <family val="2"/>
        <scheme val="minor"/>
      </rPr>
      <t>yellow background and a red frame</t>
    </r>
    <r>
      <rPr>
        <sz val="11"/>
        <color rgb="FF0070C0"/>
        <rFont val="Calibri"/>
        <family val="2"/>
        <scheme val="minor"/>
      </rPr>
      <t xml:space="preserve"> can be modified to see the impact of a different duration or pace of adjustment.</t>
    </r>
  </si>
  <si>
    <r>
      <t xml:space="preserve">Cells with a </t>
    </r>
    <r>
      <rPr>
        <i/>
        <sz val="11"/>
        <color rgb="FF0070C0"/>
        <rFont val="Calibri"/>
        <family val="2"/>
        <scheme val="minor"/>
      </rPr>
      <t xml:space="preserve">white or grey background </t>
    </r>
    <r>
      <rPr>
        <sz val="11"/>
        <color rgb="FF0070C0"/>
        <rFont val="Calibri"/>
        <family val="2"/>
        <scheme val="minor"/>
      </rPr>
      <t>provide results obtained with the adjustment chosen in the yellow cells. To replicate the Commission's calculations, the underlying formulas should not be modified.</t>
    </r>
  </si>
  <si>
    <r>
      <t xml:space="preserve">Cells with a </t>
    </r>
    <r>
      <rPr>
        <i/>
        <sz val="11"/>
        <color rgb="FF0070C0"/>
        <rFont val="Calibri"/>
        <family val="2"/>
        <scheme val="minor"/>
      </rPr>
      <t>pale blue background</t>
    </r>
    <r>
      <rPr>
        <sz val="11"/>
        <color rgb="FF0070C0"/>
        <rFont val="Calibri"/>
        <family val="2"/>
        <scheme val="minor"/>
      </rPr>
      <t xml:space="preserve"> correspond to the Commission's prior guidance provided to the Member State. Those are hard numbers that do not depend on the adjustment chosen in the file.</t>
    </r>
  </si>
  <si>
    <t>Subject to an excessive deficit procedure (EDP) (0-no/1-yes)</t>
  </si>
  <si>
    <t>Key fiscal variables (based on the Commission 2024 spring forecast ("SF 2024") T+2 forecast and the June 2024 report prepared under Art. 126(3) of the Treaty)</t>
  </si>
  <si>
    <r>
      <t>This tool can be used to calculate debt projections under different macroeconomic and structural primary balance adjustment assumptions. Debt projections for each scenario will update automatically with changes in the macroeconomic assumptions or the adjustment parameters. The fulfilment of DSA-based criteria, the safeguards and the benchmark will be automatically calculated in the sheet "</t>
    </r>
    <r>
      <rPr>
        <b/>
        <sz val="11"/>
        <color rgb="FF0070C0"/>
        <rFont val="Calibri"/>
        <family val="2"/>
        <scheme val="minor"/>
      </rPr>
      <t>Criteria results</t>
    </r>
    <r>
      <rPr>
        <sz val="11"/>
        <color rgb="FF0070C0"/>
        <rFont val="Calibri"/>
        <family val="2"/>
        <scheme val="minor"/>
      </rPr>
      <t>".
Formulas are fully visible. To assess the impact of alternative adjustment paths compared with the reference trajectory calculated by the EC or to check its robustness to underlying macroeconomic assumptions, the user can modify the content of key cells in the sheets "</t>
    </r>
    <r>
      <rPr>
        <b/>
        <sz val="11"/>
        <color rgb="FF0070C0"/>
        <rFont val="Calibri"/>
        <family val="2"/>
        <scheme val="minor"/>
      </rPr>
      <t>Criteria results</t>
    </r>
    <r>
      <rPr>
        <sz val="11"/>
        <color rgb="FF0070C0"/>
        <rFont val="Calibri"/>
        <family val="2"/>
        <scheme val="minor"/>
      </rPr>
      <t>" and "</t>
    </r>
    <r>
      <rPr>
        <b/>
        <sz val="11"/>
        <color rgb="FF0070C0"/>
        <rFont val="Calibri"/>
        <family val="2"/>
        <scheme val="minor"/>
      </rPr>
      <t>Input data</t>
    </r>
    <r>
      <rPr>
        <sz val="11"/>
        <color rgb="FF0070C0"/>
        <rFont val="Calibri"/>
        <family val="2"/>
        <scheme val="minor"/>
      </rPr>
      <t>" (see below).
Note that, for a proper functioning of the file, you should make sure that Excel is in "Automatic" computation mode, i.e. in the File menu, Option tab, click on "Formulas", "Calculation Options" and "Automatic".</t>
    </r>
  </si>
  <si>
    <t>The 'FASTOP reporting' sheet in violet provides help for preparing reporting tables. It readily provides all the tables envisaged in the guidance notice on the "Information Requirements for the Medium-Term Fiscal-Structural Plans" once the parameters are set in the rest of this file.
Note that the probability of a declining debt ratio in table 7c derived from the stochastic simulations is only an approximation since the stochastic analysis is not an integral part of this Excel file. For a precise figure, the simulations need to be run.
This sheet is therefore only meant to provide assistance. The figures still need to be thoroughly scrutinised before submitting the tables.</t>
  </si>
  <si>
    <t>* The stochastic simulations are provided mainly for information, as the Excel worksheet only allows for an approximation of what is done in the Commission's Stata model. Indeed, in this Excel worksheet, the size of the cone of the fanchart is assumed to be constant over different adjustment paths. In ther Stata model, it is a non linear function of the level of debt, as shocks (in particular interest rate shocks) have different impacts according to the level of debt ratio. 
** In case a smaller adjustment than the one implied by criterion 1 and criterion 2 is sufficient to ensure that debt is brought (and/or remains) below 60% of GDP under the adjustment scenario and all deterministic stress tests while ensuring that the criterion 3 is met, then that smaller, 'eased-up' adjustment is chosen.</t>
  </si>
  <si>
    <t xml:space="preserve">In case of a plan with no extension, both the plan period and the adjustment period last 4 years. 
In case of a plan with extension, the plan period remains 4 years while the adjustment period lasts 7 years. Morever, in case of extension, if neither the deficit benchmark nor the deficit resilience safeguard are binding, the values in G24 and G25 (and G26 and G27) are the same. However, if the benchmark or the safeguard is binding, the values in those cells can be different. </t>
  </si>
  <si>
    <t>No extension (annual adjustment of 0.66)</t>
  </si>
  <si>
    <t>Extension (annual adjustment of 0.3)</t>
  </si>
  <si>
    <t>The sheet in blue provides, as a reference, the baseline no-fiscal-policy-change scenario. The background colour coding is the same as in the sheet "Input data".</t>
  </si>
  <si>
    <t>AMECO DEMEANED</t>
  </si>
  <si>
    <t>DARVAS Stochastic data</t>
  </si>
  <si>
    <t>AMECO</t>
  </si>
  <si>
    <t>ISO</t>
  </si>
  <si>
    <t>d_ngdp</t>
  </si>
  <si>
    <t>pb</t>
  </si>
  <si>
    <t>iir</t>
  </si>
  <si>
    <t>sfa</t>
  </si>
  <si>
    <t>q</t>
  </si>
  <si>
    <t>stir</t>
  </si>
  <si>
    <t>ltrate</t>
  </si>
  <si>
    <t>snowball term</t>
  </si>
  <si>
    <t>FIN</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</si>
  <si>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</si>
  <si>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</si>
  <si>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</si>
  <si>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</si>
  <si>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</si>
  <si>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</si>
  <si>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</si>
  <si>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</si>
  <si>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</si>
  <si>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</si>
  <si>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</si>
  <si>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</si>
  <si>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</si>
  <si>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</si>
  <si>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</si>
  <si>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</si>
  <si>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</si>
  <si>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</si>
  <si>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</si>
  <si>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</si>
  <si>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</si>
  <si>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</si>
  <si>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</si>
  <si>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</si>
  <si>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</si>
  <si>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</si>
  <si>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</si>
  <si>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</si>
  <si>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</si>
  <si>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</si>
  <si>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</si>
  <si>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</si>
  <si>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</si>
  <si>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</si>
  <si>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</si>
  <si>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</si>
  <si>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</si>
  <si>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</si>
  <si>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</si>
  <si>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</si>
  <si>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</si>
  <si>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</si>
  <si>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</si>
  <si>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</si>
  <si>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</si>
  <si>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</si>
  <si>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</si>
  <si>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</si>
  <si>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SD</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</si>
  <si>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</si>
  <si>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</si>
  <si>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</si>
  <si>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</si>
  <si>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</si>
  <si>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</si>
  <si>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</si>
  <si>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</si>
  <si>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</si>
  <si>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</si>
  <si>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</si>
  <si>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</si>
  <si>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</si>
  <si>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</si>
  <si>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</si>
  <si>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</si>
  <si>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</si>
  <si>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</si>
  <si>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</si>
  <si>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</si>
  <si>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</si>
  <si>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</si>
  <si>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</si>
  <si>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</si>
  <si>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</si>
  <si>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</si>
  <si>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</si>
  <si>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</si>
  <si>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</si>
  <si>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</si>
  <si>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</si>
  <si>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</si>
  <si>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</si>
  <si>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</si>
  <si>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</si>
  <si>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</si>
  <si>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</si>
  <si>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</si>
  <si>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</si>
  <si>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</si>
  <si>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</si>
  <si>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</si>
  <si>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</si>
  <si>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</si>
  <si>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</si>
  <si>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</si>
  <si>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</si>
  <si>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Gross Debt (KO, syksy 2024)</t>
  </si>
  <si>
    <t>ecb average</t>
  </si>
  <si>
    <t>5y5y swap 3/4/2025</t>
  </si>
  <si>
    <t>10y10y and 3m10y swaps 3.4.2025</t>
  </si>
  <si>
    <t>bloomberg average</t>
  </si>
  <si>
    <t>Ameco iir update</t>
  </si>
  <si>
    <t>ameco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</si>
</sst>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00"/>
    <numFmt numFmtId="165" formatCode="0.0"/>
    <numFmt numFmtId="166" formatCode="0.000"/>
    <numFmt numFmtId="167" formatCode="0.00000"/>
    <numFmt numFmtId="168" formatCode="0.000000"/>
    <numFmt numFmtId="169" formatCode="0.0000000"/>
    <numFmt numFmtId="170" formatCode="0.00000000"/>
  </numFmts>
  <fonts count="58"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Arial"/>
      <family val="2"/>
    </font>
    <font>
      <i/>
      <sz val="8"/>
      <color theme="1"/>
      <name val="Arial"/>
      <family val="2"/>
    </font>
    <font>
      <b/>
      <sz val="8"/>
      <color theme="1"/>
      <name val="Arial"/>
      <family val="2"/>
    </font>
    <font>
      <b/>
      <sz val="8"/>
      <name val="Arial"/>
      <family val="2"/>
    </font>
    <font>
      <i/>
      <sz val="8"/>
      <name val="Arial"/>
      <family val="2"/>
    </font>
    <font>
      <b/>
      <i/>
      <sz val="8"/>
      <name val="Arial"/>
      <family val="2"/>
    </font>
    <font>
      <sz val="8"/>
      <name val="Arial"/>
      <family val="2"/>
    </font>
    <font>
      <b/>
      <sz val="8"/>
      <color rgb="FF002060"/>
      <name val="Arial"/>
      <family val="2"/>
    </font>
    <font>
      <b/>
      <sz val="10"/>
      <color theme="1"/>
      <name val="Arial"/>
      <family val="2"/>
    </font>
    <font>
      <u/>
      <sz val="11"/>
      <color theme="10"/>
      <name val="Calibri"/>
      <family val="2"/>
      <scheme val="minor"/>
    </font>
    <font>
      <strike/>
      <sz val="11"/>
      <color theme="4"/>
      <name val="Calibri"/>
      <family val="2"/>
      <scheme val="minor"/>
    </font>
    <font>
      <b/>
      <sz val="9"/>
      <color theme="1"/>
      <name val="Arial"/>
      <family val="2"/>
    </font>
    <font>
      <sz val="10"/>
      <color rgb="FF000000"/>
      <name val="Arial"/>
      <family val="2"/>
    </font>
    <font>
      <b/>
      <sz val="10"/>
      <color theme="0"/>
      <name val="Arial"/>
      <family val="2"/>
    </font>
    <font>
      <b/>
      <sz val="8"/>
      <color rgb="FF0070C0"/>
      <name val="Arial"/>
      <family val="2"/>
    </font>
    <font>
      <sz val="8"/>
      <color theme="0"/>
      <name val="Arial"/>
      <family val="2"/>
    </font>
    <font>
      <sz val="10"/>
      <color theme="0"/>
      <name val="Arial"/>
      <family val="2"/>
    </font>
    <font>
      <b/>
      <sz val="8"/>
      <color theme="0"/>
      <name val="Arial"/>
      <family val="2"/>
    </font>
    <font>
      <i/>
      <sz val="10"/>
      <color theme="1"/>
      <name val="Arial"/>
      <family val="2"/>
    </font>
    <font>
      <sz val="8"/>
      <color rgb="FF002060"/>
      <name val="Arial"/>
      <family val="2"/>
    </font>
    <font>
      <b/>
      <i/>
      <sz val="10"/>
      <color theme="0"/>
      <name val="Arial"/>
      <family val="2"/>
    </font>
    <font>
      <b/>
      <sz val="10"/>
      <color rgb="FF002060"/>
      <name val="Arial"/>
      <family val="2"/>
    </font>
    <font>
      <b/>
      <i/>
      <sz val="10"/>
      <color rgb="FF002060"/>
      <name val="Arial"/>
      <family val="2"/>
    </font>
    <font>
      <b/>
      <sz val="11"/>
      <color theme="0"/>
      <name val="Calibri"/>
      <family val="2"/>
      <scheme val="minor"/>
    </font>
    <font>
      <sz val="11"/>
      <color rgb="FF0070C0"/>
      <name val="Calibri"/>
      <family val="2"/>
      <scheme val="minor"/>
    </font>
    <font>
      <b/>
      <sz val="11"/>
      <color rgb="FF0070C0"/>
      <name val="Calibri"/>
      <family val="2"/>
      <scheme val="minor"/>
    </font>
    <font>
      <u/>
      <sz val="11"/>
      <color rgb="FF0070C0"/>
      <name val="Calibri"/>
      <family val="2"/>
      <scheme val="minor"/>
    </font>
    <font>
      <i/>
      <sz val="11"/>
      <color rgb="FF0070C0"/>
      <name val="Calibri"/>
      <family val="2"/>
      <scheme val="minor"/>
    </font>
    <font>
      <strike/>
      <sz val="11"/>
      <color rgb="FF0070C0"/>
      <name val="Calibri"/>
      <family val="2"/>
      <scheme val="minor"/>
    </font>
    <font>
      <b/>
      <u/>
      <sz val="11"/>
      <color rgb="FF0070C0"/>
      <name val="Calibri"/>
      <family val="2"/>
      <scheme val="minor"/>
    </font>
    <font>
      <sz val="8"/>
      <color rgb="FF0070C0"/>
      <name val="Arial"/>
      <family val="2"/>
    </font>
    <font>
      <sz val="11"/>
      <name val="Calibri"/>
      <family val="2"/>
      <scheme val="minor"/>
    </font>
    <font>
      <sz val="11"/>
      <color rgb="FF000000"/>
      <name val="Calibri"/>
      <family val="2"/>
    </font>
    <font>
      <b/>
      <sz val="10"/>
      <color rgb="FFFF0000"/>
      <name val="Arial"/>
      <family val="2"/>
    </font>
    <font>
      <sz val="10"/>
      <name val="Arial"/>
      <family val="2"/>
    </font>
    <font>
      <b/>
      <sz val="10"/>
      <name val="Arial"/>
      <family val="2"/>
    </font>
    <font>
      <i/>
      <sz val="8"/>
      <color theme="0" tint="-0.34998626667073579"/>
      <name val="Arial"/>
      <family val="2"/>
    </font>
    <font>
      <sz val="11"/>
      <color rgb="FFFF0000"/>
      <name val="Calibri"/>
      <family val="2"/>
      <scheme val="minor"/>
    </font>
    <font>
      <i/>
      <sz val="8"/>
      <color theme="0" tint="-0.499984740745262"/>
      <name val="Arial"/>
      <family val="2"/>
    </font>
    <font>
      <b/>
      <sz val="10"/>
      <color rgb="FFFFFFFF"/>
      <name val="Arial"/>
      <family val="2"/>
    </font>
    <font>
      <b/>
      <sz val="10"/>
      <color theme="4" tint="-0.249977111117893"/>
      <name val="Arial"/>
      <family val="2"/>
    </font>
    <font>
      <sz val="11"/>
      <name val="Calibri"/>
      <family val="2"/>
    </font>
    <font>
      <b/>
      <sz val="12"/>
      <color rgb="FFFF0000"/>
      <name val="Arial"/>
      <family val="2"/>
    </font>
    <font>
      <b/>
      <sz val="11"/>
      <color theme="1"/>
      <name val="Calibri"/>
      <family val="2"/>
      <scheme val="minor"/>
    </font>
    <font>
      <b/>
      <sz val="11"/>
      <name val="Calibri"/>
      <family val="2"/>
      <scheme val="minor"/>
    </font>
    <font>
      <b/>
      <sz val="11"/>
      <name val="Calibri"/>
      <family val="2"/>
    </font>
    <font>
      <sz val="9"/>
      <color theme="1"/>
      <name val="Arial"/>
      <family val="2"/>
    </font>
    <font>
      <sz val="10"/>
      <color theme="1"/>
      <name val="Arial"/>
      <family val="2"/>
    </font>
    <font>
      <i/>
      <sz val="8"/>
      <color theme="0" tint="-0.14999847407452621"/>
      <name val="Arial"/>
      <family val="2"/>
    </font>
  </fonts>
  <fills count="2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rgb="FF92CDDC"/>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bgColor rgb="FF000000"/>
      </patternFill>
    </fill>
    <fill>
      <patternFill patternType="solid">
        <fgColor theme="9"/>
        <bgColor indexed="64"/>
      </patternFill>
    </fill>
    <fill>
      <patternFill patternType="solid">
        <fgColor rgb="FF00B05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C000"/>
        <bgColor indexed="64"/>
      </patternFill>
    </fill>
    <fill>
      <patternFill patternType="solid">
        <fgColor rgb="FFFF0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rgb="FFFF0000"/>
      </left>
      <right style="thick">
        <color rgb="FFFF0000"/>
      </right>
      <top style="thick">
        <color rgb="FFFF0000"/>
      </top>
      <bottom/>
      <diagonal/>
    </border>
    <border>
      <left style="thick">
        <color rgb="FFFF0000"/>
      </left>
      <right style="thick">
        <color rgb="FFFF0000"/>
      </right>
      <top/>
      <bottom style="thick">
        <color rgb="FFFF0000"/>
      </bottom>
      <diagonal/>
    </border>
    <border>
      <left style="medium">
        <color indexed="64"/>
      </left>
      <right style="medium">
        <color indexed="64"/>
      </right>
      <top style="medium">
        <color indexed="64"/>
      </top>
      <bottom style="medium">
        <color indexed="64"/>
      </bottom>
      <diagonal/>
    </border>
    <border>
      <left/>
      <right style="thick">
        <color rgb="FFFF0000"/>
      </right>
      <top/>
      <bottom style="thin">
        <color indexed="64"/>
      </bottom>
      <diagonal/>
    </border>
    <border>
      <left style="thick">
        <color rgb="FFFF0000"/>
      </left>
      <right style="thick">
        <color rgb="FFFF0000"/>
      </right>
      <top style="thick">
        <color rgb="FFFF0000"/>
      </top>
      <bottom style="thick">
        <color rgb="FFFF0000"/>
      </bottom>
      <diagonal/>
    </border>
    <border>
      <left style="medium">
        <color indexed="64"/>
      </left>
      <right/>
      <top/>
      <bottom/>
      <diagonal/>
    </border>
    <border>
      <left style="thick">
        <color rgb="FFFF0000"/>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5">
    <xf numFmtId="0" fontId="0" fillId="0" borderId="0"/>
    <xf numFmtId="0" fontId="8" fillId="0" borderId="0"/>
    <xf numFmtId="0" fontId="8" fillId="0" borderId="0"/>
    <xf numFmtId="0" fontId="7" fillId="0" borderId="0"/>
    <xf numFmtId="0" fontId="18" fillId="0" borderId="0" applyNumberFormat="0" applyFill="0" applyBorder="0" applyAlignment="0" applyProtection="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2" fillId="0" borderId="0"/>
    <xf numFmtId="0" fontId="50" fillId="0" borderId="0"/>
    <xf numFmtId="43" fontId="56" fillId="0" borderId="0" applyFont="0" applyFill="0" applyBorder="0" applyAlignment="0" applyProtection="0"/>
  </cellStyleXfs>
  <cellXfs count="543">
    <xf numFmtId="0" fontId="0" fillId="0" borderId="0" xfId="0"/>
    <xf numFmtId="165" fontId="15" fillId="2" borderId="0" xfId="0" applyNumberFormat="1" applyFont="1" applyFill="1" applyAlignment="1">
      <alignment horizontal="center"/>
    </xf>
    <xf numFmtId="165" fontId="15" fillId="3" borderId="0" xfId="0" applyNumberFormat="1" applyFont="1" applyFill="1" applyAlignment="1">
      <alignment horizontal="center"/>
    </xf>
    <xf numFmtId="165" fontId="15" fillId="4" borderId="0" xfId="0" applyNumberFormat="1" applyFont="1" applyFill="1" applyAlignment="1">
      <alignment horizontal="center"/>
    </xf>
    <xf numFmtId="165" fontId="9" fillId="4" borderId="0" xfId="0" applyNumberFormat="1" applyFont="1" applyFill="1" applyAlignment="1">
      <alignment horizontal="center"/>
    </xf>
    <xf numFmtId="0" fontId="0" fillId="2" borderId="0" xfId="0" applyFill="1"/>
    <xf numFmtId="0" fontId="0" fillId="2" borderId="6" xfId="0" applyFill="1" applyBorder="1"/>
    <xf numFmtId="165" fontId="0" fillId="0" borderId="0" xfId="0" applyNumberFormat="1"/>
    <xf numFmtId="0" fontId="0" fillId="2" borderId="8" xfId="0" applyFill="1" applyBorder="1" applyAlignment="1">
      <alignment horizontal="center"/>
    </xf>
    <xf numFmtId="0" fontId="0" fillId="2" borderId="7" xfId="0" applyFill="1" applyBorder="1" applyAlignment="1">
      <alignment horizontal="center"/>
    </xf>
    <xf numFmtId="0" fontId="0" fillId="2" borderId="5" xfId="0" applyFill="1" applyBorder="1" applyAlignment="1">
      <alignment horizontal="center"/>
    </xf>
    <xf numFmtId="0" fontId="0" fillId="2" borderId="9"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17" fillId="2" borderId="5" xfId="0" applyFont="1" applyFill="1" applyBorder="1"/>
    <xf numFmtId="0" fontId="17" fillId="2" borderId="9" xfId="0" applyFont="1" applyFill="1" applyBorder="1"/>
    <xf numFmtId="0" fontId="17" fillId="2" borderId="0" xfId="0" applyFont="1" applyFill="1"/>
    <xf numFmtId="0" fontId="0" fillId="2" borderId="0" xfId="0" applyFill="1" applyAlignment="1">
      <alignment horizontal="right" vertical="center"/>
    </xf>
    <xf numFmtId="0" fontId="17" fillId="2" borderId="3" xfId="0" applyFont="1" applyFill="1" applyBorder="1"/>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9" fillId="2" borderId="8" xfId="0" applyFont="1" applyFill="1" applyBorder="1" applyAlignment="1">
      <alignment horizontal="center"/>
    </xf>
    <xf numFmtId="0" fontId="9" fillId="2" borderId="5" xfId="0" applyFont="1" applyFill="1" applyBorder="1" applyAlignment="1">
      <alignment horizontal="center" vertical="center" wrapText="1"/>
    </xf>
    <xf numFmtId="0" fontId="9" fillId="2" borderId="8" xfId="0" applyFont="1" applyFill="1" applyBorder="1" applyAlignment="1" applyProtection="1">
      <alignment horizontal="center"/>
      <protection locked="0"/>
    </xf>
    <xf numFmtId="0" fontId="9" fillId="2" borderId="9" xfId="0" applyFont="1" applyFill="1" applyBorder="1" applyAlignment="1">
      <alignment horizontal="center"/>
    </xf>
    <xf numFmtId="0" fontId="22" fillId="10" borderId="0" xfId="0" applyFont="1" applyFill="1"/>
    <xf numFmtId="0" fontId="9" fillId="2" borderId="0" xfId="0" applyFont="1" applyFill="1"/>
    <xf numFmtId="0" fontId="16" fillId="2" borderId="0" xfId="0" applyFont="1" applyFill="1" applyAlignment="1">
      <alignment horizontal="left" vertical="center"/>
    </xf>
    <xf numFmtId="0" fontId="11" fillId="2" borderId="0" xfId="0" applyFont="1" applyFill="1"/>
    <xf numFmtId="0" fontId="9" fillId="2" borderId="0" xfId="0" applyFont="1" applyFill="1" applyAlignment="1">
      <alignment horizontal="center"/>
    </xf>
    <xf numFmtId="0" fontId="10" fillId="2" borderId="0" xfId="0" applyFont="1" applyFill="1"/>
    <xf numFmtId="0" fontId="11" fillId="2" borderId="0" xfId="0" applyFont="1" applyFill="1" applyAlignment="1">
      <alignment horizontal="center"/>
    </xf>
    <xf numFmtId="0" fontId="9" fillId="2" borderId="0" xfId="0" applyFont="1" applyFill="1" applyAlignment="1">
      <alignment horizontal="left" indent="1"/>
    </xf>
    <xf numFmtId="0" fontId="9" fillId="2" borderId="0" xfId="0" applyFont="1" applyFill="1" applyAlignment="1">
      <alignment horizontal="left"/>
    </xf>
    <xf numFmtId="165" fontId="9" fillId="2" borderId="0" xfId="0" applyNumberFormat="1" applyFont="1" applyFill="1" applyAlignment="1">
      <alignment horizontal="center"/>
    </xf>
    <xf numFmtId="0" fontId="9" fillId="2" borderId="6" xfId="0" applyFont="1" applyFill="1" applyBorder="1"/>
    <xf numFmtId="2" fontId="9" fillId="2" borderId="0" xfId="0" applyNumberFormat="1" applyFont="1" applyFill="1" applyAlignment="1">
      <alignment horizontal="center"/>
    </xf>
    <xf numFmtId="165" fontId="15" fillId="2" borderId="6" xfId="0" applyNumberFormat="1" applyFont="1" applyFill="1" applyBorder="1" applyAlignment="1">
      <alignment horizontal="center"/>
    </xf>
    <xf numFmtId="165" fontId="9" fillId="2" borderId="0" xfId="0" applyNumberFormat="1" applyFont="1" applyFill="1"/>
    <xf numFmtId="0" fontId="23" fillId="2" borderId="0" xfId="0" applyFont="1" applyFill="1" applyAlignment="1">
      <alignment horizontal="left" vertical="center"/>
    </xf>
    <xf numFmtId="0" fontId="0" fillId="2" borderId="4" xfId="0" applyFill="1" applyBorder="1" applyAlignment="1">
      <alignment horizontal="center"/>
    </xf>
    <xf numFmtId="0" fontId="17" fillId="2" borderId="1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9" fillId="2" borderId="0" xfId="0" applyFont="1" applyFill="1" applyAlignment="1">
      <alignment horizontal="right"/>
    </xf>
    <xf numFmtId="164" fontId="9" fillId="2" borderId="0" xfId="0" applyNumberFormat="1" applyFont="1" applyFill="1" applyAlignment="1">
      <alignment horizontal="right"/>
    </xf>
    <xf numFmtId="165" fontId="16" fillId="2" borderId="0" xfId="0" applyNumberFormat="1" applyFont="1" applyFill="1" applyAlignment="1">
      <alignment horizontal="center"/>
    </xf>
    <xf numFmtId="165" fontId="16" fillId="2" borderId="3" xfId="0" applyNumberFormat="1" applyFont="1" applyFill="1" applyBorder="1" applyAlignment="1">
      <alignment horizontal="center"/>
    </xf>
    <xf numFmtId="165" fontId="13" fillId="2" borderId="6" xfId="0" applyNumberFormat="1" applyFont="1" applyFill="1" applyBorder="1" applyAlignment="1">
      <alignment horizontal="center"/>
    </xf>
    <xf numFmtId="165" fontId="12" fillId="2" borderId="3" xfId="0" applyNumberFormat="1" applyFont="1" applyFill="1" applyBorder="1" applyAlignment="1">
      <alignment horizontal="center"/>
    </xf>
    <xf numFmtId="165" fontId="9" fillId="2" borderId="6" xfId="0" applyNumberFormat="1" applyFont="1" applyFill="1" applyBorder="1" applyAlignment="1">
      <alignment horizontal="center"/>
    </xf>
    <xf numFmtId="165" fontId="14" fillId="2" borderId="3" xfId="0" applyNumberFormat="1" applyFont="1" applyFill="1" applyBorder="1" applyAlignment="1">
      <alignment horizontal="center"/>
    </xf>
    <xf numFmtId="0" fontId="9" fillId="2" borderId="11" xfId="0" applyFont="1" applyFill="1" applyBorder="1"/>
    <xf numFmtId="165" fontId="9" fillId="2" borderId="11" xfId="0" applyNumberFormat="1" applyFont="1" applyFill="1" applyBorder="1" applyAlignment="1">
      <alignment horizontal="center"/>
    </xf>
    <xf numFmtId="2" fontId="9" fillId="2" borderId="0" xfId="0" applyNumberFormat="1" applyFont="1" applyFill="1"/>
    <xf numFmtId="0" fontId="11" fillId="2" borderId="2" xfId="0" applyFont="1" applyFill="1" applyBorder="1"/>
    <xf numFmtId="2" fontId="9" fillId="2" borderId="4" xfId="0" applyNumberFormat="1" applyFont="1" applyFill="1" applyBorder="1" applyAlignment="1" applyProtection="1">
      <alignment horizontal="center"/>
      <protection locked="0"/>
    </xf>
    <xf numFmtId="0" fontId="11" fillId="2" borderId="9" xfId="0" applyFont="1" applyFill="1" applyBorder="1"/>
    <xf numFmtId="2" fontId="9" fillId="2" borderId="7" xfId="0" applyNumberFormat="1" applyFont="1" applyFill="1" applyBorder="1" applyAlignment="1" applyProtection="1">
      <alignment horizontal="center"/>
      <protection locked="0"/>
    </xf>
    <xf numFmtId="2" fontId="9" fillId="2" borderId="0" xfId="0" applyNumberFormat="1" applyFont="1" applyFill="1" applyAlignment="1" applyProtection="1">
      <alignment horizontal="center"/>
      <protection locked="0"/>
    </xf>
    <xf numFmtId="165" fontId="15" fillId="2" borderId="0" xfId="0" applyNumberFormat="1" applyFont="1" applyFill="1" applyAlignment="1" applyProtection="1">
      <alignment horizontal="center"/>
      <protection locked="0"/>
    </xf>
    <xf numFmtId="0" fontId="9" fillId="2" borderId="0" xfId="0" applyFont="1" applyFill="1" applyProtection="1">
      <protection locked="0"/>
    </xf>
    <xf numFmtId="164" fontId="9" fillId="2" borderId="0" xfId="0" applyNumberFormat="1" applyFont="1" applyFill="1"/>
    <xf numFmtId="0" fontId="15" fillId="2" borderId="0" xfId="0" applyFont="1" applyFill="1"/>
    <xf numFmtId="2" fontId="15" fillId="2" borderId="0" xfId="0" applyNumberFormat="1" applyFont="1" applyFill="1" applyAlignment="1" applyProtection="1">
      <alignment horizontal="center"/>
      <protection locked="0"/>
    </xf>
    <xf numFmtId="0" fontId="10" fillId="2" borderId="5" xfId="0" applyFont="1" applyFill="1" applyBorder="1" applyAlignment="1">
      <alignment horizontal="center"/>
    </xf>
    <xf numFmtId="0" fontId="9" fillId="2" borderId="5" xfId="0" applyFont="1" applyFill="1" applyBorder="1" applyAlignment="1">
      <alignment horizontal="center"/>
    </xf>
    <xf numFmtId="0" fontId="9" fillId="2" borderId="7" xfId="0" applyFont="1" applyFill="1" applyBorder="1" applyAlignment="1">
      <alignment horizontal="center"/>
    </xf>
    <xf numFmtId="0" fontId="24" fillId="10" borderId="0" xfId="0" applyFont="1" applyFill="1"/>
    <xf numFmtId="2" fontId="24" fillId="10" borderId="0" xfId="0" applyNumberFormat="1" applyFont="1" applyFill="1" applyAlignment="1">
      <alignment horizontal="center"/>
    </xf>
    <xf numFmtId="0" fontId="24" fillId="10" borderId="0" xfId="0" applyFont="1" applyFill="1" applyAlignment="1">
      <alignment horizontal="center"/>
    </xf>
    <xf numFmtId="0" fontId="24" fillId="10" borderId="0" xfId="0" applyFont="1" applyFill="1" applyAlignment="1">
      <alignment horizontal="right"/>
    </xf>
    <xf numFmtId="0" fontId="25" fillId="10" borderId="0" xfId="0" applyFont="1" applyFill="1" applyAlignment="1">
      <alignment vertical="center"/>
    </xf>
    <xf numFmtId="0" fontId="22" fillId="10" borderId="0" xfId="0" applyFont="1" applyFill="1" applyAlignment="1">
      <alignment horizontal="left" vertical="center"/>
    </xf>
    <xf numFmtId="0" fontId="25" fillId="10" borderId="0" xfId="0" applyFont="1" applyFill="1" applyAlignment="1">
      <alignment horizontal="center" vertical="center"/>
    </xf>
    <xf numFmtId="0" fontId="25" fillId="10" borderId="0" xfId="0" applyFont="1" applyFill="1" applyAlignment="1">
      <alignment horizontal="right" vertical="center"/>
    </xf>
    <xf numFmtId="0" fontId="22" fillId="10" borderId="0" xfId="0" applyFont="1" applyFill="1" applyAlignment="1">
      <alignment vertical="center"/>
    </xf>
    <xf numFmtId="2" fontId="25" fillId="10" borderId="0" xfId="0" applyNumberFormat="1" applyFont="1" applyFill="1" applyAlignment="1">
      <alignment horizontal="center" vertical="center"/>
    </xf>
    <xf numFmtId="0" fontId="9" fillId="2" borderId="3" xfId="0" applyFont="1" applyFill="1" applyBorder="1"/>
    <xf numFmtId="165" fontId="9" fillId="2" borderId="3" xfId="0" applyNumberFormat="1" applyFont="1" applyFill="1" applyBorder="1" applyAlignment="1">
      <alignment horizontal="center"/>
    </xf>
    <xf numFmtId="0" fontId="15" fillId="2" borderId="0" xfId="0" applyFont="1" applyFill="1" applyAlignment="1">
      <alignment horizontal="left" indent="1"/>
    </xf>
    <xf numFmtId="0" fontId="9" fillId="2" borderId="0" xfId="0" quotePrefix="1" applyFont="1" applyFill="1"/>
    <xf numFmtId="0" fontId="21" fillId="2" borderId="0" xfId="0" applyFont="1" applyFill="1" applyAlignment="1">
      <alignment horizontal="left" vertical="center" readingOrder="1"/>
    </xf>
    <xf numFmtId="0" fontId="20" fillId="2" borderId="0" xfId="0" applyFont="1" applyFill="1" applyAlignment="1">
      <alignment horizontal="center"/>
    </xf>
    <xf numFmtId="165" fontId="0" fillId="2" borderId="0" xfId="0" applyNumberFormat="1" applyFill="1"/>
    <xf numFmtId="0" fontId="12" fillId="2" borderId="3" xfId="0" applyFont="1" applyFill="1" applyBorder="1"/>
    <xf numFmtId="0" fontId="12" fillId="2" borderId="11" xfId="0" applyFont="1" applyFill="1" applyBorder="1"/>
    <xf numFmtId="0" fontId="12" fillId="2" borderId="11" xfId="0" applyFont="1" applyFill="1" applyBorder="1" applyAlignment="1">
      <alignment horizontal="center"/>
    </xf>
    <xf numFmtId="0" fontId="16" fillId="2" borderId="3" xfId="0" applyFont="1" applyFill="1" applyBorder="1"/>
    <xf numFmtId="0" fontId="13" fillId="2" borderId="0" xfId="0" applyFont="1" applyFill="1" applyAlignment="1">
      <alignment horizontal="left" indent="1"/>
    </xf>
    <xf numFmtId="0" fontId="15" fillId="2" borderId="6" xfId="0" applyFont="1" applyFill="1" applyBorder="1" applyAlignment="1">
      <alignment horizontal="left" indent="1"/>
    </xf>
    <xf numFmtId="0" fontId="26" fillId="10" borderId="0" xfId="0" applyFont="1" applyFill="1"/>
    <xf numFmtId="0" fontId="16" fillId="2" borderId="0" xfId="0" applyFont="1" applyFill="1"/>
    <xf numFmtId="0" fontId="17" fillId="2" borderId="1" xfId="0" applyFont="1" applyFill="1" applyBorder="1" applyAlignment="1">
      <alignment horizontal="center" vertical="center" wrapText="1"/>
    </xf>
    <xf numFmtId="0" fontId="25" fillId="10" borderId="0" xfId="0" applyFont="1" applyFill="1"/>
    <xf numFmtId="0" fontId="22" fillId="10" borderId="0" xfId="0" applyFont="1" applyFill="1" applyAlignment="1">
      <alignment horizontal="left"/>
    </xf>
    <xf numFmtId="0" fontId="25" fillId="10" borderId="0" xfId="0" applyFont="1" applyFill="1" applyAlignment="1">
      <alignment horizontal="center"/>
    </xf>
    <xf numFmtId="0" fontId="25" fillId="10" borderId="0" xfId="0" applyFont="1" applyFill="1" applyAlignment="1">
      <alignment horizontal="right"/>
    </xf>
    <xf numFmtId="166" fontId="9" fillId="2" borderId="0" xfId="0" applyNumberFormat="1" applyFont="1" applyFill="1" applyAlignment="1">
      <alignment horizontal="center"/>
    </xf>
    <xf numFmtId="164" fontId="9" fillId="2" borderId="0" xfId="0" applyNumberFormat="1" applyFont="1" applyFill="1" applyAlignment="1">
      <alignment horizontal="center"/>
    </xf>
    <xf numFmtId="166" fontId="15" fillId="2" borderId="0" xfId="0" applyNumberFormat="1" applyFont="1" applyFill="1" applyAlignment="1">
      <alignment horizontal="center"/>
    </xf>
    <xf numFmtId="165" fontId="9" fillId="3" borderId="0" xfId="0" applyNumberFormat="1" applyFont="1" applyFill="1" applyAlignment="1">
      <alignment horizontal="center"/>
    </xf>
    <xf numFmtId="165" fontId="15" fillId="5" borderId="0" xfId="0" applyNumberFormat="1" applyFont="1" applyFill="1" applyAlignment="1">
      <alignment horizontal="center"/>
    </xf>
    <xf numFmtId="0" fontId="22" fillId="2" borderId="0" xfId="0" applyFont="1" applyFill="1"/>
    <xf numFmtId="167" fontId="15" fillId="2" borderId="0" xfId="0" applyNumberFormat="1" applyFont="1" applyFill="1" applyAlignment="1">
      <alignment horizontal="center"/>
    </xf>
    <xf numFmtId="170" fontId="15" fillId="2" borderId="0" xfId="0" applyNumberFormat="1" applyFont="1" applyFill="1" applyAlignment="1">
      <alignment horizontal="center"/>
    </xf>
    <xf numFmtId="0" fontId="9" fillId="2" borderId="0" xfId="0" applyFont="1" applyFill="1" applyAlignment="1">
      <alignment horizontal="left" indent="3"/>
    </xf>
    <xf numFmtId="0" fontId="16" fillId="2" borderId="6" xfId="0" applyFont="1" applyFill="1" applyBorder="1"/>
    <xf numFmtId="0" fontId="9" fillId="2" borderId="6" xfId="0" applyFont="1" applyFill="1" applyBorder="1" applyAlignment="1">
      <alignment horizontal="left" indent="3"/>
    </xf>
    <xf numFmtId="2" fontId="9" fillId="2" borderId="6" xfId="0" applyNumberFormat="1" applyFont="1" applyFill="1" applyBorder="1" applyAlignment="1">
      <alignment horizontal="center"/>
    </xf>
    <xf numFmtId="0" fontId="25" fillId="2" borderId="0" xfId="0" applyFont="1" applyFill="1"/>
    <xf numFmtId="165" fontId="16" fillId="2" borderId="6" xfId="0" applyNumberFormat="1" applyFont="1" applyFill="1" applyBorder="1" applyAlignment="1">
      <alignment horizontal="center"/>
    </xf>
    <xf numFmtId="0" fontId="9" fillId="2" borderId="0" xfId="0" applyFont="1" applyFill="1" applyAlignment="1">
      <alignment vertical="center"/>
    </xf>
    <xf numFmtId="165" fontId="29" fillId="10" borderId="0" xfId="0" applyNumberFormat="1" applyFont="1" applyFill="1" applyAlignment="1">
      <alignment horizontal="center"/>
    </xf>
    <xf numFmtId="0" fontId="16" fillId="2" borderId="11" xfId="0" applyFont="1" applyFill="1" applyBorder="1"/>
    <xf numFmtId="165" fontId="9" fillId="2" borderId="6" xfId="0" applyNumberFormat="1" applyFont="1" applyFill="1" applyBorder="1"/>
    <xf numFmtId="165" fontId="16" fillId="2" borderId="11" xfId="0" applyNumberFormat="1" applyFont="1" applyFill="1" applyBorder="1" applyAlignment="1">
      <alignment horizontal="center"/>
    </xf>
    <xf numFmtId="0" fontId="28" fillId="2" borderId="0" xfId="0" applyFont="1" applyFill="1"/>
    <xf numFmtId="165" fontId="28" fillId="2" borderId="0" xfId="0" applyNumberFormat="1" applyFont="1" applyFill="1" applyAlignment="1" applyProtection="1">
      <alignment horizontal="center"/>
      <protection locked="0"/>
    </xf>
    <xf numFmtId="168" fontId="9" fillId="2" borderId="0" xfId="0" applyNumberFormat="1" applyFont="1" applyFill="1"/>
    <xf numFmtId="165" fontId="15" fillId="7" borderId="0" xfId="0" applyNumberFormat="1" applyFont="1" applyFill="1" applyAlignment="1">
      <alignment horizontal="center"/>
    </xf>
    <xf numFmtId="0" fontId="15" fillId="2" borderId="0" xfId="0" applyFont="1" applyFill="1" applyAlignment="1">
      <alignment horizontal="left"/>
    </xf>
    <xf numFmtId="166" fontId="9" fillId="2" borderId="0" xfId="0" applyNumberFormat="1" applyFont="1" applyFill="1"/>
    <xf numFmtId="166" fontId="9" fillId="2" borderId="0" xfId="0" applyNumberFormat="1" applyFont="1" applyFill="1" applyAlignment="1">
      <alignment horizontal="right"/>
    </xf>
    <xf numFmtId="2" fontId="9" fillId="2" borderId="0" xfId="0" applyNumberFormat="1" applyFont="1" applyFill="1" applyAlignment="1">
      <alignment horizontal="right"/>
    </xf>
    <xf numFmtId="165" fontId="29" fillId="2" borderId="0" xfId="0" applyNumberFormat="1" applyFont="1" applyFill="1" applyAlignment="1">
      <alignment horizontal="center"/>
    </xf>
    <xf numFmtId="165" fontId="29" fillId="2" borderId="6" xfId="0" applyNumberFormat="1" applyFont="1" applyFill="1" applyBorder="1" applyAlignment="1">
      <alignment horizontal="center"/>
    </xf>
    <xf numFmtId="165" fontId="28" fillId="2" borderId="6" xfId="0" applyNumberFormat="1" applyFont="1" applyFill="1" applyBorder="1" applyAlignment="1">
      <alignment horizontal="center"/>
    </xf>
    <xf numFmtId="0" fontId="30" fillId="2" borderId="0" xfId="0" applyFont="1" applyFill="1"/>
    <xf numFmtId="165" fontId="31" fillId="2" borderId="0" xfId="0" applyNumberFormat="1" applyFont="1" applyFill="1" applyAlignment="1">
      <alignment horizontal="center"/>
    </xf>
    <xf numFmtId="165" fontId="31" fillId="2" borderId="6" xfId="0" applyNumberFormat="1" applyFont="1" applyFill="1" applyBorder="1" applyAlignment="1">
      <alignment horizontal="center"/>
    </xf>
    <xf numFmtId="0" fontId="23" fillId="2" borderId="0" xfId="0" applyFont="1" applyFill="1" applyAlignment="1" applyProtection="1">
      <alignment horizontal="left" vertical="center"/>
      <protection locked="0"/>
    </xf>
    <xf numFmtId="0" fontId="16" fillId="2" borderId="0" xfId="0" applyFont="1" applyFill="1" applyAlignment="1" applyProtection="1">
      <alignment horizontal="left" vertical="center"/>
      <protection locked="0"/>
    </xf>
    <xf numFmtId="0" fontId="11" fillId="2" borderId="2" xfId="0" applyFont="1" applyFill="1" applyBorder="1" applyAlignment="1" applyProtection="1">
      <alignment horizontal="center" vertical="center"/>
      <protection locked="0"/>
    </xf>
    <xf numFmtId="0" fontId="11" fillId="2" borderId="4" xfId="0" applyFont="1" applyFill="1" applyBorder="1" applyAlignment="1" applyProtection="1">
      <alignment horizontal="center" vertical="center"/>
      <protection locked="0"/>
    </xf>
    <xf numFmtId="0" fontId="10" fillId="2" borderId="5" xfId="0" applyFont="1" applyFill="1" applyBorder="1" applyAlignment="1" applyProtection="1">
      <alignment horizontal="left" vertical="center"/>
      <protection locked="0"/>
    </xf>
    <xf numFmtId="0" fontId="9" fillId="2" borderId="5" xfId="0" applyFont="1" applyFill="1" applyBorder="1" applyAlignment="1" applyProtection="1">
      <alignment horizontal="center" vertical="center" wrapText="1"/>
      <protection locked="0"/>
    </xf>
    <xf numFmtId="0" fontId="9" fillId="2" borderId="9" xfId="0" applyFont="1" applyFill="1" applyBorder="1" applyAlignment="1" applyProtection="1">
      <alignment horizontal="center"/>
      <protection locked="0"/>
    </xf>
    <xf numFmtId="0" fontId="0" fillId="2" borderId="0" xfId="0" applyFill="1" applyProtection="1">
      <protection locked="0"/>
    </xf>
    <xf numFmtId="0" fontId="0" fillId="10" borderId="0" xfId="0" applyFill="1" applyProtection="1">
      <protection locked="0"/>
    </xf>
    <xf numFmtId="0" fontId="22" fillId="10" borderId="0" xfId="0" applyFont="1" applyFill="1" applyProtection="1">
      <protection locked="0"/>
    </xf>
    <xf numFmtId="0" fontId="9" fillId="10" borderId="0" xfId="0" applyFont="1" applyFill="1" applyProtection="1">
      <protection locked="0"/>
    </xf>
    <xf numFmtId="0" fontId="11" fillId="2" borderId="0" xfId="0" applyFont="1" applyFill="1" applyAlignment="1" applyProtection="1">
      <alignment horizontal="center"/>
      <protection locked="0"/>
    </xf>
    <xf numFmtId="0" fontId="0" fillId="2" borderId="6" xfId="0" applyFill="1" applyBorder="1" applyProtection="1">
      <protection locked="0"/>
    </xf>
    <xf numFmtId="0" fontId="11" fillId="2" borderId="6" xfId="0" applyFont="1" applyFill="1" applyBorder="1" applyProtection="1">
      <protection locked="0"/>
    </xf>
    <xf numFmtId="0" fontId="9" fillId="2" borderId="6" xfId="0" applyFont="1" applyFill="1" applyBorder="1" applyAlignment="1" applyProtection="1">
      <alignment horizontal="center"/>
      <protection locked="0"/>
    </xf>
    <xf numFmtId="0" fontId="10" fillId="2" borderId="0" xfId="0" applyFont="1" applyFill="1" applyProtection="1">
      <protection locked="0"/>
    </xf>
    <xf numFmtId="0" fontId="9" fillId="2" borderId="0" xfId="0" applyFont="1" applyFill="1" applyAlignment="1" applyProtection="1">
      <alignment horizontal="center"/>
      <protection locked="0"/>
    </xf>
    <xf numFmtId="165" fontId="15" fillId="3" borderId="0" xfId="0" applyNumberFormat="1" applyFont="1" applyFill="1" applyAlignment="1" applyProtection="1">
      <alignment horizontal="center"/>
      <protection locked="0"/>
    </xf>
    <xf numFmtId="165" fontId="15" fillId="5" borderId="0" xfId="0" applyNumberFormat="1" applyFont="1" applyFill="1" applyAlignment="1" applyProtection="1">
      <alignment horizontal="center"/>
      <protection locked="0"/>
    </xf>
    <xf numFmtId="0" fontId="9" fillId="2" borderId="0" xfId="0" applyFont="1" applyFill="1" applyAlignment="1" applyProtection="1">
      <alignment horizontal="left"/>
      <protection locked="0"/>
    </xf>
    <xf numFmtId="0" fontId="9" fillId="2" borderId="0" xfId="0" applyFont="1" applyFill="1" applyAlignment="1" applyProtection="1">
      <alignment horizontal="left" indent="1"/>
      <protection locked="0"/>
    </xf>
    <xf numFmtId="0" fontId="9" fillId="2" borderId="6" xfId="0" applyFont="1" applyFill="1" applyBorder="1" applyProtection="1">
      <protection locked="0"/>
    </xf>
    <xf numFmtId="165" fontId="9" fillId="2" borderId="0" xfId="0" applyNumberFormat="1" applyFont="1" applyFill="1" applyAlignment="1" applyProtection="1">
      <alignment horizontal="center"/>
      <protection locked="0"/>
    </xf>
    <xf numFmtId="165" fontId="9" fillId="3" borderId="0" xfId="0" applyNumberFormat="1" applyFont="1" applyFill="1" applyAlignment="1" applyProtection="1">
      <alignment horizontal="center"/>
      <protection locked="0"/>
    </xf>
    <xf numFmtId="169" fontId="15" fillId="2" borderId="0" xfId="0" applyNumberFormat="1" applyFont="1" applyFill="1" applyAlignment="1" applyProtection="1">
      <alignment horizontal="center"/>
      <protection locked="0"/>
    </xf>
    <xf numFmtId="0" fontId="11" fillId="2" borderId="6" xfId="0" applyFont="1" applyFill="1" applyBorder="1" applyAlignment="1" applyProtection="1">
      <alignment horizontal="left"/>
      <protection locked="0"/>
    </xf>
    <xf numFmtId="165" fontId="15" fillId="2" borderId="6" xfId="0" applyNumberFormat="1" applyFont="1" applyFill="1" applyBorder="1" applyAlignment="1" applyProtection="1">
      <alignment horizontal="center"/>
      <protection locked="0"/>
    </xf>
    <xf numFmtId="164" fontId="15" fillId="2" borderId="6" xfId="0" applyNumberFormat="1" applyFont="1" applyFill="1" applyBorder="1" applyAlignment="1" applyProtection="1">
      <alignment horizontal="center"/>
      <protection locked="0"/>
    </xf>
    <xf numFmtId="165" fontId="15" fillId="10" borderId="0" xfId="0" applyNumberFormat="1" applyFont="1" applyFill="1" applyAlignment="1" applyProtection="1">
      <alignment horizontal="center"/>
      <protection locked="0"/>
    </xf>
    <xf numFmtId="0" fontId="22" fillId="2" borderId="0" xfId="0" applyFont="1" applyFill="1" applyProtection="1">
      <protection locked="0"/>
    </xf>
    <xf numFmtId="165" fontId="15" fillId="6" borderId="0" xfId="0" applyNumberFormat="1" applyFont="1" applyFill="1" applyAlignment="1" applyProtection="1">
      <alignment horizontal="center"/>
      <protection locked="0"/>
    </xf>
    <xf numFmtId="165" fontId="9" fillId="6" borderId="0" xfId="0" applyNumberFormat="1" applyFont="1" applyFill="1" applyAlignment="1" applyProtection="1">
      <alignment horizontal="center"/>
      <protection locked="0"/>
    </xf>
    <xf numFmtId="0" fontId="11" fillId="2" borderId="0" xfId="0" applyFont="1" applyFill="1" applyProtection="1">
      <protection locked="0"/>
    </xf>
    <xf numFmtId="165" fontId="12" fillId="2" borderId="0" xfId="0" applyNumberFormat="1" applyFont="1" applyFill="1" applyAlignment="1" applyProtection="1">
      <alignment horizontal="center"/>
      <protection locked="0"/>
    </xf>
    <xf numFmtId="0" fontId="12" fillId="2" borderId="0" xfId="0" applyFont="1" applyFill="1" applyAlignment="1" applyProtection="1">
      <alignment horizontal="center"/>
      <protection locked="0"/>
    </xf>
    <xf numFmtId="165" fontId="15" fillId="11" borderId="0" xfId="0" applyNumberFormat="1" applyFont="1" applyFill="1" applyAlignment="1">
      <alignment horizontal="center"/>
    </xf>
    <xf numFmtId="0" fontId="0" fillId="12" borderId="16" xfId="0" quotePrefix="1" applyFill="1" applyBorder="1" applyAlignment="1" applyProtection="1">
      <alignment horizontal="center" vertical="center"/>
      <protection locked="0"/>
    </xf>
    <xf numFmtId="2" fontId="0" fillId="12" borderId="17" xfId="0" applyNumberFormat="1" applyFill="1" applyBorder="1" applyAlignment="1" applyProtection="1">
      <alignment horizontal="center" vertical="center"/>
      <protection locked="0"/>
    </xf>
    <xf numFmtId="0" fontId="5" fillId="2" borderId="2" xfId="6" applyFill="1" applyBorder="1"/>
    <xf numFmtId="0" fontId="5" fillId="2" borderId="3" xfId="6" applyFill="1" applyBorder="1"/>
    <xf numFmtId="0" fontId="33" fillId="2" borderId="3" xfId="6" applyFont="1" applyFill="1" applyBorder="1"/>
    <xf numFmtId="0" fontId="5" fillId="2" borderId="4" xfId="6" applyFill="1" applyBorder="1"/>
    <xf numFmtId="0" fontId="5" fillId="5" borderId="0" xfId="6" applyFill="1"/>
    <xf numFmtId="0" fontId="5" fillId="2" borderId="5" xfId="6" applyFill="1" applyBorder="1"/>
    <xf numFmtId="0" fontId="5" fillId="2" borderId="0" xfId="6" applyFill="1"/>
    <xf numFmtId="0" fontId="33" fillId="2" borderId="0" xfId="6" applyFont="1" applyFill="1"/>
    <xf numFmtId="0" fontId="5" fillId="2" borderId="8" xfId="6" applyFill="1" applyBorder="1"/>
    <xf numFmtId="0" fontId="34" fillId="2" borderId="0" xfId="6" applyFont="1" applyFill="1"/>
    <xf numFmtId="0" fontId="35" fillId="2" borderId="0" xfId="4" applyFont="1" applyFill="1" applyBorder="1"/>
    <xf numFmtId="0" fontId="5" fillId="2" borderId="9" xfId="6" applyFill="1" applyBorder="1"/>
    <xf numFmtId="0" fontId="5" fillId="2" borderId="6" xfId="6" applyFill="1" applyBorder="1"/>
    <xf numFmtId="0" fontId="5" fillId="2" borderId="7" xfId="6" applyFill="1" applyBorder="1"/>
    <xf numFmtId="0" fontId="33" fillId="2" borderId="0" xfId="6" applyFont="1" applyFill="1" applyAlignment="1">
      <alignment horizontal="left" wrapText="1"/>
    </xf>
    <xf numFmtId="0" fontId="33" fillId="7" borderId="0" xfId="6" applyFont="1" applyFill="1" applyAlignment="1">
      <alignment horizontal="justify" wrapText="1"/>
    </xf>
    <xf numFmtId="0" fontId="33" fillId="9" borderId="0" xfId="6" applyFont="1" applyFill="1" applyAlignment="1">
      <alignment horizontal="justify" wrapText="1"/>
    </xf>
    <xf numFmtId="0" fontId="33" fillId="2" borderId="0" xfId="6" applyFont="1" applyFill="1" applyAlignment="1">
      <alignment horizontal="left" vertical="center" wrapText="1"/>
    </xf>
    <xf numFmtId="165" fontId="39" fillId="3" borderId="0" xfId="6" applyNumberFormat="1" applyFont="1" applyFill="1" applyAlignment="1">
      <alignment horizontal="center"/>
    </xf>
    <xf numFmtId="165" fontId="39" fillId="5" borderId="0" xfId="6" applyNumberFormat="1" applyFont="1" applyFill="1" applyAlignment="1">
      <alignment horizontal="center"/>
    </xf>
    <xf numFmtId="165" fontId="39" fillId="13" borderId="0" xfId="6" applyNumberFormat="1" applyFont="1" applyFill="1" applyAlignment="1">
      <alignment horizontal="center"/>
    </xf>
    <xf numFmtId="165" fontId="39" fillId="4" borderId="0" xfId="6" applyNumberFormat="1" applyFont="1" applyFill="1" applyAlignment="1">
      <alignment horizontal="center"/>
    </xf>
    <xf numFmtId="165" fontId="39" fillId="2" borderId="0" xfId="6" applyNumberFormat="1" applyFont="1" applyFill="1" applyAlignment="1">
      <alignment horizontal="center"/>
    </xf>
    <xf numFmtId="165" fontId="39" fillId="14" borderId="0" xfId="6" applyNumberFormat="1" applyFont="1" applyFill="1" applyAlignment="1">
      <alignment horizontal="center"/>
    </xf>
    <xf numFmtId="165" fontId="39" fillId="2" borderId="18" xfId="6" applyNumberFormat="1" applyFont="1" applyFill="1" applyBorder="1" applyAlignment="1">
      <alignment horizontal="center"/>
    </xf>
    <xf numFmtId="0" fontId="33" fillId="2" borderId="0" xfId="6" applyFont="1" applyFill="1" applyAlignment="1">
      <alignment vertical="center" wrapText="1"/>
    </xf>
    <xf numFmtId="0" fontId="32" fillId="5" borderId="0" xfId="6" applyFont="1" applyFill="1"/>
    <xf numFmtId="0" fontId="40" fillId="5" borderId="0" xfId="6" applyFont="1" applyFill="1"/>
    <xf numFmtId="168" fontId="0" fillId="2" borderId="0" xfId="0" applyNumberFormat="1" applyFill="1" applyProtection="1">
      <protection locked="0"/>
    </xf>
    <xf numFmtId="165" fontId="39" fillId="6" borderId="0" xfId="6" applyNumberFormat="1" applyFont="1" applyFill="1" applyAlignment="1">
      <alignment horizontal="center"/>
    </xf>
    <xf numFmtId="0" fontId="0" fillId="5" borderId="10" xfId="0" applyFill="1" applyBorder="1" applyAlignment="1">
      <alignment horizontal="center"/>
    </xf>
    <xf numFmtId="0" fontId="0" fillId="5" borderId="1" xfId="0" applyFill="1" applyBorder="1" applyAlignment="1">
      <alignment horizontal="center"/>
    </xf>
    <xf numFmtId="0" fontId="0" fillId="5" borderId="13" xfId="0" quotePrefix="1" applyFill="1" applyBorder="1" applyAlignment="1">
      <alignment horizontal="center" vertical="center"/>
    </xf>
    <xf numFmtId="2" fontId="0" fillId="5" borderId="13" xfId="0" applyNumberFormat="1" applyFill="1" applyBorder="1" applyAlignment="1">
      <alignment horizontal="center" vertical="center"/>
    </xf>
    <xf numFmtId="165" fontId="0" fillId="5" borderId="14" xfId="0" applyNumberFormat="1" applyFill="1" applyBorder="1" applyAlignment="1">
      <alignment horizontal="center" vertical="center"/>
    </xf>
    <xf numFmtId="0" fontId="0" fillId="5" borderId="3" xfId="0" applyFill="1" applyBorder="1"/>
    <xf numFmtId="0" fontId="0" fillId="5" borderId="4" xfId="0" applyFill="1" applyBorder="1"/>
    <xf numFmtId="0" fontId="0" fillId="5" borderId="0" xfId="0" applyFill="1"/>
    <xf numFmtId="0" fontId="0" fillId="5" borderId="8" xfId="0" applyFill="1" applyBorder="1"/>
    <xf numFmtId="0" fontId="0" fillId="5" borderId="6" xfId="0" applyFill="1" applyBorder="1"/>
    <xf numFmtId="0" fontId="0" fillId="5" borderId="7" xfId="0" applyFill="1" applyBorder="1"/>
    <xf numFmtId="0" fontId="0" fillId="5" borderId="0" xfId="0" quotePrefix="1" applyFill="1" applyAlignment="1">
      <alignment horizontal="center" vertical="center"/>
    </xf>
    <xf numFmtId="2" fontId="0" fillId="5" borderId="0" xfId="0" applyNumberFormat="1" applyFill="1" applyAlignment="1">
      <alignment horizontal="center" vertical="center"/>
    </xf>
    <xf numFmtId="165" fontId="0" fillId="5" borderId="6" xfId="0" applyNumberFormat="1" applyFill="1" applyBorder="1" applyAlignment="1">
      <alignment horizontal="center" vertical="center"/>
    </xf>
    <xf numFmtId="0" fontId="17" fillId="2" borderId="6" xfId="0" applyFont="1" applyFill="1" applyBorder="1"/>
    <xf numFmtId="0" fontId="17" fillId="2" borderId="7" xfId="0" applyFont="1" applyFill="1" applyBorder="1"/>
    <xf numFmtId="165" fontId="15" fillId="2" borderId="11" xfId="0" applyNumberFormat="1" applyFont="1" applyFill="1" applyBorder="1" applyAlignment="1">
      <alignment horizontal="center"/>
    </xf>
    <xf numFmtId="0" fontId="27" fillId="2" borderId="13" xfId="0" applyFont="1" applyFill="1" applyBorder="1"/>
    <xf numFmtId="0" fontId="27" fillId="2" borderId="2" xfId="0" applyFont="1" applyFill="1" applyBorder="1"/>
    <xf numFmtId="0" fontId="33" fillId="2" borderId="0" xfId="6" applyFont="1" applyFill="1" applyAlignment="1">
      <alignment horizontal="justify" wrapText="1"/>
    </xf>
    <xf numFmtId="0" fontId="17" fillId="13" borderId="11" xfId="0" applyFont="1" applyFill="1" applyBorder="1" applyAlignment="1">
      <alignment horizontal="center" vertical="center" wrapText="1"/>
    </xf>
    <xf numFmtId="0" fontId="0" fillId="13" borderId="0" xfId="0" applyFill="1" applyAlignment="1">
      <alignment horizontal="center"/>
    </xf>
    <xf numFmtId="0" fontId="0" fillId="13" borderId="6" xfId="0" applyFill="1" applyBorder="1" applyAlignment="1">
      <alignment horizontal="center"/>
    </xf>
    <xf numFmtId="164" fontId="15" fillId="2" borderId="0" xfId="0" applyNumberFormat="1" applyFont="1" applyFill="1" applyAlignment="1">
      <alignment horizontal="center"/>
    </xf>
    <xf numFmtId="170" fontId="9" fillId="2" borderId="0" xfId="0" applyNumberFormat="1" applyFont="1" applyFill="1" applyAlignment="1">
      <alignment horizontal="center"/>
    </xf>
    <xf numFmtId="0" fontId="41" fillId="15" borderId="0" xfId="3" applyFont="1" applyFill="1" applyAlignment="1">
      <alignment horizontal="left" vertical="top"/>
    </xf>
    <xf numFmtId="164" fontId="15" fillId="2" borderId="6" xfId="0" applyNumberFormat="1" applyFont="1" applyFill="1" applyBorder="1" applyAlignment="1">
      <alignment horizontal="center"/>
    </xf>
    <xf numFmtId="0" fontId="17" fillId="2" borderId="14" xfId="0" applyFont="1" applyFill="1" applyBorder="1" applyAlignment="1">
      <alignment horizontal="center" vertical="center" wrapText="1"/>
    </xf>
    <xf numFmtId="0" fontId="0" fillId="2" borderId="0" xfId="0" applyFill="1" applyAlignment="1">
      <alignment horizontal="justify" vertical="top" wrapText="1"/>
    </xf>
    <xf numFmtId="0" fontId="0" fillId="2" borderId="6" xfId="0" applyFill="1" applyBorder="1" applyAlignment="1">
      <alignment horizontal="justify" vertical="top" wrapText="1"/>
    </xf>
    <xf numFmtId="0" fontId="17" fillId="2" borderId="10" xfId="0" applyFont="1" applyFill="1" applyBorder="1" applyAlignment="1">
      <alignment horizontal="center" vertical="top" wrapText="1"/>
    </xf>
    <xf numFmtId="0" fontId="17" fillId="2" borderId="11" xfId="0" applyFont="1" applyFill="1" applyBorder="1" applyAlignment="1">
      <alignment horizontal="center" vertical="top" wrapText="1"/>
    </xf>
    <xf numFmtId="2" fontId="0" fillId="2" borderId="0" xfId="0" applyNumberFormat="1" applyFill="1"/>
    <xf numFmtId="2" fontId="0" fillId="2" borderId="0" xfId="0" applyNumberFormat="1" applyFill="1" applyAlignment="1">
      <alignment horizontal="center" vertical="top" wrapText="1"/>
    </xf>
    <xf numFmtId="0" fontId="0" fillId="2" borderId="0" xfId="0" applyFill="1" applyAlignment="1">
      <alignment vertical="top" wrapText="1"/>
    </xf>
    <xf numFmtId="0" fontId="0" fillId="2" borderId="7" xfId="0" applyFill="1" applyBorder="1" applyAlignment="1">
      <alignment horizontal="justify" vertical="top" wrapText="1"/>
    </xf>
    <xf numFmtId="0" fontId="17" fillId="2" borderId="0" xfId="0" applyFont="1" applyFill="1" applyAlignment="1">
      <alignment horizontal="center" vertical="top" wrapText="1"/>
    </xf>
    <xf numFmtId="0" fontId="0" fillId="2" borderId="0" xfId="0" applyFill="1" applyAlignment="1">
      <alignment vertical="center" wrapText="1"/>
    </xf>
    <xf numFmtId="165" fontId="0" fillId="2" borderId="9" xfId="0" applyNumberFormat="1" applyFill="1" applyBorder="1" applyAlignment="1">
      <alignment horizontal="center" vertical="top" wrapText="1"/>
    </xf>
    <xf numFmtId="165" fontId="0" fillId="2" borderId="6" xfId="0" applyNumberFormat="1" applyFill="1" applyBorder="1" applyAlignment="1">
      <alignment horizontal="center" vertical="top" wrapText="1"/>
    </xf>
    <xf numFmtId="2" fontId="0" fillId="2" borderId="3" xfId="0" applyNumberFormat="1" applyFill="1" applyBorder="1" applyAlignment="1">
      <alignment horizontal="center" vertical="top" wrapText="1"/>
    </xf>
    <xf numFmtId="2" fontId="0" fillId="2" borderId="4" xfId="0" applyNumberFormat="1" applyFill="1" applyBorder="1" applyAlignment="1">
      <alignment horizontal="center" vertical="top" wrapText="1"/>
    </xf>
    <xf numFmtId="165" fontId="0" fillId="2" borderId="7" xfId="0" applyNumberFormat="1" applyFill="1" applyBorder="1" applyAlignment="1">
      <alignment horizontal="center" vertical="top" wrapText="1"/>
    </xf>
    <xf numFmtId="0" fontId="0" fillId="2" borderId="14" xfId="0" applyFill="1" applyBorder="1" applyAlignment="1">
      <alignment vertical="center"/>
    </xf>
    <xf numFmtId="165" fontId="39" fillId="11" borderId="0" xfId="6" applyNumberFormat="1" applyFont="1" applyFill="1" applyAlignment="1">
      <alignment horizontal="center"/>
    </xf>
    <xf numFmtId="0" fontId="33" fillId="8" borderId="0" xfId="6" applyFont="1" applyFill="1"/>
    <xf numFmtId="0" fontId="33" fillId="8" borderId="0" xfId="6" applyFont="1" applyFill="1" applyAlignment="1">
      <alignment horizontal="justify" wrapText="1"/>
    </xf>
    <xf numFmtId="0" fontId="42" fillId="2" borderId="0" xfId="0" applyFont="1" applyFill="1" applyAlignment="1">
      <alignment vertical="top" wrapText="1"/>
    </xf>
    <xf numFmtId="0" fontId="17" fillId="2" borderId="12" xfId="0" applyFont="1" applyFill="1" applyBorder="1" applyAlignment="1">
      <alignment horizontal="center" vertical="top" wrapText="1"/>
    </xf>
    <xf numFmtId="0" fontId="27" fillId="2" borderId="9" xfId="0" applyFont="1" applyFill="1" applyBorder="1"/>
    <xf numFmtId="0" fontId="0" fillId="2" borderId="19" xfId="0" applyFill="1" applyBorder="1"/>
    <xf numFmtId="0" fontId="0" fillId="2" borderId="8" xfId="0" applyFill="1" applyBorder="1" applyAlignment="1">
      <alignment horizontal="justify" vertical="top" wrapText="1"/>
    </xf>
    <xf numFmtId="0" fontId="27" fillId="2" borderId="0" xfId="0" applyFont="1" applyFill="1"/>
    <xf numFmtId="165" fontId="15" fillId="6" borderId="0" xfId="0" applyNumberFormat="1" applyFont="1" applyFill="1" applyAlignment="1">
      <alignment horizontal="center"/>
    </xf>
    <xf numFmtId="168" fontId="9" fillId="2" borderId="0" xfId="0" applyNumberFormat="1" applyFont="1" applyFill="1" applyAlignment="1">
      <alignment horizontal="center"/>
    </xf>
    <xf numFmtId="165" fontId="9" fillId="11" borderId="0" xfId="0" applyNumberFormat="1" applyFont="1" applyFill="1" applyAlignment="1">
      <alignment horizontal="center"/>
    </xf>
    <xf numFmtId="165" fontId="9" fillId="11" borderId="6" xfId="0" applyNumberFormat="1" applyFont="1" applyFill="1" applyBorder="1" applyAlignment="1">
      <alignment horizontal="center"/>
    </xf>
    <xf numFmtId="165" fontId="0" fillId="2" borderId="0" xfId="0" applyNumberFormat="1" applyFill="1" applyAlignment="1">
      <alignment horizontal="center" vertical="top" wrapText="1"/>
    </xf>
    <xf numFmtId="0" fontId="44" fillId="2" borderId="0" xfId="0" applyFont="1" applyFill="1" applyAlignment="1">
      <alignment vertical="center" wrapText="1"/>
    </xf>
    <xf numFmtId="0" fontId="9" fillId="2" borderId="11" xfId="0" applyFont="1" applyFill="1" applyBorder="1" applyAlignment="1">
      <alignment horizontal="center"/>
    </xf>
    <xf numFmtId="169" fontId="9" fillId="2" borderId="0" xfId="0" applyNumberFormat="1" applyFont="1" applyFill="1"/>
    <xf numFmtId="2" fontId="9" fillId="11" borderId="0" xfId="0" applyNumberFormat="1" applyFont="1" applyFill="1" applyAlignment="1">
      <alignment horizontal="center"/>
    </xf>
    <xf numFmtId="2" fontId="9" fillId="11" borderId="6" xfId="0" applyNumberFormat="1" applyFont="1" applyFill="1" applyBorder="1" applyAlignment="1">
      <alignment horizontal="center"/>
    </xf>
    <xf numFmtId="0" fontId="44" fillId="2" borderId="14" xfId="0" applyFont="1" applyFill="1" applyBorder="1" applyAlignment="1">
      <alignment horizontal="center" vertical="center" wrapText="1"/>
    </xf>
    <xf numFmtId="2" fontId="45" fillId="2" borderId="0" xfId="0" applyNumberFormat="1" applyFont="1" applyFill="1" applyAlignment="1">
      <alignment horizontal="center"/>
    </xf>
    <xf numFmtId="2" fontId="15" fillId="2" borderId="0" xfId="0" applyNumberFormat="1" applyFont="1" applyFill="1" applyAlignment="1">
      <alignment horizontal="center"/>
    </xf>
    <xf numFmtId="2" fontId="15" fillId="2" borderId="6" xfId="0" applyNumberFormat="1" applyFont="1" applyFill="1" applyBorder="1" applyAlignment="1">
      <alignment horizontal="center"/>
    </xf>
    <xf numFmtId="165" fontId="9" fillId="13" borderId="0" xfId="0" applyNumberFormat="1" applyFont="1" applyFill="1" applyAlignment="1">
      <alignment horizontal="center"/>
    </xf>
    <xf numFmtId="2" fontId="0" fillId="2" borderId="0" xfId="0" quotePrefix="1" applyNumberFormat="1" applyFill="1" applyAlignment="1" applyProtection="1">
      <alignment horizontal="center" vertical="center"/>
      <protection locked="0"/>
    </xf>
    <xf numFmtId="0" fontId="3" fillId="5" borderId="0" xfId="6" applyFont="1" applyFill="1"/>
    <xf numFmtId="0" fontId="3" fillId="5" borderId="0" xfId="6" applyFont="1" applyFill="1" applyAlignment="1">
      <alignment vertical="top"/>
    </xf>
    <xf numFmtId="0" fontId="3" fillId="5" borderId="0" xfId="6" applyFont="1" applyFill="1" applyAlignment="1">
      <alignment vertical="top" wrapText="1"/>
    </xf>
    <xf numFmtId="2" fontId="0" fillId="2" borderId="14" xfId="0" applyNumberFormat="1" applyFill="1" applyBorder="1" applyAlignment="1">
      <alignment horizontal="center"/>
    </xf>
    <xf numFmtId="0" fontId="0" fillId="2" borderId="0" xfId="0" applyFill="1" applyAlignment="1">
      <alignment horizontal="left" vertical="center" wrapText="1"/>
    </xf>
    <xf numFmtId="0" fontId="0" fillId="2" borderId="8" xfId="0" applyFill="1" applyBorder="1" applyAlignment="1">
      <alignment horizontal="left" vertical="center" wrapText="1"/>
    </xf>
    <xf numFmtId="165" fontId="0" fillId="2" borderId="5" xfId="0" applyNumberFormat="1" applyFill="1" applyBorder="1" applyAlignment="1">
      <alignment horizontal="center" vertical="top" wrapText="1"/>
    </xf>
    <xf numFmtId="2" fontId="0" fillId="2" borderId="13" xfId="0" applyNumberFormat="1" applyFill="1" applyBorder="1" applyAlignment="1">
      <alignment horizontal="center"/>
    </xf>
    <xf numFmtId="165" fontId="0" fillId="2" borderId="2" xfId="0" applyNumberFormat="1" applyFill="1" applyBorder="1" applyAlignment="1">
      <alignment horizontal="center" vertical="top" wrapText="1"/>
    </xf>
    <xf numFmtId="165" fontId="0" fillId="2" borderId="3" xfId="0" applyNumberFormat="1" applyFill="1" applyBorder="1" applyAlignment="1">
      <alignment horizontal="center" vertical="top" wrapText="1"/>
    </xf>
    <xf numFmtId="165" fontId="0" fillId="2" borderId="4" xfId="0" applyNumberFormat="1" applyFill="1" applyBorder="1" applyAlignment="1">
      <alignment horizontal="center" vertical="top" wrapText="1"/>
    </xf>
    <xf numFmtId="165" fontId="0" fillId="2" borderId="8" xfId="0" applyNumberFormat="1" applyFill="1" applyBorder="1" applyAlignment="1">
      <alignment horizontal="center" vertical="top" wrapText="1"/>
    </xf>
    <xf numFmtId="0" fontId="0" fillId="2" borderId="5" xfId="0" applyFill="1" applyBorder="1" applyAlignment="1">
      <alignment horizontal="left" vertical="center"/>
    </xf>
    <xf numFmtId="0" fontId="0" fillId="2" borderId="0" xfId="0" applyFill="1" applyAlignment="1">
      <alignment horizontal="center" vertical="center"/>
    </xf>
    <xf numFmtId="165" fontId="9" fillId="3" borderId="6" xfId="0" applyNumberFormat="1" applyFont="1" applyFill="1" applyBorder="1" applyAlignment="1">
      <alignment horizontal="center"/>
    </xf>
    <xf numFmtId="1" fontId="9" fillId="2" borderId="7" xfId="0" applyNumberFormat="1" applyFont="1" applyFill="1" applyBorder="1" applyAlignment="1" applyProtection="1">
      <alignment horizontal="center"/>
      <protection locked="0"/>
    </xf>
    <xf numFmtId="169" fontId="15" fillId="2" borderId="0" xfId="0" applyNumberFormat="1" applyFont="1" applyFill="1" applyAlignment="1" applyProtection="1">
      <alignment horizontal="left"/>
      <protection locked="0"/>
    </xf>
    <xf numFmtId="165" fontId="15" fillId="11" borderId="2" xfId="0" applyNumberFormat="1" applyFont="1" applyFill="1" applyBorder="1" applyAlignment="1" applyProtection="1">
      <alignment horizontal="center"/>
      <protection locked="0"/>
    </xf>
    <xf numFmtId="165" fontId="15" fillId="11" borderId="4" xfId="0" applyNumberFormat="1" applyFont="1" applyFill="1" applyBorder="1" applyAlignment="1" applyProtection="1">
      <alignment horizontal="center"/>
      <protection locked="0"/>
    </xf>
    <xf numFmtId="165" fontId="15" fillId="11" borderId="9" xfId="0" applyNumberFormat="1" applyFont="1" applyFill="1" applyBorder="1" applyAlignment="1" applyProtection="1">
      <alignment horizontal="center"/>
      <protection locked="0"/>
    </xf>
    <xf numFmtId="165" fontId="15" fillId="11" borderId="7" xfId="0" applyNumberFormat="1" applyFont="1" applyFill="1" applyBorder="1" applyAlignment="1" applyProtection="1">
      <alignment horizontal="center"/>
      <protection locked="0"/>
    </xf>
    <xf numFmtId="0" fontId="1" fillId="5" borderId="0" xfId="6" applyFont="1" applyFill="1"/>
    <xf numFmtId="0" fontId="1" fillId="5" borderId="0" xfId="6" applyFont="1" applyFill="1" applyAlignment="1">
      <alignment vertical="top"/>
    </xf>
    <xf numFmtId="0" fontId="1" fillId="5" borderId="0" xfId="6" applyFont="1" applyFill="1" applyAlignment="1">
      <alignment vertical="top" wrapText="1"/>
    </xf>
    <xf numFmtId="0" fontId="1" fillId="5" borderId="0" xfId="6" applyFont="1" applyFill="1" applyAlignment="1">
      <alignment vertical="center" wrapText="1"/>
    </xf>
    <xf numFmtId="0" fontId="33" fillId="2" borderId="0" xfId="6" applyFont="1" applyFill="1" applyAlignment="1">
      <alignment horizontal="justify" vertical="top" wrapText="1"/>
    </xf>
    <xf numFmtId="0" fontId="33" fillId="2" borderId="0" xfId="6" applyFont="1" applyFill="1" applyAlignment="1">
      <alignment horizontal="justify" vertical="justify" wrapText="1"/>
    </xf>
    <xf numFmtId="0" fontId="34" fillId="2" borderId="0" xfId="6" applyFont="1" applyFill="1" applyAlignment="1">
      <alignment horizontal="justify" vertical="top" wrapText="1"/>
    </xf>
    <xf numFmtId="0" fontId="15" fillId="2" borderId="0" xfId="0" applyFont="1" applyFill="1" applyAlignment="1" applyProtection="1">
      <alignment horizontal="left"/>
      <protection locked="0"/>
    </xf>
    <xf numFmtId="0" fontId="15" fillId="2" borderId="0" xfId="0" applyFont="1" applyFill="1" applyProtection="1">
      <protection locked="0"/>
    </xf>
    <xf numFmtId="0" fontId="13" fillId="2" borderId="0" xfId="0" applyFont="1" applyFill="1" applyProtection="1">
      <protection locked="0"/>
    </xf>
    <xf numFmtId="0" fontId="33" fillId="10" borderId="0" xfId="6" applyFont="1" applyFill="1" applyAlignment="1">
      <alignment horizontal="justify" wrapText="1"/>
    </xf>
    <xf numFmtId="0" fontId="33" fillId="16" borderId="0" xfId="6" applyFont="1" applyFill="1" applyAlignment="1">
      <alignment horizontal="justify" wrapText="1"/>
    </xf>
    <xf numFmtId="0" fontId="46" fillId="5" borderId="0" xfId="6" applyFont="1" applyFill="1"/>
    <xf numFmtId="0" fontId="47" fillId="2" borderId="0" xfId="0" applyFont="1" applyFill="1" applyAlignment="1">
      <alignment horizontal="left" indent="1"/>
    </xf>
    <xf numFmtId="0" fontId="33" fillId="17" borderId="0" xfId="6" applyFont="1" applyFill="1" applyAlignment="1">
      <alignment horizontal="justify" wrapText="1"/>
    </xf>
    <xf numFmtId="0" fontId="17" fillId="5" borderId="3" xfId="0" applyFont="1" applyFill="1" applyBorder="1" applyAlignment="1">
      <alignment horizontal="center" vertical="top" wrapText="1"/>
    </xf>
    <xf numFmtId="0" fontId="17" fillId="5" borderId="4" xfId="0" applyFont="1" applyFill="1" applyBorder="1" applyAlignment="1">
      <alignment horizontal="center" vertical="top" wrapText="1"/>
    </xf>
    <xf numFmtId="0" fontId="17" fillId="5" borderId="15" xfId="0" applyFont="1" applyFill="1" applyBorder="1" applyAlignment="1">
      <alignment horizontal="center"/>
    </xf>
    <xf numFmtId="0" fontId="0" fillId="5" borderId="15" xfId="0" applyFill="1" applyBorder="1" applyAlignment="1">
      <alignment horizontal="center" vertical="center"/>
    </xf>
    <xf numFmtId="2" fontId="0" fillId="5" borderId="14" xfId="0" applyNumberFormat="1" applyFill="1" applyBorder="1" applyAlignment="1">
      <alignment horizontal="center" vertical="center"/>
    </xf>
    <xf numFmtId="2" fontId="0" fillId="5" borderId="15" xfId="0" applyNumberFormat="1" applyFill="1" applyBorder="1" applyAlignment="1">
      <alignment horizontal="center" vertical="center"/>
    </xf>
    <xf numFmtId="165" fontId="44" fillId="5" borderId="13" xfId="0" applyNumberFormat="1" applyFont="1" applyFill="1" applyBorder="1" applyAlignment="1">
      <alignment horizontal="center" vertical="center"/>
    </xf>
    <xf numFmtId="0" fontId="0" fillId="2" borderId="0" xfId="0" applyFill="1" applyAlignment="1">
      <alignment vertical="center"/>
    </xf>
    <xf numFmtId="0" fontId="17" fillId="5" borderId="3"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0" xfId="0" applyFont="1" applyFill="1" applyAlignment="1">
      <alignment horizontal="center" vertical="center" wrapText="1"/>
    </xf>
    <xf numFmtId="0" fontId="17" fillId="5" borderId="8" xfId="0" applyFont="1" applyFill="1" applyBorder="1" applyAlignment="1">
      <alignment horizontal="center" vertical="center" wrapText="1"/>
    </xf>
    <xf numFmtId="2" fontId="0" fillId="5" borderId="0" xfId="0" applyNumberFormat="1" applyFill="1" applyAlignment="1">
      <alignment horizontal="center" vertical="center" wrapText="1"/>
    </xf>
    <xf numFmtId="2" fontId="0" fillId="5" borderId="8" xfId="0" applyNumberFormat="1" applyFill="1" applyBorder="1" applyAlignment="1">
      <alignment horizontal="center" vertical="center" wrapText="1"/>
    </xf>
    <xf numFmtId="2" fontId="0" fillId="5" borderId="3" xfId="0" applyNumberFormat="1" applyFill="1" applyBorder="1" applyAlignment="1">
      <alignment horizontal="center" vertical="center" wrapText="1"/>
    </xf>
    <xf numFmtId="2" fontId="0" fillId="5" borderId="4" xfId="0" applyNumberFormat="1" applyFill="1" applyBorder="1" applyAlignment="1">
      <alignment horizontal="center" vertical="center" wrapText="1"/>
    </xf>
    <xf numFmtId="165" fontId="17" fillId="5" borderId="0" xfId="0" applyNumberFormat="1" applyFont="1" applyFill="1" applyAlignment="1">
      <alignment horizontal="center" vertical="center" wrapText="1"/>
    </xf>
    <xf numFmtId="165" fontId="17" fillId="5" borderId="8" xfId="0" applyNumberFormat="1" applyFont="1" applyFill="1" applyBorder="1" applyAlignment="1">
      <alignment horizontal="center" vertical="center" wrapText="1"/>
    </xf>
    <xf numFmtId="2" fontId="0" fillId="5" borderId="6" xfId="0" applyNumberFormat="1" applyFill="1" applyBorder="1" applyAlignment="1">
      <alignment horizontal="center" vertical="center" wrapText="1"/>
    </xf>
    <xf numFmtId="2" fontId="0" fillId="5" borderId="7" xfId="0" applyNumberFormat="1" applyFill="1" applyBorder="1" applyAlignment="1">
      <alignment horizontal="center" vertical="center" wrapText="1"/>
    </xf>
    <xf numFmtId="0" fontId="0" fillId="5" borderId="5" xfId="0" applyFill="1" applyBorder="1" applyAlignment="1">
      <alignment horizontal="left" vertical="center"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165" fontId="15" fillId="2" borderId="3" xfId="0" applyNumberFormat="1" applyFont="1" applyFill="1" applyBorder="1" applyAlignment="1">
      <alignment horizontal="center"/>
    </xf>
    <xf numFmtId="165" fontId="0" fillId="2" borderId="0" xfId="0" applyNumberFormat="1" applyFill="1" applyAlignment="1">
      <alignment horizontal="center" vertical="center"/>
    </xf>
    <xf numFmtId="0" fontId="0" fillId="2" borderId="0" xfId="0" applyFill="1" applyAlignment="1">
      <alignment horizontal="center" vertical="top"/>
    </xf>
    <xf numFmtId="0" fontId="0" fillId="19" borderId="0" xfId="0" applyFill="1" applyAlignment="1">
      <alignment horizontal="center" vertical="top"/>
    </xf>
    <xf numFmtId="0" fontId="0" fillId="19" borderId="0" xfId="0" applyFill="1" applyAlignment="1">
      <alignment vertical="top"/>
    </xf>
    <xf numFmtId="0" fontId="17" fillId="0" borderId="0" xfId="0" applyFont="1" applyAlignment="1">
      <alignment horizontal="left" vertical="center"/>
    </xf>
    <xf numFmtId="0" fontId="48" fillId="18" borderId="0" xfId="0" applyFont="1" applyFill="1" applyAlignment="1">
      <alignment horizontal="left" vertical="center"/>
    </xf>
    <xf numFmtId="0" fontId="0" fillId="18" borderId="0" xfId="0" applyFill="1" applyAlignment="1">
      <alignment vertical="top"/>
    </xf>
    <xf numFmtId="0" fontId="22" fillId="18" borderId="0" xfId="0" applyFont="1" applyFill="1" applyAlignment="1">
      <alignment horizontal="center" vertical="top"/>
    </xf>
    <xf numFmtId="0" fontId="22" fillId="18" borderId="0" xfId="0" applyFont="1" applyFill="1" applyAlignment="1">
      <alignment horizontal="center"/>
    </xf>
    <xf numFmtId="0" fontId="49" fillId="18" borderId="0" xfId="0" applyFont="1" applyFill="1" applyAlignment="1">
      <alignment horizontal="center" vertical="center" wrapText="1"/>
    </xf>
    <xf numFmtId="0" fontId="48" fillId="18" borderId="0" xfId="0" applyFont="1" applyFill="1" applyAlignment="1">
      <alignment horizontal="center" vertical="center" wrapText="1"/>
    </xf>
    <xf numFmtId="0" fontId="43" fillId="19" borderId="0" xfId="0" applyFont="1" applyFill="1" applyAlignment="1">
      <alignment horizontal="left" vertical="top" wrapText="1"/>
    </xf>
    <xf numFmtId="0" fontId="25" fillId="19" borderId="0" xfId="0" applyFont="1" applyFill="1" applyAlignment="1">
      <alignment horizontal="center"/>
    </xf>
    <xf numFmtId="0" fontId="0" fillId="19" borderId="0" xfId="0" applyFill="1" applyAlignment="1">
      <alignment horizontal="left"/>
    </xf>
    <xf numFmtId="0" fontId="43" fillId="19" borderId="0" xfId="0" applyFont="1" applyFill="1" applyAlignment="1">
      <alignment horizontal="left" vertical="top" wrapText="1" indent="1"/>
    </xf>
    <xf numFmtId="0" fontId="43" fillId="19" borderId="0" xfId="0" applyFont="1" applyFill="1" applyAlignment="1">
      <alignment vertical="top"/>
    </xf>
    <xf numFmtId="0" fontId="43" fillId="19" borderId="0" xfId="0" applyFont="1" applyFill="1" applyAlignment="1">
      <alignment horizontal="left" wrapText="1"/>
    </xf>
    <xf numFmtId="0" fontId="0" fillId="18" borderId="0" xfId="0" applyFill="1"/>
    <xf numFmtId="1" fontId="48" fillId="18" borderId="0" xfId="0" applyNumberFormat="1" applyFont="1" applyFill="1" applyAlignment="1">
      <alignment horizontal="center" vertical="center" wrapText="1"/>
    </xf>
    <xf numFmtId="2" fontId="0" fillId="2" borderId="0" xfId="0" applyNumberFormat="1" applyFill="1" applyAlignment="1">
      <alignment horizontal="center" vertical="center"/>
    </xf>
    <xf numFmtId="165" fontId="25" fillId="2" borderId="0" xfId="0" applyNumberFormat="1" applyFont="1" applyFill="1" applyAlignment="1">
      <alignment horizontal="center" vertical="center"/>
    </xf>
    <xf numFmtId="0" fontId="25" fillId="2" borderId="0" xfId="0" applyFont="1" applyFill="1" applyAlignment="1">
      <alignment horizontal="center" vertical="center"/>
    </xf>
    <xf numFmtId="0" fontId="0" fillId="2" borderId="0" xfId="0" applyFill="1" applyAlignment="1">
      <alignment vertical="top"/>
    </xf>
    <xf numFmtId="0" fontId="17" fillId="2" borderId="0" xfId="0" applyFont="1" applyFill="1" applyAlignment="1">
      <alignment horizontal="left" vertical="center"/>
    </xf>
    <xf numFmtId="0" fontId="0" fillId="19" borderId="0" xfId="0" applyFill="1" applyAlignment="1">
      <alignment horizontal="center"/>
    </xf>
    <xf numFmtId="165" fontId="25" fillId="0" borderId="0" xfId="0" applyNumberFormat="1" applyFont="1" applyAlignment="1">
      <alignment horizontal="center" vertical="center"/>
    </xf>
    <xf numFmtId="165" fontId="9" fillId="2" borderId="0" xfId="0" applyNumberFormat="1" applyFont="1" applyFill="1" applyAlignment="1">
      <alignment horizontal="center" vertical="center"/>
    </xf>
    <xf numFmtId="0" fontId="0" fillId="2" borderId="0" xfId="0" applyFill="1" applyAlignment="1">
      <alignment wrapText="1"/>
    </xf>
    <xf numFmtId="0" fontId="33" fillId="20" borderId="0" xfId="6" applyFont="1" applyFill="1" applyAlignment="1">
      <alignment horizontal="justify" wrapText="1"/>
    </xf>
    <xf numFmtId="0" fontId="43" fillId="2" borderId="0" xfId="0" applyFont="1" applyFill="1"/>
    <xf numFmtId="0" fontId="25" fillId="2" borderId="0" xfId="0" applyFont="1" applyFill="1" applyAlignment="1">
      <alignment horizontal="center"/>
    </xf>
    <xf numFmtId="165" fontId="25" fillId="2" borderId="0" xfId="0" applyNumberFormat="1" applyFont="1" applyFill="1" applyAlignment="1">
      <alignment horizontal="center"/>
    </xf>
    <xf numFmtId="165" fontId="15" fillId="2" borderId="0" xfId="0" applyNumberFormat="1" applyFont="1" applyFill="1" applyAlignment="1" applyProtection="1">
      <alignment horizontal="left"/>
      <protection locked="0"/>
    </xf>
    <xf numFmtId="1" fontId="9" fillId="2" borderId="0" xfId="0" applyNumberFormat="1" applyFont="1" applyFill="1" applyAlignment="1">
      <alignment horizontal="center"/>
    </xf>
    <xf numFmtId="1" fontId="15" fillId="21" borderId="0" xfId="0" applyNumberFormat="1" applyFont="1" applyFill="1" applyAlignment="1" applyProtection="1">
      <alignment horizontal="center"/>
      <protection locked="0"/>
    </xf>
    <xf numFmtId="165" fontId="39" fillId="21" borderId="0" xfId="6" applyNumberFormat="1" applyFont="1" applyFill="1" applyAlignment="1">
      <alignment horizontal="center"/>
    </xf>
    <xf numFmtId="0" fontId="0" fillId="5" borderId="2" xfId="0" applyFill="1" applyBorder="1"/>
    <xf numFmtId="0" fontId="0" fillId="5" borderId="5" xfId="0" applyFill="1" applyBorder="1"/>
    <xf numFmtId="0" fontId="0" fillId="5" borderId="9" xfId="0" applyFill="1" applyBorder="1" applyAlignment="1">
      <alignment horizontal="left"/>
    </xf>
    <xf numFmtId="0" fontId="44" fillId="13" borderId="14" xfId="0" applyFont="1" applyFill="1" applyBorder="1" applyAlignment="1">
      <alignment horizontal="center" vertical="center" wrapText="1"/>
    </xf>
    <xf numFmtId="0" fontId="17" fillId="13" borderId="1" xfId="0" applyFont="1" applyFill="1" applyBorder="1" applyAlignment="1">
      <alignment horizontal="center" vertical="center" wrapText="1"/>
    </xf>
    <xf numFmtId="165" fontId="17" fillId="2" borderId="15" xfId="0" applyNumberFormat="1" applyFont="1" applyFill="1" applyBorder="1" applyAlignment="1">
      <alignment horizontal="center"/>
    </xf>
    <xf numFmtId="165" fontId="17" fillId="2" borderId="14" xfId="0" applyNumberFormat="1" applyFont="1" applyFill="1" applyBorder="1" applyAlignment="1">
      <alignment horizontal="center"/>
    </xf>
    <xf numFmtId="0" fontId="0" fillId="2" borderId="7" xfId="0" applyFill="1" applyBorder="1" applyAlignment="1">
      <alignment vertical="center"/>
    </xf>
    <xf numFmtId="0" fontId="0" fillId="2" borderId="9" xfId="0" applyFill="1" applyBorder="1" applyAlignment="1">
      <alignment vertical="center"/>
    </xf>
    <xf numFmtId="0" fontId="5" fillId="2" borderId="5" xfId="6" applyFill="1" applyBorder="1" applyAlignment="1">
      <alignment vertical="center"/>
    </xf>
    <xf numFmtId="0" fontId="33" fillId="7" borderId="0" xfId="6" applyFont="1" applyFill="1" applyAlignment="1">
      <alignment horizontal="justify" vertical="center" wrapText="1"/>
    </xf>
    <xf numFmtId="0" fontId="33" fillId="12" borderId="20" xfId="6" applyFont="1" applyFill="1" applyBorder="1" applyAlignment="1">
      <alignment vertical="center" wrapText="1"/>
    </xf>
    <xf numFmtId="0" fontId="5" fillId="2" borderId="8" xfId="6" applyFill="1" applyBorder="1" applyAlignment="1">
      <alignment vertical="center"/>
    </xf>
    <xf numFmtId="0" fontId="3" fillId="5" borderId="0" xfId="6" applyFont="1" applyFill="1" applyAlignment="1">
      <alignment vertical="center"/>
    </xf>
    <xf numFmtId="0" fontId="5" fillId="5" borderId="0" xfId="6" applyFill="1" applyAlignment="1">
      <alignment vertical="center"/>
    </xf>
    <xf numFmtId="0" fontId="33" fillId="2" borderId="14" xfId="6" applyFont="1" applyFill="1" applyBorder="1" applyAlignment="1">
      <alignment vertical="center" wrapText="1"/>
    </xf>
    <xf numFmtId="0" fontId="33" fillId="13" borderId="3" xfId="6" applyFont="1" applyFill="1" applyBorder="1" applyAlignment="1">
      <alignment vertical="center" wrapText="1"/>
    </xf>
    <xf numFmtId="0" fontId="33" fillId="5" borderId="0" xfId="6" applyFont="1" applyFill="1" applyAlignment="1">
      <alignment vertical="center" wrapText="1"/>
    </xf>
    <xf numFmtId="2" fontId="25" fillId="2" borderId="0" xfId="0" applyNumberFormat="1" applyFont="1" applyFill="1"/>
    <xf numFmtId="0" fontId="25" fillId="2" borderId="0" xfId="0" applyFont="1" applyFill="1" applyAlignment="1">
      <alignment vertical="center"/>
    </xf>
    <xf numFmtId="2" fontId="25" fillId="2" borderId="0" xfId="0" applyNumberFormat="1" applyFont="1" applyFill="1" applyAlignment="1">
      <alignment vertical="center"/>
    </xf>
    <xf numFmtId="2" fontId="15" fillId="3" borderId="0" xfId="0" applyNumberFormat="1" applyFont="1" applyFill="1" applyAlignment="1">
      <alignment horizontal="center"/>
    </xf>
    <xf numFmtId="2" fontId="15" fillId="5" borderId="0" xfId="0" applyNumberFormat="1" applyFont="1" applyFill="1" applyAlignment="1">
      <alignment horizontal="center"/>
    </xf>
    <xf numFmtId="2" fontId="9" fillId="3" borderId="0" xfId="0" applyNumberFormat="1" applyFont="1" applyFill="1" applyAlignment="1">
      <alignment horizontal="center"/>
    </xf>
    <xf numFmtId="2" fontId="15" fillId="11" borderId="0" xfId="0" applyNumberFormat="1" applyFont="1" applyFill="1" applyAlignment="1">
      <alignment horizontal="center"/>
    </xf>
    <xf numFmtId="2" fontId="15" fillId="6" borderId="0" xfId="0" applyNumberFormat="1" applyFont="1" applyFill="1" applyAlignment="1">
      <alignment horizontal="center"/>
    </xf>
    <xf numFmtId="0" fontId="52" fillId="0" borderId="0" xfId="0" applyFont="1"/>
    <xf numFmtId="165" fontId="53" fillId="0" borderId="0" xfId="0" applyNumberFormat="1" applyFont="1" applyAlignment="1">
      <alignment horizontal="center" vertical="center"/>
    </xf>
    <xf numFmtId="165" fontId="40" fillId="0" borderId="24" xfId="0" applyNumberFormat="1" applyFon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54" fillId="0" borderId="24" xfId="0" applyFont="1" applyBorder="1" applyAlignment="1">
      <alignment horizontal="center" vertical="top"/>
    </xf>
    <xf numFmtId="0" fontId="54" fillId="0" borderId="25" xfId="0" applyFont="1" applyBorder="1" applyAlignment="1">
      <alignment horizontal="center" vertical="top"/>
    </xf>
    <xf numFmtId="0" fontId="54" fillId="0" borderId="26" xfId="0" applyFont="1" applyBorder="1" applyAlignment="1">
      <alignment horizontal="center" vertical="top"/>
    </xf>
    <xf numFmtId="0" fontId="0" fillId="0" borderId="0" xfId="0" applyAlignment="1">
      <alignment horizontal="center"/>
    </xf>
    <xf numFmtId="165" fontId="40" fillId="0" borderId="0" xfId="0" applyNumberFormat="1" applyFont="1" applyAlignment="1">
      <alignment horizontal="center" vertical="center"/>
    </xf>
    <xf numFmtId="2" fontId="0" fillId="0" borderId="0" xfId="0" applyNumberFormat="1"/>
    <xf numFmtId="0" fontId="54" fillId="0" borderId="0" xfId="0" applyFont="1" applyAlignment="1">
      <alignment horizontal="center" vertical="top"/>
    </xf>
    <xf numFmtId="1" fontId="40" fillId="0" borderId="0" xfId="0" applyNumberFormat="1" applyFont="1" applyAlignment="1">
      <alignment horizontal="center" vertical="center"/>
    </xf>
    <xf numFmtId="166" fontId="12" fillId="2" borderId="3" xfId="0" applyNumberFormat="1" applyFont="1" applyFill="1" applyBorder="1" applyAlignment="1">
      <alignment horizontal="center"/>
    </xf>
    <xf numFmtId="2" fontId="9" fillId="3" borderId="0" xfId="0" applyNumberFormat="1" applyFont="1" applyFill="1" applyAlignment="1" applyProtection="1">
      <alignment horizontal="center"/>
      <protection locked="0"/>
    </xf>
    <xf numFmtId="164" fontId="15" fillId="11" borderId="0" xfId="0" applyNumberFormat="1" applyFont="1" applyFill="1" applyAlignment="1">
      <alignment horizontal="center"/>
    </xf>
    <xf numFmtId="164" fontId="9" fillId="13" borderId="0" xfId="0" applyNumberFormat="1" applyFont="1" applyFill="1" applyAlignment="1">
      <alignment horizontal="center"/>
    </xf>
    <xf numFmtId="167" fontId="9" fillId="2" borderId="6" xfId="0" applyNumberFormat="1" applyFont="1" applyFill="1" applyBorder="1" applyAlignment="1">
      <alignment horizontal="center"/>
    </xf>
    <xf numFmtId="164" fontId="15" fillId="3" borderId="0" xfId="0" applyNumberFormat="1" applyFont="1" applyFill="1" applyAlignment="1">
      <alignment horizontal="center"/>
    </xf>
    <xf numFmtId="167" fontId="9" fillId="13" borderId="0" xfId="0" applyNumberFormat="1" applyFont="1" applyFill="1" applyAlignment="1">
      <alignment horizontal="center"/>
    </xf>
    <xf numFmtId="2" fontId="9" fillId="3" borderId="24" xfId="0" applyNumberFormat="1" applyFont="1" applyFill="1" applyBorder="1" applyAlignment="1" applyProtection="1">
      <alignment horizontal="center"/>
      <protection locked="0"/>
    </xf>
    <xf numFmtId="2" fontId="9" fillId="3" borderId="25" xfId="0" applyNumberFormat="1" applyFont="1" applyFill="1" applyBorder="1" applyAlignment="1" applyProtection="1">
      <alignment horizontal="center"/>
      <protection locked="0"/>
    </xf>
    <xf numFmtId="165" fontId="9" fillId="5" borderId="25" xfId="0" applyNumberFormat="1" applyFont="1" applyFill="1" applyBorder="1" applyAlignment="1" applyProtection="1">
      <alignment horizontal="center"/>
      <protection locked="0"/>
    </xf>
    <xf numFmtId="165" fontId="9" fillId="5" borderId="26" xfId="0" applyNumberFormat="1" applyFont="1" applyFill="1" applyBorder="1" applyAlignment="1" applyProtection="1">
      <alignment horizontal="center"/>
      <protection locked="0"/>
    </xf>
    <xf numFmtId="165" fontId="15" fillId="3" borderId="27" xfId="0" applyNumberFormat="1" applyFont="1" applyFill="1" applyBorder="1" applyAlignment="1" applyProtection="1">
      <alignment horizontal="center"/>
      <protection locked="0"/>
    </xf>
    <xf numFmtId="165" fontId="15" fillId="3" borderId="28" xfId="0" applyNumberFormat="1" applyFont="1" applyFill="1" applyBorder="1" applyAlignment="1" applyProtection="1">
      <alignment horizontal="center"/>
      <protection locked="0"/>
    </xf>
    <xf numFmtId="165" fontId="15" fillId="3" borderId="29" xfId="0" applyNumberFormat="1" applyFont="1" applyFill="1" applyBorder="1" applyAlignment="1" applyProtection="1">
      <alignment horizontal="center"/>
      <protection locked="0"/>
    </xf>
    <xf numFmtId="165" fontId="15" fillId="3" borderId="30" xfId="0" applyNumberFormat="1" applyFont="1" applyFill="1" applyBorder="1" applyAlignment="1" applyProtection="1">
      <alignment horizontal="center"/>
      <protection locked="0"/>
    </xf>
    <xf numFmtId="165" fontId="15" fillId="3" borderId="23" xfId="0" applyNumberFormat="1" applyFont="1" applyFill="1" applyBorder="1" applyAlignment="1" applyProtection="1">
      <alignment horizontal="center"/>
      <protection locked="0"/>
    </xf>
    <xf numFmtId="165" fontId="15" fillId="3" borderId="31" xfId="0" applyNumberFormat="1" applyFont="1" applyFill="1" applyBorder="1" applyAlignment="1" applyProtection="1">
      <alignment horizontal="center"/>
      <protection locked="0"/>
    </xf>
    <xf numFmtId="165" fontId="9" fillId="3" borderId="24" xfId="0" applyNumberFormat="1" applyFont="1" applyFill="1" applyBorder="1" applyAlignment="1" applyProtection="1">
      <alignment horizontal="center"/>
      <protection locked="0"/>
    </xf>
    <xf numFmtId="165" fontId="9" fillId="3" borderId="25" xfId="0" applyNumberFormat="1" applyFont="1" applyFill="1" applyBorder="1" applyAlignment="1" applyProtection="1">
      <alignment horizontal="center"/>
      <protection locked="0"/>
    </xf>
    <xf numFmtId="164" fontId="15" fillId="2" borderId="0" xfId="0" applyNumberFormat="1" applyFont="1" applyFill="1" applyAlignment="1" applyProtection="1">
      <alignment horizontal="center"/>
      <protection locked="0"/>
    </xf>
    <xf numFmtId="165" fontId="15" fillId="3" borderId="24" xfId="0" applyNumberFormat="1" applyFont="1" applyFill="1" applyBorder="1" applyAlignment="1" applyProtection="1">
      <alignment horizontal="center"/>
      <protection locked="0"/>
    </xf>
    <xf numFmtId="165" fontId="15" fillId="3" borderId="25" xfId="0" applyNumberFormat="1" applyFont="1" applyFill="1" applyBorder="1" applyAlignment="1" applyProtection="1">
      <alignment horizontal="center"/>
      <protection locked="0"/>
    </xf>
    <xf numFmtId="165" fontId="15" fillId="3" borderId="26" xfId="0" applyNumberFormat="1" applyFont="1" applyFill="1" applyBorder="1" applyAlignment="1" applyProtection="1">
      <alignment horizontal="center"/>
      <protection locked="0"/>
    </xf>
    <xf numFmtId="165" fontId="15" fillId="4" borderId="24" xfId="0" applyNumberFormat="1" applyFont="1" applyFill="1" applyBorder="1" applyAlignment="1">
      <alignment horizontal="center"/>
    </xf>
    <xf numFmtId="165" fontId="15" fillId="4" borderId="25" xfId="0" applyNumberFormat="1" applyFont="1" applyFill="1" applyBorder="1" applyAlignment="1">
      <alignment horizontal="center"/>
    </xf>
    <xf numFmtId="165" fontId="15" fillId="7" borderId="25" xfId="0" applyNumberFormat="1" applyFont="1" applyFill="1" applyBorder="1" applyAlignment="1">
      <alignment horizontal="center"/>
    </xf>
    <xf numFmtId="165" fontId="15" fillId="7" borderId="26" xfId="0" applyNumberFormat="1" applyFont="1" applyFill="1" applyBorder="1" applyAlignment="1">
      <alignment horizontal="center"/>
    </xf>
    <xf numFmtId="0" fontId="9" fillId="12" borderId="0" xfId="0" applyFont="1" applyFill="1" applyAlignment="1">
      <alignment horizontal="left"/>
    </xf>
    <xf numFmtId="165" fontId="9" fillId="12" borderId="0" xfId="0" applyNumberFormat="1" applyFont="1" applyFill="1" applyAlignment="1">
      <alignment horizontal="center" vertical="center"/>
    </xf>
    <xf numFmtId="165" fontId="9" fillId="12" borderId="24" xfId="0" applyNumberFormat="1" applyFont="1" applyFill="1" applyBorder="1" applyAlignment="1">
      <alignment horizontal="center"/>
    </xf>
    <xf numFmtId="165" fontId="9" fillId="12" borderId="25" xfId="0" applyNumberFormat="1" applyFont="1" applyFill="1" applyBorder="1" applyAlignment="1">
      <alignment horizontal="center"/>
    </xf>
    <xf numFmtId="165" fontId="9" fillId="12" borderId="26" xfId="0" applyNumberFormat="1" applyFont="1" applyFill="1" applyBorder="1" applyAlignment="1">
      <alignment horizontal="center"/>
    </xf>
    <xf numFmtId="165" fontId="15" fillId="12" borderId="0" xfId="0" applyNumberFormat="1" applyFont="1" applyFill="1" applyAlignment="1">
      <alignment horizontal="center"/>
    </xf>
    <xf numFmtId="2" fontId="9" fillId="12" borderId="0" xfId="0" applyNumberFormat="1" applyFont="1" applyFill="1" applyAlignment="1">
      <alignment horizontal="center"/>
    </xf>
    <xf numFmtId="0" fontId="9" fillId="12" borderId="0" xfId="0" applyFont="1" applyFill="1"/>
    <xf numFmtId="165" fontId="55" fillId="23" borderId="18" xfId="0" applyNumberFormat="1" applyFont="1" applyFill="1" applyBorder="1" applyAlignment="1">
      <alignment horizontal="center" vertical="center"/>
    </xf>
    <xf numFmtId="2" fontId="9" fillId="23" borderId="32" xfId="0" applyNumberFormat="1" applyFont="1" applyFill="1" applyBorder="1" applyAlignment="1">
      <alignment horizontal="center" vertical="center"/>
    </xf>
    <xf numFmtId="2" fontId="9" fillId="23" borderId="33" xfId="0" applyNumberFormat="1" applyFont="1" applyFill="1" applyBorder="1" applyAlignment="1">
      <alignment horizontal="center" vertical="center"/>
    </xf>
    <xf numFmtId="2" fontId="15" fillId="23" borderId="33" xfId="0" applyNumberFormat="1" applyFont="1" applyFill="1" applyBorder="1" applyAlignment="1">
      <alignment horizontal="center"/>
    </xf>
    <xf numFmtId="2" fontId="15" fillId="23" borderId="34" xfId="0" applyNumberFormat="1" applyFont="1" applyFill="1" applyBorder="1" applyAlignment="1">
      <alignment horizontal="center"/>
    </xf>
    <xf numFmtId="166" fontId="9" fillId="23" borderId="24" xfId="0" applyNumberFormat="1" applyFont="1" applyFill="1" applyBorder="1" applyAlignment="1">
      <alignment horizontal="center"/>
    </xf>
    <xf numFmtId="166" fontId="9" fillId="23" borderId="25" xfId="0" applyNumberFormat="1" applyFont="1" applyFill="1" applyBorder="1" applyAlignment="1">
      <alignment horizontal="center"/>
    </xf>
    <xf numFmtId="166" fontId="9" fillId="23" borderId="26" xfId="0" applyNumberFormat="1" applyFont="1" applyFill="1" applyBorder="1" applyAlignment="1">
      <alignment horizontal="center"/>
    </xf>
    <xf numFmtId="165" fontId="9" fillId="23" borderId="24" xfId="0" applyNumberFormat="1" applyFont="1" applyFill="1" applyBorder="1"/>
    <xf numFmtId="165" fontId="9" fillId="23" borderId="25" xfId="0" applyNumberFormat="1" applyFont="1" applyFill="1" applyBorder="1"/>
    <xf numFmtId="165" fontId="9" fillId="23" borderId="26" xfId="0" applyNumberFormat="1" applyFont="1" applyFill="1" applyBorder="1"/>
    <xf numFmtId="2" fontId="13" fillId="2" borderId="6" xfId="0" applyNumberFormat="1" applyFont="1" applyFill="1" applyBorder="1" applyAlignment="1">
      <alignment horizontal="center"/>
    </xf>
    <xf numFmtId="1" fontId="9" fillId="2" borderId="0" xfId="0" applyNumberFormat="1" applyFont="1" applyFill="1" applyAlignment="1">
      <alignment horizontal="center" vertical="center"/>
    </xf>
    <xf numFmtId="165" fontId="15" fillId="2" borderId="24" xfId="0" applyNumberFormat="1" applyFont="1" applyFill="1" applyBorder="1" applyAlignment="1">
      <alignment horizontal="center"/>
    </xf>
    <xf numFmtId="165" fontId="15" fillId="3" borderId="25" xfId="0" applyNumberFormat="1" applyFont="1" applyFill="1" applyBorder="1" applyAlignment="1">
      <alignment horizontal="center"/>
    </xf>
    <xf numFmtId="165" fontId="15" fillId="4" borderId="26" xfId="0" applyNumberFormat="1" applyFont="1" applyFill="1" applyBorder="1" applyAlignment="1">
      <alignment horizontal="center"/>
    </xf>
    <xf numFmtId="0" fontId="57" fillId="2" borderId="0" xfId="0" applyFont="1" applyFill="1" applyAlignment="1">
      <alignment horizontal="center" vertical="center"/>
    </xf>
    <xf numFmtId="2" fontId="57" fillId="2" borderId="0" xfId="0" applyNumberFormat="1" applyFont="1" applyFill="1" applyAlignment="1">
      <alignment horizontal="center" vertical="center"/>
    </xf>
    <xf numFmtId="2" fontId="57" fillId="2" borderId="0" xfId="0" applyNumberFormat="1" applyFont="1" applyFill="1" applyAlignment="1">
      <alignment horizontal="center"/>
    </xf>
    <xf numFmtId="2" fontId="9" fillId="12" borderId="24" xfId="0" applyNumberFormat="1" applyFont="1" applyFill="1" applyBorder="1" applyAlignment="1">
      <alignment horizontal="center"/>
    </xf>
    <xf numFmtId="2" fontId="9" fillId="12" borderId="25" xfId="0" applyNumberFormat="1" applyFont="1" applyFill="1" applyBorder="1" applyAlignment="1">
      <alignment horizontal="center"/>
    </xf>
    <xf numFmtId="2" fontId="9" fillId="12" borderId="26" xfId="0" applyNumberFormat="1" applyFont="1" applyFill="1" applyBorder="1" applyAlignment="1">
      <alignment horizontal="center"/>
    </xf>
    <xf numFmtId="43" fontId="9" fillId="2" borderId="6" xfId="14" applyFont="1" applyFill="1" applyBorder="1" applyAlignment="1">
      <alignment horizontal="center"/>
    </xf>
    <xf numFmtId="2" fontId="16" fillId="2" borderId="0" xfId="0" applyNumberFormat="1" applyFont="1" applyFill="1" applyAlignment="1">
      <alignment horizontal="center"/>
    </xf>
    <xf numFmtId="0" fontId="33" fillId="2" borderId="0" xfId="6" applyFont="1" applyFill="1" applyAlignment="1">
      <alignment horizontal="left" vertical="center" wrapText="1"/>
    </xf>
    <xf numFmtId="0" fontId="33" fillId="2" borderId="0" xfId="6" applyFont="1" applyFill="1" applyAlignment="1">
      <alignment horizontal="left" vertical="top" wrapText="1"/>
    </xf>
    <xf numFmtId="0" fontId="33" fillId="2" borderId="8" xfId="6" applyFont="1" applyFill="1" applyBorder="1" applyAlignment="1">
      <alignment horizontal="left" vertical="top" wrapText="1"/>
    </xf>
    <xf numFmtId="0" fontId="33" fillId="2" borderId="0" xfId="6" applyFont="1" applyFill="1" applyAlignment="1">
      <alignment horizontal="justify" vertical="top" wrapText="1"/>
    </xf>
    <xf numFmtId="0" fontId="33" fillId="2" borderId="22" xfId="6" applyFont="1" applyFill="1" applyBorder="1" applyAlignment="1">
      <alignment horizontal="left" vertical="center" wrapText="1"/>
    </xf>
    <xf numFmtId="0" fontId="33" fillId="2" borderId="0" xfId="6" applyFont="1" applyFill="1" applyAlignment="1">
      <alignment horizontal="justify" vertical="center" wrapText="1"/>
    </xf>
    <xf numFmtId="0" fontId="33" fillId="2" borderId="0" xfId="12" applyFont="1" applyFill="1" applyAlignment="1">
      <alignment horizontal="left" vertical="top" wrapText="1"/>
    </xf>
    <xf numFmtId="0" fontId="34" fillId="2" borderId="0" xfId="6" applyFont="1" applyFill="1" applyAlignment="1">
      <alignment horizontal="justify" vertical="top"/>
    </xf>
    <xf numFmtId="0" fontId="34" fillId="2" borderId="0" xfId="6" applyFont="1" applyFill="1" applyAlignment="1">
      <alignment horizontal="justify" vertical="top" wrapText="1"/>
    </xf>
    <xf numFmtId="0" fontId="46" fillId="2" borderId="0" xfId="6" applyFont="1" applyFill="1" applyAlignment="1">
      <alignment horizontal="justify" vertical="top" wrapText="1"/>
    </xf>
    <xf numFmtId="0" fontId="34" fillId="2" borderId="0" xfId="6" applyFont="1" applyFill="1" applyAlignment="1">
      <alignment horizontal="justify" vertical="justify" wrapText="1"/>
    </xf>
    <xf numFmtId="0" fontId="33" fillId="2" borderId="0" xfId="6" applyFont="1" applyFill="1" applyAlignment="1">
      <alignment horizontal="justify" vertical="justify" wrapText="1"/>
    </xf>
    <xf numFmtId="0" fontId="19" fillId="2" borderId="6" xfId="6" applyFont="1" applyFill="1" applyBorder="1" applyAlignment="1">
      <alignment horizontal="left" wrapText="1"/>
    </xf>
    <xf numFmtId="0" fontId="33" fillId="2" borderId="21" xfId="6" applyFont="1"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17" fillId="2" borderId="2" xfId="0" applyFont="1" applyFill="1" applyBorder="1" applyAlignment="1">
      <alignment horizontal="left"/>
    </xf>
    <xf numFmtId="0" fontId="17" fillId="2" borderId="3" xfId="0" applyFont="1" applyFill="1" applyBorder="1" applyAlignment="1">
      <alignment horizontal="left"/>
    </xf>
    <xf numFmtId="0" fontId="17" fillId="2" borderId="9" xfId="0" applyFont="1" applyFill="1" applyBorder="1" applyAlignment="1">
      <alignment horizontal="left"/>
    </xf>
    <xf numFmtId="0" fontId="17" fillId="2" borderId="6" xfId="0" applyFont="1" applyFill="1" applyBorder="1" applyAlignment="1">
      <alignment horizontal="left"/>
    </xf>
    <xf numFmtId="0" fontId="0" fillId="2" borderId="0" xfId="0" applyFill="1" applyAlignment="1">
      <alignment horizontal="justify" vertical="top" wrapText="1"/>
    </xf>
    <xf numFmtId="0" fontId="0" fillId="13" borderId="15" xfId="0" applyFill="1" applyBorder="1" applyAlignment="1">
      <alignment horizontal="center" vertical="center"/>
    </xf>
    <xf numFmtId="0" fontId="0" fillId="13" borderId="13" xfId="0" applyFill="1" applyBorder="1" applyAlignment="1">
      <alignment horizontal="center" vertical="center"/>
    </xf>
    <xf numFmtId="0" fontId="0" fillId="13" borderId="14" xfId="0" applyFill="1" applyBorder="1" applyAlignment="1">
      <alignment horizontal="center" vertical="center"/>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165" fontId="0" fillId="2" borderId="15" xfId="0" applyNumberFormat="1" applyFill="1" applyBorder="1" applyAlignment="1">
      <alignment horizontal="center" vertical="center" wrapText="1"/>
    </xf>
    <xf numFmtId="165" fontId="0" fillId="2" borderId="13" xfId="0" applyNumberFormat="1" applyFill="1" applyBorder="1" applyAlignment="1">
      <alignment horizontal="center" vertical="center" wrapText="1"/>
    </xf>
    <xf numFmtId="165" fontId="0" fillId="2" borderId="14" xfId="0" applyNumberFormat="1" applyFill="1" applyBorder="1" applyAlignment="1">
      <alignment horizontal="center" vertical="center" wrapText="1"/>
    </xf>
    <xf numFmtId="0" fontId="0" fillId="2" borderId="3" xfId="0" applyFill="1" applyBorder="1" applyAlignment="1">
      <alignment horizontal="justify" vertical="top" wrapText="1"/>
    </xf>
    <xf numFmtId="0" fontId="44" fillId="2" borderId="10" xfId="0" applyFont="1" applyFill="1" applyBorder="1" applyAlignment="1">
      <alignment horizontal="center" vertical="center" wrapText="1"/>
    </xf>
    <xf numFmtId="0" fontId="44" fillId="2" borderId="11" xfId="0" applyFont="1" applyFill="1" applyBorder="1" applyAlignment="1">
      <alignment horizontal="center" vertical="center" wrapText="1"/>
    </xf>
    <xf numFmtId="0" fontId="44" fillId="2" borderId="12"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5" xfId="0" applyFill="1" applyBorder="1" applyAlignment="1">
      <alignment horizontal="left" vertical="center" wrapText="1" indent="2"/>
    </xf>
    <xf numFmtId="0" fontId="0" fillId="5" borderId="0" xfId="0" applyFill="1" applyAlignment="1">
      <alignment horizontal="left" vertical="center" wrapText="1" indent="2"/>
    </xf>
    <xf numFmtId="0" fontId="0" fillId="5" borderId="8" xfId="0" applyFill="1" applyBorder="1" applyAlignment="1">
      <alignment horizontal="left" vertical="center" wrapText="1" indent="2"/>
    </xf>
    <xf numFmtId="0" fontId="0" fillId="5" borderId="9" xfId="0" applyFill="1" applyBorder="1" applyAlignment="1">
      <alignment horizontal="left" vertical="center" wrapText="1" indent="2"/>
    </xf>
    <xf numFmtId="0" fontId="0" fillId="5" borderId="6" xfId="0" applyFill="1" applyBorder="1" applyAlignment="1">
      <alignment horizontal="left" vertical="center" wrapText="1" indent="2"/>
    </xf>
    <xf numFmtId="0" fontId="0" fillId="5" borderId="7" xfId="0" applyFill="1" applyBorder="1" applyAlignment="1">
      <alignment horizontal="left" vertical="center" wrapText="1" indent="2"/>
    </xf>
    <xf numFmtId="0" fontId="43" fillId="2" borderId="3" xfId="0" applyFont="1" applyFill="1" applyBorder="1" applyAlignment="1">
      <alignment horizontal="justify" vertical="top" wrapText="1"/>
    </xf>
    <xf numFmtId="0" fontId="44" fillId="5" borderId="10" xfId="0" applyFont="1" applyFill="1" applyBorder="1" applyAlignment="1">
      <alignment horizontal="center" vertical="center" wrapText="1"/>
    </xf>
    <xf numFmtId="0" fontId="44" fillId="5" borderId="11" xfId="0" applyFont="1" applyFill="1" applyBorder="1" applyAlignment="1">
      <alignment horizontal="center" vertical="center" wrapText="1"/>
    </xf>
    <xf numFmtId="0" fontId="44" fillId="5" borderId="12" xfId="0" applyFont="1" applyFill="1" applyBorder="1" applyAlignment="1">
      <alignment horizontal="center" vertical="center" wrapText="1"/>
    </xf>
    <xf numFmtId="0" fontId="0" fillId="2" borderId="15" xfId="0" applyFill="1" applyBorder="1" applyAlignment="1">
      <alignment horizontal="left" vertical="center"/>
    </xf>
    <xf numFmtId="0" fontId="17" fillId="5" borderId="10" xfId="0" applyFont="1" applyFill="1" applyBorder="1" applyAlignment="1">
      <alignment horizontal="center" vertical="center" wrapText="1"/>
    </xf>
    <xf numFmtId="0" fontId="17" fillId="5" borderId="12" xfId="0" applyFont="1" applyFill="1" applyBorder="1" applyAlignment="1">
      <alignment horizontal="center" vertical="center" wrapText="1"/>
    </xf>
    <xf numFmtId="0" fontId="30" fillId="5" borderId="2" xfId="0" applyFont="1" applyFill="1" applyBorder="1" applyAlignment="1">
      <alignment horizontal="left" vertical="center" wrapText="1"/>
    </xf>
    <xf numFmtId="0" fontId="30" fillId="5" borderId="3" xfId="0" applyFont="1" applyFill="1" applyBorder="1" applyAlignment="1">
      <alignment horizontal="left" vertical="center" wrapText="1"/>
    </xf>
    <xf numFmtId="0" fontId="30" fillId="5" borderId="4" xfId="0" applyFont="1" applyFill="1" applyBorder="1" applyAlignment="1">
      <alignment horizontal="left" vertical="center" wrapText="1"/>
    </xf>
    <xf numFmtId="0" fontId="17" fillId="2" borderId="10" xfId="0" applyFont="1" applyFill="1" applyBorder="1" applyAlignment="1">
      <alignment horizontal="center"/>
    </xf>
    <xf numFmtId="0" fontId="17" fillId="2" borderId="11" xfId="0" applyFont="1" applyFill="1" applyBorder="1" applyAlignment="1">
      <alignment horizontal="center"/>
    </xf>
    <xf numFmtId="0" fontId="17" fillId="2" borderId="12" xfId="0" applyFont="1" applyFill="1" applyBorder="1" applyAlignment="1">
      <alignment horizontal="center"/>
    </xf>
    <xf numFmtId="0" fontId="0" fillId="2" borderId="15"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17" fillId="2" borderId="10"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0" fillId="2" borderId="3" xfId="0" applyFill="1" applyBorder="1" applyAlignment="1">
      <alignment horizontal="left" vertical="top" wrapText="1"/>
    </xf>
    <xf numFmtId="0" fontId="17" fillId="2" borderId="11" xfId="0" applyFont="1" applyFill="1" applyBorder="1" applyAlignment="1">
      <alignment horizontal="center" vertical="center" wrapText="1"/>
    </xf>
    <xf numFmtId="0" fontId="17" fillId="13" borderId="10"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0" fillId="13" borderId="15" xfId="0" applyFill="1" applyBorder="1" applyAlignment="1">
      <alignment horizontal="center" vertical="center" wrapText="1"/>
    </xf>
    <xf numFmtId="0" fontId="0" fillId="13" borderId="13" xfId="0" applyFill="1" applyBorder="1" applyAlignment="1">
      <alignment horizontal="center" vertical="center" wrapText="1"/>
    </xf>
    <xf numFmtId="0" fontId="0" fillId="13" borderId="14" xfId="0" applyFill="1" applyBorder="1" applyAlignment="1">
      <alignment horizontal="center" vertical="center" wrapText="1"/>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9"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51" fillId="2" borderId="0" xfId="0" applyFont="1" applyFill="1" applyAlignment="1">
      <alignment horizontal="center" vertical="center" wrapText="1"/>
    </xf>
    <xf numFmtId="0" fontId="52" fillId="12" borderId="23" xfId="0" applyFont="1" applyFill="1" applyBorder="1" applyAlignment="1">
      <alignment horizontal="center"/>
    </xf>
    <xf numFmtId="0" fontId="52" fillId="22" borderId="0" xfId="0" applyFont="1" applyFill="1" applyAlignment="1">
      <alignment horizontal="center"/>
    </xf>
    <xf numFmtId="2" fontId="14" fillId="2" borderId="3" xfId="0" applyNumberFormat="1" applyFont="1" applyFill="1" applyBorder="1" applyAlignment="1">
      <alignment horizontal="center"/>
    </xf>
  </cellXfs>
  <cellStyles count="15">
    <cellStyle name="Comma" xfId="14" builtinId="3"/>
    <cellStyle name="Hyperlink 2" xfId="4" xr:uid="{00000000-0005-0000-0000-000000000000}"/>
    <cellStyle name="Normal" xfId="0" builtinId="0"/>
    <cellStyle name="Normal 2" xfId="3" xr:uid="{00000000-0005-0000-0000-000002000000}"/>
    <cellStyle name="Normal 2 2" xfId="5" xr:uid="{00000000-0005-0000-0000-000003000000}"/>
    <cellStyle name="Normal 2 2 2" xfId="6" xr:uid="{00000000-0005-0000-0000-000004000000}"/>
    <cellStyle name="Normal 2 2 2 2" xfId="11" xr:uid="{D0E23963-54C4-40C3-A08B-C51BBEBC5911}"/>
    <cellStyle name="Normal 2 2 2 3" xfId="12" xr:uid="{E686E16B-8FF5-42A3-854C-C9783938C00C}"/>
    <cellStyle name="Normal 2 2 3" xfId="10" xr:uid="{8E0939B2-890A-4E4A-9A67-9A990C4259EA}"/>
    <cellStyle name="Normal 2 3" xfId="9" xr:uid="{6D6AF9E9-B81E-4C25-8D2A-8C5EC56A28D7}"/>
    <cellStyle name="Normal 4 5" xfId="13" xr:uid="{961F5BD5-E2A8-4CCD-93A3-2FC6DE1553AE}"/>
    <cellStyle name="Normal 5" xfId="2" xr:uid="{00000000-0005-0000-0000-000005000000}"/>
    <cellStyle name="Normal 5 2" xfId="8" xr:uid="{BE5ABAF7-F156-47EA-94C7-F5604FBB16A1}"/>
    <cellStyle name="Normal 6" xfId="1" xr:uid="{00000000-0005-0000-0000-000006000000}"/>
    <cellStyle name="Normal 6 2" xfId="7" xr:uid="{D760FB6E-0ACD-4E7B-8A23-51253FCE930B}"/>
  </cellStyles>
  <dxfs count="62">
    <dxf>
      <font>
        <color theme="0"/>
      </font>
      <fill>
        <patternFill>
          <bgColor theme="0"/>
        </patternFill>
      </fill>
    </dxf>
    <dxf>
      <font>
        <color theme="0"/>
      </font>
      <fill>
        <patternFill>
          <bgColor theme="0"/>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14996795556505021"/>
        </patternFill>
      </fill>
    </dxf>
    <dxf>
      <font>
        <color theme="0"/>
      </font>
    </dxf>
    <dxf>
      <fill>
        <patternFill>
          <bgColor theme="0"/>
        </patternFill>
      </fill>
    </dxf>
    <dxf>
      <fill>
        <patternFill>
          <bgColor theme="0"/>
        </patternFill>
      </fill>
    </dxf>
    <dxf>
      <fill>
        <patternFill>
          <bgColor theme="0" tint="-0.14996795556505021"/>
        </patternFill>
      </fill>
    </dxf>
    <dxf>
      <font>
        <color theme="0"/>
      </font>
      <fill>
        <patternFill>
          <bgColor theme="0"/>
        </patternFill>
      </fill>
      <border>
        <left/>
        <right/>
        <top/>
        <bottom/>
        <vertical/>
        <horizontal/>
      </border>
    </dxf>
    <dxf>
      <font>
        <color theme="0"/>
      </font>
    </dxf>
    <dxf>
      <border>
        <left style="thin">
          <color auto="1"/>
        </left>
        <top style="thin">
          <color auto="1"/>
        </top>
        <bottom style="thin">
          <color auto="1"/>
        </bottom>
        <vertical/>
        <horizontal/>
      </border>
    </dxf>
    <dxf>
      <border>
        <right style="thin">
          <color auto="1"/>
        </right>
        <top style="thin">
          <color auto="1"/>
        </top>
        <bottom style="thin">
          <color auto="1"/>
        </bottom>
        <vertical/>
        <horizontal/>
      </border>
    </dxf>
    <dxf>
      <border>
        <left style="thin">
          <color auto="1"/>
        </left>
        <top style="thin">
          <color auto="1"/>
        </top>
        <bottom style="thin">
          <color auto="1"/>
        </bottom>
        <vertical/>
        <horizontal/>
      </border>
    </dxf>
    <dxf>
      <font>
        <color theme="0"/>
      </font>
    </dxf>
    <dxf>
      <fill>
        <patternFill>
          <bgColor theme="0" tint="-0.14996795556505021"/>
        </patternFill>
      </fill>
    </dxf>
    <dxf>
      <font>
        <color theme="0"/>
      </font>
      <fill>
        <patternFill>
          <bgColor theme="0"/>
        </patternFill>
      </fill>
      <border>
        <left/>
        <right/>
        <top/>
        <bottom/>
      </border>
    </dxf>
    <dxf>
      <fill>
        <patternFill>
          <bgColor theme="0" tint="-0.14996795556505021"/>
        </patternFill>
      </fill>
    </dxf>
    <dxf>
      <fill>
        <patternFill>
          <bgColor theme="0" tint="-0.14996795556505021"/>
        </patternFill>
      </fill>
    </dxf>
    <dxf>
      <font>
        <color theme="0"/>
      </font>
    </dxf>
    <dxf>
      <fill>
        <patternFill>
          <bgColor theme="0" tint="-0.34998626667073579"/>
        </patternFill>
      </fill>
    </dxf>
    <dxf>
      <fill>
        <patternFill>
          <bgColor theme="0" tint="-0.14996795556505021"/>
        </patternFill>
      </fill>
    </dxf>
    <dxf>
      <fill>
        <patternFill>
          <bgColor theme="0" tint="-0.34998626667073579"/>
        </patternFill>
      </fill>
      <border>
        <left style="thin">
          <color auto="1"/>
        </left>
        <right style="thin">
          <color auto="1"/>
        </right>
        <bottom style="thin">
          <color auto="1"/>
        </bottom>
      </border>
    </dxf>
    <dxf>
      <fill>
        <patternFill>
          <bgColor theme="0" tint="-0.34998626667073579"/>
        </patternFill>
      </fill>
      <border>
        <left style="thin">
          <color auto="1"/>
        </left>
        <right style="thin">
          <color auto="1"/>
        </right>
        <top style="thin">
          <color auto="1"/>
        </top>
      </border>
    </dxf>
    <dxf>
      <font>
        <color theme="0"/>
      </font>
    </dxf>
    <dxf>
      <fill>
        <patternFill>
          <bgColor theme="0"/>
        </patternFill>
      </fill>
    </dxf>
    <dxf>
      <fill>
        <patternFill>
          <bgColor theme="0" tint="-0.14996795556505021"/>
        </patternFill>
      </fill>
    </dxf>
    <dxf>
      <font>
        <color theme="0"/>
      </font>
      <fill>
        <patternFill>
          <bgColor theme="0"/>
        </patternFill>
      </fill>
      <border>
        <left/>
        <right/>
        <top/>
        <bottom/>
      </border>
    </dxf>
    <dxf>
      <font>
        <color theme="0"/>
      </font>
      <fill>
        <patternFill patternType="solid">
          <bgColor theme="0"/>
        </patternFill>
      </fill>
      <border>
        <left/>
        <right/>
        <top/>
        <bottom/>
        <vertical/>
        <horizontal/>
      </border>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font>
        <color theme="0"/>
      </font>
    </dxf>
    <dxf>
      <font>
        <color theme="0"/>
      </font>
    </dxf>
    <dxf>
      <fill>
        <patternFill>
          <bgColor theme="0" tint="-0.14996795556505021"/>
        </patternFill>
      </fill>
    </dxf>
    <dxf>
      <font>
        <color theme="0"/>
      </font>
      <fill>
        <patternFill>
          <bgColor theme="0"/>
        </patternFill>
      </fill>
      <border>
        <left/>
        <right/>
        <top/>
        <bottom/>
      </border>
    </dxf>
    <dxf>
      <border>
        <left/>
        <right/>
        <top/>
        <bottom/>
        <vertical/>
        <horizontal/>
      </border>
    </dxf>
    <dxf>
      <border>
        <left/>
        <right/>
        <top/>
        <bottom/>
        <vertical/>
        <horizontal/>
      </border>
    </dxf>
    <dxf>
      <font>
        <strike val="0"/>
        <color theme="0"/>
      </font>
    </dxf>
    <dxf>
      <border>
        <left style="thin">
          <color auto="1"/>
        </left>
        <right/>
        <top/>
        <bottom/>
        <vertical/>
        <horizontal/>
      </border>
    </dxf>
    <dxf>
      <font>
        <b/>
        <i val="0"/>
        <color rgb="FF00B050"/>
      </font>
    </dxf>
  </dxfs>
  <tableStyles count="0" defaultTableStyle="TableStyleMedium2" defaultPivotStyle="PivotStyleLight16"/>
  <colors>
    <mruColors>
      <color rgb="FFFFFFCC"/>
      <color rgb="FFF8A8ED"/>
      <color rgb="FFFFC7CE"/>
      <color rgb="FFF2DC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[1]STOCH!$P$2</c:f>
              <c:strCache>
                <c:ptCount val="1"/>
                <c:pt idx="0">
                  <c:v>pb</c:v>
                </c:pt>
              </c:strCache>
            </c:strRef>
          </c:tx>
          <c:spPr>
            <a:ln w="28575" cap="rnd">
              <a:solidFill>
                <a:schemeClr val="accent2"/>
              </a:solidFill>
              <a:round/>
            </a:ln>
            <a:effectLst/>
          </c:spPr>
          <c:marker>
            <c:symbol val="none"/>
          </c:marker>
          <c:cat>
            <c:numRef>
              <c:f>[1]STOCH!$N$3:$N$49</c:f>
              <c:numCache>
                <c:formatCode>General</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[1]STOCH!$P$3:$P$49</c:f>
              <c:numCache>
                <c:formatCode>General</c:formatCode>
                <c:ptCount val="47"/>
                <c:pt idx="0">
                  <c:v>8.2411182000000007</c:v>
                </c:pt>
                <c:pt idx="1">
                  <c:v>7.0000884000000001</c:v>
                </c:pt>
                <c:pt idx="2">
                  <c:v>4.6066025000000002</c:v>
                </c:pt>
                <c:pt idx="3">
                  <c:v>4.2951541999999998</c:v>
                </c:pt>
                <c:pt idx="4">
                  <c:v>4.6587633999999998</c:v>
                </c:pt>
                <c:pt idx="5">
                  <c:v>6.1391757</c:v>
                </c:pt>
                <c:pt idx="6">
                  <c:v>4.2286755999999999</c:v>
                </c:pt>
                <c:pt idx="7">
                  <c:v>2.940191</c:v>
                </c:pt>
                <c:pt idx="8">
                  <c:v>4.8035914999999996</c:v>
                </c:pt>
                <c:pt idx="9">
                  <c:v>5.0630955000000002</c:v>
                </c:pt>
                <c:pt idx="10">
                  <c:v>5.4551544999999999</c:v>
                </c:pt>
                <c:pt idx="11">
                  <c:v>3.2222813000000001</c:v>
                </c:pt>
                <c:pt idx="12">
                  <c:v>6.6472895999999997</c:v>
                </c:pt>
                <c:pt idx="13">
                  <c:v>8.1312361000000006</c:v>
                </c:pt>
                <c:pt idx="14">
                  <c:v>6.6887278999999999</c:v>
                </c:pt>
                <c:pt idx="15">
                  <c:v>0.93326739999999997</c:v>
                </c:pt>
                <c:pt idx="16">
                  <c:v>-2.8520205000000001</c:v>
                </c:pt>
                <c:pt idx="17">
                  <c:v>-3.7767770000000001</c:v>
                </c:pt>
                <c:pt idx="18">
                  <c:v>-2.4760602999999999</c:v>
                </c:pt>
                <c:pt idx="19">
                  <c:v>-2.0913453999999998</c:v>
                </c:pt>
                <c:pt idx="20">
                  <c:v>0.81208429999999998</c:v>
                </c:pt>
                <c:pt idx="21">
                  <c:v>2.8427807</c:v>
                </c:pt>
                <c:pt idx="22">
                  <c:v>5.0508822999999996</c:v>
                </c:pt>
                <c:pt idx="23">
                  <c:v>4.5668001</c:v>
                </c:pt>
                <c:pt idx="24">
                  <c:v>9.5645036000000001</c:v>
                </c:pt>
                <c:pt idx="25">
                  <c:v>7.5296623</c:v>
                </c:pt>
                <c:pt idx="26">
                  <c:v>6.0860957000000004</c:v>
                </c:pt>
                <c:pt idx="27">
                  <c:v>4.2392371999999998</c:v>
                </c:pt>
                <c:pt idx="28">
                  <c:v>3.9015357000000002</c:v>
                </c:pt>
                <c:pt idx="29">
                  <c:v>4.2626315000000004</c:v>
                </c:pt>
                <c:pt idx="30">
                  <c:v>5.4639467000000002</c:v>
                </c:pt>
                <c:pt idx="31">
                  <c:v>6.5247605000000002</c:v>
                </c:pt>
                <c:pt idx="32">
                  <c:v>5.5733148000000003</c:v>
                </c:pt>
                <c:pt idx="33">
                  <c:v>-1.1560026000000001</c:v>
                </c:pt>
                <c:pt idx="34">
                  <c:v>-1.2065291</c:v>
                </c:pt>
                <c:pt idx="35">
                  <c:v>0.36970069999999999</c:v>
                </c:pt>
                <c:pt idx="36">
                  <c:v>-0.73021380000000002</c:v>
                </c:pt>
                <c:pt idx="37">
                  <c:v>-1.2509726999999999</c:v>
                </c:pt>
                <c:pt idx="38">
                  <c:v>-1.7564295000000001</c:v>
                </c:pt>
                <c:pt idx="39">
                  <c:v>-1.2673558</c:v>
                </c:pt>
                <c:pt idx="40">
                  <c:v>-0.60822549999999997</c:v>
                </c:pt>
                <c:pt idx="41">
                  <c:v>0.3468831</c:v>
                </c:pt>
                <c:pt idx="42">
                  <c:v>9.2092099999999996E-2</c:v>
                </c:pt>
                <c:pt idx="43">
                  <c:v>-8.42165E-2</c:v>
                </c:pt>
                <c:pt idx="44">
                  <c:v>-4.8605685000000003</c:v>
                </c:pt>
                <c:pt idx="45">
                  <c:v>-2.2560706000000001</c:v>
                </c:pt>
                <c:pt idx="46">
                  <c:v>-0.23004340000000001</c:v>
                </c:pt>
              </c:numCache>
            </c:numRef>
          </c:val>
          <c:smooth val="0"/>
          <c:extLst>
            <c:ext xmlns:c16="http://schemas.microsoft.com/office/drawing/2014/chart" uri="{C3380CC4-5D6E-409C-BE32-E72D297353CC}">
              <c16:uniqueId val="{00000000-113D-4E7F-BD38-A7340A6CB657}"/>
            </c:ext>
          </c:extLst>
        </c:ser>
        <c:ser>
          <c:idx val="2"/>
          <c:order val="2"/>
          <c:tx>
            <c:strRef>
              <c:f>[1]STOCH!$Q$2</c:f>
              <c:strCache>
                <c:ptCount val="1"/>
                <c:pt idx="0">
                  <c:v>iir</c:v>
                </c:pt>
              </c:strCache>
            </c:strRef>
          </c:tx>
          <c:spPr>
            <a:ln w="28575" cap="rnd">
              <a:solidFill>
                <a:schemeClr val="accent3"/>
              </a:solidFill>
              <a:round/>
            </a:ln>
            <a:effectLst/>
          </c:spPr>
          <c:marker>
            <c:symbol val="none"/>
          </c:marker>
          <c:cat>
            <c:numRef>
              <c:f>[1]STOCH!$N$3:$N$49</c:f>
              <c:numCache>
                <c:formatCode>General</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[1]STOCH!$Q$3:$Q$49</c:f>
              <c:numCache>
                <c:formatCode>General</c:formatCode>
                <c:ptCount val="47"/>
                <c:pt idx="0">
                  <c:v>10.423728799999999</c:v>
                </c:pt>
                <c:pt idx="1">
                  <c:v>12.9673827</c:v>
                </c:pt>
                <c:pt idx="2">
                  <c:v>10.990888399999999</c:v>
                </c:pt>
                <c:pt idx="3">
                  <c:v>9.3920641000000007</c:v>
                </c:pt>
                <c:pt idx="4">
                  <c:v>9.9628712999999998</c:v>
                </c:pt>
                <c:pt idx="5">
                  <c:v>10.416114500000001</c:v>
                </c:pt>
                <c:pt idx="6">
                  <c:v>11.4918894</c:v>
                </c:pt>
                <c:pt idx="7">
                  <c:v>11.5006775</c:v>
                </c:pt>
                <c:pt idx="8">
                  <c:v>11.531087400000001</c:v>
                </c:pt>
                <c:pt idx="9">
                  <c:v>12.447414</c:v>
                </c:pt>
                <c:pt idx="10">
                  <c:v>11.101436700000001</c:v>
                </c:pt>
                <c:pt idx="11">
                  <c:v>10.522729500000001</c:v>
                </c:pt>
                <c:pt idx="12">
                  <c:v>10.009228999999999</c:v>
                </c:pt>
                <c:pt idx="13">
                  <c:v>9.5125226999999999</c:v>
                </c:pt>
                <c:pt idx="14">
                  <c:v>10.2012435</c:v>
                </c:pt>
                <c:pt idx="15">
                  <c:v>12.728142200000001</c:v>
                </c:pt>
                <c:pt idx="16">
                  <c:v>11.0496947</c:v>
                </c:pt>
                <c:pt idx="17">
                  <c:v>11.1067669</c:v>
                </c:pt>
                <c:pt idx="18">
                  <c:v>7.8613913000000002</c:v>
                </c:pt>
                <c:pt idx="19">
                  <c:v>7.4151128999999996</c:v>
                </c:pt>
                <c:pt idx="20">
                  <c:v>7.6226748000000004</c:v>
                </c:pt>
                <c:pt idx="21">
                  <c:v>7.9634841999999999</c:v>
                </c:pt>
                <c:pt idx="22">
                  <c:v>7.1053268000000003</c:v>
                </c:pt>
                <c:pt idx="23">
                  <c:v>6.5231918999999996</c:v>
                </c:pt>
                <c:pt idx="24">
                  <c:v>6.6157060000000003</c:v>
                </c:pt>
                <c:pt idx="25">
                  <c:v>5.9986356000000001</c:v>
                </c:pt>
                <c:pt idx="26">
                  <c:v>4.7958615</c:v>
                </c:pt>
                <c:pt idx="27">
                  <c:v>4.3523594000000001</c:v>
                </c:pt>
                <c:pt idx="28">
                  <c:v>3.9207100000000001</c:v>
                </c:pt>
                <c:pt idx="29">
                  <c:v>3.7190720000000002</c:v>
                </c:pt>
                <c:pt idx="30">
                  <c:v>3.7191809</c:v>
                </c:pt>
                <c:pt idx="31">
                  <c:v>3.8111948</c:v>
                </c:pt>
                <c:pt idx="32">
                  <c:v>4.0288089999999999</c:v>
                </c:pt>
                <c:pt idx="33">
                  <c:v>3.5797435000000002</c:v>
                </c:pt>
                <c:pt idx="34">
                  <c:v>3.1134662999999998</c:v>
                </c:pt>
                <c:pt idx="35">
                  <c:v>2.9166577999999999</c:v>
                </c:pt>
                <c:pt idx="36">
                  <c:v>2.7871514999999998</c:v>
                </c:pt>
                <c:pt idx="37">
                  <c:v>2.2453010999999998</c:v>
                </c:pt>
                <c:pt idx="38">
                  <c:v>2.0585811000000001</c:v>
                </c:pt>
                <c:pt idx="39">
                  <c:v>1.8356452999999999</c:v>
                </c:pt>
                <c:pt idx="40">
                  <c:v>1.641478</c:v>
                </c:pt>
                <c:pt idx="41">
                  <c:v>1.5307881000000001</c:v>
                </c:pt>
                <c:pt idx="42">
                  <c:v>1.4786862000000001</c:v>
                </c:pt>
                <c:pt idx="43">
                  <c:v>1.3693652999999999</c:v>
                </c:pt>
                <c:pt idx="44">
                  <c:v>1.0860274999999999</c:v>
                </c:pt>
                <c:pt idx="45">
                  <c:v>0.73297129999999999</c:v>
                </c:pt>
                <c:pt idx="46">
                  <c:v>0.81288749999999999</c:v>
                </c:pt>
              </c:numCache>
            </c:numRef>
          </c:val>
          <c:smooth val="0"/>
          <c:extLst>
            <c:ext xmlns:c16="http://schemas.microsoft.com/office/drawing/2014/chart" uri="{C3380CC4-5D6E-409C-BE32-E72D297353CC}">
              <c16:uniqueId val="{00000001-113D-4E7F-BD38-A7340A6CB657}"/>
            </c:ext>
          </c:extLst>
        </c:ser>
        <c:dLbls>
          <c:showLegendKey val="0"/>
          <c:showVal val="0"/>
          <c:showCatName val="0"/>
          <c:showSerName val="0"/>
          <c:showPercent val="0"/>
          <c:showBubbleSize val="0"/>
        </c:dLbls>
        <c:marker val="1"/>
        <c:smooth val="0"/>
        <c:axId val="1785092576"/>
        <c:axId val="1785087296"/>
        <c:extLst>
          <c:ext xmlns:c15="http://schemas.microsoft.com/office/drawing/2012/chart" uri="{02D57815-91ED-43cb-92C2-25804820EDAC}">
            <c15:filteredLineSeries>
              <c15:ser>
                <c:idx val="3"/>
                <c:order val="3"/>
                <c:tx>
                  <c:strRef>
                    <c:extLst>
                      <c:ext uri="{02D57815-91ED-43cb-92C2-25804820EDAC}">
                        <c15:formulaRef>
                          <c15:sqref>[1]STOCH!$R$2</c15:sqref>
                        </c15:formulaRef>
                      </c:ext>
                    </c:extLst>
                    <c:strCache>
                      <c:ptCount val="1"/>
                      <c:pt idx="0">
                        <c:v>sfa</c:v>
                      </c:pt>
                    </c:strCache>
                  </c:strRef>
                </c:tx>
                <c:spPr>
                  <a:ln w="28575" cap="rnd">
                    <a:solidFill>
                      <a:schemeClr val="accent4"/>
                    </a:solidFill>
                    <a:round/>
                  </a:ln>
                  <a:effectLst/>
                </c:spPr>
                <c:marker>
                  <c:symbol val="none"/>
                </c:marker>
                <c:cat>
                  <c:numRef>
                    <c:extLst>
                      <c:ext uri="{02D57815-91ED-43cb-92C2-25804820EDAC}">
                        <c15:formulaRef>
                          <c15:sqref>[1]STOCH!$N$3:$N$49</c15:sqref>
                        </c15:formulaRef>
                      </c:ext>
                    </c:extLst>
                    <c:numCache>
                      <c:formatCode>General</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extLst>
                      <c:ext uri="{02D57815-91ED-43cb-92C2-25804820EDAC}">
                        <c15:formulaRef>
                          <c15:sqref>[1]STOCH!$R$3:$R$49</c15:sqref>
                        </c15:formulaRef>
                      </c:ext>
                    </c:extLst>
                    <c:numCache>
                      <c:formatCode>General</c:formatCode>
                      <c:ptCount val="47"/>
                      <c:pt idx="0">
                        <c:v>11.502620850320326</c:v>
                      </c:pt>
                      <c:pt idx="1">
                        <c:v>9.6842663836561425</c:v>
                      </c:pt>
                      <c:pt idx="2">
                        <c:v>7.943794658895853</c:v>
                      </c:pt>
                      <c:pt idx="3">
                        <c:v>5.8507709251101323</c:v>
                      </c:pt>
                      <c:pt idx="4">
                        <c:v>6.8039338027750551</c:v>
                      </c:pt>
                      <c:pt idx="5">
                        <c:v>9.089237397220689</c:v>
                      </c:pt>
                      <c:pt idx="6">
                        <c:v>7.0322173679414997</c:v>
                      </c:pt>
                      <c:pt idx="7">
                        <c:v>6.3662254984084434</c:v>
                      </c:pt>
                      <c:pt idx="8">
                        <c:v>6.5843621399176957</c:v>
                      </c:pt>
                      <c:pt idx="9">
                        <c:v>5.8889175036483818</c:v>
                      </c:pt>
                      <c:pt idx="10">
                        <c:v>5.4711052270588425</c:v>
                      </c:pt>
                      <c:pt idx="11">
                        <c:v>4.6813160848248572</c:v>
                      </c:pt>
                      <c:pt idx="12">
                        <c:v>8.2895611485473726</c:v>
                      </c:pt>
                      <c:pt idx="13">
                        <c:v>7.963581748960892</c:v>
                      </c:pt>
                      <c:pt idx="14">
                        <c:v>6.6183665167822863</c:v>
                      </c:pt>
                      <c:pt idx="15">
                        <c:v>4.9712885073476105</c:v>
                      </c:pt>
                      <c:pt idx="16">
                        <c:v>7.3482578849284046</c:v>
                      </c:pt>
                      <c:pt idx="17">
                        <c:v>6.2187893778877115</c:v>
                      </c:pt>
                      <c:pt idx="18">
                        <c:v>3.9669858621031637</c:v>
                      </c:pt>
                      <c:pt idx="19">
                        <c:v>-1.542379932825295</c:v>
                      </c:pt>
                      <c:pt idx="20">
                        <c:v>-2.1453131275530697</c:v>
                      </c:pt>
                      <c:pt idx="21">
                        <c:v>-1.4620014981003004</c:v>
                      </c:pt>
                      <c:pt idx="22">
                        <c:v>0.76365024818633065</c:v>
                      </c:pt>
                      <c:pt idx="23">
                        <c:v>1.2685555800687069</c:v>
                      </c:pt>
                      <c:pt idx="24">
                        <c:v>10.993682297239852</c:v>
                      </c:pt>
                      <c:pt idx="25">
                        <c:v>5.8494897253643847</c:v>
                      </c:pt>
                      <c:pt idx="26">
                        <c:v>4.3775170723165822</c:v>
                      </c:pt>
                      <c:pt idx="27">
                        <c:v>5.858358209938781</c:v>
                      </c:pt>
                      <c:pt idx="28">
                        <c:v>3.9872006450068653</c:v>
                      </c:pt>
                      <c:pt idx="29">
                        <c:v>1.4755263014081257</c:v>
                      </c:pt>
                      <c:pt idx="30">
                        <c:v>4.0486532444171965</c:v>
                      </c:pt>
                      <c:pt idx="31">
                        <c:v>3.9343140608963392</c:v>
                      </c:pt>
                      <c:pt idx="32">
                        <c:v>4.2261858801122187</c:v>
                      </c:pt>
                      <c:pt idx="33">
                        <c:v>4.5392771269952181</c:v>
                      </c:pt>
                      <c:pt idx="34">
                        <c:v>4.9536788506614648</c:v>
                      </c:pt>
                      <c:pt idx="35">
                        <c:v>3.2929625551773252</c:v>
                      </c:pt>
                      <c:pt idx="36">
                        <c:v>4.362381054233798</c:v>
                      </c:pt>
                      <c:pt idx="37">
                        <c:v>1.2920845140734434</c:v>
                      </c:pt>
                      <c:pt idx="38">
                        <c:v>1.6674963870911614</c:v>
                      </c:pt>
                      <c:pt idx="39">
                        <c:v>2.8194999645197152</c:v>
                      </c:pt>
                      <c:pt idx="40">
                        <c:v>-7.8154451585615903E-2</c:v>
                      </c:pt>
                      <c:pt idx="41">
                        <c:v>4.4188934207095862E-3</c:v>
                      </c:pt>
                      <c:pt idx="42">
                        <c:v>-2.9983466260033759E-2</c:v>
                      </c:pt>
                      <c:pt idx="43">
                        <c:v>0.81298101376647847</c:v>
                      </c:pt>
                      <c:pt idx="44">
                        <c:v>3.7935119602752496</c:v>
                      </c:pt>
                      <c:pt idx="45">
                        <c:v>-1.1676888926084894</c:v>
                      </c:pt>
                      <c:pt idx="46">
                        <c:v>4.7795417744607196</c:v>
                      </c:pt>
                    </c:numCache>
                  </c:numRef>
                </c:val>
                <c:smooth val="0"/>
                <c:extLst>
                  <c:ext xmlns:c16="http://schemas.microsoft.com/office/drawing/2014/chart" uri="{C3380CC4-5D6E-409C-BE32-E72D297353CC}">
                    <c16:uniqueId val="{00000003-113D-4E7F-BD38-A7340A6CB657}"/>
                  </c:ext>
                </c:extLst>
              </c15:ser>
            </c15:filteredLineSeries>
          </c:ext>
        </c:extLst>
      </c:lineChart>
      <c:lineChart>
        <c:grouping val="standard"/>
        <c:varyColors val="0"/>
        <c:ser>
          <c:idx val="0"/>
          <c:order val="0"/>
          <c:tx>
            <c:strRef>
              <c:f>[1]STOCH!$O$2</c:f>
              <c:strCache>
                <c:ptCount val="1"/>
                <c:pt idx="0">
                  <c:v>d_ngdp</c:v>
                </c:pt>
              </c:strCache>
            </c:strRef>
          </c:tx>
          <c:spPr>
            <a:ln w="28575" cap="rnd">
              <a:solidFill>
                <a:schemeClr val="accent1"/>
              </a:solidFill>
              <a:round/>
            </a:ln>
            <a:effectLst/>
          </c:spPr>
          <c:marker>
            <c:symbol val="none"/>
          </c:marker>
          <c:cat>
            <c:numRef>
              <c:f>[1]STOCH!$N$3:$N$49</c:f>
              <c:numCache>
                <c:formatCode>General</c:formatCode>
                <c:ptCount val="47"/>
                <c:pt idx="0">
                  <c:v>1976</c:v>
                </c:pt>
                <c:pt idx="1">
                  <c:v>1977</c:v>
                </c:pt>
                <c:pt idx="2">
                  <c:v>1978</c:v>
                </c:pt>
                <c:pt idx="3">
                  <c:v>1979</c:v>
                </c:pt>
                <c:pt idx="4">
                  <c:v>1980</c:v>
                </c:pt>
                <c:pt idx="5">
                  <c:v>1981</c:v>
                </c:pt>
                <c:pt idx="6">
                  <c:v>1982</c:v>
                </c:pt>
                <c:pt idx="7">
                  <c:v>1983</c:v>
                </c:pt>
                <c:pt idx="8">
                  <c:v>1984</c:v>
                </c:pt>
                <c:pt idx="9">
                  <c:v>1985</c:v>
                </c:pt>
                <c:pt idx="10">
                  <c:v>1986</c:v>
                </c:pt>
                <c:pt idx="11">
                  <c:v>1987</c:v>
                </c:pt>
                <c:pt idx="12">
                  <c:v>1988</c:v>
                </c:pt>
                <c:pt idx="13">
                  <c:v>1989</c:v>
                </c:pt>
                <c:pt idx="14">
                  <c:v>1990</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pt idx="39">
                  <c:v>2015</c:v>
                </c:pt>
                <c:pt idx="40">
                  <c:v>2016</c:v>
                </c:pt>
                <c:pt idx="41">
                  <c:v>2017</c:v>
                </c:pt>
                <c:pt idx="42">
                  <c:v>2018</c:v>
                </c:pt>
                <c:pt idx="43">
                  <c:v>2019</c:v>
                </c:pt>
                <c:pt idx="44">
                  <c:v>2020</c:v>
                </c:pt>
                <c:pt idx="45">
                  <c:v>2021</c:v>
                </c:pt>
                <c:pt idx="46">
                  <c:v>2022</c:v>
                </c:pt>
              </c:numCache>
            </c:numRef>
          </c:cat>
          <c:val>
            <c:numRef>
              <c:f>[1]STOCH!$O$3:$O$49</c:f>
              <c:numCache>
                <c:formatCode>General</c:formatCode>
                <c:ptCount val="47"/>
                <c:pt idx="0">
                  <c:v>0.13551942683934967</c:v>
                </c:pt>
                <c:pt idx="1">
                  <c:v>9.7553873034362346E-2</c:v>
                </c:pt>
                <c:pt idx="2">
                  <c:v>0.10776510126470318</c:v>
                </c:pt>
                <c:pt idx="3">
                  <c:v>0.15987385733104478</c:v>
                </c:pt>
                <c:pt idx="4">
                  <c:v>0.15834939427312761</c:v>
                </c:pt>
                <c:pt idx="5">
                  <c:v>0.13102772083073369</c:v>
                </c:pt>
                <c:pt idx="6">
                  <c:v>0.1244122205584889</c:v>
                </c:pt>
                <c:pt idx="7">
                  <c:v>0.11562273672406152</c:v>
                </c:pt>
                <c:pt idx="8">
                  <c:v>0.1195342603451164</c:v>
                </c:pt>
                <c:pt idx="9">
                  <c:v>8.9506172839506112E-2</c:v>
                </c:pt>
                <c:pt idx="10">
                  <c:v>7.6367070134775533E-2</c:v>
                </c:pt>
                <c:pt idx="11">
                  <c:v>8.0120587625412673E-2</c:v>
                </c:pt>
                <c:pt idx="12">
                  <c:v>0.13301140055526028</c:v>
                </c:pt>
                <c:pt idx="13">
                  <c:v>0.11949480599038106</c:v>
                </c:pt>
                <c:pt idx="14">
                  <c:v>5.9005017987914889E-2</c:v>
                </c:pt>
                <c:pt idx="15">
                  <c:v>-4.4635495113182884E-2</c:v>
                </c:pt>
                <c:pt idx="16">
                  <c:v>-2.4361615208460446E-2</c:v>
                </c:pt>
                <c:pt idx="17">
                  <c:v>1.0922129697341441E-2</c:v>
                </c:pt>
                <c:pt idx="18">
                  <c:v>5.8815979838521458E-2</c:v>
                </c:pt>
                <c:pt idx="19">
                  <c:v>8.5951360345568675E-2</c:v>
                </c:pt>
                <c:pt idx="20">
                  <c:v>3.5860333438188022E-2</c:v>
                </c:pt>
                <c:pt idx="21">
                  <c:v>8.5459870889374373E-2</c:v>
                </c:pt>
                <c:pt idx="22">
                  <c:v>8.7241780753923498E-2</c:v>
                </c:pt>
                <c:pt idx="23">
                  <c:v>5.3472118465394965E-2</c:v>
                </c:pt>
                <c:pt idx="24">
                  <c:v>7.5057518358599473E-2</c:v>
                </c:pt>
                <c:pt idx="25">
                  <c:v>5.999618885680346E-2</c:v>
                </c:pt>
                <c:pt idx="26">
                  <c:v>2.6675332577370942E-2</c:v>
                </c:pt>
                <c:pt idx="27">
                  <c:v>2.1975135703029277E-2</c:v>
                </c:pt>
                <c:pt idx="28">
                  <c:v>4.6188113265985375E-2</c:v>
                </c:pt>
                <c:pt idx="29">
                  <c:v>3.7346149485380273E-2</c:v>
                </c:pt>
                <c:pt idx="30">
                  <c:v>4.98521437636242E-2</c:v>
                </c:pt>
                <c:pt idx="31">
                  <c:v>8.1985228199448298E-2</c:v>
                </c:pt>
                <c:pt idx="32">
                  <c:v>3.8450436195689275E-2</c:v>
                </c:pt>
                <c:pt idx="33">
                  <c:v>-6.4437752554500155E-2</c:v>
                </c:pt>
                <c:pt idx="34">
                  <c:v>3.5191777580922852E-2</c:v>
                </c:pt>
                <c:pt idx="35">
                  <c:v>5.2380370250288293E-2</c:v>
                </c:pt>
                <c:pt idx="36">
                  <c:v>1.5348639885251446E-2</c:v>
                </c:pt>
                <c:pt idx="37">
                  <c:v>1.6335301461919905E-2</c:v>
                </c:pt>
                <c:pt idx="38">
                  <c:v>1.2607612531262051E-2</c:v>
                </c:pt>
                <c:pt idx="39">
                  <c:v>2.1691953000768496E-2</c:v>
                </c:pt>
                <c:pt idx="40">
                  <c:v>2.901341154765007E-2</c:v>
                </c:pt>
                <c:pt idx="41">
                  <c:v>4.0378267545674321E-2</c:v>
                </c:pt>
                <c:pt idx="42">
                  <c:v>3.1643695785701351E-2</c:v>
                </c:pt>
                <c:pt idx="43">
                  <c:v>2.7396321457025193E-2</c:v>
                </c:pt>
                <c:pt idx="44">
                  <c:v>-7.5878227951537711E-3</c:v>
                </c:pt>
                <c:pt idx="45">
                  <c:v>5.4130012855090323E-2</c:v>
                </c:pt>
                <c:pt idx="46">
                  <c:v>7.0627244214360507E-2</c:v>
                </c:pt>
              </c:numCache>
            </c:numRef>
          </c:val>
          <c:smooth val="0"/>
          <c:extLst>
            <c:ext xmlns:c16="http://schemas.microsoft.com/office/drawing/2014/chart" uri="{C3380CC4-5D6E-409C-BE32-E72D297353CC}">
              <c16:uniqueId val="{00000002-113D-4E7F-BD38-A7340A6CB657}"/>
            </c:ext>
          </c:extLst>
        </c:ser>
        <c:dLbls>
          <c:showLegendKey val="0"/>
          <c:showVal val="0"/>
          <c:showCatName val="0"/>
          <c:showSerName val="0"/>
          <c:showPercent val="0"/>
          <c:showBubbleSize val="0"/>
        </c:dLbls>
        <c:marker val="1"/>
        <c:smooth val="0"/>
        <c:axId val="1002193984"/>
        <c:axId val="1002189184"/>
      </c:lineChart>
      <c:catAx>
        <c:axId val="178509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87296"/>
        <c:crosses val="autoZero"/>
        <c:auto val="1"/>
        <c:lblAlgn val="ctr"/>
        <c:lblOffset val="100"/>
        <c:noMultiLvlLbl val="0"/>
      </c:catAx>
      <c:valAx>
        <c:axId val="1785087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785092576"/>
        <c:crosses val="autoZero"/>
        <c:crossBetween val="between"/>
      </c:valAx>
      <c:valAx>
        <c:axId val="1002189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1002193984"/>
        <c:crosses val="max"/>
        <c:crossBetween val="between"/>
      </c:valAx>
      <c:catAx>
        <c:axId val="1002193984"/>
        <c:scaling>
          <c:orientation val="minMax"/>
        </c:scaling>
        <c:delete val="1"/>
        <c:axPos val="b"/>
        <c:numFmt formatCode="General" sourceLinked="1"/>
        <c:majorTickMark val="out"/>
        <c:minorTickMark val="none"/>
        <c:tickLblPos val="nextTo"/>
        <c:crossAx val="100218918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Stochastic!$B$21</c:f>
          <c:strCache>
            <c:ptCount val="1"/>
            <c:pt idx="0">
              <c:v>Stochastic debt projections 2032-2036</c:v>
            </c:pt>
          </c:strCache>
        </c:strRef>
      </c:tx>
      <c:overlay val="0"/>
    </c:title>
    <c:autoTitleDeleted val="0"/>
    <c:plotArea>
      <c:layout>
        <c:manualLayout>
          <c:layoutTarget val="inner"/>
          <c:xMode val="edge"/>
          <c:yMode val="edge"/>
          <c:x val="8.6310419062785679E-2"/>
          <c:y val="0.14954234919701911"/>
          <c:w val="0.85496978555227576"/>
          <c:h val="0.75103905168930085"/>
        </c:manualLayout>
      </c:layout>
      <c:areaChart>
        <c:grouping val="stacked"/>
        <c:varyColors val="0"/>
        <c:ser>
          <c:idx val="1"/>
          <c:order val="0"/>
          <c:tx>
            <c:strRef>
              <c:f>Stochastic!$B$22</c:f>
              <c:strCache>
                <c:ptCount val="1"/>
                <c:pt idx="0">
                  <c:v>p10</c:v>
                </c:pt>
              </c:strCache>
            </c:strRef>
          </c:tx>
          <c:spPr>
            <a:noFill/>
            <a:ln w="25400">
              <a:noFill/>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Stochastic!$C$22:$I$22</c:f>
              <c:numCache>
                <c:formatCode>0.0</c:formatCode>
                <c:ptCount val="7"/>
                <c:pt idx="0">
                  <c:v>86.468995590643061</c:v>
                </c:pt>
                <c:pt idx="1">
                  <c:v>86.939180456571577</c:v>
                </c:pt>
                <c:pt idx="2">
                  <c:v>81.813678699367543</c:v>
                </c:pt>
                <c:pt idx="3">
                  <c:v>79.724927764747264</c:v>
                </c:pt>
                <c:pt idx="4">
                  <c:v>78.09469903336273</c:v>
                </c:pt>
                <c:pt idx="5">
                  <c:v>76.641904166542673</c:v>
                </c:pt>
                <c:pt idx="6">
                  <c:v>75.631865822490155</c:v>
                </c:pt>
              </c:numCache>
            </c:numRef>
          </c:val>
          <c:extLst>
            <c:ext xmlns:c16="http://schemas.microsoft.com/office/drawing/2014/chart" uri="{C3380CC4-5D6E-409C-BE32-E72D297353CC}">
              <c16:uniqueId val="{00000000-0172-4116-9325-0285A655A4B3}"/>
            </c:ext>
          </c:extLst>
        </c:ser>
        <c:ser>
          <c:idx val="2"/>
          <c:order val="1"/>
          <c:tx>
            <c:strRef>
              <c:f>Stochastic!$B$23</c:f>
              <c:strCache>
                <c:ptCount val="1"/>
                <c:pt idx="0">
                  <c:v>p30_p10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Stochastic!$C$23:$I$23</c:f>
              <c:numCache>
                <c:formatCode>0.0</c:formatCode>
                <c:ptCount val="7"/>
                <c:pt idx="0">
                  <c:v>0</c:v>
                </c:pt>
                <c:pt idx="1">
                  <c:v>0</c:v>
                </c:pt>
                <c:pt idx="2">
                  <c:v>3.1826324462890625</c:v>
                </c:pt>
                <c:pt idx="3">
                  <c:v>4.539520263671875</c:v>
                </c:pt>
                <c:pt idx="4">
                  <c:v>5.4795684814453125</c:v>
                </c:pt>
                <c:pt idx="5">
                  <c:v>6.311798095703125</c:v>
                </c:pt>
                <c:pt idx="6">
                  <c:v>6.7397689819335938</c:v>
                </c:pt>
              </c:numCache>
            </c:numRef>
          </c:val>
          <c:extLst>
            <c:ext xmlns:c16="http://schemas.microsoft.com/office/drawing/2014/chart" uri="{C3380CC4-5D6E-409C-BE32-E72D297353CC}">
              <c16:uniqueId val="{00000001-0172-4116-9325-0285A655A4B3}"/>
            </c:ext>
          </c:extLst>
        </c:ser>
        <c:ser>
          <c:idx val="3"/>
          <c:order val="2"/>
          <c:tx>
            <c:strRef>
              <c:f>Stochastic!$B$24</c:f>
              <c:strCache>
                <c:ptCount val="1"/>
                <c:pt idx="0">
                  <c:v>p50_p30</c:v>
                </c:pt>
              </c:strCache>
            </c:strRef>
          </c:tx>
          <c:spPr>
            <a:solidFill>
              <a:schemeClr val="accent1">
                <a:lumMod val="60000"/>
                <a:lumOff val="40000"/>
              </a:scheme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Stochastic!$C$24:$I$24</c:f>
              <c:numCache>
                <c:formatCode>0.0</c:formatCode>
                <c:ptCount val="7"/>
                <c:pt idx="0">
                  <c:v>0</c:v>
                </c:pt>
                <c:pt idx="1">
                  <c:v>0</c:v>
                </c:pt>
                <c:pt idx="2">
                  <c:v>2.3272857666015625</c:v>
                </c:pt>
                <c:pt idx="3">
                  <c:v>3.1960678100585938</c:v>
                </c:pt>
                <c:pt idx="4">
                  <c:v>3.84124755859375</c:v>
                </c:pt>
                <c:pt idx="5">
                  <c:v>4.437347412109375</c:v>
                </c:pt>
                <c:pt idx="6">
                  <c:v>4.8707504272460938</c:v>
                </c:pt>
              </c:numCache>
            </c:numRef>
          </c:val>
          <c:extLst>
            <c:ext xmlns:c16="http://schemas.microsoft.com/office/drawing/2014/chart" uri="{C3380CC4-5D6E-409C-BE32-E72D297353CC}">
              <c16:uniqueId val="{00000002-0172-4116-9325-0285A655A4B3}"/>
            </c:ext>
          </c:extLst>
        </c:ser>
        <c:ser>
          <c:idx val="4"/>
          <c:order val="3"/>
          <c:tx>
            <c:strRef>
              <c:f>Stochastic!$B$25</c:f>
              <c:strCache>
                <c:ptCount val="1"/>
                <c:pt idx="0">
                  <c:v>p70_p50</c:v>
                </c:pt>
              </c:strCache>
            </c:strRef>
          </c:tx>
          <c:spPr>
            <a:solidFill>
              <a:srgbClr val="4F81BD">
                <a:lumMod val="60000"/>
                <a:lumOff val="4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Stochastic!$C$25:$I$25</c:f>
              <c:numCache>
                <c:formatCode>0.0</c:formatCode>
                <c:ptCount val="7"/>
                <c:pt idx="0">
                  <c:v>0</c:v>
                </c:pt>
                <c:pt idx="1">
                  <c:v>0</c:v>
                </c:pt>
                <c:pt idx="2">
                  <c:v>2.3377532958984375</c:v>
                </c:pt>
                <c:pt idx="3">
                  <c:v>3.1748428344726563</c:v>
                </c:pt>
                <c:pt idx="4">
                  <c:v>3.8534317016601563</c:v>
                </c:pt>
                <c:pt idx="5">
                  <c:v>4.7290725708007813</c:v>
                </c:pt>
                <c:pt idx="6">
                  <c:v>5.16644287109375</c:v>
                </c:pt>
              </c:numCache>
            </c:numRef>
          </c:val>
          <c:extLst>
            <c:ext xmlns:c16="http://schemas.microsoft.com/office/drawing/2014/chart" uri="{C3380CC4-5D6E-409C-BE32-E72D297353CC}">
              <c16:uniqueId val="{00000003-0172-4116-9325-0285A655A4B3}"/>
            </c:ext>
          </c:extLst>
        </c:ser>
        <c:ser>
          <c:idx val="5"/>
          <c:order val="4"/>
          <c:tx>
            <c:strRef>
              <c:f>Stochastic!$B$26</c:f>
              <c:strCache>
                <c:ptCount val="1"/>
                <c:pt idx="0">
                  <c:v>p90_p70</c:v>
                </c:pt>
              </c:strCache>
            </c:strRef>
          </c:tx>
          <c:spPr>
            <a:solidFill>
              <a:srgbClr val="4F81BD">
                <a:lumMod val="20000"/>
                <a:lumOff val="80000"/>
              </a:srgbClr>
            </a:solidFill>
            <a:ln w="12700">
              <a:solidFill>
                <a:srgbClr val="000000"/>
              </a:solidFill>
              <a:prstDash val="solid"/>
            </a:ln>
          </c:spPr>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Stochastic!$C$26:$I$26</c:f>
              <c:numCache>
                <c:formatCode>0.0</c:formatCode>
                <c:ptCount val="7"/>
                <c:pt idx="0">
                  <c:v>0</c:v>
                </c:pt>
                <c:pt idx="1">
                  <c:v>0</c:v>
                </c:pt>
                <c:pt idx="2">
                  <c:v>3.47430419921875</c:v>
                </c:pt>
                <c:pt idx="3">
                  <c:v>4.930450439453125</c:v>
                </c:pt>
                <c:pt idx="4">
                  <c:v>5.9189071655273438</c:v>
                </c:pt>
                <c:pt idx="5">
                  <c:v>6.8123321533203125</c:v>
                </c:pt>
                <c:pt idx="6">
                  <c:v>7.7214736938476563</c:v>
                </c:pt>
              </c:numCache>
            </c:numRef>
          </c:val>
          <c:extLst>
            <c:ext xmlns:c16="http://schemas.microsoft.com/office/drawing/2014/chart" uri="{C3380CC4-5D6E-409C-BE32-E72D297353CC}">
              <c16:uniqueId val="{00000004-0172-4116-9325-0285A655A4B3}"/>
            </c:ext>
          </c:extLst>
        </c:ser>
        <c:dLbls>
          <c:showLegendKey val="0"/>
          <c:showVal val="0"/>
          <c:showCatName val="0"/>
          <c:showSerName val="0"/>
          <c:showPercent val="0"/>
          <c:showBubbleSize val="0"/>
        </c:dLbls>
        <c:axId val="1747775104"/>
        <c:axId val="1"/>
      </c:areaChart>
      <c:lineChart>
        <c:grouping val="standard"/>
        <c:varyColors val="0"/>
        <c:ser>
          <c:idx val="0"/>
          <c:order val="5"/>
          <c:tx>
            <c:strRef>
              <c:f>Stochastic!$B$30</c:f>
              <c:strCache>
                <c:ptCount val="1"/>
                <c:pt idx="0">
                  <c:v>p70</c:v>
                </c:pt>
              </c:strCache>
            </c:strRef>
          </c:tx>
          <c:spPr>
            <a:ln w="44450">
              <a:solidFill>
                <a:srgbClr val="FF0000"/>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6-2026-4D35-8044-BA74213EFFB8}"/>
                </c:ext>
              </c:extLst>
            </c:dLbl>
            <c:dLbl>
              <c:idx val="6"/>
              <c:layout>
                <c:manualLayout>
                  <c:x val="0"/>
                  <c:y val="-1.0357327809425169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7-2026-4D35-8044-BA74213EFFB8}"/>
                </c:ext>
              </c:extLst>
            </c:dLbl>
            <c:spPr>
              <a:ln>
                <a:noFill/>
              </a:ln>
              <a:effectLst/>
            </c:spPr>
            <c:txPr>
              <a:bodyPr wrap="square" lIns="38100" tIns="19050" rIns="38100" bIns="19050" anchor="ctr">
                <a:spAutoFit/>
              </a:bodyPr>
              <a:lstStyle/>
              <a:p>
                <a:pPr>
                  <a:defRPr b="1">
                    <a:solidFill>
                      <a:srgbClr val="FF0000"/>
                    </a:solidFill>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Stochastic!$C$30:$I$30</c:f>
              <c:numCache>
                <c:formatCode>0.0</c:formatCode>
                <c:ptCount val="7"/>
                <c:pt idx="0">
                  <c:v>86.468995590643061</c:v>
                </c:pt>
                <c:pt idx="1">
                  <c:v>86.939180456571577</c:v>
                </c:pt>
                <c:pt idx="2">
                  <c:v>89.661350208156605</c:v>
                </c:pt>
                <c:pt idx="3">
                  <c:v>90.635358672950389</c:v>
                </c:pt>
                <c:pt idx="4">
                  <c:v>91.268946775061949</c:v>
                </c:pt>
                <c:pt idx="5">
                  <c:v>92.120122245155954</c:v>
                </c:pt>
                <c:pt idx="6">
                  <c:v>92.408828102763593</c:v>
                </c:pt>
              </c:numCache>
            </c:numRef>
          </c:val>
          <c:smooth val="0"/>
          <c:extLst>
            <c:ext xmlns:c16="http://schemas.microsoft.com/office/drawing/2014/chart" uri="{C3380CC4-5D6E-409C-BE32-E72D297353CC}">
              <c16:uniqueId val="{00000000-2026-4D35-8044-BA74213EFFB8}"/>
            </c:ext>
          </c:extLst>
        </c:ser>
        <c:ser>
          <c:idx val="6"/>
          <c:order val="6"/>
          <c:tx>
            <c:strRef>
              <c:f>Stochastic!$B$28</c:f>
              <c:strCache>
                <c:ptCount val="1"/>
                <c:pt idx="0">
                  <c:v>p30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Stochastic!$C$28:$I$28</c:f>
              <c:numCache>
                <c:formatCode>0.0</c:formatCode>
                <c:ptCount val="7"/>
                <c:pt idx="0">
                  <c:v>86.468995590643061</c:v>
                </c:pt>
                <c:pt idx="1">
                  <c:v>86.939180456571577</c:v>
                </c:pt>
                <c:pt idx="2">
                  <c:v>84.996311145656605</c:v>
                </c:pt>
                <c:pt idx="3">
                  <c:v>84.264448028419139</c:v>
                </c:pt>
                <c:pt idx="4">
                  <c:v>83.574267514808042</c:v>
                </c:pt>
                <c:pt idx="5">
                  <c:v>82.953702262245798</c:v>
                </c:pt>
                <c:pt idx="6">
                  <c:v>82.371634804423749</c:v>
                </c:pt>
              </c:numCache>
            </c:numRef>
          </c:val>
          <c:smooth val="0"/>
          <c:extLst>
            <c:ext xmlns:c16="http://schemas.microsoft.com/office/drawing/2014/chart" uri="{C3380CC4-5D6E-409C-BE32-E72D297353CC}">
              <c16:uniqueId val="{00000007-2026-4D35-8044-BA74213EFFB8}"/>
            </c:ext>
          </c:extLst>
        </c:ser>
        <c:ser>
          <c:idx val="7"/>
          <c:order val="7"/>
          <c:tx>
            <c:strRef>
              <c:f>Stochastic!$B$31</c:f>
              <c:strCache>
                <c:ptCount val="1"/>
                <c:pt idx="0">
                  <c:v>p90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8-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19-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1A-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1B-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1C-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1D-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Stochastic!$C$31:$I$31</c:f>
              <c:numCache>
                <c:formatCode>0.0</c:formatCode>
                <c:ptCount val="7"/>
                <c:pt idx="0">
                  <c:v>86.468995590643061</c:v>
                </c:pt>
                <c:pt idx="1">
                  <c:v>86.939180456571577</c:v>
                </c:pt>
                <c:pt idx="2">
                  <c:v>93.135654407375355</c:v>
                </c:pt>
                <c:pt idx="3">
                  <c:v>95.565809112403514</c:v>
                </c:pt>
                <c:pt idx="4">
                  <c:v>97.187853940589292</c:v>
                </c:pt>
                <c:pt idx="5">
                  <c:v>98.932454398476267</c:v>
                </c:pt>
                <c:pt idx="6">
                  <c:v>100.13030179661125</c:v>
                </c:pt>
              </c:numCache>
            </c:numRef>
          </c:val>
          <c:smooth val="0"/>
          <c:extLst>
            <c:ext xmlns:c16="http://schemas.microsoft.com/office/drawing/2014/chart" uri="{C3380CC4-5D6E-409C-BE32-E72D297353CC}">
              <c16:uniqueId val="{00000008-2026-4D35-8044-BA74213EFFB8}"/>
            </c:ext>
          </c:extLst>
        </c:ser>
        <c:ser>
          <c:idx val="8"/>
          <c:order val="8"/>
          <c:tx>
            <c:strRef>
              <c:f>Stochastic!$B$29</c:f>
              <c:strCache>
                <c:ptCount val="1"/>
                <c:pt idx="0">
                  <c:v>p50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A-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0B-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0C-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0D-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0E-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0F-2026-4D35-8044-BA74213EFFB8}"/>
                </c:ext>
              </c:extLst>
            </c:dLbl>
            <c:dLbl>
              <c:idx val="6"/>
              <c:layout>
                <c:manualLayout>
                  <c:x val="-1.0111916703481372E-2"/>
                  <c:y val="-5.184033177812338E-3"/>
                </c:manualLayout>
              </c:layout>
              <c:tx>
                <c:rich>
                  <a:bodyPr wrap="square" lIns="38100" tIns="19050" rIns="38100" bIns="19050" anchor="ctr">
                    <a:noAutofit/>
                  </a:bodyPr>
                  <a:lstStyle/>
                  <a:p>
                    <a:pPr>
                      <a:defRPr sz="1200"/>
                    </a:pPr>
                    <a:fld id="{395A9F43-309F-4036-9976-E03D2F102A6A}" type="SERIESNAME">
                      <a:rPr lang="en-US" sz="1200"/>
                      <a:pPr>
                        <a:defRPr sz="1200"/>
                      </a:pPr>
                      <a:t>[SERIES NAME]</a:t>
                    </a:fld>
                    <a:endParaRPr lang="fi-FI"/>
                  </a:p>
                </c:rich>
              </c:tx>
              <c:spPr>
                <a:ln>
                  <a:noFill/>
                </a:ln>
                <a:effectLst/>
              </c:spPr>
              <c:showLegendKey val="0"/>
              <c:showVal val="0"/>
              <c:showCatName val="0"/>
              <c:showSerName val="1"/>
              <c:showPercent val="0"/>
              <c:showBubbleSize val="0"/>
              <c:extLst>
                <c:ext xmlns:c15="http://schemas.microsoft.com/office/drawing/2012/chart" uri="{CE6537A1-D6FC-4f65-9D91-7224C49458BB}">
                  <c15:layout>
                    <c:manualLayout>
                      <c:w val="7.2647564068536369E-2"/>
                      <c:h val="7.4010849732430412E-2"/>
                    </c:manualLayout>
                  </c15:layout>
                  <c15:dlblFieldTable/>
                  <c15:showDataLabelsRange val="0"/>
                </c:ext>
                <c:ext xmlns:c16="http://schemas.microsoft.com/office/drawing/2014/chart" uri="{C3380CC4-5D6E-409C-BE32-E72D297353CC}">
                  <c16:uniqueId val="{00000010-2026-4D35-8044-BA74213EFFB8}"/>
                </c:ext>
              </c:extLst>
            </c:dLbl>
            <c:spPr>
              <a:ln>
                <a:noFill/>
              </a:ln>
              <a:effectLst/>
            </c:spPr>
            <c:txPr>
              <a:bodyPr wrap="square" lIns="38100" tIns="19050" rIns="38100" bIns="19050" anchor="ctr">
                <a:spAutoFit/>
              </a:bodyPr>
              <a:lstStyle/>
              <a:p>
                <a:pPr>
                  <a:defRPr sz="1200"/>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Stochastic!$C$29:$I$29</c:f>
              <c:numCache>
                <c:formatCode>0.0</c:formatCode>
                <c:ptCount val="7"/>
                <c:pt idx="0">
                  <c:v>86.468995590643061</c:v>
                </c:pt>
                <c:pt idx="1">
                  <c:v>86.939180456571577</c:v>
                </c:pt>
                <c:pt idx="2">
                  <c:v>87.323596912258168</c:v>
                </c:pt>
                <c:pt idx="3">
                  <c:v>87.460515838477733</c:v>
                </c:pt>
                <c:pt idx="4">
                  <c:v>87.415515073401792</c:v>
                </c:pt>
                <c:pt idx="5">
                  <c:v>87.391049674355173</c:v>
                </c:pt>
                <c:pt idx="6">
                  <c:v>87.242385231669843</c:v>
                </c:pt>
              </c:numCache>
            </c:numRef>
          </c:val>
          <c:smooth val="0"/>
          <c:extLst>
            <c:ext xmlns:c16="http://schemas.microsoft.com/office/drawing/2014/chart" uri="{C3380CC4-5D6E-409C-BE32-E72D297353CC}">
              <c16:uniqueId val="{00000009-2026-4D35-8044-BA74213EFFB8}"/>
            </c:ext>
          </c:extLst>
        </c:ser>
        <c:ser>
          <c:idx val="9"/>
          <c:order val="9"/>
          <c:tx>
            <c:strRef>
              <c:f>Stochastic!$B$27</c:f>
              <c:strCache>
                <c:ptCount val="1"/>
                <c:pt idx="0">
                  <c:v>p10</c:v>
                </c:pt>
              </c:strCache>
            </c:strRef>
          </c:tx>
          <c:spPr>
            <a:ln w="3175">
              <a:solidFill>
                <a:sysClr val="windowText" lastClr="000000">
                  <a:alpha val="25000"/>
                </a:sysClr>
              </a:solidFill>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1-2026-4D35-8044-BA74213EFFB8}"/>
                </c:ext>
              </c:extLst>
            </c:dLbl>
            <c:dLbl>
              <c:idx val="1"/>
              <c:delete val="1"/>
              <c:extLst>
                <c:ext xmlns:c15="http://schemas.microsoft.com/office/drawing/2012/chart" uri="{CE6537A1-D6FC-4f65-9D91-7224C49458BB}"/>
                <c:ext xmlns:c16="http://schemas.microsoft.com/office/drawing/2014/chart" uri="{C3380CC4-5D6E-409C-BE32-E72D297353CC}">
                  <c16:uniqueId val="{00000022-2026-4D35-8044-BA74213EFFB8}"/>
                </c:ext>
              </c:extLst>
            </c:dLbl>
            <c:dLbl>
              <c:idx val="2"/>
              <c:delete val="1"/>
              <c:extLst>
                <c:ext xmlns:c15="http://schemas.microsoft.com/office/drawing/2012/chart" uri="{CE6537A1-D6FC-4f65-9D91-7224C49458BB}"/>
                <c:ext xmlns:c16="http://schemas.microsoft.com/office/drawing/2014/chart" uri="{C3380CC4-5D6E-409C-BE32-E72D297353CC}">
                  <c16:uniqueId val="{00000023-2026-4D35-8044-BA74213EFFB8}"/>
                </c:ext>
              </c:extLst>
            </c:dLbl>
            <c:dLbl>
              <c:idx val="3"/>
              <c:delete val="1"/>
              <c:extLst>
                <c:ext xmlns:c15="http://schemas.microsoft.com/office/drawing/2012/chart" uri="{CE6537A1-D6FC-4f65-9D91-7224C49458BB}"/>
                <c:ext xmlns:c16="http://schemas.microsoft.com/office/drawing/2014/chart" uri="{C3380CC4-5D6E-409C-BE32-E72D297353CC}">
                  <c16:uniqueId val="{00000024-2026-4D35-8044-BA74213EFFB8}"/>
                </c:ext>
              </c:extLst>
            </c:dLbl>
            <c:dLbl>
              <c:idx val="4"/>
              <c:delete val="1"/>
              <c:extLst>
                <c:ext xmlns:c15="http://schemas.microsoft.com/office/drawing/2012/chart" uri="{CE6537A1-D6FC-4f65-9D91-7224C49458BB}"/>
                <c:ext xmlns:c16="http://schemas.microsoft.com/office/drawing/2014/chart" uri="{C3380CC4-5D6E-409C-BE32-E72D297353CC}">
                  <c16:uniqueId val="{00000025-2026-4D35-8044-BA74213EFFB8}"/>
                </c:ext>
              </c:extLst>
            </c:dLbl>
            <c:dLbl>
              <c:idx val="5"/>
              <c:delete val="1"/>
              <c:extLst>
                <c:ext xmlns:c15="http://schemas.microsoft.com/office/drawing/2012/chart" uri="{CE6537A1-D6FC-4f65-9D91-7224C49458BB}"/>
                <c:ext xmlns:c16="http://schemas.microsoft.com/office/drawing/2014/chart" uri="{C3380CC4-5D6E-409C-BE32-E72D297353CC}">
                  <c16:uniqueId val="{00000026-2026-4D35-8044-BA74213EFFB8}"/>
                </c:ext>
              </c:extLst>
            </c:dLbl>
            <c:spPr>
              <a:ln>
                <a:noFill/>
              </a:ln>
              <a:effectLst/>
            </c:sp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Stochastic!$C$21:$I$21</c:f>
              <c:numCache>
                <c:formatCode>General</c:formatCode>
                <c:ptCount val="7"/>
                <c:pt idx="0">
                  <c:v>2030</c:v>
                </c:pt>
                <c:pt idx="1">
                  <c:v>2031</c:v>
                </c:pt>
                <c:pt idx="2">
                  <c:v>2032</c:v>
                </c:pt>
                <c:pt idx="3">
                  <c:v>2033</c:v>
                </c:pt>
                <c:pt idx="4">
                  <c:v>2034</c:v>
                </c:pt>
                <c:pt idx="5">
                  <c:v>2035</c:v>
                </c:pt>
                <c:pt idx="6">
                  <c:v>2036</c:v>
                </c:pt>
              </c:numCache>
            </c:numRef>
          </c:cat>
          <c:val>
            <c:numRef>
              <c:f>Stochastic!$C$27:$I$27</c:f>
              <c:numCache>
                <c:formatCode>0.0</c:formatCode>
                <c:ptCount val="7"/>
                <c:pt idx="0">
                  <c:v>86.468995590643061</c:v>
                </c:pt>
                <c:pt idx="1">
                  <c:v>86.939180456571577</c:v>
                </c:pt>
                <c:pt idx="2">
                  <c:v>81.813678699367543</c:v>
                </c:pt>
                <c:pt idx="3">
                  <c:v>79.724927764747264</c:v>
                </c:pt>
                <c:pt idx="4">
                  <c:v>78.09469903336273</c:v>
                </c:pt>
                <c:pt idx="5">
                  <c:v>76.641904166542673</c:v>
                </c:pt>
                <c:pt idx="6">
                  <c:v>75.631865822490155</c:v>
                </c:pt>
              </c:numCache>
            </c:numRef>
          </c:val>
          <c:smooth val="0"/>
          <c:extLst>
            <c:ext xmlns:c16="http://schemas.microsoft.com/office/drawing/2014/chart" uri="{C3380CC4-5D6E-409C-BE32-E72D297353CC}">
              <c16:uniqueId val="{00000020-2026-4D35-8044-BA74213EFFB8}"/>
            </c:ext>
          </c:extLst>
        </c:ser>
        <c:dLbls>
          <c:showLegendKey val="0"/>
          <c:showVal val="0"/>
          <c:showCatName val="0"/>
          <c:showSerName val="0"/>
          <c:showPercent val="0"/>
          <c:showBubbleSize val="0"/>
        </c:dLbls>
        <c:marker val="1"/>
        <c:smooth val="0"/>
        <c:axId val="1747775104"/>
        <c:axId val="1"/>
      </c:lineChart>
      <c:catAx>
        <c:axId val="1747775104"/>
        <c:scaling>
          <c:orientation val="minMax"/>
        </c:scaling>
        <c:delete val="0"/>
        <c:axPos val="b"/>
        <c:numFmt formatCode="General" sourceLinked="1"/>
        <c:majorTickMark val="none"/>
        <c:minorTickMark val="none"/>
        <c:tickLblPos val="nextTo"/>
        <c:spPr>
          <a:ln w="3175">
            <a:solidFill>
              <a:sysClr val="windowText" lastClr="000000"/>
            </a:solidFill>
            <a:prstDash val="solid"/>
          </a:ln>
        </c:spPr>
        <c:txPr>
          <a:bodyPr rot="0" vert="horz"/>
          <a:lstStyle/>
          <a:p>
            <a:pPr>
              <a:defRPr sz="1200" b="0" i="0" u="none" strike="noStrike" baseline="0">
                <a:solidFill>
                  <a:sysClr val="windowText" lastClr="000000"/>
                </a:solidFill>
                <a:latin typeface="+mn-lt"/>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title>
          <c:tx>
            <c:rich>
              <a:bodyPr rot="0" vert="horz" anchor="t" anchorCtr="0"/>
              <a:lstStyle/>
              <a:p>
                <a:pPr>
                  <a:defRPr/>
                </a:pPr>
                <a:r>
                  <a:rPr lang="en-IE" sz="1050"/>
                  <a:t>% GDP</a:t>
                </a:r>
              </a:p>
            </c:rich>
          </c:tx>
          <c:layout>
            <c:manualLayout>
              <c:xMode val="edge"/>
              <c:yMode val="edge"/>
              <c:x val="0"/>
              <c:y val="7.0931724514217989E-2"/>
            </c:manualLayout>
          </c:layout>
          <c:overlay val="0"/>
        </c:title>
        <c:numFmt formatCode="0" sourceLinked="0"/>
        <c:majorTickMark val="none"/>
        <c:minorTickMark val="none"/>
        <c:tickLblPos val="nextTo"/>
        <c:spPr>
          <a:ln w="3175">
            <a:solidFill>
              <a:srgbClr val="000000"/>
            </a:solidFill>
            <a:prstDash val="solid"/>
          </a:ln>
        </c:spPr>
        <c:txPr>
          <a:bodyPr rot="0" vert="horz"/>
          <a:lstStyle/>
          <a:p>
            <a:pPr>
              <a:defRPr sz="1100" b="0" i="0" u="none" strike="noStrike" baseline="0">
                <a:solidFill>
                  <a:sysClr val="windowText" lastClr="000000"/>
                </a:solidFill>
                <a:latin typeface="+mn-lt"/>
                <a:ea typeface="Arial"/>
                <a:cs typeface="Arial"/>
              </a:defRPr>
            </a:pPr>
            <a:endParaRPr lang="en-US"/>
          </a:p>
        </c:txPr>
        <c:crossAx val="1747775104"/>
        <c:crosses val="autoZero"/>
        <c:crossBetween val="between"/>
      </c:valAx>
      <c:spPr>
        <a:noFill/>
        <a:ln w="25400">
          <a:noFill/>
        </a:ln>
      </c:spPr>
    </c:plotArea>
    <c:plotVisOnly val="1"/>
    <c:dispBlanksAs val="gap"/>
    <c:showDLblsOverMax val="0"/>
  </c:chart>
  <c:spPr>
    <a:solidFill>
      <a:srgbClr val="FFFFFF"/>
    </a:solidFill>
    <a:ln w="3175">
      <a:solidFill>
        <a:sysClr val="windowText" lastClr="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88354</xdr:colOff>
      <xdr:row>1</xdr:row>
      <xdr:rowOff>121091</xdr:rowOff>
    </xdr:from>
    <xdr:to>
      <xdr:col>5</xdr:col>
      <xdr:colOff>16549</xdr:colOff>
      <xdr:row>9</xdr:row>
      <xdr:rowOff>2950</xdr:rowOff>
    </xdr:to>
    <xdr:pic>
      <xdr:nvPicPr>
        <xdr:cNvPr id="2" name="Picture 1">
          <a:extLst>
            <a:ext uri="{FF2B5EF4-FFF2-40B4-BE49-F238E27FC236}">
              <a16:creationId xmlns:a16="http://schemas.microsoft.com/office/drawing/2014/main" id="{5DF9B7FF-C014-4B8E-95A6-509766BF47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0339" y="303971"/>
          <a:ext cx="2124660" cy="1327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97153</xdr:colOff>
      <xdr:row>4</xdr:row>
      <xdr:rowOff>38102</xdr:rowOff>
    </xdr:from>
    <xdr:to>
      <xdr:col>6</xdr:col>
      <xdr:colOff>600075</xdr:colOff>
      <xdr:row>5</xdr:row>
      <xdr:rowOff>137163</xdr:rowOff>
    </xdr:to>
    <xdr:sp macro="" textlink="">
      <xdr:nvSpPr>
        <xdr:cNvPr id="3" name="Arrow: Down 2">
          <a:extLst>
            <a:ext uri="{FF2B5EF4-FFF2-40B4-BE49-F238E27FC236}">
              <a16:creationId xmlns:a16="http://schemas.microsoft.com/office/drawing/2014/main" id="{870E84B9-D7D9-4AE0-8686-64A30E36AF6E}"/>
            </a:ext>
          </a:extLst>
        </xdr:cNvPr>
        <xdr:cNvSpPr/>
      </xdr:nvSpPr>
      <xdr:spPr>
        <a:xfrm rot="5400000">
          <a:off x="6010273" y="601982"/>
          <a:ext cx="274321" cy="502922"/>
        </a:xfrm>
        <a:prstGeom prst="down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33337</xdr:colOff>
      <xdr:row>33</xdr:row>
      <xdr:rowOff>76200</xdr:rowOff>
    </xdr:from>
    <xdr:to>
      <xdr:col>32</xdr:col>
      <xdr:colOff>104775</xdr:colOff>
      <xdr:row>50</xdr:row>
      <xdr:rowOff>171450</xdr:rowOff>
    </xdr:to>
    <xdr:graphicFrame macro="">
      <xdr:nvGraphicFramePr>
        <xdr:cNvPr id="2" name="Chart 1">
          <a:extLst>
            <a:ext uri="{FF2B5EF4-FFF2-40B4-BE49-F238E27FC236}">
              <a16:creationId xmlns:a16="http://schemas.microsoft.com/office/drawing/2014/main" id="{8302EA03-2532-42DE-85D3-50EFA0352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87630</xdr:colOff>
      <xdr:row>21</xdr:row>
      <xdr:rowOff>9525</xdr:rowOff>
    </xdr:from>
    <xdr:to>
      <xdr:col>19</xdr:col>
      <xdr:colOff>377190</xdr:colOff>
      <xdr:row>42</xdr:row>
      <xdr:rowOff>83820</xdr:rowOff>
    </xdr:to>
    <xdr:graphicFrame macro="">
      <xdr:nvGraphicFramePr>
        <xdr:cNvPr id="9" name="Chart stochastic">
          <a:extLst>
            <a:ext uri="{FF2B5EF4-FFF2-40B4-BE49-F238E27FC236}">
              <a16:creationId xmlns:a16="http://schemas.microsoft.com/office/drawing/2014/main" id="{9ECBE4A0-5C2C-8A7C-9086-251DAC5F4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eetu.keskinen\Downloads\eu-debt-sustainability-analysis-main\eu-debt-sustainability-analysis-main\Final\Main%205.1v\CommissionPriorGuidanceFinland_VM.xlsx" TargetMode="External"/><Relationship Id="rId1" Type="http://schemas.openxmlformats.org/officeDocument/2006/relationships/externalLinkPath" Target="CommissionPriorGuidanceFinland_V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Criteria results"/>
      <sheetName val="Input data"/>
      <sheetName val="Baseline NFPC"/>
      <sheetName val="Adjustment scenario"/>
      <sheetName val="Adjust. no safeguard"/>
      <sheetName val="Financial stress"/>
      <sheetName val="Lower SPB"/>
      <sheetName val="Adverse (r-g)"/>
      <sheetName val="Stochastic"/>
      <sheetName val="FASTOP reporting"/>
      <sheetName val="Data_stochastic"/>
      <sheetName val="STOCH"/>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O2" t="str">
            <v>d_ngdp</v>
          </cell>
          <cell r="P2" t="str">
            <v>pb</v>
          </cell>
          <cell r="Q2" t="str">
            <v>iir</v>
          </cell>
          <cell r="R2" t="str">
            <v>sfa</v>
          </cell>
        </row>
        <row r="3">
          <cell r="N3">
            <v>1976</v>
          </cell>
          <cell r="O3">
            <v>0.13551942683934967</v>
          </cell>
          <cell r="P3">
            <v>8.2411182000000007</v>
          </cell>
          <cell r="Q3">
            <v>10.423728799999999</v>
          </cell>
          <cell r="R3">
            <v>11.502620850320326</v>
          </cell>
        </row>
        <row r="4">
          <cell r="N4">
            <v>1977</v>
          </cell>
          <cell r="O4">
            <v>9.7553873034362346E-2</v>
          </cell>
          <cell r="P4">
            <v>7.0000884000000001</v>
          </cell>
          <cell r="Q4">
            <v>12.9673827</v>
          </cell>
          <cell r="R4">
            <v>9.6842663836561425</v>
          </cell>
        </row>
        <row r="5">
          <cell r="N5">
            <v>1978</v>
          </cell>
          <cell r="O5">
            <v>0.10776510126470318</v>
          </cell>
          <cell r="P5">
            <v>4.6066025000000002</v>
          </cell>
          <cell r="Q5">
            <v>10.990888399999999</v>
          </cell>
          <cell r="R5">
            <v>7.943794658895853</v>
          </cell>
        </row>
        <row r="6">
          <cell r="N6">
            <v>1979</v>
          </cell>
          <cell r="O6">
            <v>0.15987385733104478</v>
          </cell>
          <cell r="P6">
            <v>4.2951541999999998</v>
          </cell>
          <cell r="Q6">
            <v>9.3920641000000007</v>
          </cell>
          <cell r="R6">
            <v>5.8507709251101323</v>
          </cell>
        </row>
        <row r="7">
          <cell r="N7">
            <v>1980</v>
          </cell>
          <cell r="O7">
            <v>0.15834939427312761</v>
          </cell>
          <cell r="P7">
            <v>4.6587633999999998</v>
          </cell>
          <cell r="Q7">
            <v>9.9628712999999998</v>
          </cell>
          <cell r="R7">
            <v>6.8039338027750551</v>
          </cell>
        </row>
        <row r="8">
          <cell r="N8">
            <v>1981</v>
          </cell>
          <cell r="O8">
            <v>0.13102772083073369</v>
          </cell>
          <cell r="P8">
            <v>6.1391757</v>
          </cell>
          <cell r="Q8">
            <v>10.416114500000001</v>
          </cell>
          <cell r="R8">
            <v>9.089237397220689</v>
          </cell>
        </row>
        <row r="9">
          <cell r="N9">
            <v>1982</v>
          </cell>
          <cell r="O9">
            <v>0.1244122205584889</v>
          </cell>
          <cell r="P9">
            <v>4.2286755999999999</v>
          </cell>
          <cell r="Q9">
            <v>11.4918894</v>
          </cell>
          <cell r="R9">
            <v>7.0322173679414997</v>
          </cell>
        </row>
        <row r="10">
          <cell r="N10">
            <v>1983</v>
          </cell>
          <cell r="O10">
            <v>0.11562273672406152</v>
          </cell>
          <cell r="P10">
            <v>2.940191</v>
          </cell>
          <cell r="Q10">
            <v>11.5006775</v>
          </cell>
          <cell r="R10">
            <v>6.3662254984084434</v>
          </cell>
        </row>
        <row r="11">
          <cell r="N11">
            <v>1984</v>
          </cell>
          <cell r="O11">
            <v>0.1195342603451164</v>
          </cell>
          <cell r="P11">
            <v>4.8035914999999996</v>
          </cell>
          <cell r="Q11">
            <v>11.531087400000001</v>
          </cell>
          <cell r="R11">
            <v>6.5843621399176957</v>
          </cell>
        </row>
        <row r="12">
          <cell r="N12">
            <v>1985</v>
          </cell>
          <cell r="O12">
            <v>8.9506172839506112E-2</v>
          </cell>
          <cell r="P12">
            <v>5.0630955000000002</v>
          </cell>
          <cell r="Q12">
            <v>12.447414</v>
          </cell>
          <cell r="R12">
            <v>5.8889175036483818</v>
          </cell>
        </row>
        <row r="13">
          <cell r="N13">
            <v>1986</v>
          </cell>
          <cell r="O13">
            <v>7.6367070134775533E-2</v>
          </cell>
          <cell r="P13">
            <v>5.4551544999999999</v>
          </cell>
          <cell r="Q13">
            <v>11.101436700000001</v>
          </cell>
          <cell r="R13">
            <v>5.4711052270588425</v>
          </cell>
        </row>
        <row r="14">
          <cell r="N14">
            <v>1987</v>
          </cell>
          <cell r="O14">
            <v>8.0120587625412673E-2</v>
          </cell>
          <cell r="P14">
            <v>3.2222813000000001</v>
          </cell>
          <cell r="Q14">
            <v>10.522729500000001</v>
          </cell>
          <cell r="R14">
            <v>4.6813160848248572</v>
          </cell>
        </row>
        <row r="15">
          <cell r="N15">
            <v>1988</v>
          </cell>
          <cell r="O15">
            <v>0.13301140055526028</v>
          </cell>
          <cell r="P15">
            <v>6.6472895999999997</v>
          </cell>
          <cell r="Q15">
            <v>10.009228999999999</v>
          </cell>
          <cell r="R15">
            <v>8.2895611485473726</v>
          </cell>
        </row>
        <row r="16">
          <cell r="N16">
            <v>1989</v>
          </cell>
          <cell r="O16">
            <v>0.11949480599038106</v>
          </cell>
          <cell r="P16">
            <v>8.1312361000000006</v>
          </cell>
          <cell r="Q16">
            <v>9.5125226999999999</v>
          </cell>
          <cell r="R16">
            <v>7.963581748960892</v>
          </cell>
        </row>
        <row r="17">
          <cell r="N17">
            <v>1990</v>
          </cell>
          <cell r="O17">
            <v>5.9005017987914889E-2</v>
          </cell>
          <cell r="P17">
            <v>6.6887278999999999</v>
          </cell>
          <cell r="Q17">
            <v>10.2012435</v>
          </cell>
          <cell r="R17">
            <v>6.6183665167822863</v>
          </cell>
        </row>
        <row r="18">
          <cell r="N18">
            <v>1991</v>
          </cell>
          <cell r="O18">
            <v>-4.4635495113182884E-2</v>
          </cell>
          <cell r="P18">
            <v>0.93326739999999997</v>
          </cell>
          <cell r="Q18">
            <v>12.728142200000001</v>
          </cell>
          <cell r="R18">
            <v>4.9712885073476105</v>
          </cell>
        </row>
        <row r="19">
          <cell r="N19">
            <v>1992</v>
          </cell>
          <cell r="O19">
            <v>-2.4361615208460446E-2</v>
          </cell>
          <cell r="P19">
            <v>-2.8520205000000001</v>
          </cell>
          <cell r="Q19">
            <v>11.0496947</v>
          </cell>
          <cell r="R19">
            <v>7.3482578849284046</v>
          </cell>
        </row>
        <row r="20">
          <cell r="N20">
            <v>1993</v>
          </cell>
          <cell r="O20">
            <v>1.0922129697341441E-2</v>
          </cell>
          <cell r="P20">
            <v>-3.7767770000000001</v>
          </cell>
          <cell r="Q20">
            <v>11.1067669</v>
          </cell>
          <cell r="R20">
            <v>6.2187893778877115</v>
          </cell>
        </row>
        <row r="21">
          <cell r="N21">
            <v>1994</v>
          </cell>
          <cell r="O21">
            <v>5.8815979838521458E-2</v>
          </cell>
          <cell r="P21">
            <v>-2.4760602999999999</v>
          </cell>
          <cell r="Q21">
            <v>7.8613913000000002</v>
          </cell>
          <cell r="R21">
            <v>3.9669858621031637</v>
          </cell>
        </row>
        <row r="22">
          <cell r="N22">
            <v>1995</v>
          </cell>
          <cell r="O22">
            <v>8.5951360345568675E-2</v>
          </cell>
          <cell r="P22">
            <v>-2.0913453999999998</v>
          </cell>
          <cell r="Q22">
            <v>7.4151128999999996</v>
          </cell>
          <cell r="R22">
            <v>-1.542379932825295</v>
          </cell>
        </row>
        <row r="23">
          <cell r="N23">
            <v>1996</v>
          </cell>
          <cell r="O23">
            <v>3.5860333438188022E-2</v>
          </cell>
          <cell r="P23">
            <v>0.81208429999999998</v>
          </cell>
          <cell r="Q23">
            <v>7.6226748000000004</v>
          </cell>
          <cell r="R23">
            <v>-2.1453131275530697</v>
          </cell>
        </row>
        <row r="24">
          <cell r="N24">
            <v>1997</v>
          </cell>
          <cell r="O24">
            <v>8.5459870889374373E-2</v>
          </cell>
          <cell r="P24">
            <v>2.8427807</v>
          </cell>
          <cell r="Q24">
            <v>7.9634841999999999</v>
          </cell>
          <cell r="R24">
            <v>-1.4620014981003004</v>
          </cell>
        </row>
        <row r="25">
          <cell r="N25">
            <v>1998</v>
          </cell>
          <cell r="O25">
            <v>8.7241780753923498E-2</v>
          </cell>
          <cell r="P25">
            <v>5.0508822999999996</v>
          </cell>
          <cell r="Q25">
            <v>7.1053268000000003</v>
          </cell>
          <cell r="R25">
            <v>0.76365024818633065</v>
          </cell>
        </row>
        <row r="26">
          <cell r="N26">
            <v>1999</v>
          </cell>
          <cell r="O26">
            <v>5.3472118465394965E-2</v>
          </cell>
          <cell r="P26">
            <v>4.5668001</v>
          </cell>
          <cell r="Q26">
            <v>6.5231918999999996</v>
          </cell>
          <cell r="R26">
            <v>1.2685555800687069</v>
          </cell>
        </row>
        <row r="27">
          <cell r="N27">
            <v>2000</v>
          </cell>
          <cell r="O27">
            <v>7.5057518358599473E-2</v>
          </cell>
          <cell r="P27">
            <v>9.5645036000000001</v>
          </cell>
          <cell r="Q27">
            <v>6.6157060000000003</v>
          </cell>
          <cell r="R27">
            <v>10.993682297239852</v>
          </cell>
        </row>
        <row r="28">
          <cell r="N28">
            <v>2001</v>
          </cell>
          <cell r="O28">
            <v>5.999618885680346E-2</v>
          </cell>
          <cell r="P28">
            <v>7.5296623</v>
          </cell>
          <cell r="Q28">
            <v>5.9986356000000001</v>
          </cell>
          <cell r="R28">
            <v>5.8494897253643847</v>
          </cell>
        </row>
        <row r="29">
          <cell r="N29">
            <v>2002</v>
          </cell>
          <cell r="O29">
            <v>2.6675332577370942E-2</v>
          </cell>
          <cell r="P29">
            <v>6.0860957000000004</v>
          </cell>
          <cell r="Q29">
            <v>4.7958615</v>
          </cell>
          <cell r="R29">
            <v>4.3775170723165822</v>
          </cell>
        </row>
        <row r="30">
          <cell r="N30">
            <v>2003</v>
          </cell>
          <cell r="O30">
            <v>2.1975135703029277E-2</v>
          </cell>
          <cell r="P30">
            <v>4.2392371999999998</v>
          </cell>
          <cell r="Q30">
            <v>4.3523594000000001</v>
          </cell>
          <cell r="R30">
            <v>5.858358209938781</v>
          </cell>
        </row>
        <row r="31">
          <cell r="N31">
            <v>2004</v>
          </cell>
          <cell r="O31">
            <v>4.6188113265985375E-2</v>
          </cell>
          <cell r="P31">
            <v>3.9015357000000002</v>
          </cell>
          <cell r="Q31">
            <v>3.9207100000000001</v>
          </cell>
          <cell r="R31">
            <v>3.9872006450068653</v>
          </cell>
        </row>
        <row r="32">
          <cell r="N32">
            <v>2005</v>
          </cell>
          <cell r="O32">
            <v>3.7346149485380273E-2</v>
          </cell>
          <cell r="P32">
            <v>4.2626315000000004</v>
          </cell>
          <cell r="Q32">
            <v>3.7190720000000002</v>
          </cell>
          <cell r="R32">
            <v>1.4755263014081257</v>
          </cell>
        </row>
        <row r="33">
          <cell r="N33">
            <v>2006</v>
          </cell>
          <cell r="O33">
            <v>4.98521437636242E-2</v>
          </cell>
          <cell r="P33">
            <v>5.4639467000000002</v>
          </cell>
          <cell r="Q33">
            <v>3.7191809</v>
          </cell>
          <cell r="R33">
            <v>4.0486532444171965</v>
          </cell>
        </row>
        <row r="34">
          <cell r="N34">
            <v>2007</v>
          </cell>
          <cell r="O34">
            <v>8.1985228199448298E-2</v>
          </cell>
          <cell r="P34">
            <v>6.5247605000000002</v>
          </cell>
          <cell r="Q34">
            <v>3.8111948</v>
          </cell>
          <cell r="R34">
            <v>3.9343140608963392</v>
          </cell>
        </row>
        <row r="35">
          <cell r="N35">
            <v>2008</v>
          </cell>
          <cell r="O35">
            <v>3.8450436195689275E-2</v>
          </cell>
          <cell r="P35">
            <v>5.5733148000000003</v>
          </cell>
          <cell r="Q35">
            <v>4.0288089999999999</v>
          </cell>
          <cell r="R35">
            <v>4.2261858801122187</v>
          </cell>
        </row>
        <row r="36">
          <cell r="N36">
            <v>2009</v>
          </cell>
          <cell r="O36">
            <v>-6.4437752554500155E-2</v>
          </cell>
          <cell r="P36">
            <v>-1.1560026000000001</v>
          </cell>
          <cell r="Q36">
            <v>3.5797435000000002</v>
          </cell>
          <cell r="R36">
            <v>4.5392771269952181</v>
          </cell>
        </row>
        <row r="37">
          <cell r="N37">
            <v>2010</v>
          </cell>
          <cell r="O37">
            <v>3.5191777580922852E-2</v>
          </cell>
          <cell r="P37">
            <v>-1.2065291</v>
          </cell>
          <cell r="Q37">
            <v>3.1134662999999998</v>
          </cell>
          <cell r="R37">
            <v>4.9536788506614648</v>
          </cell>
        </row>
        <row r="38">
          <cell r="N38">
            <v>2011</v>
          </cell>
          <cell r="O38">
            <v>5.2380370250288293E-2</v>
          </cell>
          <cell r="P38">
            <v>0.36970069999999999</v>
          </cell>
          <cell r="Q38">
            <v>2.9166577999999999</v>
          </cell>
          <cell r="R38">
            <v>3.2929625551773252</v>
          </cell>
        </row>
        <row r="39">
          <cell r="N39">
            <v>2012</v>
          </cell>
          <cell r="O39">
            <v>1.5348639885251446E-2</v>
          </cell>
          <cell r="P39">
            <v>-0.73021380000000002</v>
          </cell>
          <cell r="Q39">
            <v>2.7871514999999998</v>
          </cell>
          <cell r="R39">
            <v>4.362381054233798</v>
          </cell>
        </row>
        <row r="40">
          <cell r="N40">
            <v>2013</v>
          </cell>
          <cell r="O40">
            <v>1.6335301461919905E-2</v>
          </cell>
          <cell r="P40">
            <v>-1.2509726999999999</v>
          </cell>
          <cell r="Q40">
            <v>2.2453010999999998</v>
          </cell>
          <cell r="R40">
            <v>1.2920845140734434</v>
          </cell>
        </row>
        <row r="41">
          <cell r="N41">
            <v>2014</v>
          </cell>
          <cell r="O41">
            <v>1.2607612531262051E-2</v>
          </cell>
          <cell r="P41">
            <v>-1.7564295000000001</v>
          </cell>
          <cell r="Q41">
            <v>2.0585811000000001</v>
          </cell>
          <cell r="R41">
            <v>1.6674963870911614</v>
          </cell>
        </row>
        <row r="42">
          <cell r="N42">
            <v>2015</v>
          </cell>
          <cell r="O42">
            <v>2.1691953000768496E-2</v>
          </cell>
          <cell r="P42">
            <v>-1.2673558</v>
          </cell>
          <cell r="Q42">
            <v>1.8356452999999999</v>
          </cell>
          <cell r="R42">
            <v>2.8194999645197152</v>
          </cell>
        </row>
        <row r="43">
          <cell r="N43">
            <v>2016</v>
          </cell>
          <cell r="O43">
            <v>2.901341154765007E-2</v>
          </cell>
          <cell r="P43">
            <v>-0.60822549999999997</v>
          </cell>
          <cell r="Q43">
            <v>1.641478</v>
          </cell>
          <cell r="R43">
            <v>-7.8154451585615903E-2</v>
          </cell>
        </row>
        <row r="44">
          <cell r="N44">
            <v>2017</v>
          </cell>
          <cell r="O44">
            <v>4.0378267545674321E-2</v>
          </cell>
          <cell r="P44">
            <v>0.3468831</v>
          </cell>
          <cell r="Q44">
            <v>1.5307881000000001</v>
          </cell>
          <cell r="R44">
            <v>4.4188934207095862E-3</v>
          </cell>
        </row>
        <row r="45">
          <cell r="N45">
            <v>2018</v>
          </cell>
          <cell r="O45">
            <v>3.1643695785701351E-2</v>
          </cell>
          <cell r="P45">
            <v>9.2092099999999996E-2</v>
          </cell>
          <cell r="Q45">
            <v>1.4786862000000001</v>
          </cell>
          <cell r="R45">
            <v>-2.9983466260033759E-2</v>
          </cell>
        </row>
        <row r="46">
          <cell r="N46">
            <v>2019</v>
          </cell>
          <cell r="O46">
            <v>2.7396321457025193E-2</v>
          </cell>
          <cell r="P46">
            <v>-8.42165E-2</v>
          </cell>
          <cell r="Q46">
            <v>1.3693652999999999</v>
          </cell>
          <cell r="R46">
            <v>0.81298101376647847</v>
          </cell>
        </row>
        <row r="47">
          <cell r="N47">
            <v>2020</v>
          </cell>
          <cell r="O47">
            <v>-7.5878227951537711E-3</v>
          </cell>
          <cell r="P47">
            <v>-4.8605685000000003</v>
          </cell>
          <cell r="Q47">
            <v>1.0860274999999999</v>
          </cell>
          <cell r="R47">
            <v>3.7935119602752496</v>
          </cell>
        </row>
        <row r="48">
          <cell r="N48">
            <v>2021</v>
          </cell>
          <cell r="O48">
            <v>5.4130012855090323E-2</v>
          </cell>
          <cell r="P48">
            <v>-2.2560706000000001</v>
          </cell>
          <cell r="Q48">
            <v>0.73297129999999999</v>
          </cell>
          <cell r="R48">
            <v>-1.1676888926084894</v>
          </cell>
        </row>
        <row r="49">
          <cell r="N49">
            <v>2022</v>
          </cell>
          <cell r="O49">
            <v>7.0627244214360507E-2</v>
          </cell>
          <cell r="P49">
            <v>-0.23004340000000001</v>
          </cell>
          <cell r="Q49">
            <v>0.81288749999999999</v>
          </cell>
          <cell r="R49">
            <v>4.7795417744607196</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3B7DC54-38DF-4F97-8302-BDF605CAF2E1}">
  <we:reference id="dc57e6d2-28bf-4130-be1a-5961fe0ee311" version="1.0.0.0" store="https://eceuropaeu.sharepoint.com/sites/AppCatalog" storeType="SP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CFIN-Secretariat-C2@ec.europa.e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tabColor theme="1"/>
  </sheetPr>
  <dimension ref="B2:N87"/>
  <sheetViews>
    <sheetView topLeftCell="A39" zoomScale="160" zoomScaleNormal="160" workbookViewId="0">
      <selection activeCell="D59" sqref="D59"/>
    </sheetView>
  </sheetViews>
  <sheetFormatPr defaultColWidth="9.28515625" defaultRowHeight="15" x14ac:dyDescent="0.25"/>
  <cols>
    <col min="1" max="3" width="9.28515625" style="172"/>
    <col min="4" max="4" width="7.28515625" style="172" customWidth="1"/>
    <col min="5" max="5" width="6.140625" style="172" customWidth="1"/>
    <col min="6" max="6" width="3.140625" style="172" customWidth="1"/>
    <col min="7" max="13" width="9.28515625" style="172"/>
    <col min="14" max="14" width="18.140625" style="172" customWidth="1"/>
    <col min="15" max="16384" width="9.28515625" style="172"/>
  </cols>
  <sheetData>
    <row r="2" spans="2:12" x14ac:dyDescent="0.25">
      <c r="B2" s="168"/>
      <c r="C2" s="169"/>
      <c r="D2" s="169"/>
      <c r="E2" s="169"/>
      <c r="F2" s="169"/>
      <c r="G2" s="170"/>
      <c r="H2" s="169"/>
      <c r="I2" s="169"/>
      <c r="J2" s="169"/>
      <c r="K2" s="169"/>
      <c r="L2" s="171"/>
    </row>
    <row r="3" spans="2:12" x14ac:dyDescent="0.25">
      <c r="B3" s="173"/>
      <c r="C3" s="174"/>
      <c r="D3" s="174"/>
      <c r="E3" s="174"/>
      <c r="F3" s="174"/>
      <c r="G3" s="175"/>
      <c r="H3" s="174"/>
      <c r="I3" s="174"/>
      <c r="J3" s="174"/>
      <c r="K3" s="174"/>
      <c r="L3" s="176"/>
    </row>
    <row r="4" spans="2:12" x14ac:dyDescent="0.25">
      <c r="B4" s="173"/>
      <c r="C4" s="174"/>
      <c r="D4" s="174"/>
      <c r="E4" s="174"/>
      <c r="F4" s="174"/>
      <c r="G4" s="177" t="s">
        <v>0</v>
      </c>
      <c r="H4" s="174"/>
      <c r="I4" s="174"/>
      <c r="J4" s="174"/>
      <c r="K4" s="174"/>
      <c r="L4" s="176"/>
    </row>
    <row r="5" spans="2:12" x14ac:dyDescent="0.25">
      <c r="B5" s="173"/>
      <c r="C5" s="174"/>
      <c r="D5" s="174"/>
      <c r="E5" s="174"/>
      <c r="F5" s="174"/>
      <c r="G5" s="175"/>
      <c r="H5" s="174"/>
      <c r="I5" s="174"/>
      <c r="J5" s="174"/>
      <c r="K5" s="174"/>
      <c r="L5" s="176"/>
    </row>
    <row r="6" spans="2:12" x14ac:dyDescent="0.25">
      <c r="B6" s="173"/>
      <c r="C6" s="174"/>
      <c r="D6" s="174"/>
      <c r="E6" s="174"/>
      <c r="F6" s="174"/>
      <c r="G6" s="175" t="s">
        <v>1</v>
      </c>
      <c r="H6" s="174"/>
      <c r="I6" s="174"/>
      <c r="J6" s="174"/>
      <c r="K6" s="174"/>
      <c r="L6" s="176"/>
    </row>
    <row r="7" spans="2:12" x14ac:dyDescent="0.25">
      <c r="B7" s="173"/>
      <c r="C7" s="174"/>
      <c r="D7" s="174"/>
      <c r="E7" s="174"/>
      <c r="F7" s="174"/>
      <c r="G7" s="175" t="s">
        <v>2</v>
      </c>
      <c r="H7" s="174"/>
      <c r="I7" s="174"/>
      <c r="J7" s="174"/>
      <c r="K7" s="174"/>
      <c r="L7" s="176"/>
    </row>
    <row r="8" spans="2:12" x14ac:dyDescent="0.25">
      <c r="B8" s="173"/>
      <c r="C8" s="174"/>
      <c r="D8" s="174"/>
      <c r="E8" s="174"/>
      <c r="F8" s="174"/>
      <c r="G8" s="178" t="s">
        <v>3</v>
      </c>
      <c r="H8" s="174"/>
      <c r="I8" s="174"/>
      <c r="J8" s="174"/>
      <c r="K8" s="174"/>
      <c r="L8" s="176"/>
    </row>
    <row r="9" spans="2:12" x14ac:dyDescent="0.25">
      <c r="B9" s="173"/>
      <c r="C9" s="174"/>
      <c r="D9" s="174"/>
      <c r="E9" s="174"/>
      <c r="F9" s="174"/>
      <c r="G9" s="175"/>
      <c r="H9" s="174"/>
      <c r="I9" s="174"/>
      <c r="J9" s="174"/>
      <c r="K9" s="174"/>
      <c r="L9" s="176"/>
    </row>
    <row r="10" spans="2:12" x14ac:dyDescent="0.25">
      <c r="B10" s="173"/>
      <c r="C10" s="174"/>
      <c r="D10" s="174"/>
      <c r="E10" s="174"/>
      <c r="F10" s="174"/>
      <c r="G10" s="175"/>
      <c r="H10" s="174"/>
      <c r="I10" s="174"/>
      <c r="J10" s="174"/>
      <c r="K10" s="174"/>
      <c r="L10" s="176"/>
    </row>
    <row r="11" spans="2:12" x14ac:dyDescent="0.25">
      <c r="B11" s="179"/>
      <c r="C11" s="180"/>
      <c r="D11" s="180"/>
      <c r="E11" s="180"/>
      <c r="F11" s="180"/>
      <c r="G11" s="180"/>
      <c r="H11" s="180"/>
      <c r="I11" s="180"/>
      <c r="J11" s="180"/>
      <c r="K11" s="180"/>
      <c r="L11" s="181"/>
    </row>
    <row r="15" spans="2:12" x14ac:dyDescent="0.25">
      <c r="B15" s="168"/>
      <c r="C15" s="169"/>
      <c r="D15" s="169"/>
      <c r="E15" s="169"/>
      <c r="F15" s="169"/>
      <c r="G15" s="169"/>
      <c r="H15" s="169"/>
      <c r="I15" s="169"/>
      <c r="J15" s="169"/>
      <c r="K15" s="169"/>
      <c r="L15" s="171"/>
    </row>
    <row r="16" spans="2:12" x14ac:dyDescent="0.25">
      <c r="B16" s="173"/>
      <c r="C16" s="177" t="s">
        <v>4</v>
      </c>
      <c r="D16" s="175"/>
      <c r="E16" s="175"/>
      <c r="F16" s="175"/>
      <c r="G16" s="175"/>
      <c r="H16" s="175"/>
      <c r="I16" s="175"/>
      <c r="J16" s="175"/>
      <c r="K16" s="175"/>
      <c r="L16" s="176"/>
    </row>
    <row r="17" spans="2:14" x14ac:dyDescent="0.25">
      <c r="B17" s="173"/>
      <c r="C17" s="175"/>
      <c r="D17" s="175"/>
      <c r="E17" s="175"/>
      <c r="F17" s="175"/>
      <c r="G17" s="177"/>
      <c r="H17" s="175"/>
      <c r="I17" s="175"/>
      <c r="J17" s="175"/>
      <c r="K17" s="175"/>
      <c r="L17" s="176"/>
    </row>
    <row r="18" spans="2:14" ht="15" customHeight="1" x14ac:dyDescent="0.25">
      <c r="B18" s="173"/>
      <c r="C18" s="464" t="s">
        <v>254</v>
      </c>
      <c r="D18" s="464"/>
      <c r="E18" s="464"/>
      <c r="F18" s="464"/>
      <c r="G18" s="464"/>
      <c r="H18" s="464"/>
      <c r="I18" s="464"/>
      <c r="J18" s="464"/>
      <c r="K18" s="464"/>
      <c r="L18" s="176"/>
      <c r="N18" s="288"/>
    </row>
    <row r="19" spans="2:14" x14ac:dyDescent="0.25">
      <c r="B19" s="173"/>
      <c r="C19" s="464"/>
      <c r="D19" s="464"/>
      <c r="E19" s="464"/>
      <c r="F19" s="464"/>
      <c r="G19" s="464"/>
      <c r="H19" s="464"/>
      <c r="I19" s="464"/>
      <c r="J19" s="464"/>
      <c r="K19" s="464"/>
      <c r="L19" s="176"/>
    </row>
    <row r="20" spans="2:14" x14ac:dyDescent="0.25">
      <c r="B20" s="173"/>
      <c r="C20" s="464"/>
      <c r="D20" s="464"/>
      <c r="E20" s="464"/>
      <c r="F20" s="464"/>
      <c r="G20" s="464"/>
      <c r="H20" s="464"/>
      <c r="I20" s="464"/>
      <c r="J20" s="464"/>
      <c r="K20" s="464"/>
      <c r="L20" s="176"/>
    </row>
    <row r="21" spans="2:14" ht="9" customHeight="1" x14ac:dyDescent="0.25">
      <c r="B21" s="173"/>
      <c r="C21" s="175"/>
      <c r="D21" s="175"/>
      <c r="E21" s="175"/>
      <c r="F21" s="175"/>
      <c r="G21" s="175"/>
      <c r="H21" s="175"/>
      <c r="I21" s="175"/>
      <c r="J21" s="175"/>
      <c r="K21" s="175"/>
      <c r="L21" s="176"/>
    </row>
    <row r="22" spans="2:14" ht="15" customHeight="1" x14ac:dyDescent="0.25">
      <c r="B22" s="173"/>
      <c r="C22" s="464" t="s">
        <v>277</v>
      </c>
      <c r="D22" s="464"/>
      <c r="E22" s="464"/>
      <c r="F22" s="464"/>
      <c r="G22" s="464"/>
      <c r="H22" s="464"/>
      <c r="I22" s="464"/>
      <c r="J22" s="464"/>
      <c r="K22" s="464"/>
      <c r="L22" s="176"/>
    </row>
    <row r="23" spans="2:14" x14ac:dyDescent="0.25">
      <c r="B23" s="173"/>
      <c r="C23" s="464"/>
      <c r="D23" s="464"/>
      <c r="E23" s="464"/>
      <c r="F23" s="464"/>
      <c r="G23" s="464"/>
      <c r="H23" s="464"/>
      <c r="I23" s="464"/>
      <c r="J23" s="464"/>
      <c r="K23" s="464"/>
      <c r="L23" s="176"/>
    </row>
    <row r="24" spans="2:14" x14ac:dyDescent="0.25">
      <c r="B24" s="173"/>
      <c r="C24" s="464"/>
      <c r="D24" s="464"/>
      <c r="E24" s="464"/>
      <c r="F24" s="464"/>
      <c r="G24" s="464"/>
      <c r="H24" s="464"/>
      <c r="I24" s="464"/>
      <c r="J24" s="464"/>
      <c r="K24" s="464"/>
      <c r="L24" s="176"/>
    </row>
    <row r="25" spans="2:14" ht="30" customHeight="1" x14ac:dyDescent="0.25">
      <c r="B25" s="173"/>
      <c r="C25" s="464"/>
      <c r="D25" s="464"/>
      <c r="E25" s="464"/>
      <c r="F25" s="464"/>
      <c r="G25" s="464"/>
      <c r="H25" s="464"/>
      <c r="I25" s="464"/>
      <c r="J25" s="464"/>
      <c r="K25" s="464"/>
      <c r="L25" s="176"/>
      <c r="N25" s="268"/>
    </row>
    <row r="26" spans="2:14" x14ac:dyDescent="0.25">
      <c r="B26" s="173"/>
      <c r="C26" s="217"/>
      <c r="D26" s="217"/>
      <c r="E26" s="217"/>
      <c r="F26" s="217"/>
      <c r="G26" s="217"/>
      <c r="H26" s="217"/>
      <c r="I26" s="217"/>
      <c r="J26" s="217"/>
      <c r="K26" s="217"/>
      <c r="L26" s="176"/>
    </row>
    <row r="27" spans="2:14" x14ac:dyDescent="0.25">
      <c r="B27" s="173"/>
      <c r="C27" s="471" t="s">
        <v>5</v>
      </c>
      <c r="D27" s="471"/>
      <c r="E27" s="471"/>
      <c r="F27" s="471"/>
      <c r="G27" s="471"/>
      <c r="H27" s="471"/>
      <c r="I27" s="471"/>
      <c r="J27" s="471"/>
      <c r="K27" s="471"/>
      <c r="L27" s="176"/>
    </row>
    <row r="28" spans="2:14" x14ac:dyDescent="0.25">
      <c r="B28" s="173"/>
      <c r="C28" s="293"/>
      <c r="D28" s="293"/>
      <c r="E28" s="293"/>
      <c r="F28" s="293"/>
      <c r="G28" s="293"/>
      <c r="H28" s="293"/>
      <c r="I28" s="293"/>
      <c r="J28" s="293"/>
      <c r="K28" s="293"/>
      <c r="L28" s="176"/>
    </row>
    <row r="29" spans="2:14" ht="230.1" customHeight="1" x14ac:dyDescent="0.25">
      <c r="B29" s="173"/>
      <c r="C29" s="464" t="s">
        <v>289</v>
      </c>
      <c r="D29" s="464"/>
      <c r="E29" s="464"/>
      <c r="F29" s="464"/>
      <c r="G29" s="464"/>
      <c r="H29" s="464"/>
      <c r="I29" s="464"/>
      <c r="J29" s="464"/>
      <c r="K29" s="464"/>
      <c r="L29" s="176"/>
      <c r="N29" s="289"/>
    </row>
    <row r="30" spans="2:14" x14ac:dyDescent="0.25">
      <c r="B30" s="173"/>
      <c r="C30" s="293"/>
      <c r="D30" s="293"/>
      <c r="E30" s="293"/>
      <c r="F30" s="293"/>
      <c r="G30" s="293"/>
      <c r="H30" s="293"/>
      <c r="I30" s="293"/>
      <c r="J30" s="293"/>
      <c r="K30" s="293"/>
      <c r="L30" s="176"/>
      <c r="N30" s="194"/>
    </row>
    <row r="31" spans="2:14" x14ac:dyDescent="0.25">
      <c r="B31" s="173"/>
      <c r="C31" s="472" t="s">
        <v>6</v>
      </c>
      <c r="D31" s="472"/>
      <c r="E31" s="472"/>
      <c r="F31" s="472"/>
      <c r="G31" s="472"/>
      <c r="H31" s="472"/>
      <c r="I31" s="472"/>
      <c r="J31" s="472"/>
      <c r="K31" s="472"/>
      <c r="L31" s="176"/>
    </row>
    <row r="32" spans="2:14" x14ac:dyDescent="0.25">
      <c r="B32" s="173"/>
      <c r="C32" s="217"/>
      <c r="D32" s="182"/>
      <c r="E32" s="182"/>
      <c r="F32" s="182"/>
      <c r="G32" s="182"/>
      <c r="H32" s="182"/>
      <c r="I32" s="182"/>
      <c r="J32" s="182"/>
      <c r="K32" s="182"/>
      <c r="L32" s="176"/>
    </row>
    <row r="33" spans="2:14" ht="36" customHeight="1" thickBot="1" x14ac:dyDescent="0.3">
      <c r="B33" s="173"/>
      <c r="C33" s="183"/>
      <c r="D33" s="464" t="s">
        <v>268</v>
      </c>
      <c r="E33" s="464"/>
      <c r="F33" s="464"/>
      <c r="G33" s="464"/>
      <c r="H33" s="464"/>
      <c r="I33" s="464"/>
      <c r="J33" s="464"/>
      <c r="K33" s="464"/>
      <c r="L33" s="176"/>
      <c r="M33" s="267"/>
      <c r="N33" s="291"/>
    </row>
    <row r="34" spans="2:14" s="377" customFormat="1" ht="50.1" customHeight="1" thickTop="1" thickBot="1" x14ac:dyDescent="0.25">
      <c r="B34" s="372"/>
      <c r="C34" s="373"/>
      <c r="D34" s="193"/>
      <c r="E34" s="374"/>
      <c r="F34" s="465" t="s">
        <v>284</v>
      </c>
      <c r="G34" s="461"/>
      <c r="H34" s="461"/>
      <c r="I34" s="461"/>
      <c r="J34" s="461"/>
      <c r="K34" s="461"/>
      <c r="L34" s="375"/>
      <c r="M34" s="376"/>
      <c r="N34" s="291"/>
    </row>
    <row r="35" spans="2:14" s="377" customFormat="1" ht="33" customHeight="1" thickTop="1" x14ac:dyDescent="0.2">
      <c r="B35" s="372"/>
      <c r="C35" s="373"/>
      <c r="D35" s="193"/>
      <c r="E35" s="378"/>
      <c r="F35" s="461" t="s">
        <v>285</v>
      </c>
      <c r="G35" s="461"/>
      <c r="H35" s="461"/>
      <c r="I35" s="461"/>
      <c r="J35" s="461"/>
      <c r="K35" s="461"/>
      <c r="L35" s="375"/>
      <c r="M35" s="376"/>
      <c r="N35" s="291"/>
    </row>
    <row r="36" spans="2:14" s="377" customFormat="1" ht="33" customHeight="1" x14ac:dyDescent="0.2">
      <c r="B36" s="372"/>
      <c r="C36" s="373"/>
      <c r="D36" s="193"/>
      <c r="E36" s="379"/>
      <c r="F36" s="461"/>
      <c r="G36" s="461"/>
      <c r="H36" s="461"/>
      <c r="I36" s="461"/>
      <c r="J36" s="461"/>
      <c r="K36" s="461"/>
      <c r="L36" s="375"/>
      <c r="M36" s="376"/>
      <c r="N36" s="291"/>
    </row>
    <row r="37" spans="2:14" s="377" customFormat="1" ht="66" customHeight="1" x14ac:dyDescent="0.2">
      <c r="B37" s="372"/>
      <c r="C37" s="373"/>
      <c r="D37" s="193"/>
      <c r="E37" s="380"/>
      <c r="F37" s="461" t="s">
        <v>286</v>
      </c>
      <c r="G37" s="461"/>
      <c r="H37" s="461"/>
      <c r="I37" s="461"/>
      <c r="J37" s="461"/>
      <c r="K37" s="461"/>
      <c r="L37" s="375"/>
      <c r="M37" s="376"/>
      <c r="N37" s="291"/>
    </row>
    <row r="38" spans="2:14" ht="9" customHeight="1" x14ac:dyDescent="0.25">
      <c r="B38" s="173"/>
      <c r="C38" s="183"/>
      <c r="D38" s="462"/>
      <c r="E38" s="462"/>
      <c r="F38" s="462"/>
      <c r="G38" s="462"/>
      <c r="H38" s="462"/>
      <c r="I38" s="462"/>
      <c r="J38" s="462"/>
      <c r="K38" s="462"/>
      <c r="L38" s="463"/>
      <c r="M38" s="267"/>
      <c r="N38" s="291"/>
    </row>
    <row r="39" spans="2:14" ht="102.75" customHeight="1" x14ac:dyDescent="0.25">
      <c r="B39" s="173"/>
      <c r="C39" s="183"/>
      <c r="D39" s="464" t="s">
        <v>269</v>
      </c>
      <c r="E39" s="464"/>
      <c r="F39" s="464"/>
      <c r="G39" s="464"/>
      <c r="H39" s="464"/>
      <c r="I39" s="464"/>
      <c r="J39" s="464"/>
      <c r="K39" s="464"/>
      <c r="L39" s="176"/>
      <c r="M39" s="267"/>
      <c r="N39" s="291"/>
    </row>
    <row r="40" spans="2:14" ht="52.5" customHeight="1" x14ac:dyDescent="0.25">
      <c r="B40" s="173"/>
      <c r="C40" s="183"/>
      <c r="D40" s="464" t="s">
        <v>281</v>
      </c>
      <c r="E40" s="464"/>
      <c r="F40" s="464"/>
      <c r="G40" s="464"/>
      <c r="H40" s="464"/>
      <c r="I40" s="464"/>
      <c r="J40" s="464"/>
      <c r="K40" s="464"/>
      <c r="L40" s="176"/>
      <c r="M40" s="267"/>
      <c r="N40" s="269"/>
    </row>
    <row r="41" spans="2:14" ht="41.25" customHeight="1" x14ac:dyDescent="0.25">
      <c r="B41" s="173"/>
      <c r="C41" s="183"/>
      <c r="D41" s="464" t="s">
        <v>279</v>
      </c>
      <c r="E41" s="464"/>
      <c r="F41" s="464"/>
      <c r="G41" s="464"/>
      <c r="H41" s="464"/>
      <c r="I41" s="464"/>
      <c r="J41" s="464"/>
      <c r="K41" s="464"/>
      <c r="L41" s="176"/>
      <c r="M41" s="267"/>
      <c r="N41" s="269"/>
    </row>
    <row r="42" spans="2:14" ht="96.75" customHeight="1" x14ac:dyDescent="0.25">
      <c r="B42" s="173"/>
      <c r="C42" s="183"/>
      <c r="D42" s="464" t="s">
        <v>280</v>
      </c>
      <c r="E42" s="464"/>
      <c r="F42" s="464"/>
      <c r="G42" s="464"/>
      <c r="H42" s="464"/>
      <c r="I42" s="464"/>
      <c r="J42" s="464"/>
      <c r="K42" s="464"/>
      <c r="L42" s="176"/>
      <c r="M42" s="267"/>
      <c r="N42" s="291"/>
    </row>
    <row r="43" spans="2:14" ht="144" customHeight="1" x14ac:dyDescent="0.25">
      <c r="B43" s="173"/>
      <c r="C43" s="183"/>
      <c r="D43" s="464" t="s">
        <v>267</v>
      </c>
      <c r="E43" s="464"/>
      <c r="F43" s="464"/>
      <c r="G43" s="464"/>
      <c r="H43" s="464"/>
      <c r="I43" s="464"/>
      <c r="J43" s="464"/>
      <c r="K43" s="464"/>
      <c r="L43" s="176"/>
      <c r="M43" s="267"/>
      <c r="N43" s="291"/>
    </row>
    <row r="44" spans="2:14" ht="66" customHeight="1" x14ac:dyDescent="0.25">
      <c r="B44" s="173"/>
      <c r="C44" s="183"/>
      <c r="D44" s="464" t="s">
        <v>266</v>
      </c>
      <c r="E44" s="464"/>
      <c r="F44" s="464"/>
      <c r="G44" s="464"/>
      <c r="H44" s="464"/>
      <c r="I44" s="464"/>
      <c r="J44" s="464"/>
      <c r="K44" s="464"/>
      <c r="L44" s="176"/>
      <c r="M44" s="267"/>
      <c r="N44" s="269"/>
    </row>
    <row r="45" spans="2:14" ht="68.25" customHeight="1" x14ac:dyDescent="0.25">
      <c r="B45" s="173"/>
      <c r="C45" s="183"/>
      <c r="D45" s="464" t="s">
        <v>278</v>
      </c>
      <c r="E45" s="464"/>
      <c r="F45" s="464"/>
      <c r="G45" s="464"/>
      <c r="H45" s="464"/>
      <c r="I45" s="464"/>
      <c r="J45" s="464"/>
      <c r="K45" s="464"/>
      <c r="L45" s="176"/>
      <c r="M45" s="267"/>
      <c r="N45" s="269"/>
    </row>
    <row r="46" spans="2:14" x14ac:dyDescent="0.25">
      <c r="B46" s="173"/>
      <c r="C46" s="217"/>
      <c r="D46" s="182"/>
      <c r="E46" s="182"/>
      <c r="F46" s="182"/>
      <c r="G46" s="182"/>
      <c r="H46" s="182"/>
      <c r="I46" s="182"/>
      <c r="J46" s="182"/>
      <c r="K46" s="182"/>
      <c r="L46" s="176"/>
    </row>
    <row r="47" spans="2:14" ht="61.9" customHeight="1" x14ac:dyDescent="0.25">
      <c r="B47" s="173"/>
      <c r="C47" s="184"/>
      <c r="D47" s="464" t="s">
        <v>183</v>
      </c>
      <c r="E47" s="464"/>
      <c r="F47" s="464"/>
      <c r="G47" s="464"/>
      <c r="H47" s="464"/>
      <c r="I47" s="464"/>
      <c r="J47" s="464"/>
      <c r="K47" s="464"/>
      <c r="L47" s="176"/>
      <c r="N47" s="291"/>
    </row>
    <row r="48" spans="2:14" ht="32.450000000000003" customHeight="1" x14ac:dyDescent="0.25">
      <c r="B48" s="173"/>
      <c r="C48" s="184"/>
      <c r="D48" s="464" t="s">
        <v>7</v>
      </c>
      <c r="E48" s="464"/>
      <c r="F48" s="464"/>
      <c r="G48" s="464"/>
      <c r="H48" s="464"/>
      <c r="I48" s="464"/>
      <c r="J48" s="464"/>
      <c r="K48" s="464"/>
      <c r="L48" s="176"/>
    </row>
    <row r="49" spans="2:14" ht="33.6" customHeight="1" x14ac:dyDescent="0.25">
      <c r="B49" s="173"/>
      <c r="C49" s="184"/>
      <c r="D49" s="185"/>
      <c r="E49" s="186"/>
      <c r="F49" s="464" t="s">
        <v>270</v>
      </c>
      <c r="G49" s="464"/>
      <c r="H49" s="464"/>
      <c r="I49" s="464"/>
      <c r="J49" s="464"/>
      <c r="K49" s="464"/>
      <c r="L49" s="176"/>
    </row>
    <row r="50" spans="2:14" ht="98.25" customHeight="1" x14ac:dyDescent="0.25">
      <c r="B50" s="173"/>
      <c r="C50" s="184"/>
      <c r="D50" s="185"/>
      <c r="E50" s="362"/>
      <c r="F50" s="461" t="s">
        <v>272</v>
      </c>
      <c r="G50" s="461"/>
      <c r="H50" s="461"/>
      <c r="I50" s="461"/>
      <c r="J50" s="461"/>
      <c r="K50" s="461"/>
      <c r="L50" s="176"/>
    </row>
    <row r="51" spans="2:14" ht="32.25" customHeight="1" x14ac:dyDescent="0.25">
      <c r="B51" s="173"/>
      <c r="C51" s="184"/>
      <c r="D51" s="185"/>
      <c r="E51" s="187"/>
      <c r="F51" s="466" t="s">
        <v>245</v>
      </c>
      <c r="G51" s="466"/>
      <c r="H51" s="466"/>
      <c r="I51" s="466"/>
      <c r="J51" s="466"/>
      <c r="K51" s="466"/>
      <c r="L51" s="176"/>
    </row>
    <row r="52" spans="2:14" ht="92.25" customHeight="1" x14ac:dyDescent="0.25">
      <c r="B52" s="173"/>
      <c r="C52" s="184"/>
      <c r="D52" s="185"/>
      <c r="E52" s="242"/>
      <c r="F52" s="466" t="s">
        <v>8</v>
      </c>
      <c r="G52" s="466"/>
      <c r="H52" s="466"/>
      <c r="I52" s="466"/>
      <c r="J52" s="466"/>
      <c r="K52" s="466"/>
      <c r="L52" s="176"/>
    </row>
    <row r="53" spans="2:14" ht="23.25" customHeight="1" x14ac:dyDescent="0.25">
      <c r="B53" s="173"/>
      <c r="C53" s="184"/>
      <c r="D53" s="185"/>
      <c r="E53" s="197"/>
      <c r="F53" s="466" t="s">
        <v>9</v>
      </c>
      <c r="G53" s="466"/>
      <c r="H53" s="466"/>
      <c r="I53" s="466"/>
      <c r="J53" s="466"/>
      <c r="K53" s="466"/>
      <c r="L53" s="176"/>
    </row>
    <row r="54" spans="2:14" ht="121.5" customHeight="1" x14ac:dyDescent="0.25">
      <c r="B54" s="173"/>
      <c r="C54" s="184"/>
      <c r="D54" s="464" t="s">
        <v>273</v>
      </c>
      <c r="E54" s="464"/>
      <c r="F54" s="464"/>
      <c r="G54" s="464"/>
      <c r="H54" s="464"/>
      <c r="I54" s="464"/>
      <c r="J54" s="464"/>
      <c r="K54" s="464"/>
      <c r="L54" s="176"/>
      <c r="N54" s="290"/>
    </row>
    <row r="55" spans="2:14" x14ac:dyDescent="0.25">
      <c r="B55" s="173"/>
      <c r="C55" s="217"/>
      <c r="D55" s="292"/>
      <c r="E55" s="292"/>
      <c r="F55" s="292"/>
      <c r="G55" s="292"/>
      <c r="H55" s="292"/>
      <c r="I55" s="292"/>
      <c r="J55" s="292"/>
      <c r="K55" s="292"/>
      <c r="L55" s="176"/>
      <c r="N55" s="290"/>
    </row>
    <row r="56" spans="2:14" ht="98.25" customHeight="1" x14ac:dyDescent="0.25">
      <c r="B56" s="173"/>
      <c r="C56" s="464" t="s">
        <v>198</v>
      </c>
      <c r="D56" s="464"/>
      <c r="E56" s="464"/>
      <c r="F56" s="464"/>
      <c r="G56" s="464"/>
      <c r="H56" s="464"/>
      <c r="I56" s="464"/>
      <c r="J56" s="464"/>
      <c r="K56" s="464"/>
      <c r="L56" s="176"/>
      <c r="N56" s="290"/>
    </row>
    <row r="57" spans="2:14" x14ac:dyDescent="0.25">
      <c r="B57" s="173"/>
      <c r="C57" s="217"/>
      <c r="D57" s="292"/>
      <c r="E57" s="292"/>
      <c r="F57" s="292"/>
      <c r="G57" s="292"/>
      <c r="H57" s="292"/>
      <c r="I57" s="292"/>
      <c r="J57" s="292"/>
      <c r="K57" s="292"/>
      <c r="L57" s="176"/>
      <c r="N57" s="290"/>
    </row>
    <row r="58" spans="2:14" ht="48.75" customHeight="1" x14ac:dyDescent="0.25">
      <c r="B58" s="173"/>
      <c r="C58" s="298"/>
      <c r="D58" s="464" t="s">
        <v>295</v>
      </c>
      <c r="E58" s="464"/>
      <c r="F58" s="464"/>
      <c r="G58" s="464"/>
      <c r="H58" s="464"/>
      <c r="I58" s="464"/>
      <c r="J58" s="464"/>
      <c r="K58" s="464"/>
      <c r="L58" s="176"/>
      <c r="N58" s="290"/>
    </row>
    <row r="59" spans="2:14" x14ac:dyDescent="0.25">
      <c r="B59" s="173"/>
      <c r="C59" s="217"/>
      <c r="D59" s="292"/>
      <c r="E59" s="292"/>
      <c r="F59" s="292"/>
      <c r="G59" s="292"/>
      <c r="H59" s="292"/>
      <c r="I59" s="292"/>
      <c r="J59" s="292"/>
      <c r="K59" s="292"/>
      <c r="L59" s="176"/>
      <c r="N59" s="290"/>
    </row>
    <row r="60" spans="2:14" ht="97.5" customHeight="1" x14ac:dyDescent="0.25">
      <c r="B60" s="173"/>
      <c r="C60" s="299"/>
      <c r="D60" s="464" t="s">
        <v>274</v>
      </c>
      <c r="E60" s="464"/>
      <c r="F60" s="464"/>
      <c r="G60" s="464"/>
      <c r="H60" s="464"/>
      <c r="I60" s="464"/>
      <c r="J60" s="464"/>
      <c r="K60" s="464"/>
      <c r="L60" s="176"/>
      <c r="N60" s="290"/>
    </row>
    <row r="61" spans="2:14" x14ac:dyDescent="0.25">
      <c r="B61" s="173"/>
      <c r="C61" s="217"/>
      <c r="D61" s="217"/>
      <c r="E61" s="217"/>
      <c r="F61" s="217"/>
      <c r="G61" s="217"/>
      <c r="H61" s="217"/>
      <c r="I61" s="217"/>
      <c r="J61" s="217"/>
      <c r="K61" s="217"/>
      <c r="L61" s="176"/>
    </row>
    <row r="62" spans="2:14" ht="54" customHeight="1" x14ac:dyDescent="0.25">
      <c r="B62" s="173"/>
      <c r="C62" s="243"/>
      <c r="D62" s="464" t="s">
        <v>275</v>
      </c>
      <c r="E62" s="464"/>
      <c r="F62" s="464"/>
      <c r="G62" s="464"/>
      <c r="H62" s="464"/>
      <c r="I62" s="464"/>
      <c r="J62" s="464"/>
      <c r="K62" s="464"/>
      <c r="L62" s="176"/>
    </row>
    <row r="63" spans="2:14" x14ac:dyDescent="0.25">
      <c r="B63" s="173"/>
      <c r="C63" s="244"/>
      <c r="D63" s="468" t="s">
        <v>191</v>
      </c>
      <c r="E63" s="468"/>
      <c r="F63" s="468"/>
      <c r="G63" s="468"/>
      <c r="H63" s="468"/>
      <c r="I63" s="468"/>
      <c r="J63" s="468"/>
      <c r="K63" s="468"/>
      <c r="L63" s="176"/>
    </row>
    <row r="64" spans="2:14" x14ac:dyDescent="0.25">
      <c r="B64" s="173"/>
      <c r="C64" s="244"/>
      <c r="D64" s="469" t="s">
        <v>10</v>
      </c>
      <c r="E64" s="469"/>
      <c r="F64" s="469"/>
      <c r="G64" s="469"/>
      <c r="H64" s="469"/>
      <c r="I64" s="469"/>
      <c r="J64" s="469"/>
      <c r="K64" s="469"/>
      <c r="L64" s="176"/>
    </row>
    <row r="65" spans="2:14" x14ac:dyDescent="0.25">
      <c r="B65" s="173"/>
      <c r="C65" s="244"/>
      <c r="D65" s="469" t="s">
        <v>11</v>
      </c>
      <c r="E65" s="469"/>
      <c r="F65" s="469"/>
      <c r="G65" s="469"/>
      <c r="H65" s="469"/>
      <c r="I65" s="469"/>
      <c r="J65" s="469"/>
      <c r="K65" s="469"/>
      <c r="L65" s="176"/>
    </row>
    <row r="66" spans="2:14" x14ac:dyDescent="0.25">
      <c r="B66" s="173"/>
      <c r="C66" s="244"/>
      <c r="D66" s="469" t="s">
        <v>12</v>
      </c>
      <c r="E66" s="469"/>
      <c r="F66" s="469"/>
      <c r="G66" s="469"/>
      <c r="H66" s="469"/>
      <c r="I66" s="469"/>
      <c r="J66" s="469"/>
      <c r="K66" s="469"/>
      <c r="L66" s="176"/>
    </row>
    <row r="67" spans="2:14" x14ac:dyDescent="0.25">
      <c r="B67" s="173"/>
      <c r="C67" s="244"/>
      <c r="D67" s="294"/>
      <c r="E67" s="294"/>
      <c r="F67" s="294"/>
      <c r="G67" s="294"/>
      <c r="H67" s="294"/>
      <c r="I67" s="294"/>
      <c r="J67" s="294"/>
      <c r="K67" s="294"/>
      <c r="L67" s="176"/>
    </row>
    <row r="68" spans="2:14" ht="33.75" customHeight="1" x14ac:dyDescent="0.25">
      <c r="B68" s="173"/>
      <c r="C68" s="244"/>
      <c r="D68" s="464" t="s">
        <v>197</v>
      </c>
      <c r="E68" s="470"/>
      <c r="F68" s="470"/>
      <c r="G68" s="470"/>
      <c r="H68" s="470"/>
      <c r="I68" s="470"/>
      <c r="J68" s="470"/>
      <c r="K68" s="470"/>
      <c r="L68" s="176"/>
      <c r="N68" s="195"/>
    </row>
    <row r="69" spans="2:14" x14ac:dyDescent="0.25">
      <c r="B69" s="173"/>
      <c r="C69" s="217"/>
      <c r="D69" s="293"/>
      <c r="E69" s="293"/>
      <c r="F69" s="293"/>
      <c r="G69" s="293"/>
      <c r="H69" s="293"/>
      <c r="I69" s="293"/>
      <c r="J69" s="293"/>
      <c r="K69" s="293"/>
      <c r="L69" s="176"/>
    </row>
    <row r="70" spans="2:14" ht="52.5" customHeight="1" x14ac:dyDescent="0.25">
      <c r="B70" s="173"/>
      <c r="C70" s="302"/>
      <c r="D70" s="464" t="s">
        <v>200</v>
      </c>
      <c r="E70" s="464"/>
      <c r="F70" s="464"/>
      <c r="G70" s="464"/>
      <c r="H70" s="464"/>
      <c r="I70" s="464"/>
      <c r="J70" s="464"/>
      <c r="K70" s="464"/>
      <c r="L70" s="176"/>
    </row>
    <row r="71" spans="2:14" x14ac:dyDescent="0.25">
      <c r="B71" s="173"/>
      <c r="C71" s="217"/>
      <c r="D71" s="193"/>
      <c r="E71" s="193"/>
      <c r="F71" s="193"/>
      <c r="G71" s="193"/>
      <c r="H71" s="193"/>
      <c r="I71" s="193"/>
      <c r="J71" s="193"/>
      <c r="K71" s="193"/>
      <c r="L71" s="176"/>
    </row>
    <row r="72" spans="2:14" ht="46.15" customHeight="1" x14ac:dyDescent="0.25">
      <c r="B72" s="173"/>
      <c r="C72" s="467" t="s">
        <v>199</v>
      </c>
      <c r="D72" s="467"/>
      <c r="E72" s="467"/>
      <c r="F72" s="467"/>
      <c r="G72" s="467"/>
      <c r="H72" s="467"/>
      <c r="I72" s="467"/>
      <c r="J72" s="467"/>
      <c r="K72" s="467"/>
      <c r="L72" s="176"/>
    </row>
    <row r="73" spans="2:14" ht="38.25" customHeight="1" x14ac:dyDescent="0.25">
      <c r="B73" s="173"/>
      <c r="C73" s="217"/>
      <c r="D73" s="186"/>
      <c r="E73" s="461" t="s">
        <v>173</v>
      </c>
      <c r="F73" s="461"/>
      <c r="G73" s="461"/>
      <c r="H73" s="461"/>
      <c r="I73" s="461"/>
      <c r="J73" s="461"/>
      <c r="K73" s="461"/>
      <c r="L73" s="176"/>
      <c r="N73" s="267"/>
    </row>
    <row r="74" spans="2:14" ht="45.6" customHeight="1" x14ac:dyDescent="0.25">
      <c r="B74" s="173"/>
      <c r="C74" s="217"/>
      <c r="D74" s="188"/>
      <c r="E74" s="461" t="s">
        <v>184</v>
      </c>
      <c r="F74" s="461"/>
      <c r="G74" s="461"/>
      <c r="H74" s="461"/>
      <c r="I74" s="461"/>
      <c r="J74" s="461"/>
      <c r="K74" s="461"/>
      <c r="L74" s="176"/>
      <c r="N74" s="291"/>
    </row>
    <row r="75" spans="2:14" ht="45" customHeight="1" x14ac:dyDescent="0.25">
      <c r="B75" s="173"/>
      <c r="C75" s="217"/>
      <c r="D75" s="189"/>
      <c r="E75" s="461" t="s">
        <v>164</v>
      </c>
      <c r="F75" s="461"/>
      <c r="G75" s="461"/>
      <c r="H75" s="461"/>
      <c r="I75" s="461"/>
      <c r="J75" s="461"/>
      <c r="K75" s="461"/>
      <c r="L75" s="176"/>
    </row>
    <row r="76" spans="2:14" x14ac:dyDescent="0.25">
      <c r="B76" s="173"/>
      <c r="C76" s="217"/>
      <c r="D76" s="293"/>
      <c r="E76" s="190"/>
      <c r="F76" s="292"/>
      <c r="G76" s="292"/>
      <c r="H76" s="292"/>
      <c r="I76" s="292"/>
      <c r="J76" s="292"/>
      <c r="K76" s="292"/>
      <c r="L76" s="176"/>
    </row>
    <row r="77" spans="2:14" ht="48" customHeight="1" x14ac:dyDescent="0.25">
      <c r="B77" s="173"/>
      <c r="C77" s="217"/>
      <c r="D77" s="464" t="s">
        <v>13</v>
      </c>
      <c r="E77" s="464"/>
      <c r="F77" s="464"/>
      <c r="G77" s="464"/>
      <c r="H77" s="464"/>
      <c r="I77" s="464"/>
      <c r="J77" s="464"/>
      <c r="K77" s="464"/>
      <c r="L77" s="176"/>
    </row>
    <row r="78" spans="2:14" ht="33" customHeight="1" thickBot="1" x14ac:dyDescent="0.3">
      <c r="B78" s="173"/>
      <c r="C78" s="217"/>
      <c r="D78" s="191"/>
      <c r="E78" s="461" t="s">
        <v>166</v>
      </c>
      <c r="F78" s="461"/>
      <c r="G78" s="461"/>
      <c r="H78" s="461"/>
      <c r="I78" s="461"/>
      <c r="J78" s="461"/>
      <c r="K78" s="461"/>
      <c r="L78" s="176"/>
    </row>
    <row r="79" spans="2:14" ht="33" customHeight="1" thickBot="1" x14ac:dyDescent="0.3">
      <c r="B79" s="173"/>
      <c r="C79" s="217"/>
      <c r="D79" s="192"/>
      <c r="E79" s="474" t="s">
        <v>165</v>
      </c>
      <c r="F79" s="461"/>
      <c r="G79" s="461"/>
      <c r="H79" s="461"/>
      <c r="I79" s="461"/>
      <c r="J79" s="461"/>
      <c r="K79" s="461"/>
      <c r="L79" s="176"/>
    </row>
    <row r="80" spans="2:14" x14ac:dyDescent="0.25">
      <c r="B80" s="173"/>
      <c r="C80" s="217"/>
      <c r="D80" s="293"/>
      <c r="E80" s="293"/>
      <c r="F80" s="293"/>
      <c r="G80" s="293"/>
      <c r="H80" s="293"/>
      <c r="I80" s="293"/>
      <c r="J80" s="293"/>
      <c r="K80" s="293"/>
      <c r="L80" s="176"/>
    </row>
    <row r="81" spans="2:14" ht="17.45" customHeight="1" x14ac:dyDescent="0.25">
      <c r="B81" s="173"/>
      <c r="C81" s="471" t="s">
        <v>14</v>
      </c>
      <c r="D81" s="471"/>
      <c r="E81" s="471"/>
      <c r="F81" s="471"/>
      <c r="G81" s="471"/>
      <c r="H81" s="471"/>
      <c r="I81" s="471"/>
      <c r="J81" s="471"/>
      <c r="K81" s="471"/>
      <c r="L81" s="176"/>
    </row>
    <row r="82" spans="2:14" ht="90" customHeight="1" x14ac:dyDescent="0.25">
      <c r="B82" s="173"/>
      <c r="C82" s="464" t="s">
        <v>276</v>
      </c>
      <c r="D82" s="464"/>
      <c r="E82" s="464"/>
      <c r="F82" s="464"/>
      <c r="G82" s="464"/>
      <c r="H82" s="464"/>
      <c r="I82" s="464"/>
      <c r="J82" s="464"/>
      <c r="K82" s="464"/>
      <c r="L82" s="176"/>
      <c r="N82" s="268"/>
    </row>
    <row r="83" spans="2:14" ht="15" customHeight="1" x14ac:dyDescent="0.25">
      <c r="B83" s="173"/>
      <c r="C83" s="292"/>
      <c r="D83" s="292"/>
      <c r="E83" s="292"/>
      <c r="F83" s="292"/>
      <c r="G83" s="292"/>
      <c r="H83" s="292"/>
      <c r="I83" s="292"/>
      <c r="J83" s="292"/>
      <c r="K83" s="292"/>
      <c r="L83" s="176"/>
      <c r="N83" s="268"/>
    </row>
    <row r="84" spans="2:14" ht="165" customHeight="1" x14ac:dyDescent="0.25">
      <c r="B84" s="173"/>
      <c r="C84" s="355"/>
      <c r="D84" s="464" t="s">
        <v>290</v>
      </c>
      <c r="E84" s="464"/>
      <c r="F84" s="464"/>
      <c r="G84" s="464"/>
      <c r="H84" s="464"/>
      <c r="I84" s="464"/>
      <c r="J84" s="464"/>
      <c r="K84" s="464"/>
      <c r="L84" s="176"/>
      <c r="N84" s="268"/>
    </row>
    <row r="85" spans="2:14" x14ac:dyDescent="0.25">
      <c r="B85" s="179"/>
      <c r="C85" s="473"/>
      <c r="D85" s="473"/>
      <c r="E85" s="473"/>
      <c r="F85" s="473"/>
      <c r="G85" s="473"/>
      <c r="H85" s="473"/>
      <c r="I85" s="473"/>
      <c r="J85" s="473"/>
      <c r="K85" s="473"/>
      <c r="L85" s="181"/>
    </row>
    <row r="87" spans="2:14" x14ac:dyDescent="0.25">
      <c r="C87" s="300"/>
    </row>
  </sheetData>
  <mergeCells count="46">
    <mergeCell ref="C82:K82"/>
    <mergeCell ref="C85:K85"/>
    <mergeCell ref="D77:K77"/>
    <mergeCell ref="D70:K70"/>
    <mergeCell ref="C81:K81"/>
    <mergeCell ref="E75:K75"/>
    <mergeCell ref="E78:K78"/>
    <mergeCell ref="E79:K79"/>
    <mergeCell ref="D84:K84"/>
    <mergeCell ref="C18:K20"/>
    <mergeCell ref="C22:K25"/>
    <mergeCell ref="C27:K27"/>
    <mergeCell ref="C29:K29"/>
    <mergeCell ref="C31:K31"/>
    <mergeCell ref="F51:K51"/>
    <mergeCell ref="D44:K44"/>
    <mergeCell ref="D43:K43"/>
    <mergeCell ref="D41:K41"/>
    <mergeCell ref="D42:K42"/>
    <mergeCell ref="D45:K45"/>
    <mergeCell ref="F53:K53"/>
    <mergeCell ref="F52:K52"/>
    <mergeCell ref="C72:K72"/>
    <mergeCell ref="E73:K73"/>
    <mergeCell ref="E74:K74"/>
    <mergeCell ref="D54:K54"/>
    <mergeCell ref="D62:K62"/>
    <mergeCell ref="D63:K63"/>
    <mergeCell ref="D64:K64"/>
    <mergeCell ref="D65:K65"/>
    <mergeCell ref="D66:K66"/>
    <mergeCell ref="D68:K68"/>
    <mergeCell ref="C56:K56"/>
    <mergeCell ref="D58:K58"/>
    <mergeCell ref="D60:K60"/>
    <mergeCell ref="F37:K37"/>
    <mergeCell ref="D38:L38"/>
    <mergeCell ref="F50:K50"/>
    <mergeCell ref="D40:K40"/>
    <mergeCell ref="D33:K33"/>
    <mergeCell ref="F34:K34"/>
    <mergeCell ref="F35:K36"/>
    <mergeCell ref="D39:K39"/>
    <mergeCell ref="D47:K47"/>
    <mergeCell ref="D48:K48"/>
    <mergeCell ref="F49:K49"/>
  </mergeCells>
  <hyperlinks>
    <hyperlink ref="G8"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0" tint="-0.14999847407452621"/>
  </sheetPr>
  <dimension ref="A2:V82"/>
  <sheetViews>
    <sheetView zoomScale="115" zoomScaleNormal="115" workbookViewId="0">
      <selection activeCell="H12" sqref="H12"/>
    </sheetView>
  </sheetViews>
  <sheetFormatPr defaultColWidth="8.7109375" defaultRowHeight="12.75" x14ac:dyDescent="0.2"/>
  <cols>
    <col min="1" max="3" width="8.7109375" style="5"/>
    <col min="4" max="4" width="11.42578125" style="5" customWidth="1"/>
    <col min="5" max="5" width="38.28515625" style="5" customWidth="1"/>
    <col min="6" max="6" width="16.42578125" style="5" customWidth="1"/>
    <col min="7" max="7" width="22.140625" style="5" customWidth="1"/>
    <col min="8" max="8" width="21.140625" style="5" customWidth="1"/>
    <col min="9" max="9" width="18.5703125" style="5" customWidth="1"/>
    <col min="10" max="10" width="19" style="5" customWidth="1"/>
    <col min="11" max="11" width="16.28515625" style="5" customWidth="1"/>
    <col min="12" max="12" width="20.5703125" style="5" customWidth="1"/>
    <col min="13" max="13" width="20.140625" style="5" customWidth="1"/>
    <col min="14" max="14" width="18.5703125" style="5" customWidth="1"/>
    <col min="15" max="15" width="18.140625" style="5" customWidth="1"/>
    <col min="16" max="16" width="24.7109375" style="5" customWidth="1"/>
    <col min="17" max="17" width="21.42578125" style="5" customWidth="1"/>
    <col min="18" max="20" width="8.7109375" style="5"/>
    <col min="21" max="21" width="8.7109375" style="109"/>
    <col min="22" max="22" width="8.7109375" style="381"/>
    <col min="23" max="16384" width="8.7109375" style="5"/>
  </cols>
  <sheetData>
    <row r="2" spans="1:22" x14ac:dyDescent="0.2">
      <c r="U2" s="109">
        <v>4</v>
      </c>
      <c r="V2" s="381">
        <v>0</v>
      </c>
    </row>
    <row r="3" spans="1:22" ht="12.75" customHeight="1" x14ac:dyDescent="0.2">
      <c r="D3" s="515" t="s">
        <v>167</v>
      </c>
      <c r="E3" s="516"/>
      <c r="F3" s="517"/>
      <c r="H3" s="539" t="str">
        <f ca="1">IF(OR(AND($G$12="ok",$G$13="ok",$G$14="ok",$G$15="ok",$H$12="ok",$I$12="ok",$L$12&lt;&gt;"Not met"),
AND($I$12="ok",$J$12="ok",$J$13="ok",$J$14="ok",$J$15="ok",$L$12&lt;&gt;"Not met")),
"OK"&amp;CHAR(10)&amp;"adjustment"&amp;CHAR(10)&amp;"complies with all requirements",
"NOT OK"&amp;CHAR(10)&amp;"adjustment does not"&amp;CHAR(10)&amp;"comply with all requirements")</f>
        <v>NOT OK
adjustment does not
comply with all requirements</v>
      </c>
      <c r="I3" s="539"/>
      <c r="U3" s="109">
        <v>7</v>
      </c>
      <c r="V3" s="381">
        <v>0.02</v>
      </c>
    </row>
    <row r="4" spans="1:22" ht="13.5" thickBot="1" x14ac:dyDescent="0.25">
      <c r="D4" s="216" t="s">
        <v>15</v>
      </c>
      <c r="E4" s="18"/>
      <c r="F4" s="40" t="s">
        <v>163</v>
      </c>
      <c r="H4" s="539"/>
      <c r="I4" s="539"/>
      <c r="V4" s="381">
        <v>0.04</v>
      </c>
    </row>
    <row r="5" spans="1:22" ht="13.5" thickTop="1" x14ac:dyDescent="0.2">
      <c r="D5" s="215" t="s">
        <v>282</v>
      </c>
      <c r="F5" s="166">
        <v>7</v>
      </c>
      <c r="H5" s="539"/>
      <c r="I5" s="539"/>
      <c r="V5" s="381">
        <v>0.06</v>
      </c>
    </row>
    <row r="6" spans="1:22" ht="13.5" thickBot="1" x14ac:dyDescent="0.25">
      <c r="D6" s="247" t="s">
        <v>16</v>
      </c>
      <c r="E6" s="248"/>
      <c r="F6" s="167">
        <v>0.1</v>
      </c>
      <c r="H6" s="539"/>
      <c r="I6" s="539"/>
      <c r="V6" s="381">
        <v>0.08</v>
      </c>
    </row>
    <row r="7" spans="1:22" ht="13.5" thickTop="1" x14ac:dyDescent="0.2">
      <c r="D7" s="250"/>
      <c r="F7" s="266"/>
      <c r="V7" s="381">
        <v>0.1</v>
      </c>
    </row>
    <row r="8" spans="1:22" x14ac:dyDescent="0.2">
      <c r="D8" s="16"/>
      <c r="F8" s="17"/>
      <c r="V8" s="381">
        <v>0.12</v>
      </c>
    </row>
    <row r="9" spans="1:22" ht="18.75" customHeight="1" x14ac:dyDescent="0.2">
      <c r="D9" s="16"/>
      <c r="F9" s="17"/>
      <c r="G9" s="530" t="s">
        <v>168</v>
      </c>
      <c r="H9" s="531"/>
      <c r="I9" s="531"/>
      <c r="J9" s="532"/>
      <c r="L9" s="536" t="s">
        <v>169</v>
      </c>
      <c r="M9" s="537"/>
      <c r="N9" s="537"/>
      <c r="O9" s="537"/>
      <c r="P9" s="537"/>
      <c r="Q9" s="538"/>
      <c r="V9" s="381">
        <v>0.14000000000000001</v>
      </c>
    </row>
    <row r="10" spans="1:22" ht="18.75" customHeight="1" x14ac:dyDescent="0.2">
      <c r="A10" s="280"/>
      <c r="G10" s="533"/>
      <c r="H10" s="534"/>
      <c r="I10" s="534"/>
      <c r="J10" s="535"/>
      <c r="L10" s="521" t="s">
        <v>195</v>
      </c>
      <c r="M10" s="524"/>
      <c r="N10" s="525" t="s">
        <v>196</v>
      </c>
      <c r="O10" s="526"/>
      <c r="P10" s="521" t="s">
        <v>17</v>
      </c>
      <c r="Q10" s="522"/>
      <c r="V10" s="381">
        <v>0.16</v>
      </c>
    </row>
    <row r="11" spans="1:22" ht="107.25" customHeight="1" x14ac:dyDescent="0.2">
      <c r="A11" s="354"/>
      <c r="D11" s="212"/>
      <c r="E11" s="212"/>
      <c r="F11" s="213" t="s">
        <v>204</v>
      </c>
      <c r="G11" s="42" t="s">
        <v>18</v>
      </c>
      <c r="H11" s="218" t="s">
        <v>19</v>
      </c>
      <c r="I11" s="41" t="s">
        <v>20</v>
      </c>
      <c r="J11" s="92" t="str">
        <f>"Debt below 60% of GDP in T+"&amp;10+F5&amp;" **"</f>
        <v>Debt below 60% of GDP in T+17 **</v>
      </c>
      <c r="L11" s="92" t="s">
        <v>193</v>
      </c>
      <c r="M11" s="225" t="s">
        <v>194</v>
      </c>
      <c r="N11" s="366" t="s">
        <v>21</v>
      </c>
      <c r="O11" s="367" t="s">
        <v>22</v>
      </c>
      <c r="P11" s="261" t="s">
        <v>23</v>
      </c>
      <c r="Q11" s="92" t="s">
        <v>24</v>
      </c>
      <c r="V11" s="381">
        <v>0.18</v>
      </c>
    </row>
    <row r="12" spans="1:22" x14ac:dyDescent="0.2">
      <c r="D12" s="14" t="s">
        <v>25</v>
      </c>
      <c r="G12" s="10" t="str">
        <f ca="1">IF(OR('Adjust. no safeguard'!F57&gt;60,'Adjust. no safeguard'!F77&lt;-3),IF(SUM(OFFSET('Adjust. no safeguard'!$F$83,0,$F$5+1,1,10))=0,"ok","Not met"),"")</f>
        <v>Not met</v>
      </c>
      <c r="H12" s="219" t="str">
        <f>IF(OR('Adjust. no safeguard'!F57&gt;60,'Adjust. no safeguard'!F77&lt;-3),IF($F$5=4,IF(Stochastic!$O$17&lt;Stochastic!$J$17,"ok","Not met"),IF(Stochastic!$R$17&lt;Stochastic!$M$17,"ok","Not met")),"")</f>
        <v>Not met</v>
      </c>
      <c r="I12" s="8" t="str">
        <f ca="1">IF(MIN(OFFSET('Adjust. no safeguard'!$F$77,0,$F$5,1,11))&gt;-3.05,"ok","Not met")</f>
        <v>ok</v>
      </c>
      <c r="J12" s="12" t="str">
        <f ca="1">IF(OFFSET('Adjust. no safeguard'!$F$57,0,$F$5+10,1,1)&lt;60,"ok","Not met")</f>
        <v>Not met</v>
      </c>
      <c r="L12" s="486" t="str">
        <f ca="1">_xlfn.LET(_xlpm.debtChange,OFFSET('VM suunnitelma'!F58,0,1,1,$F$5),
_xlpm.debt6090,OFFSET('VM suunnitelma'!F85,0,1,1,$F$5),
_xlpm.debt90,OFFSET('VM suunnitelma'!F84,0,1,1,$F$5),
_xlpm.EDP,OFFSET('VM suunnitelma'!F87,0,1,1,$F$5),
IF(AND(MAX(_xlpm.debt90)=0,MAX(_xlpm.debt6090)=0),"Debt below 60% of GDP over the adjustment period",
IF(MIN(_xlpm.EDP)=1,"Not applicable, reference year is the last year of adjustment",
IF(AND(MAX(_xlpm.debt90)=0,MAX(_xlpm.debt6090)=1),IF(AVERAGEIFS(_xlpm.debtChange,_xlpm.debt6090,1,_xlpm.EDP,0)&lt;-0.5,"ok","Not met"),
IF(AND(MAX(_xlpm.debt90)=1,MAX(_xlpm.debt6090)=0),IF(AVERAGEIFS(_xlpm.debtChange,_xlpm.EDP,0)&lt;-1,"ok","Not met"),
IF(AND(MAX(_xlpm.debt90)=1,MAX(_xlpm.debt6090)=1),IF(AND(AVERAGEIFS(_xlpm.debtChange,_xlpm.debt90,1,_xlpm.EDP,0)&lt;-1,AVERAGEIFS(_xlpm.debtChange,_xlpm.debt6090,1,_xlpm.EDP,0)&lt;-0.5),"ok","Not met")))))))</f>
        <v>ok</v>
      </c>
      <c r="M12" s="489">
        <f ca="1">_xlfn.LET(_xlpm.debtChange,OFFSET('VM suunnitelma'!F58,0,1,1,$F$5),
_xlpm.debt60,OFFSET('VM suunnitelma'!F86,0,1,1,$F$5),
_xlpm.debt6090,OFFSET('VM suunnitelma'!F85,0,1,1,$F$5),
_xlpm.debt90,OFFSET('VM suunnitelma'!F84,0,1,1,$F$5),
_xlpm.EDP,OFFSET('VM suunnitelma'!F87,0,1,1,$F$5),
IF(AND(MAX(_xlpm.debt90)=0,MAX(_xlpm.debt6090)=0),"Debt below 60% of GDP over the adjustment period",
IF(MIN(_xlpm.EDP)=1,"Not applicable, reference year is the last year of adjustment",
IF(AND(MAX(_xlpm.debt90)=0,MAX(_xlpm.debt6090)=1),AVERAGEIFS(_xlpm.debtChange,_xlpm.debt60,1,_xlpm.EDP,0),
IF(AND(MAX(_xlpm.debt90)=1,MAX(_xlpm.debt6090)=0),AVERAGEIFS(_xlpm.debtChange,_xlpm.EDP,0),
IF(AND(MAX(_xlpm.debt90)=1,MAX(_xlpm.debt6090)=1),AVERAGEIFS(_xlpm.debtChange,_xlpm.debt60,1,_xlpm.EDP,0)))))))</f>
        <v>-0.50714410569445223</v>
      </c>
      <c r="N12" s="527" t="str">
        <f>IF(AND(O12=0,F6&lt;0.5),"not relevant","ok")</f>
        <v>ok</v>
      </c>
      <c r="O12" s="483">
        <f>IF(F6&lt;0.5,COUNTIFS('VM suunnitelma'!F77:H77,"&lt;"&amp;-3.049),0)+IF(AND(F5=4,J19&gt;0.5,J19&gt;F6),1,COUNTIFS(J19:M19,"&gt;" &amp; F6,J19:M19,"&gt;"&amp;0.5))</f>
        <v>1</v>
      </c>
      <c r="P12" s="486" t="str">
        <f>IF(OR(AND(F5=4,Q12=0,F6&lt;0.4),AND(F5=7,Q12=0,F6&lt;0.25)),"not relevant, 
(over the adjustment horizon)","ok")</f>
        <v>not relevant, 
(over the adjustment horizon)</v>
      </c>
      <c r="Q12" s="518">
        <f>IF(AND('Criteria results'!$F$5=4,'Criteria results'!$F$6&lt;=0.4),COUNTIFS('VM suunnitelma'!G13:J13,0.4,'VM suunnitelma'!F88:I88,0),IF(AND('Criteria results'!$F$5=7,'Criteria results'!$F$6&lt;=0.25),COUNTIFS('VM suunnitelma'!G13:M13,0.25,'VM suunnitelma'!F88:L88,0),0))</f>
        <v>0</v>
      </c>
      <c r="V12" s="381">
        <v>0.2</v>
      </c>
    </row>
    <row r="13" spans="1:22" x14ac:dyDescent="0.2">
      <c r="D13" s="14" t="s">
        <v>26</v>
      </c>
      <c r="G13" s="10" t="str">
        <f ca="1">IF(OR('VM suunnitelma'!F57&gt;60,'VM suunnitelma'!F77&lt;-3),IF(SUM(OFFSET('Financial stress'!$F$75,0,$F$5+1,1,10))=0,"ok","Not met"),"")</f>
        <v>Not met</v>
      </c>
      <c r="H13" s="219"/>
      <c r="I13" s="8"/>
      <c r="J13" s="12" t="str">
        <f ca="1">IF(OR('VM suunnitelma'!F57&gt;60,'VM suunnitelma'!F77&lt;-3),IF(OFFSET('Financial stress'!$F$56,0,$F$5+10,1,1)&lt;60,"ok","Not met"),"")</f>
        <v>Not met</v>
      </c>
      <c r="L13" s="487"/>
      <c r="M13" s="490"/>
      <c r="N13" s="528"/>
      <c r="O13" s="484"/>
      <c r="P13" s="487"/>
      <c r="Q13" s="519"/>
      <c r="V13" s="381">
        <v>0.22</v>
      </c>
    </row>
    <row r="14" spans="1:22" x14ac:dyDescent="0.2">
      <c r="D14" s="14" t="s">
        <v>27</v>
      </c>
      <c r="G14" s="10" t="str">
        <f ca="1">IF(OR('VM suunnitelma'!F57&gt;60,'VM suunnitelma'!F77&lt;-3),IF(SUM(OFFSET('Lower SPB'!$F$75,0,$F$5+1,1,10))=0,"ok","Not met"),"")</f>
        <v>Not met</v>
      </c>
      <c r="H14" s="219"/>
      <c r="I14" s="8"/>
      <c r="J14" s="12" t="str">
        <f ca="1">IF(OR('VM suunnitelma'!F57&gt;60,'VM suunnitelma'!F77&lt;-3),IF(OFFSET('Lower SPB'!$F$56,0,$F$5+10,1,1)&lt;60,"ok","Not met"),"")</f>
        <v>Not met</v>
      </c>
      <c r="L14" s="487"/>
      <c r="M14" s="490"/>
      <c r="N14" s="528"/>
      <c r="O14" s="484"/>
      <c r="P14" s="487"/>
      <c r="Q14" s="519"/>
      <c r="V14" s="381">
        <v>0.24</v>
      </c>
    </row>
    <row r="15" spans="1:22" x14ac:dyDescent="0.2">
      <c r="D15" s="15" t="s">
        <v>28</v>
      </c>
      <c r="E15" s="6"/>
      <c r="F15" s="6"/>
      <c r="G15" s="11" t="str">
        <f ca="1">IF(OR('VM suunnitelma'!F57&gt;60,'VM suunnitelma'!F77&lt;-3),IF(SUM(OFFSET('Adverse (r-g)'!$F$76,0,$F$5+1,1,10))=0,"ok","Not met"),"")</f>
        <v>Not met</v>
      </c>
      <c r="H15" s="220"/>
      <c r="I15" s="9"/>
      <c r="J15" s="13" t="str">
        <f ca="1">IF(OR('VM suunnitelma'!F57&gt;60,'VM suunnitelma'!F77&lt;-3),IF(OFFSET('Adverse (r-g)'!$F$57,0,$F$5+10,1,1)&lt;60,"ok","Not met"),"")</f>
        <v>Not met</v>
      </c>
      <c r="L15" s="488"/>
      <c r="M15" s="491"/>
      <c r="N15" s="529"/>
      <c r="O15" s="485"/>
      <c r="P15" s="488"/>
      <c r="Q15" s="520"/>
      <c r="V15" s="381">
        <v>0.26</v>
      </c>
    </row>
    <row r="16" spans="1:22" ht="102" customHeight="1" x14ac:dyDescent="0.2">
      <c r="D16" s="492" t="s">
        <v>291</v>
      </c>
      <c r="E16" s="492"/>
      <c r="F16" s="492"/>
      <c r="G16" s="492"/>
      <c r="H16" s="492"/>
      <c r="I16" s="492"/>
      <c r="J16" s="492"/>
      <c r="L16" s="523" t="s">
        <v>205</v>
      </c>
      <c r="M16" s="523"/>
      <c r="N16" s="523"/>
      <c r="O16" s="523"/>
      <c r="P16" s="523"/>
      <c r="Q16" s="523"/>
      <c r="V16" s="381">
        <v>0.28000000000000003</v>
      </c>
    </row>
    <row r="17" spans="4:22" ht="15.75" customHeight="1" x14ac:dyDescent="0.2">
      <c r="D17" s="226"/>
      <c r="E17" s="226"/>
      <c r="F17" s="226"/>
      <c r="G17" s="493" t="s">
        <v>172</v>
      </c>
      <c r="H17" s="494"/>
      <c r="I17" s="494"/>
      <c r="J17" s="495"/>
      <c r="K17" s="245"/>
      <c r="L17" s="245"/>
      <c r="M17" s="245"/>
      <c r="N17" s="245"/>
      <c r="O17" s="245"/>
      <c r="P17" s="232"/>
      <c r="V17" s="381">
        <v>0.3</v>
      </c>
    </row>
    <row r="18" spans="4:22" ht="13.5" customHeight="1" x14ac:dyDescent="0.2">
      <c r="D18" s="226"/>
      <c r="E18" s="227"/>
      <c r="F18" s="233"/>
      <c r="G18" s="228">
        <v>2025</v>
      </c>
      <c r="H18" s="229">
        <v>2026</v>
      </c>
      <c r="I18" s="229">
        <v>2027</v>
      </c>
      <c r="J18" s="229">
        <v>2028</v>
      </c>
      <c r="K18" s="229">
        <v>2029</v>
      </c>
      <c r="L18" s="229">
        <v>2030</v>
      </c>
      <c r="M18" s="246">
        <v>2031</v>
      </c>
      <c r="N18" s="234"/>
      <c r="P18" s="234"/>
      <c r="V18" s="381">
        <v>0.32</v>
      </c>
    </row>
    <row r="19" spans="4:22" ht="15" customHeight="1" x14ac:dyDescent="0.2">
      <c r="D19" s="496" t="s">
        <v>29</v>
      </c>
      <c r="E19" s="497"/>
      <c r="F19" s="498"/>
      <c r="G19" s="231">
        <f>'VM suunnitelma'!G12-'VM suunnitelma'!F12</f>
        <v>0.81780833671332465</v>
      </c>
      <c r="H19" s="238">
        <f>'VM suunnitelma'!H12-'VM suunnitelma'!G12</f>
        <v>0.65997990095797898</v>
      </c>
      <c r="I19" s="238">
        <f>'VM suunnitelma'!I12-'VM suunnitelma'!H12</f>
        <v>0.31998525296423463</v>
      </c>
      <c r="J19" s="238">
        <f>'VM suunnitelma'!J12-'VM suunnitelma'!I12</f>
        <v>0.36013520495102935</v>
      </c>
      <c r="K19" s="238">
        <f>'VM suunnitelma'!K12-'VM suunnitelma'!J12</f>
        <v>0.27989964112675736</v>
      </c>
      <c r="L19" s="238">
        <f>'VM suunnitelma'!L12-'VM suunnitelma'!K12</f>
        <v>0.28000000000000025</v>
      </c>
      <c r="M19" s="239">
        <f>'VM suunnitelma'!M12-'VM suunnitelma'!L12</f>
        <v>0.28000000000000025</v>
      </c>
      <c r="N19" s="231"/>
      <c r="P19" s="231"/>
      <c r="V19" s="381">
        <v>0.34</v>
      </c>
    </row>
    <row r="20" spans="4:22" ht="15" customHeight="1" x14ac:dyDescent="0.2">
      <c r="D20" s="475" t="s">
        <v>30</v>
      </c>
      <c r="E20" s="476"/>
      <c r="F20" s="477"/>
      <c r="G20" s="236">
        <f>'VM suunnitelma'!G79</f>
        <v>1.5881731969804143</v>
      </c>
      <c r="H20" s="237">
        <f>'VM suunnitelma'!H79</f>
        <v>1.9260768663543977</v>
      </c>
      <c r="I20" s="237">
        <f>'VM suunnitelma'!I79</f>
        <v>2.5941845793995375</v>
      </c>
      <c r="J20" s="237">
        <f>'VM suunnitelma'!J79</f>
        <v>2.5732222253289665</v>
      </c>
      <c r="K20" s="237">
        <f>'VM suunnitelma'!K79</f>
        <v>2.770476979863747</v>
      </c>
      <c r="L20" s="237">
        <f>'VM suunnitelma'!L79</f>
        <v>2.8221106216750718</v>
      </c>
      <c r="M20" s="240">
        <f>'VM suunnitelma'!M79</f>
        <v>2.8739261792508843</v>
      </c>
      <c r="N20" s="255"/>
      <c r="P20" s="231"/>
      <c r="V20" s="381">
        <v>0.36</v>
      </c>
    </row>
    <row r="21" spans="4:22" ht="15" customHeight="1" x14ac:dyDescent="0.2">
      <c r="D21" s="279" t="s">
        <v>41</v>
      </c>
      <c r="E21" s="271"/>
      <c r="F21" s="272"/>
      <c r="G21" s="275">
        <f>'VM suunnitelma'!G77</f>
        <v>-2.9202415538710049</v>
      </c>
      <c r="H21" s="276">
        <f>'VM suunnitelma'!H77</f>
        <v>-2.0076213496286237</v>
      </c>
      <c r="I21" s="276">
        <f>'VM suunnitelma'!I77</f>
        <v>-1.3908754224742164</v>
      </c>
      <c r="J21" s="276">
        <f>'VM suunnitelma'!J77</f>
        <v>-0.85044624944156955</v>
      </c>
      <c r="K21" s="276">
        <f>'VM suunnitelma'!K77</f>
        <v>-0.41421773999151257</v>
      </c>
      <c r="L21" s="276">
        <f>'VM suunnitelma'!L77</f>
        <v>-1.6956047707136879E-2</v>
      </c>
      <c r="M21" s="277">
        <f>'VM suunnitelma'!M77</f>
        <v>0.34953591789372385</v>
      </c>
      <c r="N21" s="255"/>
      <c r="P21" s="231"/>
      <c r="V21" s="381">
        <v>0.38</v>
      </c>
    </row>
    <row r="22" spans="4:22" ht="15" customHeight="1" x14ac:dyDescent="0.2">
      <c r="D22" s="279" t="s">
        <v>42</v>
      </c>
      <c r="E22" s="271"/>
      <c r="F22" s="272"/>
      <c r="G22" s="273">
        <f>'VM suunnitelma'!G78</f>
        <v>-1.0493361704095132</v>
      </c>
      <c r="H22" s="255">
        <f>'VM suunnitelma'!H78</f>
        <v>-0.48411366305868486</v>
      </c>
      <c r="I22" s="255">
        <f>'VM suunnitelma'!I78</f>
        <v>-0.24044643301466917</v>
      </c>
      <c r="J22" s="255">
        <f>'VM suunnitelma'!J78</f>
        <v>6.9170540031925798E-2</v>
      </c>
      <c r="K22" s="255">
        <f>'VM suunnitelma'!K78</f>
        <v>0.31799180950741568</v>
      </c>
      <c r="L22" s="255">
        <f>'VM suunnitelma'!L78</f>
        <v>0.59074796600422608</v>
      </c>
      <c r="M22" s="278">
        <f>'VM suunnitelma'!M78</f>
        <v>0.87449528042825064</v>
      </c>
      <c r="N22" s="255"/>
      <c r="P22" s="231"/>
      <c r="V22" s="381">
        <v>0.4</v>
      </c>
    </row>
    <row r="23" spans="4:22" ht="15" customHeight="1" x14ac:dyDescent="0.2">
      <c r="D23" s="279" t="s">
        <v>43</v>
      </c>
      <c r="E23" s="271"/>
      <c r="F23" s="272"/>
      <c r="G23" s="236">
        <f>'VM suunnitelma'!G57</f>
        <v>83.200765726871722</v>
      </c>
      <c r="H23" s="237">
        <f>'VM suunnitelma'!H57</f>
        <v>83.905617226229836</v>
      </c>
      <c r="I23" s="237">
        <f>'VM suunnitelma'!I57</f>
        <v>83.611302840545278</v>
      </c>
      <c r="J23" s="237">
        <f>'VM suunnitelma'!J57</f>
        <v>82.882428589420286</v>
      </c>
      <c r="K23" s="237">
        <f>'VM suunnitelma'!K57</f>
        <v>81.411608300186288</v>
      </c>
      <c r="L23" s="237">
        <f>'VM suunnitelma'!L57</f>
        <v>79.680213463441049</v>
      </c>
      <c r="M23" s="240">
        <f>'VM suunnitelma'!M57</f>
        <v>78.119823634032073</v>
      </c>
      <c r="N23" s="255"/>
      <c r="P23" s="231"/>
      <c r="V23" s="381">
        <v>0.42</v>
      </c>
    </row>
    <row r="24" spans="4:22" ht="15" customHeight="1" x14ac:dyDescent="0.2">
      <c r="D24" s="509" t="s">
        <v>31</v>
      </c>
      <c r="E24" s="509"/>
      <c r="F24" s="509"/>
      <c r="G24" s="274">
        <f>AVERAGE(G19:J19)</f>
        <v>0.53947717389664196</v>
      </c>
      <c r="I24" s="231"/>
      <c r="J24" s="231"/>
      <c r="K24" s="231"/>
      <c r="L24" s="231"/>
      <c r="M24" s="231"/>
      <c r="N24" s="231"/>
      <c r="P24" s="235"/>
      <c r="V24" s="381">
        <v>0.44</v>
      </c>
    </row>
    <row r="25" spans="4:22" x14ac:dyDescent="0.2">
      <c r="D25" s="241" t="s">
        <v>32</v>
      </c>
      <c r="E25" s="371"/>
      <c r="F25" s="370"/>
      <c r="G25" s="270">
        <f>IF(F5=4,AVERAGE(G19:J19),AVERAGE(G19:M19))</f>
        <v>0.42825833381618938</v>
      </c>
      <c r="H25" s="231"/>
      <c r="Q25" s="230"/>
      <c r="V25" s="381">
        <v>0.46</v>
      </c>
    </row>
    <row r="26" spans="4:22" x14ac:dyDescent="0.2">
      <c r="D26" s="478" t="s">
        <v>33</v>
      </c>
      <c r="E26" s="479"/>
      <c r="F26" s="479"/>
      <c r="G26" s="368">
        <f>AVERAGE(G20:J20)</f>
        <v>2.1704142170158289</v>
      </c>
      <c r="Q26" s="230"/>
      <c r="V26" s="381">
        <v>0.48</v>
      </c>
    </row>
    <row r="27" spans="4:22" ht="15" customHeight="1" x14ac:dyDescent="0.2">
      <c r="D27" s="480" t="s">
        <v>34</v>
      </c>
      <c r="E27" s="481"/>
      <c r="F27" s="481"/>
      <c r="G27" s="369">
        <f>IF(F5=4,AVERAGE(G20:J20),AVERAGE(G20:M20))</f>
        <v>2.4497386641218597</v>
      </c>
      <c r="H27" s="231"/>
      <c r="I27" s="231"/>
      <c r="J27" s="231"/>
      <c r="K27" s="231"/>
      <c r="L27" s="231"/>
      <c r="M27" s="231"/>
      <c r="N27" s="231"/>
      <c r="O27" s="231"/>
      <c r="P27" s="231"/>
      <c r="V27" s="381">
        <v>0.5</v>
      </c>
    </row>
    <row r="28" spans="4:22" ht="53.25" customHeight="1" x14ac:dyDescent="0.2">
      <c r="D28" s="482" t="s">
        <v>292</v>
      </c>
      <c r="E28" s="482"/>
      <c r="F28" s="482"/>
      <c r="G28" s="482"/>
      <c r="H28" s="482"/>
      <c r="I28" s="482"/>
      <c r="J28" s="482"/>
      <c r="K28" s="232"/>
      <c r="L28" s="232"/>
      <c r="M28" s="232"/>
      <c r="N28" s="232"/>
      <c r="O28" s="232"/>
      <c r="V28" s="381">
        <v>0.52</v>
      </c>
    </row>
    <row r="29" spans="4:22" x14ac:dyDescent="0.2">
      <c r="V29" s="381">
        <v>0.54</v>
      </c>
    </row>
    <row r="30" spans="4:22" ht="15.75" customHeight="1" x14ac:dyDescent="0.2">
      <c r="G30" s="510" t="s">
        <v>170</v>
      </c>
      <c r="H30" s="511"/>
      <c r="V30" s="381">
        <v>0.56000000000000005</v>
      </c>
    </row>
    <row r="31" spans="4:22" x14ac:dyDescent="0.2">
      <c r="G31" s="198" t="s">
        <v>35</v>
      </c>
      <c r="H31" s="199" t="s">
        <v>36</v>
      </c>
      <c r="V31" s="381">
        <v>0.57999999999999996</v>
      </c>
    </row>
    <row r="32" spans="4:22" x14ac:dyDescent="0.2">
      <c r="D32" s="363" t="s">
        <v>282</v>
      </c>
      <c r="E32" s="203"/>
      <c r="F32" s="204"/>
      <c r="G32" s="209">
        <v>4</v>
      </c>
      <c r="H32" s="200">
        <v>7</v>
      </c>
      <c r="V32" s="381">
        <v>0.6</v>
      </c>
    </row>
    <row r="33" spans="4:22" x14ac:dyDescent="0.2">
      <c r="D33" s="364" t="s">
        <v>37</v>
      </c>
      <c r="E33" s="205"/>
      <c r="F33" s="206"/>
      <c r="G33" s="210">
        <v>0.66</v>
      </c>
      <c r="H33" s="201">
        <v>0.3</v>
      </c>
      <c r="V33" s="381">
        <v>0.62</v>
      </c>
    </row>
    <row r="34" spans="4:22" x14ac:dyDescent="0.2">
      <c r="D34" s="365" t="s">
        <v>283</v>
      </c>
      <c r="E34" s="207"/>
      <c r="F34" s="208"/>
      <c r="G34" s="211">
        <v>71.319999694824219</v>
      </c>
      <c r="H34" s="202">
        <v>72.319999694824219</v>
      </c>
      <c r="V34" s="381">
        <v>0.64</v>
      </c>
    </row>
    <row r="35" spans="4:22" ht="40.15" customHeight="1" x14ac:dyDescent="0.2">
      <c r="D35" s="505" t="s">
        <v>190</v>
      </c>
      <c r="E35" s="505"/>
      <c r="F35" s="505"/>
      <c r="G35" s="505"/>
      <c r="H35" s="505"/>
      <c r="V35" s="381">
        <v>0.66</v>
      </c>
    </row>
    <row r="36" spans="4:22" x14ac:dyDescent="0.2">
      <c r="V36" s="381">
        <v>0.68</v>
      </c>
    </row>
    <row r="37" spans="4:22" ht="19.899999999999999" customHeight="1" x14ac:dyDescent="0.2">
      <c r="D37" s="226"/>
      <c r="E37" s="226"/>
      <c r="F37" s="226"/>
      <c r="H37" s="506" t="s">
        <v>265</v>
      </c>
      <c r="I37" s="507"/>
      <c r="J37" s="507"/>
      <c r="K37" s="507"/>
      <c r="L37" s="507"/>
      <c r="M37" s="507"/>
      <c r="N37" s="508"/>
      <c r="O37" s="256"/>
      <c r="V37" s="381">
        <v>0.7</v>
      </c>
    </row>
    <row r="38" spans="4:22" x14ac:dyDescent="0.2">
      <c r="D38" s="226"/>
      <c r="E38" s="226"/>
      <c r="F38" s="249"/>
      <c r="G38" s="305" t="s">
        <v>244</v>
      </c>
      <c r="H38" s="303">
        <v>2025</v>
      </c>
      <c r="I38" s="303">
        <v>2026</v>
      </c>
      <c r="J38" s="303">
        <v>2027</v>
      </c>
      <c r="K38" s="303">
        <v>2028</v>
      </c>
      <c r="L38" s="303">
        <v>2029</v>
      </c>
      <c r="M38" s="303">
        <v>2030</v>
      </c>
      <c r="N38" s="304">
        <v>2031</v>
      </c>
      <c r="V38" s="381">
        <v>0.72</v>
      </c>
    </row>
    <row r="39" spans="4:22" s="310" customFormat="1" ht="15" customHeight="1" x14ac:dyDescent="0.2">
      <c r="D39" s="512" t="s">
        <v>202</v>
      </c>
      <c r="E39" s="513"/>
      <c r="F39" s="514"/>
      <c r="G39" s="306"/>
      <c r="H39" s="311"/>
      <c r="I39" s="311"/>
      <c r="J39" s="311"/>
      <c r="K39" s="311"/>
      <c r="L39" s="311"/>
      <c r="M39" s="311"/>
      <c r="N39" s="312"/>
      <c r="U39" s="382"/>
      <c r="V39" s="383">
        <v>0.74</v>
      </c>
    </row>
    <row r="40" spans="4:22" s="310" customFormat="1" ht="15" customHeight="1" x14ac:dyDescent="0.2">
      <c r="D40" s="323" t="s">
        <v>30</v>
      </c>
      <c r="E40" s="324"/>
      <c r="F40" s="325"/>
      <c r="G40" s="309">
        <v>-6.0350156985669146E-2</v>
      </c>
      <c r="H40" s="319">
        <v>-0.14348043198566929</v>
      </c>
      <c r="I40" s="319">
        <v>-3.7421481985669303E-2</v>
      </c>
      <c r="J40" s="319">
        <v>-8.2517231985669515E-2</v>
      </c>
      <c r="K40" s="319">
        <v>2.2018518014331523E-2</v>
      </c>
      <c r="L40" s="313"/>
      <c r="M40" s="313"/>
      <c r="N40" s="314"/>
      <c r="U40" s="382"/>
      <c r="V40" s="383">
        <v>0.76</v>
      </c>
    </row>
    <row r="41" spans="4:22" s="310" customFormat="1" ht="15" customHeight="1" x14ac:dyDescent="0.2">
      <c r="D41" s="499" t="s">
        <v>192</v>
      </c>
      <c r="E41" s="500"/>
      <c r="F41" s="501"/>
      <c r="G41" s="201">
        <v>1.6</v>
      </c>
      <c r="H41" s="315">
        <v>1.6</v>
      </c>
      <c r="I41" s="315">
        <v>1.6</v>
      </c>
      <c r="J41" s="315">
        <v>1.6</v>
      </c>
      <c r="K41" s="315">
        <v>1.6</v>
      </c>
      <c r="L41" s="315"/>
      <c r="M41" s="315"/>
      <c r="N41" s="316"/>
      <c r="U41" s="382"/>
      <c r="V41" s="383">
        <v>0.78</v>
      </c>
    </row>
    <row r="42" spans="4:22" s="310" customFormat="1" ht="15" customHeight="1" x14ac:dyDescent="0.2">
      <c r="D42" s="512" t="s">
        <v>203</v>
      </c>
      <c r="E42" s="513"/>
      <c r="F42" s="514"/>
      <c r="G42" s="308"/>
      <c r="H42" s="317"/>
      <c r="I42" s="317"/>
      <c r="J42" s="317"/>
      <c r="K42" s="317"/>
      <c r="L42" s="317"/>
      <c r="M42" s="317"/>
      <c r="N42" s="318"/>
      <c r="U42" s="382"/>
      <c r="V42" s="383">
        <v>0.8</v>
      </c>
    </row>
    <row r="43" spans="4:22" s="310" customFormat="1" ht="15" customHeight="1" x14ac:dyDescent="0.2">
      <c r="D43" s="323" t="s">
        <v>30</v>
      </c>
      <c r="E43" s="324"/>
      <c r="F43" s="325"/>
      <c r="G43" s="309">
        <v>1.4622779598068074</v>
      </c>
      <c r="H43" s="319">
        <v>1.3791476848068074</v>
      </c>
      <c r="I43" s="319">
        <v>1.4852066348068074</v>
      </c>
      <c r="J43" s="319">
        <v>1.4401108848068074</v>
      </c>
      <c r="K43" s="319">
        <v>1.5446466348068071</v>
      </c>
      <c r="L43" s="319">
        <v>1.5412454848068073</v>
      </c>
      <c r="M43" s="319">
        <v>1.5714321348068074</v>
      </c>
      <c r="N43" s="320">
        <v>1.6517811848068071</v>
      </c>
      <c r="U43" s="382"/>
      <c r="V43" s="383">
        <v>0.82</v>
      </c>
    </row>
    <row r="44" spans="4:22" s="310" customFormat="1" ht="15" customHeight="1" x14ac:dyDescent="0.2">
      <c r="D44" s="502" t="s">
        <v>192</v>
      </c>
      <c r="E44" s="503"/>
      <c r="F44" s="504"/>
      <c r="G44" s="307">
        <v>0.7599999999999999</v>
      </c>
      <c r="H44" s="321">
        <v>0.76</v>
      </c>
      <c r="I44" s="321">
        <v>0.76</v>
      </c>
      <c r="J44" s="321">
        <v>0.7599999999999999</v>
      </c>
      <c r="K44" s="321">
        <v>0.75999999999999979</v>
      </c>
      <c r="L44" s="321">
        <v>0.75999999999999979</v>
      </c>
      <c r="M44" s="321">
        <v>0.75999999999999979</v>
      </c>
      <c r="N44" s="322">
        <v>0.75999999999999979</v>
      </c>
      <c r="U44" s="382"/>
      <c r="V44" s="383">
        <v>0.84</v>
      </c>
    </row>
    <row r="45" spans="4:22" x14ac:dyDescent="0.2">
      <c r="V45" s="381">
        <v>0.86</v>
      </c>
    </row>
    <row r="46" spans="4:22" x14ac:dyDescent="0.2">
      <c r="V46" s="381">
        <v>0.88</v>
      </c>
    </row>
    <row r="47" spans="4:22" x14ac:dyDescent="0.2">
      <c r="V47" s="381">
        <v>0.9</v>
      </c>
    </row>
    <row r="48" spans="4:22" x14ac:dyDescent="0.2">
      <c r="V48" s="381">
        <v>0.92</v>
      </c>
    </row>
    <row r="49" spans="22:22" x14ac:dyDescent="0.2">
      <c r="V49" s="381">
        <v>0.94</v>
      </c>
    </row>
    <row r="50" spans="22:22" x14ac:dyDescent="0.2">
      <c r="V50" s="381">
        <v>0.96</v>
      </c>
    </row>
    <row r="51" spans="22:22" x14ac:dyDescent="0.2">
      <c r="V51" s="381">
        <v>0.98</v>
      </c>
    </row>
    <row r="52" spans="22:22" x14ac:dyDescent="0.2">
      <c r="V52" s="381">
        <v>1</v>
      </c>
    </row>
    <row r="53" spans="22:22" x14ac:dyDescent="0.2">
      <c r="V53" s="381">
        <v>1.02</v>
      </c>
    </row>
    <row r="54" spans="22:22" x14ac:dyDescent="0.2">
      <c r="V54" s="381">
        <v>1.04</v>
      </c>
    </row>
    <row r="55" spans="22:22" x14ac:dyDescent="0.2">
      <c r="V55" s="381">
        <v>1.06</v>
      </c>
    </row>
    <row r="56" spans="22:22" x14ac:dyDescent="0.2">
      <c r="V56" s="381">
        <v>1.08</v>
      </c>
    </row>
    <row r="57" spans="22:22" x14ac:dyDescent="0.2">
      <c r="V57" s="381">
        <v>1.1000000000000001</v>
      </c>
    </row>
    <row r="58" spans="22:22" x14ac:dyDescent="0.2">
      <c r="V58" s="381">
        <v>1.1200000000000001</v>
      </c>
    </row>
    <row r="59" spans="22:22" x14ac:dyDescent="0.2">
      <c r="V59" s="381">
        <v>1.1399999999999999</v>
      </c>
    </row>
    <row r="60" spans="22:22" x14ac:dyDescent="0.2">
      <c r="V60" s="381">
        <v>1.1599999999999999</v>
      </c>
    </row>
    <row r="61" spans="22:22" x14ac:dyDescent="0.2">
      <c r="V61" s="381">
        <v>1.18</v>
      </c>
    </row>
    <row r="62" spans="22:22" x14ac:dyDescent="0.2">
      <c r="V62" s="381">
        <v>1.2</v>
      </c>
    </row>
    <row r="63" spans="22:22" x14ac:dyDescent="0.2">
      <c r="V63" s="381">
        <v>1.22</v>
      </c>
    </row>
    <row r="64" spans="22:22" x14ac:dyDescent="0.2">
      <c r="V64" s="381">
        <v>1.24</v>
      </c>
    </row>
    <row r="65" spans="22:22" x14ac:dyDescent="0.2">
      <c r="V65" s="381">
        <v>1.26</v>
      </c>
    </row>
    <row r="66" spans="22:22" x14ac:dyDescent="0.2">
      <c r="V66" s="381">
        <v>1.28</v>
      </c>
    </row>
    <row r="67" spans="22:22" x14ac:dyDescent="0.2">
      <c r="V67" s="381">
        <v>1.3</v>
      </c>
    </row>
    <row r="68" spans="22:22" x14ac:dyDescent="0.2">
      <c r="V68" s="381">
        <v>1.32</v>
      </c>
    </row>
    <row r="69" spans="22:22" x14ac:dyDescent="0.2">
      <c r="V69" s="381">
        <v>1.34</v>
      </c>
    </row>
    <row r="70" spans="22:22" x14ac:dyDescent="0.2">
      <c r="V70" s="381">
        <v>1.36</v>
      </c>
    </row>
    <row r="71" spans="22:22" x14ac:dyDescent="0.2">
      <c r="V71" s="381">
        <v>1.38</v>
      </c>
    </row>
    <row r="72" spans="22:22" x14ac:dyDescent="0.2">
      <c r="V72" s="381">
        <v>1.4</v>
      </c>
    </row>
    <row r="73" spans="22:22" x14ac:dyDescent="0.2">
      <c r="V73" s="381">
        <v>1.42</v>
      </c>
    </row>
    <row r="74" spans="22:22" x14ac:dyDescent="0.2">
      <c r="V74" s="381">
        <v>1.44</v>
      </c>
    </row>
    <row r="75" spans="22:22" x14ac:dyDescent="0.2">
      <c r="V75" s="381">
        <v>1.46</v>
      </c>
    </row>
    <row r="76" spans="22:22" x14ac:dyDescent="0.2">
      <c r="V76" s="381">
        <v>1.48</v>
      </c>
    </row>
    <row r="77" spans="22:22" x14ac:dyDescent="0.2">
      <c r="V77" s="381">
        <v>1.5</v>
      </c>
    </row>
    <row r="78" spans="22:22" x14ac:dyDescent="0.2">
      <c r="V78" s="381">
        <v>1.52</v>
      </c>
    </row>
    <row r="79" spans="22:22" x14ac:dyDescent="0.2">
      <c r="V79" s="381">
        <v>1.54</v>
      </c>
    </row>
    <row r="80" spans="22:22" x14ac:dyDescent="0.2">
      <c r="V80" s="381">
        <v>1.56</v>
      </c>
    </row>
    <row r="81" spans="22:22" x14ac:dyDescent="0.2">
      <c r="V81" s="381">
        <v>1.58</v>
      </c>
    </row>
    <row r="82" spans="22:22" x14ac:dyDescent="0.2">
      <c r="V82" s="381">
        <v>1.6</v>
      </c>
    </row>
  </sheetData>
  <mergeCells count="29">
    <mergeCell ref="D3:F3"/>
    <mergeCell ref="Q12:Q15"/>
    <mergeCell ref="P10:Q10"/>
    <mergeCell ref="L16:Q16"/>
    <mergeCell ref="L10:M10"/>
    <mergeCell ref="N10:O10"/>
    <mergeCell ref="N12:N15"/>
    <mergeCell ref="P12:P15"/>
    <mergeCell ref="G9:J10"/>
    <mergeCell ref="L9:Q9"/>
    <mergeCell ref="H3:I6"/>
    <mergeCell ref="D41:F41"/>
    <mergeCell ref="D44:F44"/>
    <mergeCell ref="D35:H35"/>
    <mergeCell ref="H37:N37"/>
    <mergeCell ref="D24:F24"/>
    <mergeCell ref="G30:H30"/>
    <mergeCell ref="D39:F39"/>
    <mergeCell ref="D42:F42"/>
    <mergeCell ref="D20:F20"/>
    <mergeCell ref="D26:F26"/>
    <mergeCell ref="D27:F27"/>
    <mergeCell ref="D28:J28"/>
    <mergeCell ref="O12:O15"/>
    <mergeCell ref="L12:L15"/>
    <mergeCell ref="M12:M15"/>
    <mergeCell ref="D16:J16"/>
    <mergeCell ref="G17:J17"/>
    <mergeCell ref="D19:F19"/>
  </mergeCells>
  <conditionalFormatting sqref="H3:I6">
    <cfRule type="expression" dxfId="61" priority="1">
      <formula>OR(AND($G$12="ok",$G$13="ok",$G$14="ok",$G$15="ok",$H$12="ok",$I$12="ok",$L$12&lt;&gt;"Not met"), AND($I$12="ok",$J$12="ok",$J$13="ok",$J$14="ok",$J$15="ok",$L$12&lt;&gt;"Not met"))</formula>
    </cfRule>
  </conditionalFormatting>
  <conditionalFormatting sqref="K18:K23">
    <cfRule type="expression" dxfId="60" priority="14">
      <formula>$F$5=4</formula>
    </cfRule>
  </conditionalFormatting>
  <conditionalFormatting sqref="K18:N23">
    <cfRule type="expression" dxfId="59" priority="12">
      <formula>$F$5=4</formula>
    </cfRule>
  </conditionalFormatting>
  <conditionalFormatting sqref="L18:N20 N21:N23">
    <cfRule type="expression" dxfId="58" priority="13">
      <formula>$F$5=4</formula>
    </cfRule>
  </conditionalFormatting>
  <conditionalFormatting sqref="L23:N23">
    <cfRule type="expression" dxfId="57" priority="4">
      <formula>$F$5=4</formula>
    </cfRule>
  </conditionalFormatting>
  <dataValidations count="2">
    <dataValidation type="list" allowBlank="1" showInputMessage="1" showErrorMessage="1" sqref="F6" xr:uid="{F61BD574-77F9-4796-8E1C-77E13D9FBD50}">
      <formula1>$V$2:$V$82</formula1>
    </dataValidation>
    <dataValidation type="list" allowBlank="1" showInputMessage="1" showErrorMessage="1" sqref="F5" xr:uid="{57C26B26-5D73-4443-A852-56F6CC793179}">
      <formula1>$U$2:$U$3</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theme="8" tint="0.39997558519241921"/>
  </sheetPr>
  <dimension ref="A1:BB77"/>
  <sheetViews>
    <sheetView zoomScale="115" zoomScaleNormal="115" workbookViewId="0">
      <selection activeCell="B21" sqref="B21"/>
    </sheetView>
  </sheetViews>
  <sheetFormatPr defaultColWidth="8.85546875" defaultRowHeight="12.75" x14ac:dyDescent="0.2"/>
  <cols>
    <col min="1" max="1" width="8.7109375" style="137" customWidth="1"/>
    <col min="2" max="2" width="58.42578125" style="137" customWidth="1"/>
    <col min="3" max="6" width="8.7109375" style="137" customWidth="1"/>
    <col min="7" max="16384" width="8.85546875" style="137"/>
  </cols>
  <sheetData>
    <row r="1" spans="1:54" s="60" customFormat="1" ht="24.75" customHeight="1" x14ac:dyDescent="0.2">
      <c r="B1" s="130"/>
    </row>
    <row r="2" spans="1:54" s="60" customFormat="1" ht="11.25" customHeight="1" x14ac:dyDescent="0.2">
      <c r="B2" s="131"/>
    </row>
    <row r="3" spans="1:54" s="60" customFormat="1" ht="11.25" customHeight="1" x14ac:dyDescent="0.2">
      <c r="B3" s="132" t="s">
        <v>15</v>
      </c>
      <c r="C3" s="133" t="s">
        <v>163</v>
      </c>
    </row>
    <row r="4" spans="1:54" s="60" customFormat="1" ht="11.25" customHeight="1" x14ac:dyDescent="0.2">
      <c r="B4" s="134"/>
      <c r="C4" s="23"/>
    </row>
    <row r="5" spans="1:54" s="60" customFormat="1" ht="11.25" customHeight="1" x14ac:dyDescent="0.2">
      <c r="B5" s="135" t="s">
        <v>171</v>
      </c>
      <c r="C5" s="23">
        <v>2024</v>
      </c>
    </row>
    <row r="6" spans="1:54" x14ac:dyDescent="0.2">
      <c r="A6" s="60"/>
      <c r="B6" s="136" t="s">
        <v>44</v>
      </c>
      <c r="C6" s="282">
        <f>C5+'Criteria results'!$F$5</f>
        <v>2031</v>
      </c>
    </row>
    <row r="8" spans="1:54" s="138" customFormat="1" ht="12" customHeight="1" x14ac:dyDescent="0.2">
      <c r="B8" s="139" t="s">
        <v>45</v>
      </c>
      <c r="C8" s="140"/>
      <c r="D8" s="140"/>
      <c r="E8" s="140"/>
      <c r="F8" s="140"/>
      <c r="G8" s="140"/>
      <c r="H8" s="140"/>
      <c r="I8" s="140"/>
      <c r="J8" s="140"/>
      <c r="K8" s="140"/>
      <c r="L8" s="140"/>
      <c r="M8" s="140"/>
      <c r="N8" s="140"/>
      <c r="O8" s="140"/>
    </row>
    <row r="9" spans="1:54" x14ac:dyDescent="0.2">
      <c r="B9" s="60"/>
      <c r="C9" s="141">
        <v>2021</v>
      </c>
      <c r="D9" s="141">
        <v>2022</v>
      </c>
      <c r="E9" s="141">
        <v>2023</v>
      </c>
      <c r="F9" s="141">
        <v>2024</v>
      </c>
      <c r="G9" s="141">
        <v>2025</v>
      </c>
      <c r="H9" s="141">
        <v>2026</v>
      </c>
      <c r="I9" s="141">
        <v>2027</v>
      </c>
      <c r="J9" s="141">
        <v>2028</v>
      </c>
      <c r="K9" s="141">
        <v>2029</v>
      </c>
      <c r="L9" s="141">
        <v>2030</v>
      </c>
      <c r="M9" s="141">
        <v>2031</v>
      </c>
      <c r="N9" s="141">
        <v>2032</v>
      </c>
      <c r="O9" s="141">
        <v>2033</v>
      </c>
      <c r="P9" s="141">
        <v>2034</v>
      </c>
      <c r="Q9" s="141">
        <v>2035</v>
      </c>
      <c r="R9" s="141">
        <v>2036</v>
      </c>
      <c r="S9" s="141">
        <v>2037</v>
      </c>
      <c r="T9" s="141">
        <v>2038</v>
      </c>
      <c r="U9" s="141">
        <v>2039</v>
      </c>
      <c r="V9" s="141">
        <v>2040</v>
      </c>
      <c r="W9" s="141">
        <v>2041</v>
      </c>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row>
    <row r="10" spans="1:54" s="142" customFormat="1" x14ac:dyDescent="0.2">
      <c r="B10" s="143" t="s">
        <v>46</v>
      </c>
      <c r="C10" s="144"/>
      <c r="D10" s="144"/>
      <c r="E10" s="144"/>
      <c r="F10" s="144"/>
      <c r="G10" s="144"/>
      <c r="H10" s="144"/>
      <c r="I10" s="144"/>
      <c r="J10" s="144"/>
      <c r="K10" s="144"/>
      <c r="L10" s="144"/>
      <c r="M10" s="144"/>
      <c r="N10" s="144"/>
      <c r="O10" s="144"/>
    </row>
    <row r="11" spans="1:54" ht="13.5" thickBot="1" x14ac:dyDescent="0.25">
      <c r="B11" s="145" t="s">
        <v>288</v>
      </c>
      <c r="C11" s="146"/>
      <c r="D11" s="146"/>
      <c r="E11" s="146"/>
      <c r="F11" s="146"/>
      <c r="G11" s="146"/>
      <c r="H11" s="146"/>
      <c r="I11" s="146"/>
      <c r="J11" s="146"/>
      <c r="K11" s="146"/>
      <c r="L11" s="146"/>
      <c r="M11" s="146"/>
      <c r="N11" s="146"/>
      <c r="O11" s="146"/>
    </row>
    <row r="12" spans="1:54" ht="13.5" thickBot="1" x14ac:dyDescent="0.25">
      <c r="A12" s="60"/>
      <c r="B12" s="60" t="s">
        <v>43</v>
      </c>
      <c r="C12" s="59">
        <v>72.584819999999993</v>
      </c>
      <c r="D12" s="147">
        <v>73.511600000000001</v>
      </c>
      <c r="E12" s="422">
        <v>76.599997046998567</v>
      </c>
      <c r="F12" s="424">
        <v>81.705051830792968</v>
      </c>
      <c r="G12" s="59" t="s">
        <v>47</v>
      </c>
      <c r="H12" s="59" t="s">
        <v>47</v>
      </c>
      <c r="I12" s="59" t="s">
        <v>47</v>
      </c>
      <c r="J12" s="59" t="s">
        <v>47</v>
      </c>
      <c r="K12" s="59" t="s">
        <v>47</v>
      </c>
      <c r="L12" s="59" t="s">
        <v>47</v>
      </c>
      <c r="M12" s="59" t="s">
        <v>47</v>
      </c>
      <c r="N12" s="59" t="s">
        <v>47</v>
      </c>
      <c r="O12" s="59" t="s">
        <v>47</v>
      </c>
    </row>
    <row r="13" spans="1:54" ht="13.5" thickBot="1" x14ac:dyDescent="0.25">
      <c r="A13" s="60"/>
      <c r="B13" s="60" t="s">
        <v>48</v>
      </c>
      <c r="C13" s="59">
        <v>-2.1345519999999998</v>
      </c>
      <c r="D13" s="147">
        <v>0.29205680000000001</v>
      </c>
      <c r="E13" s="422">
        <v>-0.3391101166058319</v>
      </c>
      <c r="F13" s="424">
        <v>-0.3744433445451063</v>
      </c>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row>
    <row r="14" spans="1:54" ht="13.5" thickBot="1" x14ac:dyDescent="0.25">
      <c r="A14" s="60"/>
      <c r="B14" s="60" t="s">
        <v>49</v>
      </c>
      <c r="C14" s="59">
        <v>0</v>
      </c>
      <c r="D14" s="147">
        <v>0</v>
      </c>
      <c r="E14" s="147">
        <v>0</v>
      </c>
      <c r="F14" s="147">
        <v>0</v>
      </c>
      <c r="G14" s="147">
        <v>0</v>
      </c>
      <c r="H14" s="147">
        <v>0</v>
      </c>
      <c r="I14" s="147">
        <v>0</v>
      </c>
      <c r="J14" s="147">
        <v>0</v>
      </c>
      <c r="K14" s="147">
        <v>0</v>
      </c>
      <c r="L14" s="147">
        <v>0</v>
      </c>
      <c r="M14" s="147">
        <v>0</v>
      </c>
      <c r="N14" s="147">
        <v>0</v>
      </c>
      <c r="O14" s="147">
        <v>0</v>
      </c>
      <c r="P14" s="147">
        <v>0</v>
      </c>
      <c r="Q14" s="147">
        <v>0</v>
      </c>
      <c r="R14" s="147">
        <v>0</v>
      </c>
      <c r="S14" s="147">
        <v>0</v>
      </c>
      <c r="T14" s="147">
        <v>0</v>
      </c>
      <c r="U14" s="147">
        <v>0</v>
      </c>
      <c r="V14" s="147">
        <v>0</v>
      </c>
      <c r="W14" s="147">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row>
    <row r="15" spans="1:54" x14ac:dyDescent="0.2">
      <c r="A15" s="60"/>
      <c r="B15" s="60" t="s">
        <v>50</v>
      </c>
      <c r="C15" s="59">
        <v>-1.1351690000000001</v>
      </c>
      <c r="D15" s="147">
        <v>5.1764349999999997</v>
      </c>
      <c r="E15" s="413">
        <v>2.1420457294413482</v>
      </c>
      <c r="F15" s="414">
        <v>2.543156615765406</v>
      </c>
      <c r="G15" s="414">
        <v>1.2833361388111759</v>
      </c>
      <c r="H15" s="414">
        <v>1.726862012716794</v>
      </c>
      <c r="I15" s="414">
        <v>1.4444254457205716</v>
      </c>
      <c r="J15" s="414">
        <v>1.3768241518246929</v>
      </c>
      <c r="K15" s="414">
        <v>1.0241608740131771</v>
      </c>
      <c r="L15" s="415">
        <v>1.0623847406019649</v>
      </c>
      <c r="M15" s="147">
        <v>1.5229809999999999</v>
      </c>
      <c r="N15" s="147">
        <v>1.526135</v>
      </c>
      <c r="O15" s="147">
        <v>1.3735219999999999</v>
      </c>
      <c r="P15" s="147">
        <v>1.2209080000000001</v>
      </c>
      <c r="Q15" s="147">
        <v>1.068295</v>
      </c>
      <c r="R15" s="147">
        <v>0.91568099999999997</v>
      </c>
      <c r="S15" s="147">
        <v>0.76306750000000001</v>
      </c>
      <c r="T15" s="147">
        <v>0.61045400000000005</v>
      </c>
      <c r="U15" s="147">
        <v>0.45784049999999998</v>
      </c>
      <c r="V15" s="147">
        <v>0.30522700000000003</v>
      </c>
      <c r="W15" s="147">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row>
    <row r="16" spans="1:54" ht="13.5" thickBot="1" x14ac:dyDescent="0.25">
      <c r="A16" s="60"/>
      <c r="B16" s="60" t="s">
        <v>51</v>
      </c>
      <c r="C16" s="59">
        <v>-1.1932039999999999</v>
      </c>
      <c r="D16" s="147">
        <v>5.1764349999999997</v>
      </c>
      <c r="E16" s="416">
        <v>2.1420457294413482</v>
      </c>
      <c r="F16" s="417">
        <v>2.543156615765406</v>
      </c>
      <c r="G16" s="417">
        <v>1.2833361388111759</v>
      </c>
      <c r="H16" s="417">
        <v>1.726862012716794</v>
      </c>
      <c r="I16" s="417">
        <v>1.4444254457205716</v>
      </c>
      <c r="J16" s="417">
        <v>1.3768241518246929</v>
      </c>
      <c r="K16" s="417">
        <v>1.0241608740131771</v>
      </c>
      <c r="L16" s="418">
        <v>1.0623847406019649</v>
      </c>
      <c r="M16" s="147">
        <v>1.5229809999999999</v>
      </c>
      <c r="N16" s="147">
        <v>1.526135</v>
      </c>
      <c r="O16" s="147">
        <v>1.3735219999999999</v>
      </c>
      <c r="P16" s="147">
        <v>1.2209080000000001</v>
      </c>
      <c r="Q16" s="147">
        <v>1.068295</v>
      </c>
      <c r="R16" s="147">
        <v>0.91568099999999997</v>
      </c>
      <c r="S16" s="147">
        <v>0.76306750000000001</v>
      </c>
      <c r="T16" s="147">
        <v>0.61045400000000005</v>
      </c>
      <c r="U16" s="147">
        <v>0.45784049999999998</v>
      </c>
      <c r="V16" s="147">
        <v>0.30522700000000003</v>
      </c>
      <c r="W16" s="147">
        <v>0.15261350000000001</v>
      </c>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row>
    <row r="17" spans="1:54" x14ac:dyDescent="0.2">
      <c r="A17" s="60"/>
      <c r="B17" s="359" t="s">
        <v>287</v>
      </c>
      <c r="C17" s="59"/>
      <c r="D17" s="361">
        <v>0</v>
      </c>
      <c r="E17" s="361">
        <v>0</v>
      </c>
      <c r="F17" s="361">
        <v>0</v>
      </c>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row>
    <row r="18" spans="1:54" x14ac:dyDescent="0.2">
      <c r="A18" s="60"/>
      <c r="B18" s="60"/>
      <c r="C18" s="59"/>
      <c r="D18" s="59"/>
      <c r="E18" s="59"/>
      <c r="F18" s="59"/>
      <c r="G18" s="59"/>
      <c r="H18" s="59"/>
      <c r="I18" s="59"/>
      <c r="J18" s="59"/>
      <c r="K18" s="59"/>
      <c r="L18" s="59"/>
      <c r="M18" s="59"/>
      <c r="N18" s="59"/>
      <c r="O18" s="59"/>
    </row>
    <row r="19" spans="1:54" x14ac:dyDescent="0.2">
      <c r="A19" s="60"/>
      <c r="B19" s="145" t="s">
        <v>271</v>
      </c>
      <c r="C19" s="59"/>
      <c r="D19" s="59"/>
      <c r="E19" s="59"/>
      <c r="F19" s="59"/>
      <c r="G19" s="59"/>
      <c r="H19" s="59"/>
      <c r="I19" s="59"/>
      <c r="J19" s="59"/>
      <c r="K19" s="59"/>
      <c r="L19" s="59"/>
      <c r="M19" s="59"/>
      <c r="N19" s="59"/>
      <c r="O19" s="59"/>
    </row>
    <row r="20" spans="1:54" x14ac:dyDescent="0.2">
      <c r="A20" s="60"/>
      <c r="B20" s="60" t="s">
        <v>52</v>
      </c>
      <c r="C20" s="59">
        <f t="shared" ref="C20:T20" si="0">(C21+C22+C23+C24-C25)</f>
        <v>0</v>
      </c>
      <c r="D20" s="148">
        <f t="shared" si="0"/>
        <v>23.655849999999997</v>
      </c>
      <c r="E20" s="148">
        <f t="shared" si="0"/>
        <v>23.83699</v>
      </c>
      <c r="F20" s="148">
        <f t="shared" si="0"/>
        <v>23.96105</v>
      </c>
      <c r="G20" s="148">
        <f t="shared" si="0"/>
        <v>23.911249999999999</v>
      </c>
      <c r="H20" s="148">
        <f t="shared" si="0"/>
        <v>23.909049999999997</v>
      </c>
      <c r="I20" s="148">
        <f t="shared" si="0"/>
        <v>23.948919999999998</v>
      </c>
      <c r="J20" s="148">
        <f t="shared" si="0"/>
        <v>24.046380000000003</v>
      </c>
      <c r="K20" s="148">
        <f t="shared" si="0"/>
        <v>24.15964</v>
      </c>
      <c r="L20" s="148">
        <f t="shared" si="0"/>
        <v>24.232299999999999</v>
      </c>
      <c r="M20" s="148">
        <f t="shared" si="0"/>
        <v>24.288240000000002</v>
      </c>
      <c r="N20" s="148">
        <f t="shared" si="0"/>
        <v>24.322410000000001</v>
      </c>
      <c r="O20" s="148">
        <f t="shared" si="0"/>
        <v>24.319019999999998</v>
      </c>
      <c r="P20" s="148">
        <f t="shared" si="0"/>
        <v>24.31607</v>
      </c>
      <c r="Q20" s="148">
        <f t="shared" si="0"/>
        <v>24.304599999999997</v>
      </c>
      <c r="R20" s="148">
        <f t="shared" si="0"/>
        <v>24.277160000000002</v>
      </c>
      <c r="S20" s="148">
        <f t="shared" si="0"/>
        <v>24.230790000000002</v>
      </c>
      <c r="T20" s="148">
        <f t="shared" si="0"/>
        <v>24.168680000000002</v>
      </c>
      <c r="U20" s="148">
        <f>(U21+U22+U23+U24-U25)</f>
        <v>24.092350000000003</v>
      </c>
      <c r="V20" s="148">
        <f>(V21+V22+V23+V24-V25)</f>
        <v>24.017060000000001</v>
      </c>
      <c r="W20" s="148">
        <f>(W21+W22+W23+W24-W25)</f>
        <v>23.958480000000002</v>
      </c>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row>
    <row r="21" spans="1:54" x14ac:dyDescent="0.2">
      <c r="A21" s="60"/>
      <c r="B21" s="149" t="s">
        <v>53</v>
      </c>
      <c r="C21" s="59">
        <v>0</v>
      </c>
      <c r="D21" s="148">
        <v>12.75253</v>
      </c>
      <c r="E21" s="148">
        <v>13.051629999999999</v>
      </c>
      <c r="F21" s="148">
        <v>13.265540000000001</v>
      </c>
      <c r="G21" s="148">
        <v>13.18962</v>
      </c>
      <c r="H21" s="148">
        <v>13.142029999999998</v>
      </c>
      <c r="I21" s="148">
        <v>13.11401</v>
      </c>
      <c r="J21" s="148">
        <v>13.178880000000001</v>
      </c>
      <c r="K21" s="148">
        <v>13.25747</v>
      </c>
      <c r="L21" s="148">
        <v>13.29903</v>
      </c>
      <c r="M21" s="148">
        <v>13.31495</v>
      </c>
      <c r="N21" s="148">
        <v>13.304360000000001</v>
      </c>
      <c r="O21" s="148">
        <v>13.2629</v>
      </c>
      <c r="P21" s="148">
        <v>13.217840000000001</v>
      </c>
      <c r="Q21" s="148">
        <v>13.158149999999999</v>
      </c>
      <c r="R21" s="148">
        <v>13.081250000000001</v>
      </c>
      <c r="S21" s="148">
        <v>12.982460000000001</v>
      </c>
      <c r="T21" s="148">
        <v>12.873180000000001</v>
      </c>
      <c r="U21" s="148">
        <v>12.750959999999999</v>
      </c>
      <c r="V21" s="148">
        <v>12.636140000000001</v>
      </c>
      <c r="W21" s="148">
        <v>12.55068</v>
      </c>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row>
    <row r="22" spans="1:54" x14ac:dyDescent="0.2">
      <c r="A22" s="60"/>
      <c r="B22" s="150" t="s">
        <v>54</v>
      </c>
      <c r="C22" s="59">
        <v>0</v>
      </c>
      <c r="D22" s="148">
        <v>6.2264300000000006</v>
      </c>
      <c r="E22" s="148">
        <v>6.2125199999999996</v>
      </c>
      <c r="F22" s="148">
        <v>6.2122099999999998</v>
      </c>
      <c r="G22" s="148">
        <v>6.24024</v>
      </c>
      <c r="H22" s="148">
        <v>6.2697900000000004</v>
      </c>
      <c r="I22" s="148">
        <v>6.30023</v>
      </c>
      <c r="J22" s="148">
        <v>6.3258499999999991</v>
      </c>
      <c r="K22" s="148">
        <v>6.3533200000000001</v>
      </c>
      <c r="L22" s="148">
        <v>6.3764799999999999</v>
      </c>
      <c r="M22" s="148">
        <v>6.3974199999999994</v>
      </c>
      <c r="N22" s="148">
        <v>6.4209000000000005</v>
      </c>
      <c r="O22" s="148">
        <v>6.4349299999999996</v>
      </c>
      <c r="P22" s="148">
        <v>6.44834</v>
      </c>
      <c r="Q22" s="148">
        <v>6.4629599999999998</v>
      </c>
      <c r="R22" s="148">
        <v>6.4788600000000001</v>
      </c>
      <c r="S22" s="148">
        <v>6.4963300000000004</v>
      </c>
      <c r="T22" s="148">
        <v>6.5105800000000009</v>
      </c>
      <c r="U22" s="148">
        <v>6.5257800000000001</v>
      </c>
      <c r="V22" s="148">
        <v>6.5442399999999994</v>
      </c>
      <c r="W22" s="148">
        <v>6.5568400000000002</v>
      </c>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row>
    <row r="23" spans="1:54" x14ac:dyDescent="0.2">
      <c r="A23" s="60"/>
      <c r="B23" s="150" t="s">
        <v>55</v>
      </c>
      <c r="C23" s="59">
        <v>0</v>
      </c>
      <c r="D23" s="148">
        <v>2.09605</v>
      </c>
      <c r="E23" s="148">
        <v>2.1229299999999998</v>
      </c>
      <c r="F23" s="148">
        <v>2.1484399999999999</v>
      </c>
      <c r="G23" s="148">
        <v>2.1887400000000001</v>
      </c>
      <c r="H23" s="148">
        <v>2.2475000000000001</v>
      </c>
      <c r="I23" s="148">
        <v>2.3259499999999997</v>
      </c>
      <c r="J23" s="148">
        <v>2.38679</v>
      </c>
      <c r="K23" s="148">
        <v>2.4540600000000001</v>
      </c>
      <c r="L23" s="148">
        <v>2.5214699999999999</v>
      </c>
      <c r="M23" s="148">
        <v>2.59592</v>
      </c>
      <c r="N23" s="148">
        <v>2.67021</v>
      </c>
      <c r="O23" s="148">
        <v>2.7360500000000001</v>
      </c>
      <c r="P23" s="148">
        <v>2.7967599999999999</v>
      </c>
      <c r="Q23" s="148">
        <v>2.8543799999999999</v>
      </c>
      <c r="R23" s="148">
        <v>2.9076200000000001</v>
      </c>
      <c r="S23" s="148">
        <v>2.95608</v>
      </c>
      <c r="T23" s="148">
        <v>2.99587</v>
      </c>
      <c r="U23" s="148">
        <v>3.0290600000000003</v>
      </c>
      <c r="V23" s="148">
        <v>3.0579700000000001</v>
      </c>
      <c r="W23" s="148">
        <v>3.0828700000000002</v>
      </c>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row>
    <row r="24" spans="1:54" x14ac:dyDescent="0.2">
      <c r="A24" s="60"/>
      <c r="B24" s="150" t="s">
        <v>56</v>
      </c>
      <c r="C24" s="59">
        <v>0</v>
      </c>
      <c r="D24" s="148">
        <v>5.2752499999999998</v>
      </c>
      <c r="E24" s="148">
        <v>5.2078899999999999</v>
      </c>
      <c r="F24" s="148">
        <v>5.1376900000000001</v>
      </c>
      <c r="G24" s="148">
        <v>5.0797400000000001</v>
      </c>
      <c r="H24" s="148">
        <v>5.0267200000000001</v>
      </c>
      <c r="I24" s="148">
        <v>4.9797799999999999</v>
      </c>
      <c r="J24" s="148">
        <v>4.9394800000000005</v>
      </c>
      <c r="K24" s="148">
        <v>4.8961999999999994</v>
      </c>
      <c r="L24" s="148">
        <v>4.84544</v>
      </c>
      <c r="M24" s="148">
        <v>4.79352</v>
      </c>
      <c r="N24" s="148">
        <v>4.7381199999999994</v>
      </c>
      <c r="O24" s="148">
        <v>4.6875800000000005</v>
      </c>
      <c r="P24" s="148">
        <v>4.6461000000000006</v>
      </c>
      <c r="Q24" s="148">
        <v>4.6093999999999999</v>
      </c>
      <c r="R24" s="148">
        <v>4.5734399999999997</v>
      </c>
      <c r="S24" s="148">
        <v>4.5390300000000003</v>
      </c>
      <c r="T24" s="148">
        <v>4.50922</v>
      </c>
      <c r="U24" s="148">
        <v>4.4807199999999998</v>
      </c>
      <c r="V24" s="148">
        <v>4.4487300000000003</v>
      </c>
      <c r="W24" s="148">
        <v>4.42014</v>
      </c>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row>
    <row r="25" spans="1:54" x14ac:dyDescent="0.2">
      <c r="A25" s="60"/>
      <c r="B25" s="150" t="s">
        <v>57</v>
      </c>
      <c r="C25" s="59">
        <v>0</v>
      </c>
      <c r="D25" s="148">
        <v>2.69441</v>
      </c>
      <c r="E25" s="148">
        <v>2.7579800000000003</v>
      </c>
      <c r="F25" s="148">
        <v>2.8028299999999997</v>
      </c>
      <c r="G25" s="148">
        <v>2.7870900000000001</v>
      </c>
      <c r="H25" s="148">
        <v>2.7769900000000001</v>
      </c>
      <c r="I25" s="148">
        <v>2.7710499999999998</v>
      </c>
      <c r="J25" s="148">
        <v>2.7846200000000003</v>
      </c>
      <c r="K25" s="148">
        <v>2.8014100000000002</v>
      </c>
      <c r="L25" s="148">
        <v>2.81012</v>
      </c>
      <c r="M25" s="148">
        <v>2.8135699999999999</v>
      </c>
      <c r="N25" s="148">
        <v>2.8111799999999998</v>
      </c>
      <c r="O25" s="148">
        <v>2.8024400000000003</v>
      </c>
      <c r="P25" s="148">
        <v>2.79297</v>
      </c>
      <c r="Q25" s="148">
        <v>2.7802899999999999</v>
      </c>
      <c r="R25" s="148">
        <v>2.7640099999999999</v>
      </c>
      <c r="S25" s="148">
        <v>2.7431100000000002</v>
      </c>
      <c r="T25" s="148">
        <v>2.72017</v>
      </c>
      <c r="U25" s="148">
        <v>2.6941699999999997</v>
      </c>
      <c r="V25" s="148">
        <v>2.6700200000000001</v>
      </c>
      <c r="W25" s="148">
        <v>2.65205</v>
      </c>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row>
    <row r="26" spans="1:54" x14ac:dyDescent="0.2">
      <c r="A26" s="60"/>
      <c r="B26" s="149" t="s">
        <v>58</v>
      </c>
      <c r="C26" s="59">
        <v>2.0641180000000001</v>
      </c>
      <c r="D26" s="148">
        <v>2.1110479999999998</v>
      </c>
      <c r="E26" s="148">
        <v>2.1176979999999999</v>
      </c>
      <c r="F26" s="148">
        <v>2.1243479999999999</v>
      </c>
      <c r="G26" s="148">
        <v>2.1309979999999999</v>
      </c>
      <c r="H26" s="148">
        <v>2.137648</v>
      </c>
      <c r="I26" s="148">
        <v>2.1442990000000002</v>
      </c>
      <c r="J26" s="148">
        <v>2.1509490000000002</v>
      </c>
      <c r="K26" s="148">
        <v>2.1575989999999998</v>
      </c>
      <c r="L26" s="148">
        <v>2.1642489999999999</v>
      </c>
      <c r="M26" s="148">
        <v>2.1708989999999999</v>
      </c>
      <c r="N26" s="148">
        <v>2.1775500000000001</v>
      </c>
      <c r="O26" s="148">
        <v>2.1842000000000001</v>
      </c>
      <c r="P26" s="148">
        <v>2.1908500000000002</v>
      </c>
      <c r="Q26" s="148">
        <v>2.1974999999999998</v>
      </c>
      <c r="R26" s="148">
        <v>2.2041499999999998</v>
      </c>
      <c r="S26" s="148">
        <v>2.210801</v>
      </c>
      <c r="T26" s="148">
        <v>2.2174510000000001</v>
      </c>
      <c r="U26" s="148">
        <v>2.2241010000000001</v>
      </c>
      <c r="V26" s="148">
        <v>2.2307510000000002</v>
      </c>
      <c r="W26" s="148">
        <v>2.2374010000000002</v>
      </c>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row>
    <row r="27" spans="1:54" x14ac:dyDescent="0.2">
      <c r="A27" s="60"/>
      <c r="B27" s="60"/>
      <c r="C27" s="60"/>
      <c r="D27" s="60"/>
      <c r="E27" s="60"/>
      <c r="F27" s="60"/>
      <c r="G27" s="60"/>
      <c r="H27" s="60"/>
      <c r="I27" s="60"/>
      <c r="J27" s="60"/>
      <c r="K27" s="60"/>
      <c r="L27" s="60"/>
      <c r="M27" s="60"/>
      <c r="N27" s="60"/>
      <c r="O27" s="60"/>
    </row>
    <row r="28" spans="1:54" s="142" customFormat="1" x14ac:dyDescent="0.2">
      <c r="A28" s="151"/>
      <c r="B28" s="143" t="s">
        <v>243</v>
      </c>
      <c r="C28" s="151"/>
      <c r="D28" s="151"/>
      <c r="E28" s="151"/>
      <c r="F28" s="151"/>
      <c r="G28" s="151"/>
      <c r="H28" s="151"/>
      <c r="I28" s="151"/>
      <c r="J28" s="151"/>
      <c r="K28" s="151"/>
      <c r="L28" s="151"/>
      <c r="M28" s="151"/>
      <c r="N28" s="151"/>
      <c r="O28" s="151"/>
    </row>
    <row r="29" spans="1:54" ht="13.5" thickBot="1" x14ac:dyDescent="0.25">
      <c r="A29" s="60"/>
      <c r="B29" s="145" t="s">
        <v>59</v>
      </c>
      <c r="C29" s="60"/>
      <c r="D29" s="60"/>
      <c r="E29" s="60"/>
      <c r="F29" s="60"/>
      <c r="G29" s="60"/>
      <c r="H29" s="60"/>
      <c r="I29" s="60"/>
      <c r="J29" s="60"/>
      <c r="K29" s="60"/>
      <c r="L29" s="60"/>
      <c r="M29" s="60"/>
      <c r="N29" s="60"/>
      <c r="O29" s="60"/>
    </row>
    <row r="30" spans="1:54" ht="13.5" thickBot="1" x14ac:dyDescent="0.25">
      <c r="A30" s="60"/>
      <c r="B30" s="60" t="s">
        <v>60</v>
      </c>
      <c r="C30" s="58">
        <v>2.8381799999999999</v>
      </c>
      <c r="D30" s="403">
        <v>1.335467</v>
      </c>
      <c r="E30" s="409">
        <v>-1.1595058938339342</v>
      </c>
      <c r="F30" s="410">
        <v>-0.22177088705733761</v>
      </c>
      <c r="G30" s="410">
        <v>1.8351999999999999</v>
      </c>
      <c r="H30" s="410">
        <v>1.8351999999999924</v>
      </c>
      <c r="I30" s="410">
        <v>1.8351999999999924</v>
      </c>
      <c r="J30" s="410">
        <v>1.8351999999999924</v>
      </c>
      <c r="K30" s="410">
        <v>0.93510000000001092</v>
      </c>
      <c r="L30" s="410">
        <v>0.93508997222222501</v>
      </c>
      <c r="M30" s="410">
        <v>0.93508697222222104</v>
      </c>
      <c r="N30" s="410">
        <v>0.93508687222221276</v>
      </c>
      <c r="O30" s="410">
        <v>0.93508597222222711</v>
      </c>
      <c r="P30" s="411">
        <v>0.93508937222221977</v>
      </c>
      <c r="Q30" s="411">
        <v>0.93508447222221402</v>
      </c>
      <c r="R30" s="411">
        <v>0.93508647222222407</v>
      </c>
      <c r="S30" s="411">
        <v>0.9350834722222201</v>
      </c>
      <c r="T30" s="411">
        <v>0.93508947222222805</v>
      </c>
      <c r="U30" s="411">
        <v>0.93508647222222407</v>
      </c>
      <c r="V30" s="411">
        <v>0.93509147222221589</v>
      </c>
      <c r="W30" s="412">
        <v>0.93508847222221192</v>
      </c>
      <c r="X30" s="152"/>
      <c r="Y30" s="152"/>
      <c r="Z30" s="152"/>
      <c r="AA30" s="152"/>
      <c r="AB30" s="152"/>
      <c r="AC30" s="152"/>
      <c r="AD30" s="152"/>
      <c r="AE30" s="152"/>
      <c r="AF30" s="152"/>
      <c r="AG30" s="152"/>
      <c r="AH30" s="152"/>
      <c r="AI30" s="152"/>
      <c r="AJ30" s="152"/>
      <c r="AK30" s="152"/>
      <c r="AL30" s="152"/>
      <c r="AM30" s="152"/>
      <c r="AN30" s="152"/>
      <c r="AO30" s="152"/>
      <c r="AP30" s="152"/>
      <c r="AQ30" s="152"/>
      <c r="AR30" s="152"/>
      <c r="AS30" s="152"/>
      <c r="AT30" s="152"/>
      <c r="AU30" s="152"/>
      <c r="AV30" s="152"/>
      <c r="AW30" s="152"/>
      <c r="AX30" s="152"/>
      <c r="AY30" s="152"/>
      <c r="AZ30" s="152"/>
      <c r="BA30" s="152"/>
      <c r="BB30" s="152"/>
    </row>
    <row r="31" spans="1:54" x14ac:dyDescent="0.2">
      <c r="A31" s="60"/>
      <c r="B31" s="296" t="s">
        <v>201</v>
      </c>
      <c r="C31" s="152">
        <v>230.55600000000001</v>
      </c>
    </row>
    <row r="32" spans="1:54" ht="13.5" thickBot="1" x14ac:dyDescent="0.25">
      <c r="A32" s="60"/>
      <c r="B32" s="145" t="s">
        <v>62</v>
      </c>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row>
    <row r="33" spans="1:54" ht="13.5" thickBot="1" x14ac:dyDescent="0.25">
      <c r="A33" s="60"/>
      <c r="B33" s="60" t="s">
        <v>60</v>
      </c>
      <c r="C33" s="152">
        <v>0.68060670000000001</v>
      </c>
      <c r="D33" s="153">
        <v>1.2226809999999999</v>
      </c>
      <c r="E33" s="419">
        <v>1.0916300000000001</v>
      </c>
      <c r="F33" s="420">
        <v>0.93510000000000004</v>
      </c>
      <c r="G33" s="420">
        <v>0.93510000000000004</v>
      </c>
      <c r="H33" s="420">
        <v>0.93510000000000004</v>
      </c>
      <c r="I33" s="420">
        <v>0.93510000000000004</v>
      </c>
      <c r="J33" s="420">
        <v>0.93510000000000004</v>
      </c>
      <c r="K33" s="420">
        <v>0.93510000000000004</v>
      </c>
      <c r="L33" s="420">
        <v>0.93510000000000004</v>
      </c>
      <c r="M33" s="420">
        <v>0.93510000000000004</v>
      </c>
      <c r="N33" s="420">
        <v>0.93510000000000004</v>
      </c>
      <c r="O33" s="420">
        <v>0.93510000000000004</v>
      </c>
      <c r="P33" s="411">
        <v>0.93510000000000004</v>
      </c>
      <c r="Q33" s="411">
        <v>0.93510000000000004</v>
      </c>
      <c r="R33" s="411">
        <v>0.93510000000000004</v>
      </c>
      <c r="S33" s="411">
        <v>0.93510000000000004</v>
      </c>
      <c r="T33" s="411">
        <v>0.93510000000000004</v>
      </c>
      <c r="U33" s="411">
        <v>0.93510000000000004</v>
      </c>
      <c r="V33" s="411">
        <v>0.93510000000000004</v>
      </c>
      <c r="W33" s="412">
        <v>0.93510000000000004</v>
      </c>
      <c r="X33" s="152"/>
      <c r="Y33" s="152"/>
      <c r="Z33" s="152"/>
      <c r="AA33" s="152"/>
      <c r="AB33" s="152"/>
      <c r="AC33" s="152"/>
      <c r="AD33" s="152"/>
      <c r="AE33" s="152"/>
      <c r="AF33" s="152"/>
      <c r="AG33" s="152"/>
      <c r="AH33" s="152"/>
      <c r="AI33" s="152"/>
      <c r="AJ33" s="152"/>
      <c r="AK33" s="152"/>
      <c r="AL33" s="152"/>
      <c r="AM33" s="152"/>
      <c r="AN33" s="152"/>
      <c r="AO33" s="152"/>
      <c r="AP33" s="152"/>
      <c r="AQ33" s="152"/>
      <c r="AR33" s="152"/>
      <c r="AS33" s="152"/>
      <c r="AT33" s="152"/>
      <c r="AU33" s="152"/>
      <c r="AV33" s="152"/>
      <c r="AW33" s="152"/>
      <c r="AX33" s="152"/>
      <c r="AY33" s="152"/>
      <c r="AZ33" s="152"/>
      <c r="BA33" s="152"/>
      <c r="BB33" s="152"/>
    </row>
    <row r="34" spans="1:54" x14ac:dyDescent="0.2">
      <c r="A34" s="60"/>
      <c r="B34" s="296" t="s">
        <v>201</v>
      </c>
      <c r="C34" s="152">
        <v>231.15090000000001</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row>
    <row r="35" spans="1:54" x14ac:dyDescent="0.2">
      <c r="A35" s="60"/>
      <c r="B35" s="296"/>
      <c r="C35" s="152"/>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row>
    <row r="36" spans="1:54" s="142" customFormat="1" x14ac:dyDescent="0.2">
      <c r="A36" s="151"/>
      <c r="B36" s="143" t="s">
        <v>255</v>
      </c>
      <c r="C36" s="151"/>
      <c r="D36" s="151"/>
      <c r="E36" s="151"/>
      <c r="F36" s="151"/>
      <c r="G36" s="151"/>
      <c r="H36" s="151"/>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row>
    <row r="37" spans="1:54" x14ac:dyDescent="0.2">
      <c r="A37" s="60"/>
      <c r="B37" s="60" t="s">
        <v>63</v>
      </c>
      <c r="C37" s="59">
        <v>0.73297140000000005</v>
      </c>
      <c r="D37" s="147">
        <v>0.83926920000000005</v>
      </c>
      <c r="E37" s="147">
        <v>1.5804370000000001</v>
      </c>
      <c r="F37" s="147">
        <v>1.6625099999999999</v>
      </c>
      <c r="G37" s="147">
        <v>1.8895660000000001</v>
      </c>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row>
    <row r="38" spans="1:54" x14ac:dyDescent="0.2">
      <c r="A38" s="60"/>
      <c r="B38" s="149" t="s">
        <v>64</v>
      </c>
      <c r="D38" s="147">
        <v>0.35</v>
      </c>
      <c r="E38" s="147">
        <v>3.43</v>
      </c>
      <c r="F38" s="284">
        <v>3.5642079999999998</v>
      </c>
      <c r="G38" s="285">
        <v>2.8163749999999999</v>
      </c>
      <c r="H38" s="59"/>
    </row>
    <row r="39" spans="1:54" x14ac:dyDescent="0.2">
      <c r="A39" s="60"/>
      <c r="B39" s="149" t="s">
        <v>65</v>
      </c>
      <c r="D39" s="147">
        <v>1.69</v>
      </c>
      <c r="E39" s="147">
        <v>3.04</v>
      </c>
      <c r="F39" s="286">
        <v>2.9418000000000002</v>
      </c>
      <c r="G39" s="287">
        <v>3.0140359999999999</v>
      </c>
      <c r="H39" s="59"/>
    </row>
    <row r="40" spans="1:54" x14ac:dyDescent="0.2">
      <c r="A40" s="60"/>
      <c r="B40" s="150"/>
      <c r="C40" s="59"/>
      <c r="D40" s="59"/>
      <c r="E40" s="154"/>
      <c r="F40" s="283" t="s">
        <v>71</v>
      </c>
      <c r="G40" s="154"/>
      <c r="H40" s="154"/>
      <c r="I40" s="154"/>
      <c r="J40" s="154"/>
      <c r="K40" s="154"/>
      <c r="L40" s="154"/>
      <c r="M40" s="154"/>
      <c r="N40" s="154"/>
      <c r="O40" s="154"/>
      <c r="P40" s="154"/>
      <c r="Q40" s="154"/>
      <c r="R40" s="154"/>
      <c r="S40" s="154"/>
      <c r="T40" s="154"/>
      <c r="U40" s="154"/>
      <c r="V40" s="154"/>
      <c r="W40" s="154"/>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row>
    <row r="41" spans="1:54" s="142" customFormat="1" ht="13.5" thickBot="1" x14ac:dyDescent="0.25">
      <c r="A41" s="151"/>
      <c r="B41" s="155" t="s">
        <v>256</v>
      </c>
      <c r="C41" s="156"/>
      <c r="D41" s="156"/>
      <c r="E41" s="59"/>
      <c r="F41" s="59"/>
      <c r="G41" s="421"/>
      <c r="H41" s="157"/>
      <c r="I41" s="157"/>
      <c r="J41" s="157"/>
      <c r="K41" s="157"/>
      <c r="L41" s="157"/>
      <c r="M41" s="157"/>
      <c r="N41" s="157"/>
      <c r="O41" s="157"/>
      <c r="P41" s="157"/>
      <c r="Q41" s="157"/>
      <c r="R41" s="157"/>
      <c r="S41" s="157"/>
      <c r="T41" s="157"/>
      <c r="U41" s="157"/>
      <c r="V41" s="157"/>
      <c r="W41" s="157"/>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row>
    <row r="42" spans="1:54" ht="13.5" thickBot="1" x14ac:dyDescent="0.25">
      <c r="A42" s="60"/>
      <c r="B42" s="60" t="s">
        <v>66</v>
      </c>
      <c r="C42" s="59">
        <v>2.397958</v>
      </c>
      <c r="D42" s="147">
        <v>5.3837979999999996</v>
      </c>
      <c r="E42" s="422">
        <v>3.9011728023607306</v>
      </c>
      <c r="F42" s="423">
        <v>1.6905743485635893</v>
      </c>
      <c r="G42" s="424">
        <v>2.1354755393935054</v>
      </c>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row>
    <row r="43" spans="1:54" x14ac:dyDescent="0.2">
      <c r="A43" s="60"/>
    </row>
    <row r="44" spans="1:54" s="142" customFormat="1" x14ac:dyDescent="0.2">
      <c r="A44" s="151"/>
      <c r="B44" s="155" t="s">
        <v>257</v>
      </c>
      <c r="C44" s="156"/>
      <c r="D44" s="156"/>
      <c r="E44" s="156"/>
      <c r="F44" s="156"/>
      <c r="G44" s="157"/>
      <c r="H44" s="157"/>
      <c r="I44" s="157"/>
      <c r="J44" s="157"/>
      <c r="K44" s="157"/>
      <c r="L44" s="157"/>
      <c r="M44" s="157"/>
      <c r="N44" s="157"/>
      <c r="O44" s="157"/>
      <c r="P44" s="157"/>
      <c r="Q44" s="157"/>
      <c r="R44" s="157"/>
      <c r="S44" s="157"/>
      <c r="T44" s="157"/>
      <c r="U44" s="157"/>
      <c r="V44" s="157"/>
      <c r="W44" s="157"/>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row>
    <row r="45" spans="1:54" x14ac:dyDescent="0.2">
      <c r="A45" s="60"/>
      <c r="B45" s="60" t="s">
        <v>30</v>
      </c>
      <c r="C45" s="59">
        <v>2.9505508900764243</v>
      </c>
      <c r="D45" s="147">
        <v>5.7681103325160432</v>
      </c>
      <c r="E45" s="147">
        <v>7.4830230810080138</v>
      </c>
      <c r="F45" s="147">
        <v>3.9912900392291735</v>
      </c>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row>
    <row r="46" spans="1:54" x14ac:dyDescent="0.2">
      <c r="A46" s="60"/>
    </row>
    <row r="47" spans="1:54" s="138" customFormat="1" x14ac:dyDescent="0.2">
      <c r="A47" s="140"/>
      <c r="B47" s="139" t="s">
        <v>67</v>
      </c>
      <c r="C47" s="158"/>
      <c r="D47" s="158"/>
    </row>
    <row r="48" spans="1:54" x14ac:dyDescent="0.2">
      <c r="A48" s="60"/>
      <c r="B48" s="159"/>
      <c r="C48" s="59"/>
      <c r="D48" s="59"/>
      <c r="E48" s="297" t="s">
        <v>174</v>
      </c>
    </row>
    <row r="49" spans="1:5" x14ac:dyDescent="0.2">
      <c r="A49" s="60"/>
      <c r="B49" s="60" t="s">
        <v>68</v>
      </c>
      <c r="C49" s="63">
        <v>0.75</v>
      </c>
      <c r="D49" s="59"/>
      <c r="E49" s="60" t="s">
        <v>69</v>
      </c>
    </row>
    <row r="50" spans="1:5" x14ac:dyDescent="0.2">
      <c r="A50" s="60"/>
      <c r="B50" s="60" t="s">
        <v>258</v>
      </c>
      <c r="C50" s="59">
        <v>0.58199999999999996</v>
      </c>
      <c r="D50" s="59"/>
      <c r="E50" s="60" t="s">
        <v>70</v>
      </c>
    </row>
    <row r="51" spans="1:5" x14ac:dyDescent="0.2">
      <c r="A51" s="60"/>
      <c r="B51" s="60"/>
      <c r="C51" s="59"/>
      <c r="D51" s="59"/>
    </row>
    <row r="52" spans="1:5" x14ac:dyDescent="0.2">
      <c r="A52" s="60"/>
      <c r="B52" s="149" t="s">
        <v>247</v>
      </c>
      <c r="C52" s="160">
        <v>3.2313800000000001</v>
      </c>
      <c r="D52" s="59"/>
      <c r="E52" s="60" t="s">
        <v>71</v>
      </c>
    </row>
    <row r="53" spans="1:5" x14ac:dyDescent="0.2">
      <c r="A53" s="60"/>
      <c r="B53" s="149" t="s">
        <v>248</v>
      </c>
      <c r="C53" s="160">
        <v>2.7260900000000001</v>
      </c>
      <c r="D53" s="59"/>
      <c r="E53" s="60" t="s">
        <v>71</v>
      </c>
    </row>
    <row r="54" spans="1:5" x14ac:dyDescent="0.2">
      <c r="A54" s="60"/>
      <c r="B54" s="149" t="s">
        <v>249</v>
      </c>
      <c r="C54" s="147">
        <v>4</v>
      </c>
      <c r="D54" s="59"/>
      <c r="E54" s="60" t="s">
        <v>72</v>
      </c>
    </row>
    <row r="55" spans="1:5" x14ac:dyDescent="0.2">
      <c r="A55" s="60"/>
      <c r="B55" s="149" t="s">
        <v>250</v>
      </c>
      <c r="C55" s="147">
        <v>2</v>
      </c>
      <c r="D55" s="59"/>
      <c r="E55" s="60" t="s">
        <v>72</v>
      </c>
    </row>
    <row r="56" spans="1:5" x14ac:dyDescent="0.2">
      <c r="A56" s="60"/>
      <c r="B56" s="149"/>
      <c r="C56" s="59"/>
      <c r="D56" s="59"/>
    </row>
    <row r="57" spans="1:5" x14ac:dyDescent="0.2">
      <c r="A57" s="60"/>
      <c r="B57" s="60" t="s">
        <v>73</v>
      </c>
      <c r="C57" s="152">
        <v>0.1082933</v>
      </c>
      <c r="D57" s="196"/>
      <c r="E57" s="296" t="s">
        <v>175</v>
      </c>
    </row>
    <row r="58" spans="1:5" x14ac:dyDescent="0.2">
      <c r="A58" s="60"/>
      <c r="B58" s="60" t="s">
        <v>74</v>
      </c>
      <c r="C58" s="34">
        <f>1-C57</f>
        <v>0.89170669999999996</v>
      </c>
      <c r="E58" s="296" t="s">
        <v>175</v>
      </c>
    </row>
    <row r="59" spans="1:5" x14ac:dyDescent="0.2">
      <c r="A59" s="60"/>
      <c r="B59" s="60" t="s">
        <v>251</v>
      </c>
      <c r="C59" s="152">
        <v>3.7849389999999997E-2</v>
      </c>
      <c r="E59" s="296" t="s">
        <v>176</v>
      </c>
    </row>
    <row r="60" spans="1:5" x14ac:dyDescent="0.2">
      <c r="A60" s="60"/>
      <c r="B60" s="60"/>
      <c r="C60" s="152"/>
    </row>
    <row r="61" spans="1:5" x14ac:dyDescent="0.2">
      <c r="A61" s="60"/>
      <c r="B61" s="60" t="s">
        <v>252</v>
      </c>
      <c r="C61" s="161">
        <v>2.5499999999999998</v>
      </c>
      <c r="E61" s="60" t="s">
        <v>75</v>
      </c>
    </row>
    <row r="62" spans="1:5" x14ac:dyDescent="0.2">
      <c r="A62" s="60"/>
      <c r="B62" s="60" t="s">
        <v>253</v>
      </c>
      <c r="C62" s="152">
        <v>2</v>
      </c>
      <c r="E62" s="60" t="s">
        <v>76</v>
      </c>
    </row>
    <row r="63" spans="1:5" x14ac:dyDescent="0.2">
      <c r="A63" s="60"/>
      <c r="B63" s="60"/>
      <c r="C63" s="152"/>
      <c r="E63" s="60"/>
    </row>
    <row r="64" spans="1:5" x14ac:dyDescent="0.2">
      <c r="A64" s="60"/>
      <c r="B64" s="60" t="s">
        <v>246</v>
      </c>
      <c r="C64" s="147">
        <v>55.167771482475928</v>
      </c>
      <c r="E64" s="60" t="s">
        <v>242</v>
      </c>
    </row>
    <row r="65" spans="1:7" x14ac:dyDescent="0.2">
      <c r="A65" s="60"/>
      <c r="B65" s="60"/>
      <c r="C65" s="152"/>
      <c r="E65" s="60"/>
    </row>
    <row r="66" spans="1:7" x14ac:dyDescent="0.2">
      <c r="A66" s="60"/>
      <c r="B66" s="60" t="s">
        <v>77</v>
      </c>
      <c r="C66" s="165">
        <v>0.80328982092622114</v>
      </c>
      <c r="D66" s="1"/>
      <c r="E66" s="60" t="s">
        <v>78</v>
      </c>
    </row>
    <row r="67" spans="1:7" x14ac:dyDescent="0.2">
      <c r="A67" s="60"/>
      <c r="B67" s="295" t="s">
        <v>177</v>
      </c>
      <c r="C67" s="165">
        <v>3.4906994270292035E-2</v>
      </c>
      <c r="D67" s="1"/>
      <c r="E67" s="60" t="s">
        <v>78</v>
      </c>
    </row>
    <row r="68" spans="1:7" x14ac:dyDescent="0.2">
      <c r="A68" s="60"/>
      <c r="B68" s="295" t="s">
        <v>178</v>
      </c>
      <c r="C68" s="165">
        <v>9.0857973435485018E-2</v>
      </c>
      <c r="D68" s="1"/>
      <c r="E68" s="60" t="s">
        <v>78</v>
      </c>
    </row>
    <row r="69" spans="1:7" x14ac:dyDescent="0.2">
      <c r="A69" s="60"/>
      <c r="B69" s="149" t="s">
        <v>79</v>
      </c>
      <c r="C69" s="165">
        <v>6.400704106562774E-2</v>
      </c>
      <c r="D69" s="1"/>
      <c r="E69" s="60" t="s">
        <v>78</v>
      </c>
    </row>
    <row r="70" spans="1:7" x14ac:dyDescent="0.2">
      <c r="A70" s="60"/>
      <c r="B70" s="149" t="s">
        <v>80</v>
      </c>
      <c r="C70" s="165">
        <v>6.938167581714995E-3</v>
      </c>
      <c r="D70" s="1"/>
      <c r="E70" s="60" t="s">
        <v>78</v>
      </c>
    </row>
    <row r="71" spans="1:7" x14ac:dyDescent="0.2">
      <c r="A71" s="60"/>
      <c r="B71" s="149"/>
      <c r="C71" s="59"/>
      <c r="E71" s="60"/>
    </row>
    <row r="72" spans="1:7" s="138" customFormat="1" x14ac:dyDescent="0.2">
      <c r="B72" s="139" t="s">
        <v>81</v>
      </c>
      <c r="C72" s="158"/>
      <c r="D72" s="158"/>
    </row>
    <row r="73" spans="1:7" x14ac:dyDescent="0.2">
      <c r="B73" s="162"/>
      <c r="C73" s="163" t="s">
        <v>82</v>
      </c>
      <c r="D73" s="163" t="s">
        <v>83</v>
      </c>
      <c r="E73" s="164" t="s">
        <v>84</v>
      </c>
      <c r="F73" s="164" t="s">
        <v>85</v>
      </c>
      <c r="G73" s="164" t="s">
        <v>86</v>
      </c>
    </row>
    <row r="74" spans="1:7" x14ac:dyDescent="0.2">
      <c r="A74" s="60"/>
      <c r="B74" s="296" t="s">
        <v>179</v>
      </c>
      <c r="C74" s="34">
        <v>-5.509918212890625</v>
      </c>
      <c r="D74" s="34">
        <v>-7.7355880737304688</v>
      </c>
      <c r="E74" s="34">
        <v>-9.3208160400390625</v>
      </c>
      <c r="F74" s="34">
        <v>-10.7491455078125</v>
      </c>
      <c r="G74" s="34">
        <v>-11.610519409179688</v>
      </c>
    </row>
    <row r="75" spans="1:7" x14ac:dyDescent="0.2">
      <c r="A75" s="60"/>
      <c r="B75" s="296" t="s">
        <v>180</v>
      </c>
      <c r="C75" s="34">
        <v>-2.3272857666015625</v>
      </c>
      <c r="D75" s="34">
        <v>-3.1960678100585938</v>
      </c>
      <c r="E75" s="34">
        <v>-3.84124755859375</v>
      </c>
      <c r="F75" s="34">
        <v>-4.437347412109375</v>
      </c>
      <c r="G75" s="34">
        <v>-4.8707504272460938</v>
      </c>
    </row>
    <row r="76" spans="1:7" x14ac:dyDescent="0.2">
      <c r="A76" s="60"/>
      <c r="B76" s="296" t="s">
        <v>181</v>
      </c>
      <c r="C76" s="34">
        <v>2.3377532958984375</v>
      </c>
      <c r="D76" s="34">
        <v>3.1748428344726563</v>
      </c>
      <c r="E76" s="34">
        <v>3.8534317016601563</v>
      </c>
      <c r="F76" s="34">
        <v>4.7290725708007813</v>
      </c>
      <c r="G76" s="34">
        <v>5.16644287109375</v>
      </c>
    </row>
    <row r="77" spans="1:7" x14ac:dyDescent="0.2">
      <c r="A77" s="60"/>
      <c r="B77" s="296" t="s">
        <v>182</v>
      </c>
      <c r="C77" s="34">
        <v>5.8120574951171875</v>
      </c>
      <c r="D77" s="34">
        <v>8.1052932739257813</v>
      </c>
      <c r="E77" s="34">
        <v>9.7723388671875</v>
      </c>
      <c r="F77" s="34">
        <v>11.541404724121094</v>
      </c>
      <c r="G77" s="34">
        <v>12.887916564941406</v>
      </c>
    </row>
  </sheetData>
  <phoneticPr fontId="15" type="noConversion"/>
  <pageMargins left="0.7" right="0.7" top="0.75" bottom="0.75" header="0.3" footer="0.3"/>
  <pageSetup paperSize="9" orientation="portrait" r:id="rId1"/>
  <ignoredErrors>
    <ignoredError sqref="X58:Y58 C4:C6 D58 F58:W58 C18:Y20 C58"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0070C0"/>
  </sheetPr>
  <dimension ref="A1:AY123"/>
  <sheetViews>
    <sheetView topLeftCell="B5" zoomScale="160" zoomScaleNormal="160" workbookViewId="0">
      <selection activeCell="E14" sqref="E14"/>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c r="C7" s="66"/>
      <c r="E7" s="43"/>
      <c r="F7" s="29"/>
    </row>
    <row r="8" spans="1:51" x14ac:dyDescent="0.2">
      <c r="A8" s="29"/>
      <c r="C8" s="29"/>
      <c r="E8" s="43"/>
      <c r="F8" s="29"/>
    </row>
    <row r="9" spans="1:51" s="71"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263">
        <f>'Input data'!C13</f>
        <v>-2.1345519999999998</v>
      </c>
      <c r="D12" s="263">
        <f>'Input data'!D13</f>
        <v>0.29205680000000001</v>
      </c>
      <c r="E12" s="384">
        <f>'Input data'!E13</f>
        <v>-0.3391101166058319</v>
      </c>
      <c r="F12" s="384">
        <f>'Input data'!F13</f>
        <v>-0.3744433445451063</v>
      </c>
      <c r="G12" s="263">
        <f>F12</f>
        <v>-0.3744433445451063</v>
      </c>
      <c r="H12" s="263">
        <f t="shared" ref="H12:W12" si="0">G12</f>
        <v>-0.3744433445451063</v>
      </c>
      <c r="I12" s="263">
        <f t="shared" si="0"/>
        <v>-0.3744433445451063</v>
      </c>
      <c r="J12" s="263">
        <f t="shared" si="0"/>
        <v>-0.3744433445451063</v>
      </c>
      <c r="K12" s="263">
        <f t="shared" si="0"/>
        <v>-0.3744433445451063</v>
      </c>
      <c r="L12" s="263">
        <f t="shared" si="0"/>
        <v>-0.3744433445451063</v>
      </c>
      <c r="M12" s="263">
        <f t="shared" si="0"/>
        <v>-0.3744433445451063</v>
      </c>
      <c r="N12" s="263">
        <f t="shared" si="0"/>
        <v>-0.3744433445451063</v>
      </c>
      <c r="O12" s="263">
        <f t="shared" si="0"/>
        <v>-0.3744433445451063</v>
      </c>
      <c r="P12" s="263">
        <f t="shared" si="0"/>
        <v>-0.3744433445451063</v>
      </c>
      <c r="Q12" s="263">
        <f t="shared" si="0"/>
        <v>-0.3744433445451063</v>
      </c>
      <c r="R12" s="263">
        <f t="shared" si="0"/>
        <v>-0.3744433445451063</v>
      </c>
      <c r="S12" s="263">
        <f t="shared" si="0"/>
        <v>-0.3744433445451063</v>
      </c>
      <c r="T12" s="263">
        <f t="shared" si="0"/>
        <v>-0.3744433445451063</v>
      </c>
      <c r="U12" s="1">
        <f t="shared" si="0"/>
        <v>-0.3744433445451063</v>
      </c>
      <c r="V12" s="1">
        <f t="shared" si="0"/>
        <v>-0.3744433445451063</v>
      </c>
      <c r="W12" s="1">
        <f t="shared" si="0"/>
        <v>-0.3744433445451063</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263">
        <f>'Input data'!C14</f>
        <v>0</v>
      </c>
      <c r="D13" s="263">
        <f>'Input data'!D14</f>
        <v>0</v>
      </c>
      <c r="E13" s="384">
        <f>'Input data'!E14</f>
        <v>0</v>
      </c>
      <c r="F13" s="384">
        <f>'Input data'!F14</f>
        <v>0</v>
      </c>
      <c r="G13" s="384">
        <f>'Input data'!G14</f>
        <v>0</v>
      </c>
      <c r="H13" s="384">
        <v>0</v>
      </c>
      <c r="I13" s="384">
        <v>0</v>
      </c>
      <c r="J13" s="384">
        <v>0</v>
      </c>
      <c r="K13" s="384">
        <v>0</v>
      </c>
      <c r="L13" s="384">
        <v>0</v>
      </c>
      <c r="M13" s="384">
        <v>0</v>
      </c>
      <c r="N13" s="384">
        <v>0</v>
      </c>
      <c r="O13" s="384">
        <v>0</v>
      </c>
      <c r="P13" s="384">
        <v>0</v>
      </c>
      <c r="Q13" s="384">
        <v>0</v>
      </c>
      <c r="R13" s="384">
        <v>0</v>
      </c>
      <c r="S13" s="384">
        <v>0</v>
      </c>
      <c r="T13" s="384">
        <v>0</v>
      </c>
      <c r="U13" s="2">
        <v>0</v>
      </c>
      <c r="V13" s="2">
        <v>0</v>
      </c>
      <c r="W13" s="2">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263">
        <f>'Input data'!C15</f>
        <v>-1.1351690000000001</v>
      </c>
      <c r="D14" s="263">
        <f>'Input data'!D15</f>
        <v>5.1764349999999997</v>
      </c>
      <c r="E14" s="384">
        <f>'Input data'!E15</f>
        <v>2.1420457294413482</v>
      </c>
      <c r="F14" s="384">
        <f>'Input data'!F15</f>
        <v>2.543156615765406</v>
      </c>
      <c r="G14" s="384">
        <f>'Input data'!G15</f>
        <v>1.2833361388111759</v>
      </c>
      <c r="H14" s="384">
        <f>'Input data'!H15</f>
        <v>1.726862012716794</v>
      </c>
      <c r="I14" s="384">
        <f>'Input data'!I15</f>
        <v>1.4444254457205716</v>
      </c>
      <c r="J14" s="384">
        <f>'Input data'!J15</f>
        <v>1.3768241518246929</v>
      </c>
      <c r="K14" s="384">
        <f>'Input data'!K15</f>
        <v>1.0241608740131771</v>
      </c>
      <c r="L14" s="384">
        <f>'Input data'!L15</f>
        <v>1.0623847406019649</v>
      </c>
      <c r="M14" s="384">
        <f>'Input data'!M15</f>
        <v>1.5229809999999999</v>
      </c>
      <c r="N14" s="384">
        <f>'Input data'!N15</f>
        <v>1.526135</v>
      </c>
      <c r="O14" s="384">
        <f>'Input data'!O15</f>
        <v>1.3735219999999999</v>
      </c>
      <c r="P14" s="384">
        <f>'Input data'!P15</f>
        <v>1.2209080000000001</v>
      </c>
      <c r="Q14" s="384">
        <f>'Input data'!Q15</f>
        <v>1.068295</v>
      </c>
      <c r="R14" s="384">
        <f>'Input data'!R15</f>
        <v>0.91568099999999997</v>
      </c>
      <c r="S14" s="384">
        <f>'Input data'!S15</f>
        <v>0.76306750000000001</v>
      </c>
      <c r="T14" s="384">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263"/>
      <c r="D15" s="263"/>
      <c r="E15" s="263"/>
      <c r="F15" s="263"/>
      <c r="G15" s="263"/>
      <c r="H15" s="263"/>
      <c r="I15" s="263"/>
      <c r="J15" s="263"/>
      <c r="K15" s="263"/>
      <c r="L15" s="263"/>
      <c r="M15" s="263"/>
      <c r="N15" s="263"/>
      <c r="O15" s="263"/>
      <c r="P15" s="263"/>
      <c r="Q15" s="263"/>
      <c r="R15" s="263"/>
      <c r="S15" s="263"/>
      <c r="T15" s="263"/>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263"/>
      <c r="D16" s="263"/>
      <c r="E16" s="263"/>
      <c r="F16" s="263"/>
      <c r="G16" s="263"/>
      <c r="H16" s="263"/>
      <c r="I16" s="263"/>
      <c r="J16" s="263"/>
      <c r="K16" s="263"/>
      <c r="L16" s="263"/>
      <c r="M16" s="263"/>
      <c r="N16" s="263"/>
      <c r="O16" s="263"/>
      <c r="P16" s="263"/>
      <c r="Q16" s="263"/>
      <c r="R16" s="263"/>
      <c r="S16" s="263"/>
      <c r="T16" s="263"/>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263">
        <f>'Input data'!C20</f>
        <v>0</v>
      </c>
      <c r="D17" s="263">
        <f>'Input data'!D20</f>
        <v>23.655849999999997</v>
      </c>
      <c r="E17" s="385">
        <f>'Input data'!E20</f>
        <v>23.83699</v>
      </c>
      <c r="F17" s="385">
        <f>'Input data'!F20</f>
        <v>23.96105</v>
      </c>
      <c r="G17" s="385">
        <f>'Input data'!G20</f>
        <v>23.911249999999999</v>
      </c>
      <c r="H17" s="385">
        <f>'Input data'!H20</f>
        <v>23.909049999999997</v>
      </c>
      <c r="I17" s="385">
        <f>'Input data'!I20</f>
        <v>23.948919999999998</v>
      </c>
      <c r="J17" s="385">
        <f>'Input data'!J20</f>
        <v>24.046380000000003</v>
      </c>
      <c r="K17" s="385">
        <f>'Input data'!K20</f>
        <v>24.15964</v>
      </c>
      <c r="L17" s="385">
        <f>'Input data'!L20</f>
        <v>24.232299999999999</v>
      </c>
      <c r="M17" s="385">
        <f>'Input data'!M20</f>
        <v>24.288240000000002</v>
      </c>
      <c r="N17" s="385">
        <f>'Input data'!N20</f>
        <v>24.322410000000001</v>
      </c>
      <c r="O17" s="385">
        <f>'Input data'!O20</f>
        <v>24.319019999999998</v>
      </c>
      <c r="P17" s="385">
        <f>'Input data'!P20</f>
        <v>24.31607</v>
      </c>
      <c r="Q17" s="385">
        <f>'Input data'!Q20</f>
        <v>24.304599999999997</v>
      </c>
      <c r="R17" s="385">
        <f>'Input data'!R20</f>
        <v>24.277160000000002</v>
      </c>
      <c r="S17" s="385">
        <f>'Input data'!S20</f>
        <v>24.230790000000002</v>
      </c>
      <c r="T17" s="385">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tr">
        <f>'Input data'!B26</f>
        <v>Property income</v>
      </c>
      <c r="C18" s="263">
        <f>'Input data'!C26</f>
        <v>2.0641180000000001</v>
      </c>
      <c r="D18" s="263">
        <f>'Input data'!D26</f>
        <v>2.1110479999999998</v>
      </c>
      <c r="E18" s="385">
        <f>'Input data'!E26</f>
        <v>2.1176979999999999</v>
      </c>
      <c r="F18" s="385">
        <f>'Input data'!F26</f>
        <v>2.1243479999999999</v>
      </c>
      <c r="G18" s="385">
        <f>'Input data'!G26</f>
        <v>2.1309979999999999</v>
      </c>
      <c r="H18" s="385">
        <f>'Input data'!H26</f>
        <v>2.137648</v>
      </c>
      <c r="I18" s="385">
        <f>'Input data'!I26</f>
        <v>2.1442990000000002</v>
      </c>
      <c r="J18" s="385">
        <f>'Input data'!J26</f>
        <v>2.1509490000000002</v>
      </c>
      <c r="K18" s="385">
        <f>'Input data'!K26</f>
        <v>2.1575989999999998</v>
      </c>
      <c r="L18" s="385">
        <f>'Input data'!L26</f>
        <v>2.1642489999999999</v>
      </c>
      <c r="M18" s="385">
        <f>'Input data'!M26</f>
        <v>2.1708989999999999</v>
      </c>
      <c r="N18" s="385">
        <f>'Input data'!N26</f>
        <v>2.1775500000000001</v>
      </c>
      <c r="O18" s="385">
        <f>'Input data'!O26</f>
        <v>2.1842000000000001</v>
      </c>
      <c r="P18" s="385">
        <f>'Input data'!P26</f>
        <v>2.1908500000000002</v>
      </c>
      <c r="Q18" s="385">
        <f>'Input data'!Q26</f>
        <v>2.1974999999999998</v>
      </c>
      <c r="R18" s="385">
        <f>'Input data'!R26</f>
        <v>2.2041499999999998</v>
      </c>
      <c r="S18" s="385">
        <f>'Input data'!S26</f>
        <v>2.210801</v>
      </c>
      <c r="T18" s="385">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C19" s="53"/>
      <c r="D19" s="53"/>
      <c r="E19" s="53"/>
      <c r="F19" s="53"/>
      <c r="G19" s="53"/>
      <c r="H19" s="53"/>
      <c r="I19" s="53"/>
      <c r="J19" s="53"/>
      <c r="K19" s="53"/>
      <c r="L19" s="53"/>
      <c r="M19" s="53"/>
      <c r="N19" s="53"/>
      <c r="O19" s="53"/>
      <c r="P19" s="53"/>
      <c r="Q19" s="53"/>
      <c r="R19" s="53"/>
      <c r="S19" s="53"/>
      <c r="T19" s="53"/>
    </row>
    <row r="20" spans="1:50" x14ac:dyDescent="0.2">
      <c r="B20" s="28" t="s">
        <v>88</v>
      </c>
      <c r="C20" s="53"/>
      <c r="D20" s="53"/>
      <c r="E20" s="53"/>
      <c r="F20" s="53"/>
      <c r="G20" s="53"/>
      <c r="H20" s="53"/>
      <c r="I20" s="53"/>
      <c r="J20" s="53"/>
      <c r="K20" s="53"/>
      <c r="L20" s="53"/>
      <c r="M20" s="53"/>
      <c r="N20" s="53"/>
      <c r="O20" s="53"/>
      <c r="P20" s="53"/>
      <c r="Q20" s="53"/>
      <c r="R20" s="53"/>
      <c r="S20" s="53"/>
      <c r="T20" s="53"/>
    </row>
    <row r="21" spans="1:50" ht="10.5" customHeight="1" x14ac:dyDescent="0.2">
      <c r="B21" s="30" t="s">
        <v>89</v>
      </c>
      <c r="C21" s="53"/>
      <c r="D21" s="53"/>
      <c r="E21" s="53"/>
      <c r="F21" s="53"/>
      <c r="G21" s="53"/>
      <c r="H21" s="53"/>
      <c r="I21" s="53"/>
      <c r="J21" s="53"/>
      <c r="K21" s="53"/>
      <c r="L21" s="53"/>
      <c r="M21" s="53"/>
      <c r="N21" s="53"/>
      <c r="O21" s="53"/>
      <c r="P21" s="53"/>
      <c r="Q21" s="53"/>
      <c r="R21" s="53"/>
      <c r="S21" s="53"/>
      <c r="T21" s="53"/>
    </row>
    <row r="22" spans="1:50" x14ac:dyDescent="0.2">
      <c r="B22" s="26" t="s">
        <v>61</v>
      </c>
      <c r="C22" s="36">
        <f>'Input data'!C31</f>
        <v>230.55600000000001</v>
      </c>
      <c r="D22" s="36">
        <f>C22*(D23/100+1)</f>
        <v>233.63499929652002</v>
      </c>
      <c r="E22" s="386">
        <f>D22*(E23/100+1)</f>
        <v>230.925987709618</v>
      </c>
      <c r="F22" s="386">
        <f>E22*(F23/100+1)</f>
        <v>230.41386109822847</v>
      </c>
      <c r="G22" s="386">
        <f>F22*(G23/100+1)</f>
        <v>234.64241627710314</v>
      </c>
      <c r="H22" s="36">
        <f>IF(AND(H49&gt;1,G49&gt;1),IF(AND(H49&gt;0,G49&gt;0),H26*(H50/100+1),0)+IF(H49&gt;0,G22*(1+H51/100),0)-G22*(1+'Input data'!H30/100),IF(H49=1,H26,G22*(1+H51/100)))</f>
        <v>238.94857390062052</v>
      </c>
      <c r="I22" s="36">
        <f>IF(AND(I49&gt;1,H49&gt;1),IF(AND(I49&gt;0,H49&gt;0),I26*(I50/100+1),0)+IF(I49&gt;0,H22*(1+I51/100),0)-H22*(1+'Input data'!I30/100),IF(I49=1,I26,H22*(1+I51/100)))</f>
        <v>243.33375812884469</v>
      </c>
      <c r="J22" s="36">
        <f>IF(AND(J49&gt;1,I49&gt;1),IF(AND(J49&gt;0,I49&gt;0),J26*(J50/100+1),0)+IF(J49&gt;0,I22*(1+J51/100),0)-I22*(1+'Input data'!J30/100),IF(J49=1,J26,I22*(1+J51/100)))</f>
        <v>247.79941925802524</v>
      </c>
      <c r="K22" s="36">
        <f>IF(AND(K49&gt;1,J49&gt;1),IF(AND(K49&gt;0,J49&gt;0),K26*(K50/100+1),0)+IF(K49&gt;0,J22*(1+K51/100),0)-J22*(1+'Input data'!K30/100),IF(K49=1,K26,J22*(1+K51/100)))</f>
        <v>250.11659162750706</v>
      </c>
      <c r="L22" s="36">
        <f>IF(AND(L49&gt;1,K49&gt;1),IF(AND(L49&gt;0,K49&gt;0),L26*(L50/100+1),0)+IF(L49&gt;0,K22*(1+L51/100),0)-K22*(1+'Input data'!L30/100),IF(L49=1,L26,K22*(1+L51/100)))</f>
        <v>252.4554067946799</v>
      </c>
      <c r="M22" s="36">
        <f>IF(AND(M49&gt;1,L49&gt;1),IF(AND(M49&gt;0,L49&gt;0),M26*(M50/100+1),0)+IF(M49&gt;0,L22*(1+M51/100),0)-L22*(1+'Input data'!M30/100),IF(M49=1,M26,L22*(1+M51/100)))</f>
        <v>254.81608441428756</v>
      </c>
      <c r="N22" s="36">
        <f>IF(AND(N49&gt;1,M49&gt;1),IF(AND(N49&gt;0,M49&gt;0),N26*(N50/100+1),0)+IF(N49&gt;0,M22*(1+N51/100),0)-M22*(1+'Input data'!N30/100),IF(N49=1,N26,M22*(1+N51/100)))</f>
        <v>257.19883616795624</v>
      </c>
      <c r="O22" s="36">
        <f>IF(AND(O49&gt;1,N49&gt;1),IF(AND(O49&gt;0,N49&gt;0),O26*(O50/100+1),0)+IF(O49&gt;0,N22*(1+O51/100),0)-N22*(1+'Input data'!O30/100),IF(O49=1,O26,N22*(1+O51/100)))</f>
        <v>259.60386640568163</v>
      </c>
      <c r="P22" s="36">
        <f>IF(AND(P49&gt;1,O49&gt;1),IF(AND(P49&gt;0,O49&gt;0),P26*(P50/100+1),0)+IF(P49&gt;0,O22*(1+P51/100),0)-O22*(1+'Input data'!P30/100),IF(P49=1,P26,O22*(1+P51/100)))</f>
        <v>262.03139457031915</v>
      </c>
      <c r="Q22" s="36">
        <f>IF(AND(Q49&gt;1,P49&gt;1),IF(AND(Q49&gt;0,P49&gt;0),Q26*(Q50/100+1),0)+IF(Q49&gt;0,P22*(1+Q51/100),0)-P22*(1+'Input data'!Q30/100),IF(Q49=1,Q26,P22*(1+Q51/100)))</f>
        <v>264.48160945329352</v>
      </c>
      <c r="R22" s="36">
        <f>IF(AND(R49&gt;1,Q49&gt;1),IF(AND(R49&gt;0,Q49&gt;0),R26*(R50/100+1),0)+IF(R49&gt;0,Q22*(1+R51/100),0)-Q22*(1+'Input data'!R30/100),IF(R49=1,R26,Q22*(1+R51/100)))</f>
        <v>266.95474120480685</v>
      </c>
      <c r="S22" s="36">
        <f>IF(AND(S49&gt;1,R49&gt;1),IF(AND(S49&gt;0,R49&gt;0),S26*(S50/100+1),0)+IF(S49&gt;0,R22*(1+S51/100),0)-R22*(1+'Input data'!S30/100),IF(S49=1,S26,R22*(1+S51/100)))</f>
        <v>269.45099086812661</v>
      </c>
      <c r="T22" s="36">
        <f>IF(AND(T49&gt;1,S49&gt;1),IF(AND(T49&gt;0,S49&gt;0),T26*(T50/100+1),0)+IF(T49&gt;0,S22*(1+T51/100),0)-S22*(1+'Input data'!T30/100),IF(T49=1,T26,S22*(1+T51/100)))</f>
        <v>271.97059871653295</v>
      </c>
      <c r="U22" s="34">
        <f>IF(AND(U49&gt;1,T49&gt;1),IF(AND(U49&gt;0,T49&gt;0),U26*(U50/100+1),0)+IF(U49&gt;0,T22*(1+U51/100),0)-T22*(1+'Input data'!U30/100),IF(U49=1,U26,T22*(1+U51/100)))</f>
        <v>274.51375899355304</v>
      </c>
      <c r="V22" s="34">
        <f>IF(AND(V49&gt;1,U49&gt;1),IF(AND(V49&gt;0,U49&gt;0),V26*(V50/100+1),0)+IF(V49&gt;0,U22*(1+V51/100),0)-U22*(1+'Input data'!V30/100),IF(V49=1,V26,U22*(1+V51/100)))</f>
        <v>277.08071374397838</v>
      </c>
      <c r="W22" s="34">
        <f>IF(AND(W49&gt;1,V49&gt;1),IF(AND(W49&gt;0,V49&gt;0),W26*(W50/100+1),0)+IF(W49&gt;0,V22*(1+W51/100),0)-V22*(1+'Input data'!W30/100),IF(W49=1,W26,V22*(1+W51/100)))</f>
        <v>279.67166355694934</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6">
        <f>+'Input data'!C30</f>
        <v>2.8381799999999999</v>
      </c>
      <c r="D23" s="36">
        <f>+'Input data'!D30</f>
        <v>1.335467</v>
      </c>
      <c r="E23" s="386">
        <f>+'Input data'!E30</f>
        <v>-1.1595058938339342</v>
      </c>
      <c r="F23" s="386">
        <f>+'Input data'!F30</f>
        <v>-0.22177088705733761</v>
      </c>
      <c r="G23" s="386">
        <f>+'Input data'!G30</f>
        <v>1.8351999999999999</v>
      </c>
      <c r="H23" s="36">
        <f>100*(H22/G22-1)</f>
        <v>1.8351999999999924</v>
      </c>
      <c r="I23" s="36">
        <f>100*(I22/H22-1)</f>
        <v>1.8351999999999924</v>
      </c>
      <c r="J23" s="36">
        <f t="shared" ref="J23:T23" si="1">100*(J22/I22-1)</f>
        <v>1.8351999999999924</v>
      </c>
      <c r="K23" s="36">
        <f t="shared" si="1"/>
        <v>0.93510000000001092</v>
      </c>
      <c r="L23" s="36">
        <f t="shared" si="1"/>
        <v>0.93508997222222501</v>
      </c>
      <c r="M23" s="36">
        <f t="shared" si="1"/>
        <v>0.93508697222222104</v>
      </c>
      <c r="N23" s="36">
        <f t="shared" si="1"/>
        <v>0.93508687222221276</v>
      </c>
      <c r="O23" s="36">
        <f t="shared" si="1"/>
        <v>0.93508597222222711</v>
      </c>
      <c r="P23" s="36">
        <f t="shared" si="1"/>
        <v>0.93508937222221977</v>
      </c>
      <c r="Q23" s="36">
        <f t="shared" si="1"/>
        <v>0.93508447222221402</v>
      </c>
      <c r="R23" s="36">
        <f t="shared" si="1"/>
        <v>0.93508647222222407</v>
      </c>
      <c r="S23" s="36">
        <f t="shared" si="1"/>
        <v>0.9350834722222201</v>
      </c>
      <c r="T23" s="36">
        <f t="shared" si="1"/>
        <v>0.93508947222222805</v>
      </c>
      <c r="U23" s="34">
        <f>100*(U22/T22-1)</f>
        <v>0.93508647222222407</v>
      </c>
      <c r="V23" s="34">
        <f>100*(V22/U22-1)</f>
        <v>0.93509147222221589</v>
      </c>
      <c r="W23" s="34">
        <f>100*(W22/V22-1)</f>
        <v>0.93508847222221192</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6"/>
      <c r="D24" s="36"/>
      <c r="E24" s="36"/>
      <c r="F24" s="36"/>
      <c r="G24" s="36"/>
      <c r="H24" s="36"/>
      <c r="I24" s="36"/>
      <c r="J24" s="36"/>
      <c r="K24" s="36"/>
      <c r="L24" s="36"/>
      <c r="M24" s="36"/>
      <c r="N24" s="36"/>
      <c r="O24" s="36"/>
      <c r="P24" s="36"/>
      <c r="Q24" s="36"/>
      <c r="R24" s="36"/>
      <c r="S24" s="36"/>
      <c r="T24" s="36"/>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3"/>
      <c r="B25" s="30" t="s">
        <v>90</v>
      </c>
      <c r="C25" s="36"/>
      <c r="D25" s="36"/>
      <c r="E25" s="36"/>
      <c r="F25" s="36"/>
      <c r="G25" s="53"/>
      <c r="H25" s="53"/>
      <c r="I25" s="53"/>
      <c r="J25" s="53"/>
      <c r="K25" s="53"/>
      <c r="L25" s="53"/>
      <c r="M25" s="53"/>
      <c r="N25" s="53"/>
      <c r="O25" s="53"/>
      <c r="P25" s="53"/>
      <c r="Q25" s="53"/>
      <c r="R25" s="53"/>
      <c r="S25" s="53"/>
      <c r="T25" s="53"/>
    </row>
    <row r="26" spans="1:50" x14ac:dyDescent="0.2">
      <c r="B26" s="26" t="s">
        <v>61</v>
      </c>
      <c r="C26" s="36">
        <f>'Input data'!C34</f>
        <v>231.15090000000001</v>
      </c>
      <c r="D26" s="36">
        <f>+C26*(1+'Input data'!D33/100)</f>
        <v>233.97713813562902</v>
      </c>
      <c r="E26" s="386">
        <f>+D26*(1+'Input data'!E33/100)</f>
        <v>236.531302768659</v>
      </c>
      <c r="F26" s="386">
        <f>+E26*(1+'Input data'!F33/100)</f>
        <v>238.74310698084875</v>
      </c>
      <c r="G26" s="386">
        <f>+F26*(1+'Input data'!G33/100)</f>
        <v>240.9755937742267</v>
      </c>
      <c r="H26" s="36">
        <f>+G26*(1+'Input data'!H33/100)</f>
        <v>243.22895655160951</v>
      </c>
      <c r="I26" s="36">
        <f>+H26*(1+'Input data'!I33/100)</f>
        <v>245.50339052432363</v>
      </c>
      <c r="J26" s="36">
        <f>+I26*(1+'Input data'!J33/100)</f>
        <v>247.79909272911661</v>
      </c>
      <c r="K26" s="36">
        <f>+J26*(1+'Input data'!K33/100)</f>
        <v>250.11626204522659</v>
      </c>
      <c r="L26" s="36">
        <f>+K26*(1+'Input data'!L33/100)</f>
        <v>252.45509921161153</v>
      </c>
      <c r="M26" s="36">
        <f>+L26*(1+'Input data'!M33/100)</f>
        <v>254.81580684433933</v>
      </c>
      <c r="N26" s="36">
        <f>+M26*(1+'Input data'!N33/100)</f>
        <v>257.1985894541408</v>
      </c>
      <c r="O26" s="36">
        <f>+N26*(1+'Input data'!O33/100)</f>
        <v>259.60365346412652</v>
      </c>
      <c r="P26" s="36">
        <f>+O26*(1+'Input data'!P33/100)</f>
        <v>262.0312072276696</v>
      </c>
      <c r="Q26" s="36">
        <f>+P26*(1+'Input data'!Q33/100)</f>
        <v>264.48146104645554</v>
      </c>
      <c r="R26" s="36">
        <f>+Q26*(1+'Input data'!R33/100)</f>
        <v>266.95462718870095</v>
      </c>
      <c r="S26" s="36">
        <f>+R26*(1+'Input data'!S33/100)</f>
        <v>269.45091990754253</v>
      </c>
      <c r="T26" s="36">
        <f>+S26*(1+'Input data'!T33/100)</f>
        <v>271.97055545959796</v>
      </c>
      <c r="U26" s="34">
        <f>+T26*(1+'Input data'!U33/100)</f>
        <v>274.51375212370067</v>
      </c>
      <c r="V26" s="34">
        <f>+U26*(1+'Input data'!V33/100)</f>
        <v>277.08073021980942</v>
      </c>
      <c r="W26" s="34">
        <f>+V26*(1+'Input data'!W33/100)</f>
        <v>279.6717121280949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6"/>
      <c r="D27" s="36"/>
      <c r="E27" s="36"/>
      <c r="F27" s="36"/>
      <c r="G27" s="36"/>
      <c r="H27" s="36"/>
      <c r="I27" s="36"/>
      <c r="J27" s="36"/>
      <c r="K27" s="36"/>
      <c r="L27" s="36"/>
      <c r="M27" s="36"/>
      <c r="N27" s="36"/>
      <c r="O27" s="36"/>
      <c r="P27" s="36"/>
      <c r="Q27" s="36"/>
      <c r="R27" s="36"/>
      <c r="S27" s="36"/>
      <c r="T27" s="36"/>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6"/>
      <c r="D28" s="36"/>
      <c r="E28" s="36"/>
      <c r="F28" s="36"/>
      <c r="G28" s="36"/>
      <c r="H28" s="36"/>
      <c r="I28" s="36"/>
      <c r="J28" s="36"/>
      <c r="K28" s="36"/>
      <c r="L28" s="36"/>
      <c r="M28" s="36"/>
      <c r="N28" s="36"/>
      <c r="O28" s="36"/>
      <c r="P28" s="36"/>
      <c r="Q28" s="36"/>
      <c r="R28" s="36"/>
      <c r="S28" s="36"/>
      <c r="T28" s="36"/>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6">
        <f t="shared" ref="C29:T29" si="2">100*(C22/C26-1)</f>
        <v>-0.25736434510962303</v>
      </c>
      <c r="D29" s="36">
        <f t="shared" si="2"/>
        <v>-0.14622746557002575</v>
      </c>
      <c r="E29" s="386">
        <f t="shared" si="2"/>
        <v>-2.3697984129074534</v>
      </c>
      <c r="F29" s="386">
        <f>100*(F22/F26-1)</f>
        <v>-3.4887901007707112</v>
      </c>
      <c r="G29" s="386">
        <f>100*(G22/G26-1)</f>
        <v>-2.6281406336349566</v>
      </c>
      <c r="H29" s="97">
        <f>100*(H22/H26-1)</f>
        <v>-1.7598162289861885</v>
      </c>
      <c r="I29" s="97">
        <f t="shared" si="2"/>
        <v>-0.88374844471403868</v>
      </c>
      <c r="J29" s="36">
        <f t="shared" si="2"/>
        <v>1.3177163202815478E-4</v>
      </c>
      <c r="K29" s="36">
        <f t="shared" si="2"/>
        <v>1.3177163202815478E-4</v>
      </c>
      <c r="L29" s="36">
        <f t="shared" si="2"/>
        <v>1.2183674218402274E-4</v>
      </c>
      <c r="M29" s="36">
        <f t="shared" si="2"/>
        <v>1.0892964281694617E-4</v>
      </c>
      <c r="N29" s="36">
        <f t="shared" si="2"/>
        <v>9.5923471410408467E-5</v>
      </c>
      <c r="O29" s="36">
        <f t="shared" si="2"/>
        <v>8.2025638792337929E-5</v>
      </c>
      <c r="P29" s="36">
        <f t="shared" si="2"/>
        <v>7.1496312026297915E-5</v>
      </c>
      <c r="Q29" s="36">
        <f t="shared" si="2"/>
        <v>5.6112378299388865E-5</v>
      </c>
      <c r="R29" s="36">
        <f t="shared" si="2"/>
        <v>4.2709919312322597E-5</v>
      </c>
      <c r="S29" s="36">
        <f t="shared" si="2"/>
        <v>2.6335253977549655E-5</v>
      </c>
      <c r="T29" s="36">
        <f t="shared" si="2"/>
        <v>1.5905006667260579E-5</v>
      </c>
      <c r="U29" s="34">
        <f>100*(U22/U26-1)</f>
        <v>2.5025530758782111E-6</v>
      </c>
      <c r="V29" s="34">
        <f>100*(V22/V26-1)</f>
        <v>-5.9462204493598847E-6</v>
      </c>
      <c r="W29" s="34">
        <f>100*(W22/W26-1)</f>
        <v>-1.7367199989237747E-5</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6"/>
      <c r="D30" s="36"/>
      <c r="E30" s="36"/>
      <c r="F30" s="36"/>
      <c r="G30" s="36"/>
      <c r="H30" s="36"/>
      <c r="I30" s="36"/>
      <c r="J30" s="36"/>
      <c r="K30" s="36"/>
      <c r="L30" s="36"/>
      <c r="M30" s="36"/>
      <c r="N30" s="36"/>
      <c r="O30" s="36"/>
      <c r="P30" s="36"/>
      <c r="Q30" s="36"/>
      <c r="R30" s="36"/>
      <c r="S30" s="36"/>
      <c r="T30" s="36"/>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6"/>
      <c r="D31" s="36"/>
      <c r="E31" s="36"/>
      <c r="F31" s="36"/>
      <c r="G31" s="36"/>
      <c r="H31" s="36"/>
      <c r="I31" s="36"/>
      <c r="J31" s="36"/>
      <c r="K31" s="36"/>
      <c r="L31" s="36"/>
      <c r="M31" s="36"/>
      <c r="N31" s="36"/>
      <c r="O31" s="36"/>
      <c r="P31" s="36"/>
      <c r="Q31" s="36"/>
      <c r="R31" s="36"/>
      <c r="S31" s="36"/>
      <c r="T31" s="36"/>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263">
        <f t="shared" ref="C32:W32" si="3">100*((1+C23/100)*(1+C41/100)-1)</f>
        <v>5.3041963643644108</v>
      </c>
      <c r="D32" s="263">
        <f t="shared" si="3"/>
        <v>6.7911638456366497</v>
      </c>
      <c r="E32" s="384">
        <f t="shared" si="3"/>
        <v>2.6964325799547773</v>
      </c>
      <c r="F32" s="384">
        <f t="shared" si="3"/>
        <v>1.4650542597770766</v>
      </c>
      <c r="G32" s="384">
        <f>100*((1+G23/100)*(1+G41/100)-1)</f>
        <v>4.0098657864924503</v>
      </c>
      <c r="H32" s="263">
        <f>100*((1+H23/100)*(1+H41/100)-1)</f>
        <v>4.0626322631808875</v>
      </c>
      <c r="I32" s="263">
        <f t="shared" si="3"/>
        <v>4.1153987398693248</v>
      </c>
      <c r="J32" s="263">
        <f t="shared" si="3"/>
        <v>4.1681652165577843</v>
      </c>
      <c r="K32" s="263">
        <f t="shared" si="3"/>
        <v>3.2997447105812094</v>
      </c>
      <c r="L32" s="263">
        <f t="shared" si="3"/>
        <v>3.3520345275376284</v>
      </c>
      <c r="M32" s="263">
        <f t="shared" si="3"/>
        <v>3.4043315338053048</v>
      </c>
      <c r="N32" s="263">
        <f t="shared" si="3"/>
        <v>3.4566315094114008</v>
      </c>
      <c r="O32" s="263">
        <f t="shared" si="3"/>
        <v>3.5089306645138985</v>
      </c>
      <c r="P32" s="263">
        <f t="shared" si="3"/>
        <v>3.4811770016365262</v>
      </c>
      <c r="Q32" s="263">
        <f t="shared" si="3"/>
        <v>3.4534148298041689</v>
      </c>
      <c r="R32" s="263">
        <f t="shared" si="3"/>
        <v>3.425659730924302</v>
      </c>
      <c r="S32" s="263">
        <f t="shared" si="3"/>
        <v>3.3978995089444464</v>
      </c>
      <c r="T32" s="263">
        <f t="shared" si="3"/>
        <v>3.3701485057395786</v>
      </c>
      <c r="U32" s="1">
        <f t="shared" si="3"/>
        <v>3.3423882845847075</v>
      </c>
      <c r="V32" s="1">
        <f t="shared" si="3"/>
        <v>3.3146362536798479</v>
      </c>
      <c r="W32" s="1">
        <f t="shared" si="3"/>
        <v>3.286876033625008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3" spans="2:51" x14ac:dyDescent="0.2">
      <c r="C33" s="53"/>
      <c r="D33" s="53"/>
      <c r="E33" s="53"/>
      <c r="F33" s="53"/>
      <c r="G33" s="53"/>
      <c r="H33" s="53"/>
      <c r="I33" s="53"/>
      <c r="J33" s="53"/>
      <c r="K33" s="53"/>
      <c r="L33" s="53"/>
      <c r="M33" s="53"/>
      <c r="N33" s="53"/>
      <c r="O33" s="53"/>
      <c r="P33" s="53"/>
      <c r="Q33" s="53"/>
      <c r="R33" s="53"/>
      <c r="S33" s="53"/>
      <c r="T33" s="53"/>
    </row>
    <row r="34" spans="2:51" x14ac:dyDescent="0.2">
      <c r="B34" s="28" t="s">
        <v>93</v>
      </c>
      <c r="C34" s="53"/>
      <c r="D34" s="53"/>
      <c r="E34" s="449"/>
      <c r="F34" s="449"/>
      <c r="G34" s="449"/>
      <c r="H34" s="449"/>
      <c r="I34" s="53"/>
      <c r="J34" s="53"/>
      <c r="K34" s="53"/>
      <c r="L34" s="53"/>
      <c r="M34" s="53"/>
      <c r="N34" s="53"/>
      <c r="O34" s="53"/>
      <c r="P34" s="53"/>
      <c r="Q34" s="53"/>
      <c r="R34" s="53"/>
      <c r="S34" s="53"/>
      <c r="T34" s="53"/>
    </row>
    <row r="35" spans="2:51" x14ac:dyDescent="0.2">
      <c r="B35" s="26" t="s">
        <v>63</v>
      </c>
      <c r="C35" s="263">
        <f>'Input data'!C37</f>
        <v>0.73297140000000005</v>
      </c>
      <c r="D35" s="263">
        <f>'Input data'!D37</f>
        <v>0.83926920000000005</v>
      </c>
      <c r="E35" s="407">
        <f>'Input data'!E37</f>
        <v>1.5804370000000001</v>
      </c>
      <c r="F35" s="407">
        <f>'Input data'!F37</f>
        <v>1.6625099999999999</v>
      </c>
      <c r="G35" s="407">
        <f>'Input data'!G37</f>
        <v>1.8895660000000001</v>
      </c>
      <c r="H35" s="221">
        <f>H96</f>
        <v>1.9991450275951226</v>
      </c>
      <c r="I35" s="221">
        <f t="shared" ref="I35:W35" si="4">I96</f>
        <v>2.0879879377116972</v>
      </c>
      <c r="J35" s="221">
        <f t="shared" si="4"/>
        <v>2.1640664638770444</v>
      </c>
      <c r="K35" s="221">
        <f t="shared" si="4"/>
        <v>2.2321150325315466</v>
      </c>
      <c r="L35" s="221">
        <f t="shared" si="4"/>
        <v>2.2953928731785078</v>
      </c>
      <c r="M35" s="221">
        <f t="shared" si="4"/>
        <v>2.3575574010598914</v>
      </c>
      <c r="N35" s="221">
        <f t="shared" si="4"/>
        <v>2.4218578013202379</v>
      </c>
      <c r="O35" s="221">
        <f t="shared" si="4"/>
        <v>2.4836807638654266</v>
      </c>
      <c r="P35" s="263">
        <f t="shared" si="4"/>
        <v>2.5399818229513458</v>
      </c>
      <c r="Q35" s="263">
        <f t="shared" si="4"/>
        <v>2.593162917967573</v>
      </c>
      <c r="R35" s="263">
        <f t="shared" si="4"/>
        <v>2.6435117462956859</v>
      </c>
      <c r="S35" s="263">
        <f t="shared" si="4"/>
        <v>2.6912336233961884</v>
      </c>
      <c r="T35" s="263">
        <f>T96</f>
        <v>2.7364930063751922</v>
      </c>
      <c r="U35" s="1">
        <f t="shared" si="4"/>
        <v>2.7794541625407629</v>
      </c>
      <c r="V35" s="1">
        <f t="shared" si="4"/>
        <v>2.8202665390550012</v>
      </c>
      <c r="W35" s="1">
        <f t="shared" si="4"/>
        <v>2.8591440708598914</v>
      </c>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60"/>
    </row>
    <row r="36" spans="2:51" x14ac:dyDescent="0.2">
      <c r="B36" s="32" t="s">
        <v>94</v>
      </c>
      <c r="C36" s="263"/>
      <c r="D36" s="263"/>
      <c r="E36" s="384">
        <f>'Input data'!E39</f>
        <v>3.04</v>
      </c>
      <c r="F36" s="387">
        <f>'Input data'!F39</f>
        <v>2.9418000000000002</v>
      </c>
      <c r="G36" s="387">
        <f>'Input data'!G39</f>
        <v>3.0140359999999999</v>
      </c>
      <c r="H36" s="263">
        <f t="shared" ref="H36:N36" si="5">G36+($O$36-$G$36)/($O$10-$G$10)</f>
        <v>3.041204</v>
      </c>
      <c r="I36" s="263">
        <f t="shared" si="5"/>
        <v>3.0683720000000001</v>
      </c>
      <c r="J36" s="263">
        <f t="shared" si="5"/>
        <v>3.0955400000000002</v>
      </c>
      <c r="K36" s="263">
        <f t="shared" si="5"/>
        <v>3.1227080000000003</v>
      </c>
      <c r="L36" s="263">
        <f t="shared" si="5"/>
        <v>3.1498760000000003</v>
      </c>
      <c r="M36" s="263">
        <f t="shared" si="5"/>
        <v>3.1770440000000004</v>
      </c>
      <c r="N36" s="263">
        <f t="shared" si="5"/>
        <v>3.2042120000000005</v>
      </c>
      <c r="O36" s="388">
        <f>'Input data'!$C$52</f>
        <v>3.2313800000000001</v>
      </c>
      <c r="P36" s="263">
        <f>$O$36+('Input data'!$C$54-'Input data'!$C$52)/20*('Baseline NFPC'!P$10-2033)</f>
        <v>3.2698110000000002</v>
      </c>
      <c r="Q36" s="263">
        <f>$O$36+('Input data'!$C$54-'Input data'!$C$52)/20*('Baseline NFPC'!Q$10-2033)</f>
        <v>3.3082419999999999</v>
      </c>
      <c r="R36" s="263">
        <f>$O$36+('Input data'!$C$54-'Input data'!$C$52)/20*('Baseline NFPC'!R$10-2033)</f>
        <v>3.346673</v>
      </c>
      <c r="S36" s="263">
        <f>$O$36+('Input data'!$C$54-'Input data'!$C$52)/20*('Baseline NFPC'!S$10-2033)</f>
        <v>3.3851040000000001</v>
      </c>
      <c r="T36" s="263">
        <f>$O$36+('Input data'!$C$54-'Input data'!$C$52)/20*('Baseline NFPC'!T$10-2033)</f>
        <v>3.4235350000000002</v>
      </c>
      <c r="U36" s="1">
        <f>$O$36+('Input data'!$C$54-'Input data'!$C$52)/20*('Baseline NFPC'!U$10-2033)</f>
        <v>3.4619660000000003</v>
      </c>
      <c r="V36" s="1">
        <f>$O$36+('Input data'!$C$54-'Input data'!$C$52)/20*('Baseline NFPC'!V$10-2033)</f>
        <v>3.500397</v>
      </c>
      <c r="W36" s="1">
        <f>$O$36+('Input data'!$C$54-'Input data'!$C$52)/20*('Baseline NFPC'!W$10-2033)</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263"/>
      <c r="D37" s="263"/>
      <c r="E37" s="407">
        <f>'Input data'!E$38</f>
        <v>3.43</v>
      </c>
      <c r="F37" s="404">
        <f>'Input data'!F$38</f>
        <v>3.5642079999999998</v>
      </c>
      <c r="G37" s="387">
        <f>'Input data'!G$38</f>
        <v>2.8163749999999999</v>
      </c>
      <c r="H37" s="263">
        <f>G37+($O$37-$G$37)/($O$10-$G$10)</f>
        <v>2.8050893749999997</v>
      </c>
      <c r="I37" s="263">
        <f t="shared" ref="I37:N37" si="6">H37+($O$37-$G$37)/($O$10-$G$10)</f>
        <v>2.7938037499999995</v>
      </c>
      <c r="J37" s="263">
        <f t="shared" si="6"/>
        <v>2.7825181249999993</v>
      </c>
      <c r="K37" s="263">
        <f t="shared" si="6"/>
        <v>2.7712324999999991</v>
      </c>
      <c r="L37" s="263">
        <f t="shared" si="6"/>
        <v>2.7599468749999989</v>
      </c>
      <c r="M37" s="263">
        <f t="shared" si="6"/>
        <v>2.7486612499999987</v>
      </c>
      <c r="N37" s="263">
        <f t="shared" si="6"/>
        <v>2.7373756249999985</v>
      </c>
      <c r="O37" s="388">
        <f>'Input data'!$C$53</f>
        <v>2.7260900000000001</v>
      </c>
      <c r="P37" s="263">
        <f>$O$37+('Input data'!$C$55-'Input data'!$C$53)/20*('Baseline NFPC'!P$10-2033)</f>
        <v>2.6897855000000002</v>
      </c>
      <c r="Q37" s="263">
        <f>$O$37+('Input data'!$C$55-'Input data'!$C$53)/20*('Baseline NFPC'!Q$10-2033)</f>
        <v>2.6534810000000002</v>
      </c>
      <c r="R37" s="263">
        <f>$O$37+('Input data'!$C$55-'Input data'!$C$53)/20*('Baseline NFPC'!R$10-2033)</f>
        <v>2.6171765000000002</v>
      </c>
      <c r="S37" s="263">
        <f>$O$37+('Input data'!$C$55-'Input data'!$C$53)/20*('Baseline NFPC'!S$10-2033)</f>
        <v>2.5808720000000003</v>
      </c>
      <c r="T37" s="263">
        <f>$O$37+('Input data'!$C$55-'Input data'!$C$53)/20*('Baseline NFPC'!T$10-2033)</f>
        <v>2.5445675000000003</v>
      </c>
      <c r="U37" s="1">
        <f>$O$37+('Input data'!$C$55-'Input data'!$C$53)/20*('Baseline NFPC'!U$10-2033)</f>
        <v>2.5082629999999999</v>
      </c>
      <c r="V37" s="1">
        <f>$O$37+('Input data'!$C$55-'Input data'!$C$53)/20*('Baseline NFPC'!V$10-2033)</f>
        <v>2.4719584999999999</v>
      </c>
      <c r="W37" s="1">
        <f>$O$37+('Input data'!$C$55-'Input data'!$C$53)/20*('Baseline NFPC'!W$10-2033)</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26" t="s">
        <v>96</v>
      </c>
      <c r="C38" s="263">
        <v>6.1590999999999998E-3</v>
      </c>
      <c r="D38" s="263">
        <v>4.1645340000000003E-2</v>
      </c>
      <c r="E38" s="263">
        <v>3.9429850000000002E-2</v>
      </c>
      <c r="F38" s="263">
        <v>3.1775579999999998E-2</v>
      </c>
      <c r="G38" s="263">
        <f>IF(OR($C$3="EL",$C$3="CY",$C$3="IE",$C$3="PT"),VLOOKUP($C$3,$B$110:$T$114,MATCH(G$10,$B$110:$T$110,0),0),$F$38+('Input data'!$C$59-$F$38)/($O$10-$F$10)*(G10-$F$10))</f>
        <v>3.2450447777777773E-2</v>
      </c>
      <c r="H38" s="263">
        <f>IF(OR($C$3="EL",$C$3="CY",$C$3="IE",$C$3="PT"),VLOOKUP($C$3,$B$110:$T$114,MATCH(H$10,$B$110:$T$110,0),0),$F$38+('Input data'!$C$59-$F$38)/($O$10-$F$10)*(H10-$F$10))</f>
        <v>3.3125315555555555E-2</v>
      </c>
      <c r="I38" s="263">
        <f>IF(OR($C$3="EL",$C$3="CY",$C$3="IE",$C$3="PT"),VLOOKUP($C$3,$B$110:$T$114,MATCH(I$10,$B$110:$T$110,0),0),$F$38+('Input data'!$C$59-$F$38)/($O$10-$F$10)*(I10-$F$10))</f>
        <v>3.3800183333333331E-2</v>
      </c>
      <c r="J38" s="263">
        <f>IF(OR($C$3="EL",$C$3="CY",$C$3="IE",$C$3="PT"),VLOOKUP($C$3,$B$110:$T$114,MATCH(J$10,$B$110:$T$110,0),0),$F$38+('Input data'!$C$59-$F$38)/($O$10-$F$10)*(J10-$F$10))</f>
        <v>3.4475051111111106E-2</v>
      </c>
      <c r="K38" s="263">
        <f>IF(OR($C$3="EL",$C$3="CY",$C$3="IE",$C$3="PT"),VLOOKUP($C$3,$B$110:$T$114,MATCH(K$10,$B$110:$T$110,0),0),$F$38+('Input data'!$C$59-$F$38)/($O$10-$F$10)*(K10-$F$10))</f>
        <v>3.5149918888888888E-2</v>
      </c>
      <c r="L38" s="263">
        <f>IF(OR($C$3="EL",$C$3="CY",$C$3="IE",$C$3="PT"),VLOOKUP($C$3,$B$110:$T$114,MATCH(L$10,$B$110:$T$110,0),0),$F$38+('Input data'!$C$59-$F$38)/($O$10-$F$10)*(L10-$F$10))</f>
        <v>3.5824786666666664E-2</v>
      </c>
      <c r="M38" s="263">
        <f>IF(OR($C$3="EL",$C$3="CY",$C$3="IE",$C$3="PT"),VLOOKUP($C$3,$B$110:$T$114,MATCH(M$10,$B$110:$T$110,0),0),$F$38+('Input data'!$C$59-$F$38)/($O$10-$F$10)*(M10-$F$10))</f>
        <v>3.6499654444444439E-2</v>
      </c>
      <c r="N38" s="263">
        <f>IF(OR($C$3="EL",$C$3="CY",$C$3="IE",$C$3="PT"),VLOOKUP($C$3,$B$110:$T$114,MATCH(N$10,$B$110:$T$110,0),0),$F$38+('Input data'!$C$59-$F$38)/($O$10-$F$10)*(N10-$F$10))</f>
        <v>3.7174522222222221E-2</v>
      </c>
      <c r="O38" s="388">
        <f>IF(OR($C$3="EL",$C$3="CY",$C$3="IE",$C$3="PT"),VLOOKUP($C$3,$B$110:$T$114,MATCH(O$10,$B$110:$T$110,0),0),'Input data'!$C$59)</f>
        <v>3.7849389999999997E-2</v>
      </c>
      <c r="P38" s="263">
        <f>IF(OR($C$3="EL",$C$3="CY",$C$3="IE",$C$3="PT"),VLOOKUP($C$3,$B$110:$T$114,MATCH(P$10,$B$110:$T$110,0),0),'Input data'!$C$59)</f>
        <v>3.7849389999999997E-2</v>
      </c>
      <c r="Q38" s="263">
        <f>IF(OR($C$3="EL",$C$3="CY",$C$3="IE",$C$3="PT"),VLOOKUP($C$3,$B$110:$T$114,MATCH(Q$10,$B$110:$T$110,0),0),'Input data'!$C$59)</f>
        <v>3.7849389999999997E-2</v>
      </c>
      <c r="R38" s="263">
        <f>IF(OR($C$3="EL",$C$3="CY",$C$3="IE",$C$3="PT"),VLOOKUP($C$3,$B$110:$T$114,MATCH(R$10,$B$110:$T$110,0),0),'Input data'!$C$59)</f>
        <v>3.7849389999999997E-2</v>
      </c>
      <c r="S38" s="263">
        <f>IF(OR($C$3="EL",$C$3="CY",$C$3="IE",$C$3="PT"),VLOOKUP($C$3,$B$110:$T$114,MATCH(S$10,$B$110:$T$110,0),0),'Input data'!$C$59)</f>
        <v>3.7849389999999997E-2</v>
      </c>
      <c r="T38" s="263">
        <f>IF(OR($C$3="EL",$C$3="CY",$C$3="IE",$C$3="PT"),VLOOKUP($C$3,$B$110:$T$114,MATCH(T$10,$B$110:$T$110,0),0),'Input data'!$C$59)</f>
        <v>3.7849389999999997E-2</v>
      </c>
      <c r="U38" s="1">
        <f>IF(OR($C$3="EL",$C$3="CY",$C$3="IE",$C$3="PT"),VLOOKUP($C$3,$B$110:$W$114,MATCH(U$10,$B$110:$W$110,0),0),'Input data'!$C$59)</f>
        <v>3.7849389999999997E-2</v>
      </c>
      <c r="V38" s="1">
        <f>IF(OR($C$3="EL",$C$3="CY",$C$3="IE",$C$3="PT"),VLOOKUP($C$3,$B$110:$W$114,MATCH(V$10,$B$110:$W$110,0),0),'Input data'!$C$59)</f>
        <v>3.7849389999999997E-2</v>
      </c>
      <c r="W38" s="1">
        <f>IF(OR($C$3="EL",$C$3="CY",$C$3="IE",$C$3="PT"),VLOOKUP($C$3,$B$110:$W$114,MATCH(W$10,$B$110:$W$110,0),0),'Input data'!$C$59)</f>
        <v>3.7849389999999997E-2</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x14ac:dyDescent="0.2">
      <c r="C39" s="263"/>
      <c r="D39" s="263"/>
      <c r="E39" s="263"/>
      <c r="F39" s="263"/>
      <c r="G39" s="263"/>
      <c r="H39" s="263"/>
      <c r="I39" s="263"/>
      <c r="J39" s="263"/>
      <c r="K39" s="263"/>
      <c r="L39" s="263"/>
      <c r="M39" s="263"/>
      <c r="N39" s="263"/>
      <c r="O39" s="263"/>
      <c r="P39" s="263"/>
      <c r="Q39" s="263"/>
      <c r="R39" s="263"/>
      <c r="S39" s="263"/>
      <c r="T39" s="263"/>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263"/>
      <c r="D40" s="263"/>
      <c r="E40" s="263"/>
      <c r="F40" s="263"/>
      <c r="G40" s="263"/>
      <c r="H40" s="263"/>
      <c r="I40" s="263"/>
      <c r="J40" s="263"/>
      <c r="K40" s="263"/>
      <c r="L40" s="263"/>
      <c r="M40" s="263"/>
      <c r="N40" s="263"/>
      <c r="O40" s="263"/>
      <c r="P40" s="263"/>
      <c r="Q40" s="263"/>
      <c r="R40" s="263"/>
      <c r="S40" s="263"/>
      <c r="T40" s="263"/>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66</v>
      </c>
      <c r="C41" s="263">
        <f>'Input data'!C42</f>
        <v>2.397958</v>
      </c>
      <c r="D41" s="263">
        <f>'Input data'!D42</f>
        <v>5.3837979999999996</v>
      </c>
      <c r="E41" s="384">
        <f>'Input data'!E42</f>
        <v>3.9011728023607306</v>
      </c>
      <c r="F41" s="384">
        <f>'Input data'!F42</f>
        <v>1.6905743485635893</v>
      </c>
      <c r="G41" s="384">
        <f>'Input data'!G42</f>
        <v>2.1354755393935054</v>
      </c>
      <c r="H41" s="263">
        <f t="shared" ref="H41:N41" si="7">$G$41+($O$41-$G$41)/($O$10-$G$10)*(H10-$G$10)</f>
        <v>2.1872910969693171</v>
      </c>
      <c r="I41" s="263">
        <f t="shared" si="7"/>
        <v>2.2391066545451288</v>
      </c>
      <c r="J41" s="263">
        <f t="shared" si="7"/>
        <v>2.2909222121209409</v>
      </c>
      <c r="K41" s="263">
        <f t="shared" si="7"/>
        <v>2.3427377696967526</v>
      </c>
      <c r="L41" s="263">
        <f t="shared" si="7"/>
        <v>2.3945533272725643</v>
      </c>
      <c r="M41" s="263">
        <f t="shared" si="7"/>
        <v>2.4463688848483764</v>
      </c>
      <c r="N41" s="263">
        <f t="shared" si="7"/>
        <v>2.4981844424241881</v>
      </c>
      <c r="O41" s="388">
        <f>'Input data'!$C$61</f>
        <v>2.5499999999999998</v>
      </c>
      <c r="P41" s="263">
        <f>$O$41+('Input data'!$C$62-'Input data'!$C$61)/20*(P$10-2033)</f>
        <v>2.5225</v>
      </c>
      <c r="Q41" s="263">
        <f>$O$41+('Input data'!$C$62-'Input data'!$C$61)/20*(Q$10-2033)</f>
        <v>2.4949999999999997</v>
      </c>
      <c r="R41" s="263">
        <f>$O$41+('Input data'!$C$62-'Input data'!$C$61)/20*(R$10-2033)</f>
        <v>2.4674999999999998</v>
      </c>
      <c r="S41" s="263">
        <f>$O$41+('Input data'!$C$62-'Input data'!$C$61)/20*(S$10-2033)</f>
        <v>2.44</v>
      </c>
      <c r="T41" s="263">
        <f>$O$41+('Input data'!$C$62-'Input data'!$C$61)/20*(T$10-2033)</f>
        <v>2.4124999999999996</v>
      </c>
      <c r="U41" s="1">
        <f>$O$41+('Input data'!$C$62-'Input data'!$C$61)/20*(U$10-2033)</f>
        <v>2.3849999999999998</v>
      </c>
      <c r="V41" s="1">
        <f>$O$41+('Input data'!$C$62-'Input data'!$C$61)/20*(V$10-2033)</f>
        <v>2.3574999999999999</v>
      </c>
      <c r="W41" s="1">
        <f>$O$41+('Input data'!$C$62-'Input data'!$C$61)/20*(W$10-2033)</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263">
        <v>0.99918229999999997</v>
      </c>
      <c r="D42" s="263">
        <v>1.0048170000000001</v>
      </c>
      <c r="E42" s="263">
        <v>0.99943179999999998</v>
      </c>
      <c r="F42" s="263">
        <v>1.0001910000000001</v>
      </c>
      <c r="G42" s="263">
        <v>1.000102</v>
      </c>
      <c r="H42" s="263">
        <v>1</v>
      </c>
      <c r="I42" s="263">
        <v>1</v>
      </c>
      <c r="J42" s="263">
        <v>1</v>
      </c>
      <c r="K42" s="263">
        <v>1</v>
      </c>
      <c r="L42" s="263">
        <v>1</v>
      </c>
      <c r="M42" s="263">
        <v>1</v>
      </c>
      <c r="N42" s="263">
        <v>1</v>
      </c>
      <c r="O42" s="263">
        <v>1</v>
      </c>
      <c r="P42" s="263">
        <v>1</v>
      </c>
      <c r="Q42" s="263">
        <v>1</v>
      </c>
      <c r="R42" s="263">
        <v>1</v>
      </c>
      <c r="S42" s="263">
        <v>1</v>
      </c>
      <c r="T42" s="263">
        <v>1</v>
      </c>
      <c r="U42" s="1">
        <v>1</v>
      </c>
      <c r="V42" s="1">
        <v>1</v>
      </c>
      <c r="W42" s="1">
        <v>1</v>
      </c>
      <c r="X42" s="1"/>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71" customFormat="1" ht="12.75" x14ac:dyDescent="0.2">
      <c r="B44" s="75" t="s">
        <v>99</v>
      </c>
      <c r="C44" s="76"/>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0</v>
      </c>
      <c r="H49" s="34">
        <f>IF(AND(ABS((H12-G12)-('Input data'!H13-'Input data'!G13))&gt;0.0001,ABS(H12-G12)&gt;0.0001,H$10&gt;$C$5),4,IF(G49=4,3,IF(G49=3,2,IF(G49=2,1,0))))</f>
        <v>0</v>
      </c>
      <c r="I49" s="34">
        <f>IF(AND(ABS((I12-H12)-('Input data'!I13-'Input data'!H13))&gt;0.0001,ABS(I12-H12)&gt;0.0001,I$10&gt;$C$5),4,IF(H49=4,3,IF(H49=3,2,IF(H49=2,1,0))))</f>
        <v>0</v>
      </c>
      <c r="J49" s="34">
        <f>IF(AND(ABS((J12-I12)-('Input data'!J13-'Input data'!I13))&gt;0.0001,ABS(J12-I12)&gt;0.0001,J$10&gt;$C$5),4,IF(I49=4,3,IF(I49=3,2,IF(I49=2,1,0))))</f>
        <v>0</v>
      </c>
      <c r="K49" s="34">
        <f>IF(AND(ABS((K12-J12)-('Input data'!K13-'Input data'!J13))&gt;0.0001,ABS(K12-J12)&gt;0.0001,K$10&gt;$C$5),4,IF(J49=4,3,IF(J49=3,2,IF(J49=2,1,0))))</f>
        <v>0</v>
      </c>
      <c r="L49" s="34">
        <f>IF(AND(ABS((L12-K12)-('Input data'!L13-'Input data'!K13))&gt;0.0001,ABS(L12-K12)&gt;0.0001,L$10&gt;$C$5),4,IF(K49=4,3,IF(K49=3,2,IF(K49=2,1,0))))</f>
        <v>0</v>
      </c>
      <c r="M49" s="34">
        <f>IF(AND(ABS((M12-L12)-('Input data'!M13-'Input data'!L13))&gt;0.0001,ABS(M12-L12)&gt;0.0001,M$10&gt;$C$5),4,IF(L49=4,3,IF(L49=3,2,IF(L49=2,1,0))))</f>
        <v>0</v>
      </c>
      <c r="N49" s="34">
        <f>IF(AND(ABS((N12-M12)-('Input data'!N13-'Input data'!M13))&gt;0.0001,ABS(N12-M12)&gt;0.0001,N$10&gt;$C$5),4,IF(M49=4,3,IF(M49=3,2,IF(M49=2,1,0))))</f>
        <v>0</v>
      </c>
      <c r="O49" s="34">
        <f>IF(AND(ABS((O12-N12)-('Input data'!O13-'Input data'!N13))&gt;0.0001,ABS(O12-N12)&gt;0.0001,O$10&gt;$C$5),4,IF(N49=4,3,IF(N49=3,2,IF(N49=2,1,0))))</f>
        <v>0</v>
      </c>
      <c r="P49" s="34">
        <f>IF(AND(ABS((P12-O12)-('Input data'!P13-'Input data'!O13))&gt;0.0001,ABS(P12-O12)&gt;0.0001,P$10&gt;$C$5),4,IF(O49=4,3,IF(O49=3,2,IF(O49=2,1,0))))</f>
        <v>0</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c r="D50" s="34">
        <f t="shared" ref="D50:W50" si="8">IF(C49=4,2/3*C29,IF(C49=3,1/3*B29,0))</f>
        <v>0</v>
      </c>
      <c r="E50" s="34">
        <f t="shared" si="8"/>
        <v>0</v>
      </c>
      <c r="F50" s="34">
        <f t="shared" si="8"/>
        <v>0</v>
      </c>
      <c r="G50" s="34">
        <f t="shared" si="8"/>
        <v>0</v>
      </c>
      <c r="H50" s="34">
        <f t="shared" si="8"/>
        <v>0</v>
      </c>
      <c r="I50" s="34">
        <f t="shared" si="8"/>
        <v>0</v>
      </c>
      <c r="J50" s="34">
        <f t="shared" si="8"/>
        <v>0</v>
      </c>
      <c r="K50" s="34">
        <f t="shared" si="8"/>
        <v>0</v>
      </c>
      <c r="L50" s="34">
        <f t="shared" si="8"/>
        <v>0</v>
      </c>
      <c r="M50" s="34">
        <f t="shared" si="8"/>
        <v>0</v>
      </c>
      <c r="N50" s="34">
        <f t="shared" si="8"/>
        <v>0</v>
      </c>
      <c r="O50" s="34">
        <f t="shared" si="8"/>
        <v>0</v>
      </c>
      <c r="P50" s="34">
        <f t="shared" si="8"/>
        <v>0</v>
      </c>
      <c r="Q50" s="34">
        <f t="shared" si="8"/>
        <v>0</v>
      </c>
      <c r="R50" s="34">
        <f t="shared" si="8"/>
        <v>0</v>
      </c>
      <c r="S50" s="34">
        <f t="shared" si="8"/>
        <v>0</v>
      </c>
      <c r="T50" s="34">
        <f t="shared" si="8"/>
        <v>0</v>
      </c>
      <c r="U50" s="34">
        <f t="shared" si="8"/>
        <v>0</v>
      </c>
      <c r="V50" s="34">
        <f t="shared" si="8"/>
        <v>0</v>
      </c>
      <c r="W50" s="34">
        <f t="shared" si="8"/>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-1.1595058938339342</v>
      </c>
      <c r="F51" s="34">
        <f>'Input data'!F30-$C$46*((F12-E12)-('Input data'!F13-'Input data'!E13))</f>
        <v>-0.22177088705733761</v>
      </c>
      <c r="G51" s="34">
        <f>'Input data'!G30-$C$46*((G12-F12)-('Input data'!G13-'Input data'!F13))</f>
        <v>2.1160325084088298</v>
      </c>
      <c r="H51" s="34">
        <f>'Input data'!H30-$C$46*((H12-G12))</f>
        <v>1.8351999999999924</v>
      </c>
      <c r="I51" s="34">
        <f>'Input data'!I30-$C$46*((I12-H12))</f>
        <v>1.8351999999999924</v>
      </c>
      <c r="J51" s="34">
        <f>'Input data'!J30-$C$46*((J12-I12))</f>
        <v>1.8351999999999924</v>
      </c>
      <c r="K51" s="34">
        <f>'Input data'!K30-$C$46*((K12-J12))</f>
        <v>0.93510000000001092</v>
      </c>
      <c r="L51" s="34">
        <f>'Input data'!L30-$C$46*((L12-K12))</f>
        <v>0.93508997222222501</v>
      </c>
      <c r="M51" s="34">
        <f>'Input data'!M30-$C$46*((M12-L12))</f>
        <v>0.93508697222222104</v>
      </c>
      <c r="N51" s="34">
        <f>'Input data'!N30-$C$46*((N12-M12))</f>
        <v>0.93508687222221276</v>
      </c>
      <c r="O51" s="34">
        <f>'Input data'!O30-$C$46*((O12-N12))</f>
        <v>0.93508597222222711</v>
      </c>
      <c r="P51" s="34">
        <f>'Input data'!P30-$C$46*((P12-O12))</f>
        <v>0.93508937222221977</v>
      </c>
      <c r="Q51" s="34">
        <f>'Input data'!Q30-$C$46*((Q12-P12))</f>
        <v>0.93508447222221402</v>
      </c>
      <c r="R51" s="34">
        <f>'Input data'!R30-$C$46*((R12-Q12))</f>
        <v>0.93508647222222407</v>
      </c>
      <c r="S51" s="34">
        <f>'Input data'!S30-$C$46*((S12-R12))</f>
        <v>0.9350834722222201</v>
      </c>
      <c r="T51" s="34">
        <f>'Input data'!T30-$C$46*((T12-S12))</f>
        <v>0.93508947222222805</v>
      </c>
      <c r="U51" s="34">
        <f>'Input data'!U30-$C$46*((U12-T12))</f>
        <v>0.93508647222222407</v>
      </c>
      <c r="V51" s="34">
        <f>'Input data'!V30-$C$46*((V12-U12))</f>
        <v>0.93509147222221589</v>
      </c>
      <c r="W51" s="34">
        <f>'Input data'!W30-$C$46*((W12-V12))</f>
        <v>0.93508847222221192</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71" customFormat="1" ht="12.75" outlineLevel="1" x14ac:dyDescent="0.2">
      <c r="B53" s="72" t="s">
        <v>103</v>
      </c>
      <c r="C53" s="73"/>
      <c r="E53" s="74"/>
      <c r="F53" s="73"/>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f t="shared" ref="E56:T56" si="9">+D56+E57</f>
        <v>76.572506382321123</v>
      </c>
      <c r="F56" s="45">
        <f>+E56+F57</f>
        <v>81.669832373893243</v>
      </c>
      <c r="G56" s="45">
        <f>+F56+G57</f>
        <v>83.136004585591664</v>
      </c>
      <c r="H56" s="45">
        <f t="shared" si="9"/>
        <v>84.547695744971463</v>
      </c>
      <c r="I56" s="45">
        <f t="shared" si="9"/>
        <v>85.202450878744003</v>
      </c>
      <c r="J56" s="45">
        <f t="shared" si="9"/>
        <v>85.373154660813341</v>
      </c>
      <c r="K56" s="45">
        <f t="shared" si="9"/>
        <v>86.054667472113593</v>
      </c>
      <c r="L56" s="45">
        <f t="shared" si="9"/>
        <v>86.842975329658898</v>
      </c>
      <c r="M56" s="45">
        <f t="shared" si="9"/>
        <v>88.141853688749023</v>
      </c>
      <c r="N56" s="45">
        <f t="shared" si="9"/>
        <v>89.46893897652032</v>
      </c>
      <c r="O56" s="45">
        <f t="shared" si="9"/>
        <v>90.628789977511758</v>
      </c>
      <c r="P56" s="45">
        <f t="shared" si="9"/>
        <v>91.688319199643459</v>
      </c>
      <c r="Q56" s="45">
        <f t="shared" si="9"/>
        <v>92.639001926448401</v>
      </c>
      <c r="R56" s="45">
        <f>+Q56+R57</f>
        <v>93.464834635343962</v>
      </c>
      <c r="S56" s="45">
        <f t="shared" si="9"/>
        <v>94.146838121002887</v>
      </c>
      <c r="T56" s="45">
        <f t="shared" si="9"/>
        <v>94.669136288857644</v>
      </c>
      <c r="U56" s="45">
        <f>+T56+U57</f>
        <v>95.017277119626399</v>
      </c>
      <c r="V56" s="45">
        <f>+U56+V57</f>
        <v>95.191891810975605</v>
      </c>
      <c r="W56" s="45">
        <f>+V56+W57</f>
        <v>95.209126776695626</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T57" si="10">-E58+E66+E71</f>
        <v>3.060895797359378</v>
      </c>
      <c r="F57" s="47">
        <f>-F58+F66+F71</f>
        <v>5.0973259915721227</v>
      </c>
      <c r="G57" s="47">
        <f>-G58+G66+G71</f>
        <v>1.4661722116984235</v>
      </c>
      <c r="H57" s="47">
        <f t="shared" si="10"/>
        <v>1.4116911593797983</v>
      </c>
      <c r="I57" s="47">
        <f t="shared" si="10"/>
        <v>0.65475513377254246</v>
      </c>
      <c r="J57" s="47">
        <f t="shared" si="10"/>
        <v>0.17070378206934556</v>
      </c>
      <c r="K57" s="47">
        <f t="shared" si="10"/>
        <v>0.68151281130024666</v>
      </c>
      <c r="L57" s="47">
        <f t="shared" si="10"/>
        <v>0.78830785754530208</v>
      </c>
      <c r="M57" s="47">
        <f t="shared" si="10"/>
        <v>1.2988783590901201</v>
      </c>
      <c r="N57" s="47">
        <f t="shared" si="10"/>
        <v>1.327085287771302</v>
      </c>
      <c r="O57" s="47">
        <f t="shared" si="10"/>
        <v>1.1598510009914444</v>
      </c>
      <c r="P57" s="47">
        <f t="shared" si="10"/>
        <v>1.059529222131701</v>
      </c>
      <c r="Q57" s="47">
        <f t="shared" si="10"/>
        <v>0.95068272680494736</v>
      </c>
      <c r="R57" s="47">
        <f>-R58+R66+R71</f>
        <v>0.8258327088955647</v>
      </c>
      <c r="S57" s="47">
        <f t="shared" si="10"/>
        <v>0.68200348565892632</v>
      </c>
      <c r="T57" s="47">
        <f t="shared" si="10"/>
        <v>0.52229816785475425</v>
      </c>
      <c r="U57" s="47">
        <f>-U58+U66+U71</f>
        <v>0.34814083076875757</v>
      </c>
      <c r="V57" s="47">
        <f>-V58+V66+V71</f>
        <v>0.17461469134920593</v>
      </c>
      <c r="W57" s="47">
        <f>-W58+W66+W71</f>
        <v>1.7234965720017259E-2</v>
      </c>
    </row>
    <row r="58" spans="2:48" outlineLevel="1" x14ac:dyDescent="0.2">
      <c r="B58" s="84" t="s">
        <v>106</v>
      </c>
      <c r="C58" s="48"/>
      <c r="D58" s="48">
        <f>D59+D60-D61-D62-D63-D64-D65</f>
        <v>0.20695241503824502</v>
      </c>
      <c r="E58" s="402">
        <f>E59+E60-E61-E62-E63-E64-E65</f>
        <v>-1.7183327929179697</v>
      </c>
      <c r="F58" s="402">
        <f>F59+F60-F61-F62-F63-F64-F65</f>
        <v>-2.4049191831936598</v>
      </c>
      <c r="G58" s="48">
        <f t="shared" ref="G58:T58" si="11">G59+G60-G61-G62-G63-G64-G65</f>
        <v>-1.8475711933206498</v>
      </c>
      <c r="H58" s="48">
        <f t="shared" si="11"/>
        <v>-1.3333563898150647</v>
      </c>
      <c r="I58" s="48">
        <f t="shared" si="11"/>
        <v>-0.85670393936867384</v>
      </c>
      <c r="J58" s="48">
        <f t="shared" si="11"/>
        <v>-0.43309565345526818</v>
      </c>
      <c r="K58" s="48">
        <f t="shared" si="11"/>
        <v>-0.53970565345526533</v>
      </c>
      <c r="L58" s="48">
        <f t="shared" si="11"/>
        <v>-0.60572143556115365</v>
      </c>
      <c r="M58" s="48">
        <f t="shared" si="11"/>
        <v>-0.6550189474929885</v>
      </c>
      <c r="N58" s="48">
        <f t="shared" si="11"/>
        <v>-0.68254551708474653</v>
      </c>
      <c r="O58" s="48">
        <f t="shared" si="11"/>
        <v>-0.67251360562332707</v>
      </c>
      <c r="P58" s="48">
        <f t="shared" si="11"/>
        <v>-0.66291973369150636</v>
      </c>
      <c r="Q58" s="48">
        <f t="shared" si="11"/>
        <v>-0.64480868714093309</v>
      </c>
      <c r="R58" s="48">
        <f t="shared" si="11"/>
        <v>-0.61072648737206847</v>
      </c>
      <c r="S58" s="48">
        <f t="shared" si="11"/>
        <v>-0.55771501742729357</v>
      </c>
      <c r="T58" s="48">
        <f t="shared" si="11"/>
        <v>-0.4889610878312276</v>
      </c>
      <c r="U58" s="48">
        <f>U59+U60-U61-U62-U63-U64-U65</f>
        <v>-0.40598888805921907</v>
      </c>
      <c r="V58" s="48">
        <f>V59+V60-V61-V62-V63-V64-V65</f>
        <v>-0.32405380524540817</v>
      </c>
      <c r="W58" s="48">
        <f>W59+W60-W61-W62-W63-W64-W65</f>
        <v>-0.25883045225550111</v>
      </c>
    </row>
    <row r="59" spans="2:48" outlineLevel="1" x14ac:dyDescent="0.2">
      <c r="B59" s="79" t="s">
        <v>107</v>
      </c>
      <c r="C59" s="1"/>
      <c r="D59" s="1">
        <f>D12</f>
        <v>0.29205680000000001</v>
      </c>
      <c r="E59" s="1">
        <f>E12</f>
        <v>-0.3391101166058319</v>
      </c>
      <c r="F59" s="1">
        <f>F12</f>
        <v>-0.3744433445451063</v>
      </c>
      <c r="G59" s="1">
        <f t="shared" ref="G59:W59" si="12">IF(G12="",F59,G12)</f>
        <v>-0.3744433445451063</v>
      </c>
      <c r="H59" s="1">
        <f>IF(H12="",G59,H12)</f>
        <v>-0.3744433445451063</v>
      </c>
      <c r="I59" s="1">
        <f t="shared" si="12"/>
        <v>-0.3744433445451063</v>
      </c>
      <c r="J59" s="1">
        <f t="shared" si="12"/>
        <v>-0.3744433445451063</v>
      </c>
      <c r="K59" s="1">
        <f t="shared" si="12"/>
        <v>-0.3744433445451063</v>
      </c>
      <c r="L59" s="1">
        <f t="shared" si="12"/>
        <v>-0.3744433445451063</v>
      </c>
      <c r="M59" s="1">
        <f t="shared" si="12"/>
        <v>-0.3744433445451063</v>
      </c>
      <c r="N59" s="1">
        <f t="shared" si="12"/>
        <v>-0.3744433445451063</v>
      </c>
      <c r="O59" s="1">
        <f t="shared" si="12"/>
        <v>-0.3744433445451063</v>
      </c>
      <c r="P59" s="1">
        <f t="shared" si="12"/>
        <v>-0.3744433445451063</v>
      </c>
      <c r="Q59" s="1">
        <f t="shared" si="12"/>
        <v>-0.3744433445451063</v>
      </c>
      <c r="R59" s="1">
        <f t="shared" si="12"/>
        <v>-0.3744433445451063</v>
      </c>
      <c r="S59" s="1">
        <f t="shared" si="12"/>
        <v>-0.3744433445451063</v>
      </c>
      <c r="T59" s="1">
        <f t="shared" si="12"/>
        <v>-0.3744433445451063</v>
      </c>
      <c r="U59" s="1">
        <f t="shared" si="12"/>
        <v>-0.3744433445451063</v>
      </c>
      <c r="V59" s="1">
        <f t="shared" si="12"/>
        <v>-0.3744433445451063</v>
      </c>
      <c r="W59" s="1">
        <f t="shared" si="12"/>
        <v>-0.3744433445451063</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13">-$C$47*D29</f>
        <v>8.5104384961754986E-2</v>
      </c>
      <c r="E61" s="1">
        <f t="shared" si="13"/>
        <v>1.3792226763121378</v>
      </c>
      <c r="F61" s="1">
        <f t="shared" si="13"/>
        <v>2.0304758386485537</v>
      </c>
      <c r="G61" s="1">
        <f t="shared" si="13"/>
        <v>1.5295778487755447</v>
      </c>
      <c r="H61" s="1">
        <f>-$C$47*H29</f>
        <v>1.0242130452699616</v>
      </c>
      <c r="I61" s="1">
        <f t="shared" si="13"/>
        <v>0.51434159482357045</v>
      </c>
      <c r="J61" s="1">
        <f>-$C$47*J29</f>
        <v>-7.6691089840386081E-5</v>
      </c>
      <c r="K61" s="1">
        <f t="shared" si="13"/>
        <v>-7.6691089840386081E-5</v>
      </c>
      <c r="L61" s="1">
        <f t="shared" si="13"/>
        <v>-7.0908983951101226E-5</v>
      </c>
      <c r="M61" s="1">
        <f t="shared" si="13"/>
        <v>-6.3397052119462666E-5</v>
      </c>
      <c r="N61" s="1">
        <f t="shared" si="13"/>
        <v>-5.5827460360857724E-5</v>
      </c>
      <c r="O61" s="1">
        <f t="shared" si="13"/>
        <v>-4.7738921777140669E-5</v>
      </c>
      <c r="P61" s="1">
        <f t="shared" si="13"/>
        <v>-4.1610853599305385E-5</v>
      </c>
      <c r="Q61" s="1">
        <f t="shared" si="13"/>
        <v>-3.265740417024432E-5</v>
      </c>
      <c r="R61" s="1">
        <f t="shared" si="13"/>
        <v>-2.485717303977175E-5</v>
      </c>
      <c r="S61" s="1">
        <f t="shared" si="13"/>
        <v>-1.5327117814933899E-5</v>
      </c>
      <c r="T61" s="1">
        <f t="shared" si="13"/>
        <v>-9.2567138803456566E-6</v>
      </c>
      <c r="U61" s="1">
        <f t="shared" si="13"/>
        <v>-1.4564858901611188E-6</v>
      </c>
      <c r="V61" s="1">
        <f t="shared" si="13"/>
        <v>3.4607003015274528E-6</v>
      </c>
      <c r="W61" s="1">
        <f t="shared" si="13"/>
        <v>1.0107710393736368E-5</v>
      </c>
    </row>
    <row r="62" spans="2:48" outlineLevel="1" x14ac:dyDescent="0.2">
      <c r="B62" s="79" t="s">
        <v>110</v>
      </c>
      <c r="C62" s="1"/>
      <c r="D62" s="1">
        <f t="shared" ref="D62:W62" si="14">-D13</f>
        <v>0</v>
      </c>
      <c r="E62" s="1">
        <f t="shared" si="14"/>
        <v>0</v>
      </c>
      <c r="F62" s="1">
        <f t="shared" si="14"/>
        <v>0</v>
      </c>
      <c r="G62" s="1">
        <f t="shared" si="14"/>
        <v>0</v>
      </c>
      <c r="H62" s="1">
        <f>-H13</f>
        <v>0</v>
      </c>
      <c r="I62" s="1">
        <f t="shared" si="14"/>
        <v>0</v>
      </c>
      <c r="J62" s="1">
        <f t="shared" si="14"/>
        <v>0</v>
      </c>
      <c r="K62" s="1">
        <f t="shared" si="14"/>
        <v>0</v>
      </c>
      <c r="L62" s="1">
        <f t="shared" si="14"/>
        <v>0</v>
      </c>
      <c r="M62" s="1">
        <f t="shared" si="14"/>
        <v>0</v>
      </c>
      <c r="N62" s="1">
        <f t="shared" si="14"/>
        <v>0</v>
      </c>
      <c r="O62" s="1">
        <f t="shared" si="14"/>
        <v>0</v>
      </c>
      <c r="P62" s="1">
        <f t="shared" si="14"/>
        <v>0</v>
      </c>
      <c r="Q62" s="1">
        <f t="shared" si="14"/>
        <v>0</v>
      </c>
      <c r="R62" s="1">
        <f t="shared" si="14"/>
        <v>0</v>
      </c>
      <c r="S62" s="1">
        <f t="shared" si="14"/>
        <v>0</v>
      </c>
      <c r="T62" s="1">
        <f t="shared" si="14"/>
        <v>0</v>
      </c>
      <c r="U62" s="1">
        <f t="shared" si="14"/>
        <v>0</v>
      </c>
      <c r="V62" s="1">
        <f t="shared" si="14"/>
        <v>0</v>
      </c>
      <c r="W62" s="1">
        <f t="shared" si="14"/>
        <v>0</v>
      </c>
    </row>
    <row r="63" spans="2:48" outlineLevel="1" x14ac:dyDescent="0.2">
      <c r="B63" s="79" t="s">
        <v>111</v>
      </c>
      <c r="C63" s="1"/>
      <c r="D63" s="1">
        <f>IF(D$55&lt;=$C$5,0,HLOOKUP(D$55,'Input data'!$C$9:$BB$26,12,FALSE)-HLOOKUP($C$5,'Input data'!$C$9:$BB$26,12,FALSE))</f>
        <v>0</v>
      </c>
      <c r="E63" s="1">
        <f>IF(E$55&lt;=$C$5,0,HLOOKUP(E$55,'Input data'!$C$9:$BB$26,12,FALSE)-HLOOKUP($C$5,'Input data'!$C$9:$BB$26,12,FALSE))</f>
        <v>0</v>
      </c>
      <c r="F63" s="1">
        <f>IF(F$55&lt;=$C$5,0,HLOOKUP(F$55,'Input data'!$C$9:$BB$26,12,FALSE)-HLOOKUP($C$5,'Input data'!$C$9:$BB$26,12,FALSE))</f>
        <v>0</v>
      </c>
      <c r="G63" s="1">
        <f>IF(G$55&lt;=$C$5,0,HLOOKUP(G$55,'Input data'!$C$9:$BB$26,12,FALSE)-HLOOKUP($C$5,'Input data'!$C$9:$BB$26,12,FALSE))</f>
        <v>-4.9800000000001177E-2</v>
      </c>
      <c r="H63" s="1">
        <f>IF(H$55&lt;=$C$5,0,HLOOKUP(H$55,'Input data'!$C$9:$BB$26,12,FALSE)-HLOOKUP($C$5,'Input data'!$C$9:$BB$26,12,FALSE))</f>
        <v>-5.2000000000003155E-2</v>
      </c>
      <c r="I63" s="1">
        <f>IF(I$55&lt;=$C$5,0,HLOOKUP(I$55,'Input data'!$C$9:$BB$26,12,FALSE)-HLOOKUP($C$5,'Input data'!$C$9:$BB$26,12,FALSE))</f>
        <v>-1.2130000000002639E-2</v>
      </c>
      <c r="J63" s="1">
        <f>IF(J$55&lt;=$C$5,0,HLOOKUP(J$55,'Input data'!$C$9:$BB$26,12,FALSE)-HLOOKUP($C$5,'Input data'!$C$9:$BB$26,12,FALSE))</f>
        <v>8.533000000000257E-2</v>
      </c>
      <c r="K63" s="1">
        <f>IF(K$55&lt;=$C$5,0,HLOOKUP(K$55,'Input data'!$C$9:$BB$26,12,FALSE)-HLOOKUP($C$5,'Input data'!$C$9:$BB$26,12,FALSE))</f>
        <v>0.19858999999999938</v>
      </c>
      <c r="L63" s="1">
        <f>IF(L$55&lt;=$C$5,0,HLOOKUP(L$55,'Input data'!$C$9:$BB$26,12,FALSE)-HLOOKUP($C$5,'Input data'!$C$9:$BB$26,12,FALSE))</f>
        <v>0.27124999999999844</v>
      </c>
      <c r="M63" s="1">
        <f>IF(M$55&lt;=$C$5,0,HLOOKUP(M$55,'Input data'!$C$9:$BB$26,12,FALSE)-HLOOKUP($C$5,'Input data'!$C$9:$BB$26,12,FALSE))</f>
        <v>0.32719000000000165</v>
      </c>
      <c r="N63" s="1">
        <f>IF(N$55&lt;=$C$5,0,HLOOKUP(N$55,'Input data'!$C$9:$BB$26,12,FALSE)-HLOOKUP($C$5,'Input data'!$C$9:$BB$26,12,FALSE))</f>
        <v>0.36136000000000124</v>
      </c>
      <c r="O63" s="1">
        <f>IF(O$55&lt;=$C$5,0,HLOOKUP(O$55,'Input data'!$C$9:$BB$26,12,FALSE)-HLOOKUP($C$5,'Input data'!$C$9:$BB$26,12,FALSE))</f>
        <v>0.35796999999999812</v>
      </c>
      <c r="P63" s="1">
        <f>IF(P$55&lt;=$C$5,0,HLOOKUP(P$55,'Input data'!$C$9:$BB$26,12,FALSE)-HLOOKUP($C$5,'Input data'!$C$9:$BB$26,12,FALSE))</f>
        <v>0.35501999999999967</v>
      </c>
      <c r="Q63" s="1">
        <f>IF(Q$55&lt;=$C$5,0,HLOOKUP(Q$55,'Input data'!$C$9:$BB$26,12,FALSE)-HLOOKUP($C$5,'Input data'!$C$9:$BB$26,12,FALSE))</f>
        <v>0.34354999999999691</v>
      </c>
      <c r="R63" s="1">
        <f>IF(R$55&lt;=$C$5,0,HLOOKUP(R$55,'Input data'!$C$9:$BB$26,12,FALSE)-HLOOKUP($C$5,'Input data'!$C$9:$BB$26,12,FALSE))</f>
        <v>0.31611000000000189</v>
      </c>
      <c r="S63" s="1">
        <f>IF(S$55&lt;=$C$5,0,HLOOKUP(S$55,'Input data'!$C$9:$BB$26,12,FALSE)-HLOOKUP($C$5,'Input data'!$C$9:$BB$26,12,FALSE))</f>
        <v>0.26974000000000231</v>
      </c>
      <c r="T63" s="1">
        <f>IF(T$55&lt;=$C$5,0,HLOOKUP(T$55,'Input data'!$C$9:$BB$26,12,FALSE)-HLOOKUP($C$5,'Input data'!$C$9:$BB$26,12,FALSE))</f>
        <v>0.20763000000000176</v>
      </c>
      <c r="U63" s="1">
        <f>IF(U$55&lt;=$C$5,0,HLOOKUP(U$55,'Input data'!$C$9:$BB$26,12,FALSE)-HLOOKUP($C$5,'Input data'!$C$9:$BB$26,12,FALSE))</f>
        <v>0.13130000000000308</v>
      </c>
      <c r="V63" s="1">
        <f>IF(V$55&lt;=$C$5,0,HLOOKUP(V$55,'Input data'!$C$9:$BB$26,12,FALSE)-HLOOKUP($C$5,'Input data'!$C$9:$BB$26,12,FALSE))</f>
        <v>5.6010000000000559E-2</v>
      </c>
      <c r="W63" s="1">
        <f>IF(W$55&lt;=$C$5,0,HLOOKUP(W$55,'Input data'!$C$9:$BB$26,12,FALSE)-HLOOKUP($C$5,'Input data'!$C$9:$BB$26,12,FALSE))</f>
        <v>-2.5699999999986289E-3</v>
      </c>
    </row>
    <row r="64" spans="2:48" outlineLevel="1" x14ac:dyDescent="0.2">
      <c r="B64" s="79" t="s">
        <v>112</v>
      </c>
      <c r="C64" s="1"/>
      <c r="D64" s="1">
        <f>IF(D$55&lt;=$C$5,0,-HLOOKUP(D$55,'Input data'!$C$9:$BB$26,18,FALSE)+HLOOKUP($C$5,'Input data'!$C$9:$BB$26,18,FALSE))</f>
        <v>0</v>
      </c>
      <c r="E64" s="1">
        <f>IF(E$55&lt;=$C$5,0,-HLOOKUP(E$55,'Input data'!$C$9:$BB$26,18,FALSE)+HLOOKUP($C$5,'Input data'!$C$9:$BB$26,18,FALSE))</f>
        <v>0</v>
      </c>
      <c r="F64" s="1">
        <f>IF(F$55&lt;=$C$5,0,-HLOOKUP(F$55,'Input data'!$C$9:$BB$26,18,FALSE)+HLOOKUP($C$5,'Input data'!$C$9:$BB$26,18,FALSE))</f>
        <v>0</v>
      </c>
      <c r="G64" s="1">
        <f>IF(G$55&lt;=$C$5,0,-HLOOKUP(G$55,'Input data'!$C$9:$BB$26,18,FALSE)+HLOOKUP($C$5,'Input data'!$C$9:$BB$26,18,FALSE))</f>
        <v>-6.6500000000000448E-3</v>
      </c>
      <c r="H64" s="1">
        <f>IF(H$55&lt;=$C$5,0,-HLOOKUP(H$55,'Input data'!$C$9:$BB$26,18,FALSE)+HLOOKUP($C$5,'Input data'!$C$9:$BB$26,18,FALSE))</f>
        <v>-1.330000000000009E-2</v>
      </c>
      <c r="I64" s="1">
        <f>IF(I$55&lt;=$C$5,0,-HLOOKUP(I$55,'Input data'!$C$9:$BB$26,18,FALSE)+HLOOKUP($C$5,'Input data'!$C$9:$BB$26,18,FALSE))</f>
        <v>-1.9951000000000274E-2</v>
      </c>
      <c r="J64" s="1">
        <f>IF(J$55&lt;=$C$5,0,-HLOOKUP(J$55,'Input data'!$C$9:$BB$26,18,FALSE)+HLOOKUP($C$5,'Input data'!$C$9:$BB$26,18,FALSE))</f>
        <v>-2.6601000000000319E-2</v>
      </c>
      <c r="K64" s="1">
        <f>IF(K$55&lt;=$C$5,0,-HLOOKUP(K$55,'Input data'!$C$9:$BB$26,18,FALSE)+HLOOKUP($C$5,'Input data'!$C$9:$BB$26,18,FALSE))</f>
        <v>-3.325099999999992E-2</v>
      </c>
      <c r="L64" s="1">
        <f>IF(L$55&lt;=$C$5,0,-HLOOKUP(L$55,'Input data'!$C$9:$BB$26,18,FALSE)+HLOOKUP($C$5,'Input data'!$C$9:$BB$26,18,FALSE))</f>
        <v>-3.9900999999999964E-2</v>
      </c>
      <c r="M64" s="1">
        <f>IF(M$55&lt;=$C$5,0,-HLOOKUP(M$55,'Input data'!$C$9:$BB$26,18,FALSE)+HLOOKUP($C$5,'Input data'!$C$9:$BB$26,18,FALSE))</f>
        <v>-4.6551000000000009E-2</v>
      </c>
      <c r="N64" s="1">
        <f>IF(N$55&lt;=$C$5,0,-HLOOKUP(N$55,'Input data'!$C$9:$BB$26,18,FALSE)+HLOOKUP($C$5,'Input data'!$C$9:$BB$26,18,FALSE))</f>
        <v>-5.3202000000000194E-2</v>
      </c>
      <c r="O64" s="1">
        <f>IF(O$55&lt;=$C$5,0,-HLOOKUP(O$55,'Input data'!$C$9:$BB$26,18,FALSE)+HLOOKUP($C$5,'Input data'!$C$9:$BB$26,18,FALSE))</f>
        <v>-5.9852000000000238E-2</v>
      </c>
      <c r="P64" s="1">
        <f>IF(P$55&lt;=$C$5,0,-HLOOKUP(P$55,'Input data'!$C$9:$BB$26,18,FALSE)+HLOOKUP($C$5,'Input data'!$C$9:$BB$26,18,FALSE))</f>
        <v>-6.6502000000000283E-2</v>
      </c>
      <c r="Q64" s="1">
        <f>IF(Q$55&lt;=$C$5,0,-HLOOKUP(Q$55,'Input data'!$C$9:$BB$26,18,FALSE)+HLOOKUP($C$5,'Input data'!$C$9:$BB$26,18,FALSE))</f>
        <v>-7.3151999999999884E-2</v>
      </c>
      <c r="R64" s="1">
        <f>IF(R$55&lt;=$C$5,0,-HLOOKUP(R$55,'Input data'!$C$9:$BB$26,18,FALSE)+HLOOKUP($C$5,'Input data'!$C$9:$BB$26,18,FALSE))</f>
        <v>-7.9801999999999929E-2</v>
      </c>
      <c r="S64" s="1">
        <f>IF(S$55&lt;=$C$5,0,-HLOOKUP(S$55,'Input data'!$C$9:$BB$26,18,FALSE)+HLOOKUP($C$5,'Input data'!$C$9:$BB$26,18,FALSE))</f>
        <v>-8.6453000000000113E-2</v>
      </c>
      <c r="T64" s="1">
        <f>IF(T$55&lt;=$C$5,0,-HLOOKUP(T$55,'Input data'!$C$9:$BB$26,18,FALSE)+HLOOKUP($C$5,'Input data'!$C$9:$BB$26,18,FALSE))</f>
        <v>-9.3103000000000158E-2</v>
      </c>
      <c r="U64" s="1">
        <f>IF(U$55&lt;=$C$5,0,-HLOOKUP(U$55,'Input data'!$C$9:$BB$26,18,FALSE)+HLOOKUP($C$5,'Input data'!$C$9:$BB$26,18,FALSE))</f>
        <v>-9.9753000000000203E-2</v>
      </c>
      <c r="V64" s="1">
        <f>IF(V$55&lt;=$C$5,0,-HLOOKUP(V$55,'Input data'!$C$9:$BB$26,18,FALSE)+HLOOKUP($C$5,'Input data'!$C$9:$BB$26,18,FALSE))</f>
        <v>-0.10640300000000025</v>
      </c>
      <c r="W64" s="1">
        <f>IF(W$55&lt;=$C$5,0,-HLOOKUP(W$55,'Input data'!$C$9:$BB$26,18,FALSE)+HLOOKUP($C$5,'Input data'!$C$9:$BB$26,18,FALSE))</f>
        <v>-0.11305300000000029</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SUM(D67:D70)</f>
        <v>-4.0426919999999997</v>
      </c>
      <c r="E66" s="48">
        <f t="shared" ref="E66:T66" si="15">SUM(E67:E70)</f>
        <v>-0.79948272499993989</v>
      </c>
      <c r="F66" s="48">
        <f t="shared" si="15"/>
        <v>0.14925019261305703</v>
      </c>
      <c r="G66" s="48">
        <f>SUM(G67:G70)</f>
        <v>-1.6647351204334022</v>
      </c>
      <c r="H66" s="48">
        <f t="shared" si="15"/>
        <v>-1.6485272431520603</v>
      </c>
      <c r="I66" s="48">
        <f t="shared" si="15"/>
        <v>-1.646374251316703</v>
      </c>
      <c r="J66" s="48">
        <f t="shared" si="15"/>
        <v>-1.6392160232106154</v>
      </c>
      <c r="K66" s="48">
        <f t="shared" si="15"/>
        <v>-0.8823537161681958</v>
      </c>
      <c r="L66" s="48">
        <f t="shared" si="15"/>
        <v>-0.87979831861781643</v>
      </c>
      <c r="M66" s="48">
        <f t="shared" si="15"/>
        <v>-0.87912158840286825</v>
      </c>
      <c r="N66" s="48">
        <f t="shared" si="15"/>
        <v>-0.88159522931344458</v>
      </c>
      <c r="O66" s="48">
        <f t="shared" si="15"/>
        <v>-0.88618460463188242</v>
      </c>
      <c r="P66" s="48">
        <f t="shared" si="15"/>
        <v>-0.82429851155980538</v>
      </c>
      <c r="Q66" s="48">
        <f t="shared" si="15"/>
        <v>-0.76242096033598572</v>
      </c>
      <c r="R66" s="48">
        <f t="shared" si="15"/>
        <v>-0.70057477847650373</v>
      </c>
      <c r="S66" s="48">
        <f t="shared" si="15"/>
        <v>-0.63877903176836726</v>
      </c>
      <c r="T66" s="48">
        <f t="shared" si="15"/>
        <v>-0.57711691997647341</v>
      </c>
      <c r="U66" s="48">
        <f>SUM(U67:U70)</f>
        <v>-0.51568855729046148</v>
      </c>
      <c r="V66" s="48">
        <f>SUM(V67:V70)</f>
        <v>-0.45466611389620226</v>
      </c>
      <c r="W66" s="48">
        <f>SUM(W67:W70)</f>
        <v>-0.39420898653548386</v>
      </c>
    </row>
    <row r="67" spans="2:23" outlineLevel="1" x14ac:dyDescent="0.2">
      <c r="B67" s="79" t="s">
        <v>115</v>
      </c>
      <c r="C67" s="34"/>
      <c r="D67" s="34">
        <f t="shared" ref="D67:W67" si="16">C56*D35/100*(1/(1+D32/100))</f>
        <v>0.57044236264340553</v>
      </c>
      <c r="E67" s="34">
        <f t="shared" si="16"/>
        <v>1.1312999524848377</v>
      </c>
      <c r="F67" s="34">
        <f t="shared" si="16"/>
        <v>1.2546443552845774</v>
      </c>
      <c r="G67" s="34">
        <f>F56*G35/100*(1/(1+G32/100))</f>
        <v>1.4837105818037626</v>
      </c>
      <c r="H67" s="34">
        <f>G56*H35/100*(1/(1+H32/100))</f>
        <v>1.5971240258566435</v>
      </c>
      <c r="I67" s="34">
        <f t="shared" si="16"/>
        <v>1.6955663716746436</v>
      </c>
      <c r="J67" s="34">
        <f t="shared" si="16"/>
        <v>1.7700586950293415</v>
      </c>
      <c r="K67" s="34">
        <f t="shared" si="16"/>
        <v>1.8447548193555448</v>
      </c>
      <c r="L67" s="34">
        <f t="shared" si="16"/>
        <v>1.9112276920548208</v>
      </c>
      <c r="M67" s="34">
        <f t="shared" si="16"/>
        <v>1.9799683067586533</v>
      </c>
      <c r="N67" s="34">
        <f t="shared" si="16"/>
        <v>2.0633480219149107</v>
      </c>
      <c r="O67" s="34">
        <f t="shared" si="16"/>
        <v>2.1467933372788148</v>
      </c>
      <c r="P67" s="34">
        <f t="shared" si="16"/>
        <v>2.2245154708214665</v>
      </c>
      <c r="Q67" s="34">
        <f t="shared" si="16"/>
        <v>2.2982590739072633</v>
      </c>
      <c r="R67" s="34">
        <f t="shared" si="16"/>
        <v>2.3678097910595408</v>
      </c>
      <c r="S67" s="34">
        <f t="shared" si="16"/>
        <v>2.4326964742068395</v>
      </c>
      <c r="T67" s="34">
        <f t="shared" si="16"/>
        <v>2.4923265354132371</v>
      </c>
      <c r="U67" s="34">
        <f t="shared" si="16"/>
        <v>2.5461819616322368</v>
      </c>
      <c r="V67" s="34">
        <f t="shared" si="16"/>
        <v>2.5937665466353907</v>
      </c>
      <c r="W67" s="34">
        <f t="shared" si="16"/>
        <v>2.6350621058253632</v>
      </c>
    </row>
    <row r="68" spans="2:23" outlineLevel="1" x14ac:dyDescent="0.2">
      <c r="B68" s="79" t="s">
        <v>116</v>
      </c>
      <c r="C68" s="34"/>
      <c r="D68" s="34">
        <f t="shared" ref="D68:W68" si="17">-C56*(D23/100)*(1/(1+D32/100))</f>
        <v>-0.90770273794427436</v>
      </c>
      <c r="E68" s="34">
        <f t="shared" si="17"/>
        <v>0.82999130151990808</v>
      </c>
      <c r="F68" s="34">
        <f t="shared" si="17"/>
        <v>0.16736355968562128</v>
      </c>
      <c r="G68" s="34">
        <f t="shared" si="17"/>
        <v>-1.4410217265373451</v>
      </c>
      <c r="H68" s="34">
        <f t="shared" si="17"/>
        <v>-1.4661477640659244</v>
      </c>
      <c r="I68" s="34">
        <f t="shared" si="17"/>
        <v>-1.4902880179985731</v>
      </c>
      <c r="J68" s="34">
        <f t="shared" si="17"/>
        <v>-1.5010683688975639</v>
      </c>
      <c r="K68" s="34">
        <f t="shared" si="17"/>
        <v>-0.77282317731759198</v>
      </c>
      <c r="L68" s="34">
        <f t="shared" si="17"/>
        <v>-0.77858996181300122</v>
      </c>
      <c r="M68" s="34">
        <f t="shared" si="17"/>
        <v>-0.78532237146402051</v>
      </c>
      <c r="N68" s="34">
        <f t="shared" si="17"/>
        <v>-0.79666512504017195</v>
      </c>
      <c r="O68" s="34">
        <f t="shared" si="17"/>
        <v>-0.80825054659010476</v>
      </c>
      <c r="P68" s="34">
        <f t="shared" si="17"/>
        <v>-0.81895104772523641</v>
      </c>
      <c r="Q68" s="34">
        <f t="shared" si="17"/>
        <v>-0.82874329193279084</v>
      </c>
      <c r="R68" s="34">
        <f t="shared" si="17"/>
        <v>-0.83756272599041892</v>
      </c>
      <c r="S68" s="34">
        <f t="shared" si="17"/>
        <v>-0.84525336120520245</v>
      </c>
      <c r="T68" s="34">
        <f t="shared" si="17"/>
        <v>-0.85165512909243801</v>
      </c>
      <c r="U68" s="34">
        <f t="shared" si="17"/>
        <v>-0.85660714978732178</v>
      </c>
      <c r="V68" s="34">
        <f t="shared" si="17"/>
        <v>-0.85999282163830948</v>
      </c>
      <c r="W68" s="34">
        <f t="shared" si="17"/>
        <v>-0.86180204203764632</v>
      </c>
    </row>
    <row r="69" spans="2:23" outlineLevel="1" x14ac:dyDescent="0.2">
      <c r="B69" s="79" t="s">
        <v>117</v>
      </c>
      <c r="C69" s="34"/>
      <c r="D69" s="34">
        <f>-C56*D41/100*(1/(1+D41/100))</f>
        <v>-3.7081792093539843</v>
      </c>
      <c r="E69" s="34">
        <f t="shared" ref="E69:T69" si="18">-D56*E41/100*(1/(1+E41/100))</f>
        <v>-2.7601372355757476</v>
      </c>
      <c r="F69" s="34">
        <f>-E56*F41/100*(1/(1+F41/100))</f>
        <v>-1.2729942369236147</v>
      </c>
      <c r="G69" s="34">
        <f>-F56*G41/100*(1/(1+G41/100))</f>
        <v>-1.7075744585293433</v>
      </c>
      <c r="H69" s="34">
        <f t="shared" si="18"/>
        <v>-1.7795035049427794</v>
      </c>
      <c r="I69" s="34">
        <f t="shared" si="18"/>
        <v>-1.8516526049927735</v>
      </c>
      <c r="J69" s="34">
        <f t="shared" si="18"/>
        <v>-1.9082063493423931</v>
      </c>
      <c r="K69" s="34">
        <f t="shared" si="18"/>
        <v>-1.9542853582061486</v>
      </c>
      <c r="L69" s="34">
        <f t="shared" si="18"/>
        <v>-2.012436048859636</v>
      </c>
      <c r="M69" s="34">
        <f t="shared" si="18"/>
        <v>-2.0737675236975011</v>
      </c>
      <c r="N69" s="34">
        <f t="shared" si="18"/>
        <v>-2.1482781261881834</v>
      </c>
      <c r="O69" s="34">
        <f t="shared" si="18"/>
        <v>-2.2247273953205924</v>
      </c>
      <c r="P69" s="34">
        <f t="shared" si="18"/>
        <v>-2.2298629346560355</v>
      </c>
      <c r="Q69" s="34">
        <f t="shared" si="18"/>
        <v>-2.2319367423104581</v>
      </c>
      <c r="R69" s="34">
        <f t="shared" si="18"/>
        <v>-2.2308218435456255</v>
      </c>
      <c r="S69" s="34">
        <f t="shared" si="18"/>
        <v>-2.2262221447700044</v>
      </c>
      <c r="T69" s="34">
        <f t="shared" si="18"/>
        <v>-2.2177883262972724</v>
      </c>
      <c r="U69" s="34">
        <f>-T56*U41/100*(1/(1+U41/100))</f>
        <v>-2.2052633691353765</v>
      </c>
      <c r="V69" s="34">
        <f>-U56*V41/100*(1/(1+V41/100))</f>
        <v>-2.1884398388932835</v>
      </c>
      <c r="W69" s="34">
        <f>-V56*W41/100*(1/(1+W41/100))</f>
        <v>-2.1674690503232008</v>
      </c>
    </row>
    <row r="70" spans="2:23" outlineLevel="1" x14ac:dyDescent="0.2">
      <c r="B70" s="79" t="s">
        <v>118</v>
      </c>
      <c r="C70" s="49"/>
      <c r="D70" s="49">
        <v>2.7475846548536964E-3</v>
      </c>
      <c r="E70" s="49">
        <v>-6.3674342893804692E-4</v>
      </c>
      <c r="F70" s="49">
        <v>2.3651456647297286E-4</v>
      </c>
      <c r="G70" s="49">
        <v>1.5048282952356828E-4</v>
      </c>
      <c r="H70" s="49">
        <v>0</v>
      </c>
      <c r="I70" s="49">
        <v>0</v>
      </c>
      <c r="J70" s="49">
        <v>0</v>
      </c>
      <c r="K70" s="49">
        <v>0</v>
      </c>
      <c r="L70" s="49">
        <v>0</v>
      </c>
      <c r="M70" s="49">
        <v>0</v>
      </c>
      <c r="N70" s="49">
        <v>0</v>
      </c>
      <c r="O70" s="49">
        <v>0</v>
      </c>
      <c r="P70" s="49">
        <v>0</v>
      </c>
      <c r="Q70" s="49">
        <v>0</v>
      </c>
      <c r="R70" s="49">
        <v>0</v>
      </c>
      <c r="S70" s="49">
        <v>0</v>
      </c>
      <c r="T70" s="49">
        <v>0</v>
      </c>
      <c r="U70" s="49">
        <v>0</v>
      </c>
      <c r="V70" s="49">
        <v>0</v>
      </c>
      <c r="W70" s="49">
        <v>0</v>
      </c>
    </row>
    <row r="71" spans="2:23" outlineLevel="1" x14ac:dyDescent="0.2">
      <c r="B71" s="84" t="s">
        <v>119</v>
      </c>
      <c r="C71" s="50"/>
      <c r="D71" s="50">
        <f>'Input data'!D16</f>
        <v>5.1764349999999997</v>
      </c>
      <c r="E71" s="50">
        <f>'Input data'!E16</f>
        <v>2.1420457294413482</v>
      </c>
      <c r="F71" s="50">
        <f>'Input data'!F16</f>
        <v>2.543156615765406</v>
      </c>
      <c r="G71" s="50">
        <f>'Input data'!G16</f>
        <v>1.2833361388111759</v>
      </c>
      <c r="H71" s="50">
        <f>'Input data'!H16</f>
        <v>1.726862012716794</v>
      </c>
      <c r="I71" s="50">
        <f>'Input data'!I16</f>
        <v>1.4444254457205716</v>
      </c>
      <c r="J71" s="50">
        <f>'Input data'!J16</f>
        <v>1.3768241518246929</v>
      </c>
      <c r="K71" s="50">
        <f>'Input data'!K16</f>
        <v>1.0241608740131771</v>
      </c>
      <c r="L71" s="50">
        <f>'Input data'!L16</f>
        <v>1.0623847406019649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19">D14</f>
        <v>5.1764349999999997</v>
      </c>
      <c r="E72" s="34">
        <f t="shared" si="19"/>
        <v>2.1420457294413482</v>
      </c>
      <c r="F72" s="34">
        <f t="shared" si="19"/>
        <v>2.543156615765406</v>
      </c>
      <c r="G72" s="34">
        <f t="shared" si="19"/>
        <v>1.2833361388111759</v>
      </c>
      <c r="H72" s="34">
        <f>H14</f>
        <v>1.726862012716794</v>
      </c>
      <c r="I72" s="34">
        <f t="shared" si="19"/>
        <v>1.4444254457205716</v>
      </c>
      <c r="J72" s="34">
        <f t="shared" si="19"/>
        <v>1.3768241518246929</v>
      </c>
      <c r="K72" s="34">
        <f t="shared" si="19"/>
        <v>1.0241608740131771</v>
      </c>
      <c r="L72" s="34">
        <f t="shared" si="19"/>
        <v>1.0623847406019649</v>
      </c>
      <c r="M72" s="34">
        <f t="shared" si="19"/>
        <v>1.5229809999999999</v>
      </c>
      <c r="N72" s="34">
        <f t="shared" si="19"/>
        <v>1.526135</v>
      </c>
      <c r="O72" s="34">
        <f t="shared" si="19"/>
        <v>1.3735219999999999</v>
      </c>
      <c r="P72" s="34">
        <f t="shared" si="19"/>
        <v>1.2209080000000001</v>
      </c>
      <c r="Q72" s="34">
        <f t="shared" si="19"/>
        <v>1.068295</v>
      </c>
      <c r="R72" s="34">
        <f t="shared" si="19"/>
        <v>0.91568099999999997</v>
      </c>
      <c r="S72" s="34">
        <f t="shared" si="19"/>
        <v>0.76306750000000001</v>
      </c>
      <c r="T72" s="34">
        <f t="shared" si="19"/>
        <v>0.61045400000000005</v>
      </c>
      <c r="U72" s="34">
        <f t="shared" si="19"/>
        <v>0.45784049999999998</v>
      </c>
      <c r="V72" s="34">
        <f t="shared" si="19"/>
        <v>0.30522700000000003</v>
      </c>
      <c r="W72" s="34">
        <f t="shared" si="19"/>
        <v>0.15261350000000001</v>
      </c>
    </row>
    <row r="73" spans="2:23" outlineLevel="1" x14ac:dyDescent="0.2">
      <c r="B73" s="89" t="s">
        <v>121</v>
      </c>
      <c r="C73" s="49"/>
      <c r="D73" s="49">
        <f>+D71-D72</f>
        <v>0</v>
      </c>
      <c r="E73" s="49">
        <f t="shared" ref="E73:T73" si="20">+E71-E72</f>
        <v>0</v>
      </c>
      <c r="F73" s="49">
        <f>+F71-F72</f>
        <v>0</v>
      </c>
      <c r="G73" s="49">
        <f t="shared" si="20"/>
        <v>0</v>
      </c>
      <c r="H73" s="49">
        <f t="shared" si="20"/>
        <v>0</v>
      </c>
      <c r="I73" s="49">
        <f t="shared" si="20"/>
        <v>0</v>
      </c>
      <c r="J73" s="49">
        <f t="shared" si="20"/>
        <v>0</v>
      </c>
      <c r="K73" s="49">
        <f t="shared" si="20"/>
        <v>0</v>
      </c>
      <c r="L73" s="49">
        <f t="shared" si="20"/>
        <v>0</v>
      </c>
      <c r="M73" s="49">
        <f t="shared" si="20"/>
        <v>0</v>
      </c>
      <c r="N73" s="49">
        <f t="shared" si="20"/>
        <v>0</v>
      </c>
      <c r="O73" s="49">
        <f t="shared" si="20"/>
        <v>0</v>
      </c>
      <c r="P73" s="49">
        <f t="shared" si="20"/>
        <v>0</v>
      </c>
      <c r="Q73" s="49">
        <f t="shared" si="20"/>
        <v>0</v>
      </c>
      <c r="R73" s="49">
        <f t="shared" si="20"/>
        <v>0</v>
      </c>
      <c r="S73" s="49">
        <f t="shared" si="20"/>
        <v>0</v>
      </c>
      <c r="T73" s="49">
        <f t="shared" si="20"/>
        <v>0</v>
      </c>
      <c r="U73" s="49">
        <f>+U71-U72</f>
        <v>0</v>
      </c>
      <c r="V73" s="49">
        <f>+V71-V72</f>
        <v>0</v>
      </c>
      <c r="W73" s="49">
        <f>+W71-W72</f>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ht="10.5" customHeight="1" outlineLevel="1" x14ac:dyDescent="0.2">
      <c r="B75" s="91" t="s">
        <v>122</v>
      </c>
    </row>
    <row r="76" spans="2:23" x14ac:dyDescent="0.2">
      <c r="B76" s="77" t="s">
        <v>41</v>
      </c>
      <c r="C76" s="77"/>
      <c r="D76" s="78">
        <f>D58-D67</f>
        <v>-0.36348994760516051</v>
      </c>
      <c r="E76" s="78">
        <f t="shared" ref="E76:T76" si="21">E58-E67</f>
        <v>-2.8496327454028076</v>
      </c>
      <c r="F76" s="78">
        <f t="shared" si="21"/>
        <v>-3.6595635384782375</v>
      </c>
      <c r="G76" s="78">
        <f t="shared" si="21"/>
        <v>-3.3312817751244124</v>
      </c>
      <c r="H76" s="78">
        <f t="shared" si="21"/>
        <v>-2.9304804156717079</v>
      </c>
      <c r="I76" s="78">
        <f t="shared" si="21"/>
        <v>-2.5522703110433174</v>
      </c>
      <c r="J76" s="78">
        <f t="shared" si="21"/>
        <v>-2.2031543484846097</v>
      </c>
      <c r="K76" s="78">
        <f t="shared" si="21"/>
        <v>-2.3844604728108099</v>
      </c>
      <c r="L76" s="78">
        <f t="shared" si="21"/>
        <v>-2.5169491276159746</v>
      </c>
      <c r="M76" s="78">
        <f t="shared" si="21"/>
        <v>-2.6349872542516417</v>
      </c>
      <c r="N76" s="78">
        <f t="shared" si="21"/>
        <v>-2.745893538999657</v>
      </c>
      <c r="O76" s="78">
        <f t="shared" si="21"/>
        <v>-2.8193069429021418</v>
      </c>
      <c r="P76" s="78">
        <f t="shared" si="21"/>
        <v>-2.8874352045129728</v>
      </c>
      <c r="Q76" s="78">
        <f t="shared" si="21"/>
        <v>-2.9430677610481961</v>
      </c>
      <c r="R76" s="78">
        <f t="shared" si="21"/>
        <v>-2.9785362784316094</v>
      </c>
      <c r="S76" s="78">
        <f t="shared" si="21"/>
        <v>-2.9904114916341333</v>
      </c>
      <c r="T76" s="78">
        <f t="shared" si="21"/>
        <v>-2.9812876232444649</v>
      </c>
      <c r="U76" s="78">
        <f>U58-U67</f>
        <v>-2.9521708496914556</v>
      </c>
      <c r="V76" s="78">
        <f>V58-V67</f>
        <v>-2.917820351880799</v>
      </c>
      <c r="W76" s="78">
        <f>W58-W67</f>
        <v>-2.8938925580808643</v>
      </c>
    </row>
    <row r="77" spans="2:23" x14ac:dyDescent="0.2">
      <c r="B77" s="26" t="s">
        <v>42</v>
      </c>
      <c r="D77" s="34">
        <f>D59-D67-D63-D64-D65</f>
        <v>-0.27838556264340553</v>
      </c>
      <c r="E77" s="34">
        <f>E59-E67-E63-E64-E65</f>
        <v>-1.4704100690906696</v>
      </c>
      <c r="F77" s="34">
        <f t="shared" ref="F77:W77" si="22">F59-F67-F63-F64-F65</f>
        <v>-1.6290876998296837</v>
      </c>
      <c r="G77" s="34">
        <f t="shared" si="22"/>
        <v>-1.8017039263488677</v>
      </c>
      <c r="H77" s="34">
        <f t="shared" si="22"/>
        <v>-1.9062673704017465</v>
      </c>
      <c r="I77" s="34">
        <f t="shared" si="22"/>
        <v>-2.037928716219747</v>
      </c>
      <c r="J77" s="34">
        <f t="shared" si="22"/>
        <v>-2.2032310395744501</v>
      </c>
      <c r="K77" s="34">
        <f t="shared" si="22"/>
        <v>-2.3845371639006503</v>
      </c>
      <c r="L77" s="34">
        <f t="shared" si="22"/>
        <v>-2.5170200365999258</v>
      </c>
      <c r="M77" s="34">
        <f t="shared" si="22"/>
        <v>-2.6350506513037613</v>
      </c>
      <c r="N77" s="34">
        <f t="shared" si="22"/>
        <v>-2.7459493664600179</v>
      </c>
      <c r="O77" s="34">
        <f t="shared" si="22"/>
        <v>-2.8193546818239188</v>
      </c>
      <c r="P77" s="34">
        <f t="shared" si="22"/>
        <v>-2.8874768153665724</v>
      </c>
      <c r="Q77" s="34">
        <f t="shared" si="22"/>
        <v>-2.9431004184523668</v>
      </c>
      <c r="R77" s="34">
        <f t="shared" si="22"/>
        <v>-2.9785611356046493</v>
      </c>
      <c r="S77" s="34">
        <f t="shared" si="22"/>
        <v>-2.9904268187519478</v>
      </c>
      <c r="T77" s="34">
        <f t="shared" si="22"/>
        <v>-2.9812968799583448</v>
      </c>
      <c r="U77" s="34">
        <f t="shared" si="22"/>
        <v>-2.9521723061773462</v>
      </c>
      <c r="V77" s="34">
        <f t="shared" si="22"/>
        <v>-2.9178168911804976</v>
      </c>
      <c r="W77" s="34">
        <f t="shared" si="22"/>
        <v>-2.8938824503704708</v>
      </c>
    </row>
    <row r="78" spans="2:23" x14ac:dyDescent="0.2">
      <c r="B78" s="35" t="s">
        <v>123</v>
      </c>
      <c r="C78" s="35"/>
      <c r="D78" s="281">
        <f>'Input data'!D45</f>
        <v>5.7681103325160432</v>
      </c>
      <c r="E78" s="281">
        <f>'Input data'!E45</f>
        <v>7.4830230810080138</v>
      </c>
      <c r="F78" s="281">
        <f>'Input data'!F45</f>
        <v>3.9912900392291735</v>
      </c>
      <c r="G78" s="49">
        <f>'Input data'!G33+G41-(G$12-F$12)/'Input data'!$C$64*100</f>
        <v>3.0705755393935057</v>
      </c>
      <c r="H78" s="49">
        <f>'Input data'!H33+H41-(H$12-G$12)/'Input data'!$C$64*100</f>
        <v>3.1223910969693174</v>
      </c>
      <c r="I78" s="49">
        <f>'Input data'!I33+I41-(I$12-H$12)/'Input data'!$C$64*100</f>
        <v>3.1742066545451291</v>
      </c>
      <c r="J78" s="49">
        <f>'Input data'!J33+J41-(J$12-I$12)/'Input data'!$C$64*100</f>
        <v>3.2260222121209408</v>
      </c>
      <c r="K78" s="49">
        <f>'Input data'!K33+K41-(K$12-J$12)/'Input data'!$C$64*100</f>
        <v>3.2778377696967524</v>
      </c>
      <c r="L78" s="49">
        <f>'Input data'!L33+L41-(L$12-K$12)/'Input data'!$C$64*100</f>
        <v>3.3296533272725641</v>
      </c>
      <c r="M78" s="49">
        <f>'Input data'!M33+M41-(M$12-L$12)/'Input data'!$C$64*100</f>
        <v>3.3814688848483767</v>
      </c>
      <c r="N78" s="49">
        <f>'Input data'!N33+N41-(N$12-M$12)/'Input data'!$C$64*100</f>
        <v>3.4332844424241884</v>
      </c>
      <c r="O78" s="49">
        <f>'Input data'!O33+O41-(O$12-N$12)/'Input data'!$C$64*100</f>
        <v>3.4851000000000001</v>
      </c>
      <c r="P78" s="49">
        <f>'Input data'!P33+P41-(P$12-O$12)/'Input data'!$C$64*100</f>
        <v>3.4576000000000002</v>
      </c>
      <c r="Q78" s="49">
        <f>'Input data'!Q33+Q41-(Q$12-P$12)/'Input data'!$C$64*100</f>
        <v>3.4300999999999995</v>
      </c>
      <c r="R78" s="49">
        <f>'Input data'!R33+R41-(R$12-Q$12)/'Input data'!$C$64*100</f>
        <v>3.4025999999999996</v>
      </c>
      <c r="S78" s="49">
        <f>'Input data'!S33+S41-(S$12-R$12)/'Input data'!$C$64*100</f>
        <v>3.3750999999999998</v>
      </c>
      <c r="T78" s="49">
        <f>'Input data'!T33+T41-(T$12-S$12)/'Input data'!$C$64*100</f>
        <v>3.3475999999999999</v>
      </c>
      <c r="U78" s="49">
        <f>'Input data'!U33+U41-(U$12-T$12)/'Input data'!$C$64*100</f>
        <v>3.3201000000000001</v>
      </c>
      <c r="V78" s="49">
        <f>'Input data'!V33+V41-(V$12-U$12)/'Input data'!$C$64*100</f>
        <v>3.2926000000000002</v>
      </c>
      <c r="W78" s="49">
        <f>'Input data'!W33+W41-(W$12-V$12)/'Input data'!$C$64*100</f>
        <v>3.2651000000000003</v>
      </c>
    </row>
    <row r="79" spans="2:23" x14ac:dyDescent="0.2">
      <c r="D79" s="34"/>
      <c r="E79" s="34"/>
      <c r="F79" s="34"/>
      <c r="G79" s="34"/>
      <c r="H79" s="34"/>
      <c r="I79" s="34"/>
      <c r="J79" s="34"/>
      <c r="K79" s="34"/>
      <c r="L79" s="34"/>
      <c r="M79" s="34"/>
      <c r="N79" s="34"/>
      <c r="O79" s="34"/>
      <c r="P79" s="34"/>
      <c r="Q79" s="34"/>
      <c r="R79" s="34"/>
      <c r="S79" s="34"/>
      <c r="T79" s="34"/>
      <c r="U79" s="34"/>
      <c r="V79" s="34"/>
      <c r="W79" s="34"/>
    </row>
    <row r="80" spans="2:23" x14ac:dyDescent="0.2">
      <c r="D80" s="53"/>
    </row>
    <row r="81" spans="2:23" s="93" customFormat="1" ht="12.75" outlineLevel="1" x14ac:dyDescent="0.2">
      <c r="B81" s="94" t="s">
        <v>124</v>
      </c>
      <c r="C81" s="95"/>
      <c r="E81" s="96"/>
      <c r="F81" s="95"/>
    </row>
    <row r="82" spans="2:23" x14ac:dyDescent="0.2">
      <c r="C82" s="34"/>
      <c r="D82" s="34"/>
      <c r="E82" s="34"/>
      <c r="F82" s="34"/>
      <c r="G82" s="34"/>
      <c r="H82" s="34"/>
      <c r="I82" s="34"/>
      <c r="J82" s="34"/>
      <c r="K82" s="34"/>
      <c r="L82" s="34"/>
      <c r="M82" s="34"/>
      <c r="N82" s="34"/>
      <c r="O82" s="34"/>
      <c r="P82" s="34"/>
      <c r="Q82" s="34"/>
      <c r="R82" s="34"/>
      <c r="S82" s="34"/>
      <c r="T82" s="34"/>
      <c r="U82" s="34"/>
      <c r="V82" s="34"/>
      <c r="W82" s="34"/>
    </row>
    <row r="83" spans="2:23" x14ac:dyDescent="0.2">
      <c r="B83" s="26" t="s">
        <v>125</v>
      </c>
      <c r="D83" s="29">
        <f t="shared" ref="D83:W83" si="23">IF((D87-C87*D42/((1+D23/100)*(1+D41/100)))&gt;0,1,0)</f>
        <v>1</v>
      </c>
      <c r="E83" s="29">
        <f t="shared" si="23"/>
        <v>1</v>
      </c>
      <c r="F83" s="29">
        <f t="shared" si="23"/>
        <v>1</v>
      </c>
      <c r="G83" s="29">
        <f t="shared" si="23"/>
        <v>1</v>
      </c>
      <c r="H83" s="29">
        <f t="shared" si="23"/>
        <v>1</v>
      </c>
      <c r="I83" s="29">
        <f t="shared" si="23"/>
        <v>1</v>
      </c>
      <c r="J83" s="29">
        <f t="shared" si="23"/>
        <v>1</v>
      </c>
      <c r="K83" s="29">
        <f t="shared" si="23"/>
        <v>1</v>
      </c>
      <c r="L83" s="29">
        <f t="shared" si="23"/>
        <v>1</v>
      </c>
      <c r="M83" s="29">
        <f t="shared" si="23"/>
        <v>1</v>
      </c>
      <c r="N83" s="29">
        <f t="shared" si="23"/>
        <v>1</v>
      </c>
      <c r="O83" s="29">
        <f t="shared" si="23"/>
        <v>1</v>
      </c>
      <c r="P83" s="29">
        <f t="shared" si="23"/>
        <v>1</v>
      </c>
      <c r="Q83" s="29">
        <f t="shared" si="23"/>
        <v>1</v>
      </c>
      <c r="R83" s="29">
        <f t="shared" si="23"/>
        <v>1</v>
      </c>
      <c r="S83" s="29">
        <f t="shared" si="23"/>
        <v>1</v>
      </c>
      <c r="T83" s="29">
        <f t="shared" si="23"/>
        <v>1</v>
      </c>
      <c r="U83" s="29">
        <f t="shared" si="23"/>
        <v>1</v>
      </c>
      <c r="V83" s="29">
        <f t="shared" si="23"/>
        <v>1</v>
      </c>
      <c r="W83" s="29">
        <f t="shared" si="23"/>
        <v>1</v>
      </c>
    </row>
    <row r="84" spans="2:23" x14ac:dyDescent="0.2">
      <c r="B84" s="26" t="s">
        <v>126</v>
      </c>
      <c r="D84" s="29">
        <f t="shared" ref="D84:W84" si="24">IF(AND(D83=0,ABS(D87-C87*D42/((1+D23/100)*(1+D41/100)))&lt;((C93*C87*D42/((1+D23/100)*(1+D41/100))+(D38*C87*C94*D42/((1+D23/100)*(1+D41/100)))))),1,0)</f>
        <v>0</v>
      </c>
      <c r="E84" s="29">
        <f t="shared" si="24"/>
        <v>0</v>
      </c>
      <c r="F84" s="29">
        <f t="shared" si="24"/>
        <v>0</v>
      </c>
      <c r="G84" s="29">
        <f t="shared" si="24"/>
        <v>0</v>
      </c>
      <c r="H84" s="29">
        <f t="shared" si="24"/>
        <v>0</v>
      </c>
      <c r="I84" s="29">
        <f t="shared" si="24"/>
        <v>0</v>
      </c>
      <c r="J84" s="29">
        <f t="shared" si="24"/>
        <v>0</v>
      </c>
      <c r="K84" s="29">
        <f t="shared" si="24"/>
        <v>0</v>
      </c>
      <c r="L84" s="29">
        <f t="shared" si="24"/>
        <v>0</v>
      </c>
      <c r="M84" s="29">
        <f t="shared" si="24"/>
        <v>0</v>
      </c>
      <c r="N84" s="29">
        <f t="shared" si="24"/>
        <v>0</v>
      </c>
      <c r="O84" s="29">
        <f t="shared" si="24"/>
        <v>0</v>
      </c>
      <c r="P84" s="29">
        <f t="shared" si="24"/>
        <v>0</v>
      </c>
      <c r="Q84" s="29">
        <f t="shared" si="24"/>
        <v>0</v>
      </c>
      <c r="R84" s="29">
        <f t="shared" si="24"/>
        <v>0</v>
      </c>
      <c r="S84" s="29">
        <f t="shared" si="24"/>
        <v>0</v>
      </c>
      <c r="T84" s="29">
        <f t="shared" si="24"/>
        <v>0</v>
      </c>
      <c r="U84" s="29">
        <f t="shared" si="24"/>
        <v>0</v>
      </c>
      <c r="V84" s="29">
        <f t="shared" si="24"/>
        <v>0</v>
      </c>
      <c r="W84" s="29">
        <f t="shared" si="24"/>
        <v>0</v>
      </c>
    </row>
    <row r="86" spans="2:23" x14ac:dyDescent="0.2">
      <c r="B86" s="51"/>
      <c r="C86" s="86">
        <v>2021</v>
      </c>
      <c r="D86" s="86">
        <v>2022</v>
      </c>
      <c r="E86" s="86">
        <v>2023</v>
      </c>
      <c r="F86" s="86">
        <v>2024</v>
      </c>
      <c r="G86" s="86">
        <v>2025</v>
      </c>
      <c r="H86" s="86">
        <v>2026</v>
      </c>
      <c r="I86" s="86">
        <v>2027</v>
      </c>
      <c r="J86" s="86">
        <v>2028</v>
      </c>
      <c r="K86" s="86">
        <v>2029</v>
      </c>
      <c r="L86" s="86">
        <v>2030</v>
      </c>
      <c r="M86" s="86">
        <v>2031</v>
      </c>
      <c r="N86" s="86">
        <v>2032</v>
      </c>
      <c r="O86" s="86">
        <v>2033</v>
      </c>
      <c r="P86" s="86">
        <v>2034</v>
      </c>
      <c r="Q86" s="86">
        <v>2035</v>
      </c>
      <c r="R86" s="86">
        <v>2036</v>
      </c>
      <c r="S86" s="86">
        <v>2037</v>
      </c>
      <c r="T86" s="86">
        <v>2038</v>
      </c>
      <c r="U86" s="86">
        <v>2039</v>
      </c>
      <c r="V86" s="86">
        <v>2040</v>
      </c>
      <c r="W86" s="86">
        <v>2041</v>
      </c>
    </row>
    <row r="87" spans="2:23" x14ac:dyDescent="0.2">
      <c r="B87" s="106" t="s">
        <v>104</v>
      </c>
      <c r="C87" s="110">
        <f>C56</f>
        <v>72.584819999999993</v>
      </c>
      <c r="D87" s="110">
        <f>D56</f>
        <v>73.511610584961744</v>
      </c>
      <c r="E87" s="110">
        <f>E56</f>
        <v>76.572506382321123</v>
      </c>
      <c r="F87" s="110">
        <f>F56</f>
        <v>81.669832373893243</v>
      </c>
      <c r="G87" s="110">
        <f>G56</f>
        <v>83.136004585591664</v>
      </c>
      <c r="H87" s="110">
        <f t="shared" ref="H87:W87" si="25">G87*(1+H101/100)*H42-H59-H60+H61+H62+H63+H64+H65+H71</f>
        <v>84.547695744971449</v>
      </c>
      <c r="I87" s="110">
        <f t="shared" si="25"/>
        <v>85.202450878743988</v>
      </c>
      <c r="J87" s="110">
        <f t="shared" si="25"/>
        <v>85.373154660813313</v>
      </c>
      <c r="K87" s="110">
        <f t="shared" si="25"/>
        <v>86.05466747211355</v>
      </c>
      <c r="L87" s="110">
        <f t="shared" si="25"/>
        <v>86.842975329658842</v>
      </c>
      <c r="M87" s="110">
        <f t="shared" si="25"/>
        <v>88.141853688748981</v>
      </c>
      <c r="N87" s="110">
        <f t="shared" si="25"/>
        <v>89.468938976520292</v>
      </c>
      <c r="O87" s="110">
        <f t="shared" si="25"/>
        <v>90.628789977511701</v>
      </c>
      <c r="P87" s="110">
        <f t="shared" si="25"/>
        <v>91.688319199643388</v>
      </c>
      <c r="Q87" s="110">
        <f t="shared" si="25"/>
        <v>92.63900192644833</v>
      </c>
      <c r="R87" s="110">
        <f t="shared" si="25"/>
        <v>93.464834635343891</v>
      </c>
      <c r="S87" s="110">
        <f t="shared" si="25"/>
        <v>94.146838121002801</v>
      </c>
      <c r="T87" s="110">
        <f t="shared" si="25"/>
        <v>94.669136288857558</v>
      </c>
      <c r="U87" s="110">
        <f t="shared" si="25"/>
        <v>95.017277119626314</v>
      </c>
      <c r="V87" s="110">
        <f t="shared" si="25"/>
        <v>95.19189181097552</v>
      </c>
      <c r="W87" s="110">
        <f t="shared" si="25"/>
        <v>95.209126776695527</v>
      </c>
    </row>
    <row r="88" spans="2:23" x14ac:dyDescent="0.2">
      <c r="B88" s="26" t="s">
        <v>127</v>
      </c>
      <c r="C88" s="34"/>
      <c r="D88" s="253">
        <f>'Input data'!C66*$D$87</f>
        <v>59.051128502792025</v>
      </c>
      <c r="E88" s="34">
        <f>IF(E87=0,0,IF(E83=1,D87*E42/((1+E23/100)*(1+E41/100))-E89-E90,IF(AND(E83=0,E84=1),(1-D93-E38*D94)*D87*E42/((1+E23/100)*(1+E41/100)),E87)))</f>
        <v>61.999403317237508</v>
      </c>
      <c r="F88" s="34">
        <f t="shared" ref="F88:W88" si="26">IF(F87=0,0,IF(F83=1,E87*F42/((1+F23/100)*(1+F41/100))-F89-F90,IF(AND(F83=0,F84=1),(1-E93-F38*E94)*E87*F42/((1+F23/100)*(1+F41/100)),F87)))</f>
        <v>65.885197792321179</v>
      </c>
      <c r="G88" s="34">
        <f t="shared" si="26"/>
        <v>68.441417395800997</v>
      </c>
      <c r="H88" s="34">
        <f t="shared" si="26"/>
        <v>69.540315392992625</v>
      </c>
      <c r="I88" s="34">
        <f t="shared" si="26"/>
        <v>70.598960155249003</v>
      </c>
      <c r="J88" s="34">
        <f t="shared" si="26"/>
        <v>71.030015474563868</v>
      </c>
      <c r="K88" s="34">
        <f t="shared" si="26"/>
        <v>71.694707732101804</v>
      </c>
      <c r="L88" s="34">
        <f t="shared" si="26"/>
        <v>72.156452799548859</v>
      </c>
      <c r="M88" s="34">
        <f t="shared" si="26"/>
        <v>72.706013118512857</v>
      </c>
      <c r="N88" s="34">
        <f t="shared" si="26"/>
        <v>73.678161472104009</v>
      </c>
      <c r="O88" s="34">
        <f t="shared" si="26"/>
        <v>74.671558579523634</v>
      </c>
      <c r="P88" s="34">
        <f t="shared" si="26"/>
        <v>75.635805665636781</v>
      </c>
      <c r="Q88" s="34">
        <f t="shared" si="26"/>
        <v>76.518096667345517</v>
      </c>
      <c r="R88" s="34">
        <f t="shared" si="26"/>
        <v>77.311249652576606</v>
      </c>
      <c r="S88" s="34">
        <f t="shared" si="26"/>
        <v>78.001891412642351</v>
      </c>
      <c r="T88" s="34">
        <f t="shared" si="26"/>
        <v>78.57414636047703</v>
      </c>
      <c r="U88" s="34">
        <f t="shared" si="26"/>
        <v>79.014724271487822</v>
      </c>
      <c r="V88" s="34">
        <f t="shared" si="26"/>
        <v>79.311477478813615</v>
      </c>
      <c r="W88" s="34">
        <f t="shared" si="26"/>
        <v>79.464801253531107</v>
      </c>
    </row>
    <row r="89" spans="2:23" x14ac:dyDescent="0.2">
      <c r="B89" s="105" t="s">
        <v>128</v>
      </c>
      <c r="C89" s="34"/>
      <c r="D89" s="253">
        <f>'Input data'!C67*$D$87</f>
        <v>2.5660693694891989</v>
      </c>
      <c r="E89" s="34">
        <f t="shared" ref="E89:W89" si="27">IF(E87=0,0,IF(E83=1,E38*D87*D94*E42/((1+E23/100)*(1+E41/100)),IF(AND(E83=0,E84=1),(E38*D87*D94*E42/((1+E23/100)*(1+E41/100)))*(1-ABS(E87-D87*E42/((1+E23/100)*(1+E41/100)))/((E38*D87*D94*E42/((1+E23/100)*(1+E41/100)))+(D93*D87*E42/((1+E23/100)*(1+E41/100))))),0)))</f>
        <v>2.5449751617705147</v>
      </c>
      <c r="F89" s="34">
        <f t="shared" si="27"/>
        <v>2.1622470266405025</v>
      </c>
      <c r="G89" s="34">
        <f t="shared" si="27"/>
        <v>2.2954427873368837</v>
      </c>
      <c r="H89" s="34">
        <f t="shared" si="27"/>
        <v>2.3824647891668915</v>
      </c>
      <c r="I89" s="34">
        <f t="shared" si="27"/>
        <v>2.4697353023958986</v>
      </c>
      <c r="J89" s="34">
        <f t="shared" si="27"/>
        <v>2.5361990042065727</v>
      </c>
      <c r="K89" s="34">
        <f t="shared" si="27"/>
        <v>2.6118701867588543</v>
      </c>
      <c r="L89" s="34">
        <f t="shared" si="27"/>
        <v>2.6810371107036137</v>
      </c>
      <c r="M89" s="34">
        <f t="shared" si="27"/>
        <v>2.7542744194127002</v>
      </c>
      <c r="N89" s="34">
        <f t="shared" si="27"/>
        <v>2.8447008457428495</v>
      </c>
      <c r="O89" s="34">
        <f t="shared" si="27"/>
        <v>2.9374537761652881</v>
      </c>
      <c r="P89" s="34">
        <f t="shared" si="27"/>
        <v>2.9753856380165851</v>
      </c>
      <c r="Q89" s="34">
        <f t="shared" si="27"/>
        <v>3.0100934850730492</v>
      </c>
      <c r="R89" s="34">
        <f t="shared" si="27"/>
        <v>3.0412947921820015</v>
      </c>
      <c r="S89" s="34">
        <f t="shared" si="27"/>
        <v>3.068463479760982</v>
      </c>
      <c r="T89" s="34">
        <f t="shared" si="27"/>
        <v>3.0909750288624513</v>
      </c>
      <c r="U89" s="34">
        <f t="shared" si="27"/>
        <v>3.1083066243589537</v>
      </c>
      <c r="V89" s="34">
        <f t="shared" si="27"/>
        <v>3.1199803974263789</v>
      </c>
      <c r="W89" s="34">
        <f t="shared" si="27"/>
        <v>3.126011897365411</v>
      </c>
    </row>
    <row r="90" spans="2:23" x14ac:dyDescent="0.2">
      <c r="B90" s="105" t="s">
        <v>129</v>
      </c>
      <c r="C90" s="34"/>
      <c r="D90" s="253">
        <f>'Input data'!C68*$D$87</f>
        <v>6.679115961728173</v>
      </c>
      <c r="E90" s="34">
        <f t="shared" ref="E90:W90" si="28">IF(E87=0,0,IF(E83=1,(1-D94)*D87*E42/((1+E23/100)*(1+E41/100)),IF(AND(E83=0,E84=1),(D93*D87*E42/((1+E23/100)*(1+E41/100)))*(1-ABS(E87-D87*E42/((1+E23/100)*(1+E41/100)))/((E38*D87*D94*E42/((1+E23/100)*(1+E41/100)))+(D93*D87*E42/((1+E23/100)*(1+E41/100))))),0)))</f>
        <v>6.9964135836832329</v>
      </c>
      <c r="F90" s="34">
        <f t="shared" si="28"/>
        <v>7.4338450593811274</v>
      </c>
      <c r="G90" s="34">
        <f t="shared" si="28"/>
        <v>7.7923851717799471</v>
      </c>
      <c r="H90" s="34">
        <f t="shared" si="28"/>
        <v>7.9675731344234428</v>
      </c>
      <c r="I90" s="34">
        <f t="shared" si="28"/>
        <v>8.137059664335192</v>
      </c>
      <c r="J90" s="34">
        <f t="shared" si="28"/>
        <v>8.2269616817335915</v>
      </c>
      <c r="K90" s="34">
        <f t="shared" si="28"/>
        <v>8.3394682064289043</v>
      </c>
      <c r="L90" s="34">
        <f t="shared" si="28"/>
        <v>8.4261515511884362</v>
      </c>
      <c r="M90" s="34">
        <f t="shared" si="28"/>
        <v>8.5235978965717702</v>
      </c>
      <c r="N90" s="34">
        <f t="shared" si="28"/>
        <v>8.6740481196737687</v>
      </c>
      <c r="O90" s="34">
        <f t="shared" si="28"/>
        <v>8.8269486789206759</v>
      </c>
      <c r="P90" s="34">
        <f t="shared" si="28"/>
        <v>8.968784691477051</v>
      </c>
      <c r="Q90" s="34">
        <f t="shared" si="28"/>
        <v>9.0994490129815642</v>
      </c>
      <c r="R90" s="34">
        <f t="shared" si="28"/>
        <v>9.2180729121536906</v>
      </c>
      <c r="S90" s="34">
        <f t="shared" si="28"/>
        <v>9.3230042369653443</v>
      </c>
      <c r="T90" s="34">
        <f t="shared" si="28"/>
        <v>9.4122732762736181</v>
      </c>
      <c r="U90" s="34">
        <f t="shared" si="28"/>
        <v>9.4842348740881004</v>
      </c>
      <c r="V90" s="34">
        <f t="shared" si="28"/>
        <v>9.5373865828547419</v>
      </c>
      <c r="W90" s="34">
        <f t="shared" si="28"/>
        <v>9.5718075677181407</v>
      </c>
    </row>
    <row r="91" spans="2:23" x14ac:dyDescent="0.2">
      <c r="B91" s="105" t="s">
        <v>130</v>
      </c>
      <c r="C91" s="34"/>
      <c r="D91" s="253">
        <f>'Input data'!C69*$D$87</f>
        <v>4.7052606775120811</v>
      </c>
      <c r="E91" s="34">
        <f>IF(E87=0,0,IF(E83=1,'Input data'!$C$58*(E87-D87*E42/((1+E23/100)*(1+E41/100))),0))</f>
        <v>4.4868133712998963</v>
      </c>
      <c r="F91" s="34">
        <f>IF(F87=0,0,IF(F83=1,'Input data'!$C$58*(F87-E87*F42/((1+F23/100)*(1+F41/100))),0))</f>
        <v>5.5183648065170443</v>
      </c>
      <c r="G91" s="34">
        <f>IF(G87=0,0,IF(G83=1,'Input data'!$C$58*(G87-F87*G42/((1+G23/100)*(1+G41/100))),0))</f>
        <v>4.1078780712787131</v>
      </c>
      <c r="H91" s="34">
        <f>IF(H87=0,0,IF(H83=1,'Input data'!$C$58*(H87-G87*H42/((1+H23/100)*(1+H41/100))),0))</f>
        <v>4.1529834475882854</v>
      </c>
      <c r="I91" s="34">
        <f>IF(I87=0,0,IF(I83=1,'Input data'!$C$58*(I87-H87*I42/((1+I23/100)*(1+I41/100))),0))</f>
        <v>3.5638803841679256</v>
      </c>
      <c r="J91" s="34">
        <f>IF(J87=0,0,IF(J83=1,'Input data'!$C$58*(J87-I87*J42/((1+J23/100)*(1+J41/100))),0))</f>
        <v>3.1922908145817375</v>
      </c>
      <c r="K91" s="34">
        <f>IF(K87=0,0,IF(K83=1,'Input data'!$C$58*(K87-J87*K42/((1+K23/100)*(1+K41/100))),0))</f>
        <v>3.0394904927259772</v>
      </c>
      <c r="L91" s="34">
        <f>IF(L87=0,0,IF(L83=1,'Input data'!$C$58*(L87-K87*L42/((1+L23/100)*(1+L41/100))),0))</f>
        <v>3.191715991826845</v>
      </c>
      <c r="M91" s="34">
        <f>IF(M87=0,0,IF(M83=1,'Input data'!$C$58*(M87-L87*M42/((1+M23/100)*(1+M41/100))),0))</f>
        <v>3.7076881507035053</v>
      </c>
      <c r="N91" s="34">
        <f>IF(N87=0,0,IF(N83=1,'Input data'!$C$58*(N87-M87*N42/((1+N23/100)*(1+N41/100))),0))</f>
        <v>3.809396470817211</v>
      </c>
      <c r="O91" s="34">
        <f>IF(O87=0,0,IF(O83=1,'Input data'!$C$58*(O87-N87*O42/((1+O23/100)*(1+O41/100))),0))</f>
        <v>3.7387736603397292</v>
      </c>
      <c r="P91" s="34">
        <f>IF(P87=0,0,IF(P83=1,'Input data'!$C$58*(P87-O87*P42/((1+P23/100)*(1+P41/100))),0))</f>
        <v>3.6634371613636789</v>
      </c>
      <c r="Q91" s="34">
        <f>IF(Q87=0,0,IF(Q83=1,'Input data'!$C$58*(Q87-P87*Q42/((1+Q23/100)*(1+Q41/100))),0))</f>
        <v>3.5769590501571824</v>
      </c>
      <c r="R91" s="34">
        <f>IF(R87=0,0,IF(R83=1,'Input data'!$C$58*(R87-Q87*R42/((1+R23/100)*(1+R41/100))),0))</f>
        <v>3.4724996384332205</v>
      </c>
      <c r="S91" s="34">
        <f>IF(S87=0,0,IF(S83=1,'Input data'!$C$58*(S87-R87*S42/((1+S23/100)*(1+S41/100))),0))</f>
        <v>3.3470023651493932</v>
      </c>
      <c r="T91" s="34">
        <f>IF(T87=0,0,IF(T83=1,'Input data'!$C$58*(T87-S87*T42/((1+T23/100)*(1+T41/100))),0))</f>
        <v>3.2027800701159599</v>
      </c>
      <c r="U91" s="34">
        <f>IF(U87=0,0,IF(U83=1,'Input data'!$C$58*(U87-T87*U42/((1+U23/100)*(1+U41/100))),0))</f>
        <v>3.0407299675958912</v>
      </c>
      <c r="V91" s="34">
        <f>IF(V87=0,0,IF(V83=1,'Input data'!$C$58*(V87-U87*V42/((1+V23/100)*(1+V41/100))),0))</f>
        <v>2.8740129180893614</v>
      </c>
      <c r="W91" s="34">
        <f>IF(W87=0,0,IF(W83=1,'Input data'!$C$58*(W87-V87*W42/((1+W23/100)*(1+W41/100))),0))</f>
        <v>2.7165898635812966</v>
      </c>
    </row>
    <row r="92" spans="2:23" x14ac:dyDescent="0.2">
      <c r="B92" s="107" t="s">
        <v>131</v>
      </c>
      <c r="C92" s="49"/>
      <c r="D92" s="254">
        <f>'Input data'!C70*$D$87</f>
        <v>0.51003587344023849</v>
      </c>
      <c r="E92" s="49">
        <f>IF(E87=0,0,IF(E83=1,'Input data'!$C$57*(E87-D87*E42/((1+E23/100)*(1+E41/100))),0))</f>
        <v>0.54490094832997338</v>
      </c>
      <c r="F92" s="49">
        <f>IF(F87=0,0,IF(F83=1,'Input data'!$C$57*(F87-E87*F42/((1+F23/100)*(1+F41/100))),0))</f>
        <v>0.67017768903339203</v>
      </c>
      <c r="G92" s="49">
        <f>IF(G87=0,0,IF(G83=1,'Input data'!$C$57*(G87-F87*G42/((1+G23/100)*(1+G41/100))),0))</f>
        <v>0.49888115939513183</v>
      </c>
      <c r="H92" s="49">
        <f>IF(H87=0,0,IF(H83=1,'Input data'!$C$57*(H87-G87*H42/((1+H23/100)*(1+H41/100))),0))</f>
        <v>0.50435898080020314</v>
      </c>
      <c r="I92" s="49">
        <f>IF(I87=0,0,IF(I83=1,'Input data'!$C$57*(I87-H87*I42/((1+I23/100)*(1+I41/100))),0))</f>
        <v>0.43281537259595831</v>
      </c>
      <c r="J92" s="49">
        <f>IF(J87=0,0,IF(J83=1,'Input data'!$C$57*(J87-I87*J42/((1+J23/100)*(1+J41/100))),0))</f>
        <v>0.38768768572754303</v>
      </c>
      <c r="K92" s="49">
        <f>IF(K87=0,0,IF(K83=1,'Input data'!$C$57*(K87-J87*K42/((1+K23/100)*(1+K41/100))),0))</f>
        <v>0.3691308540980146</v>
      </c>
      <c r="L92" s="49">
        <f>IF(L87=0,0,IF(L83=1,'Input data'!$C$57*(L87-K87*L42/((1+L23/100)*(1+L41/100))),0))</f>
        <v>0.38761787639108469</v>
      </c>
      <c r="M92" s="49">
        <f>IF(M87=0,0,IF(M83=1,'Input data'!$C$57*(M87-L87*M42/((1+M23/100)*(1+M41/100))),0))</f>
        <v>0.4502801035481509</v>
      </c>
      <c r="N92" s="49">
        <f>IF(N87=0,0,IF(N83=1,'Input data'!$C$57*(N87-M87*N42/((1+N23/100)*(1+N41/100))),0))</f>
        <v>0.46263206818245223</v>
      </c>
      <c r="O92" s="49">
        <f>IF(O87=0,0,IF(O83=1,'Input data'!$C$57*(O87-N87*O42/((1+O23/100)*(1+O41/100))),0))</f>
        <v>0.45405528256238109</v>
      </c>
      <c r="P92" s="49">
        <f>IF(P87=0,0,IF(P83=1,'Input data'!$C$57*(P87-O87*P42/((1+P23/100)*(1+P41/100))),0))</f>
        <v>0.44490604314928361</v>
      </c>
      <c r="Q92" s="49">
        <f>IF(Q87=0,0,IF(Q83=1,'Input data'!$C$57*(Q87-P87*Q42/((1+Q23/100)*(1+Q41/100))),0))</f>
        <v>0.43440371089102148</v>
      </c>
      <c r="R92" s="49">
        <f>IF(R87=0,0,IF(R83=1,'Input data'!$C$57*(R87-Q87*R42/((1+R23/100)*(1+R41/100))),0))</f>
        <v>0.42171763999837647</v>
      </c>
      <c r="S92" s="49">
        <f>IF(S87=0,0,IF(S83=1,'Input data'!$C$57*(S87-R87*S42/((1+S23/100)*(1+S41/100))),0))</f>
        <v>0.40647662648473182</v>
      </c>
      <c r="T92" s="49">
        <f>IF(T87=0,0,IF(T83=1,'Input data'!$C$57*(T87-S87*T42/((1+T23/100)*(1+T41/100))),0))</f>
        <v>0.38896155312849923</v>
      </c>
      <c r="U92" s="49">
        <f>IF(U87=0,0,IF(U83=1,'Input data'!$C$57*(U87-T87*U42/((1+U23/100)*(1+U41/100))),0))</f>
        <v>0.36928138209553896</v>
      </c>
      <c r="V92" s="49">
        <f>IF(V87=0,0,IF(V83=1,'Input data'!$C$57*(V87-U87*V42/((1+V23/100)*(1+V41/100))),0))</f>
        <v>0.3490344337914324</v>
      </c>
      <c r="W92" s="49">
        <f>IF(W87=0,0,IF(W83=1,'Input data'!$C$57*(W87-V87*W42/((1+W23/100)*(1+W41/100))),0))</f>
        <v>0.32991619449956855</v>
      </c>
    </row>
    <row r="93" spans="2:23" x14ac:dyDescent="0.2">
      <c r="B93" s="26" t="s">
        <v>73</v>
      </c>
      <c r="C93" s="36"/>
      <c r="D93" s="252">
        <f>IF(D87&lt;&gt;0,(D90+D92)/(D88+D89+D90+D91+D92),0)</f>
        <v>9.7796141283269952E-2</v>
      </c>
      <c r="E93" s="252">
        <f>IF(E87&lt;&gt;0,(E90+E92)/(E88+E89+E90+E91+E92),0)</f>
        <v>9.8485930372449279E-2</v>
      </c>
      <c r="F93" s="36">
        <f>IF(F87&lt;&gt;0,(F90+F92)/(F88+F89+F90+F91+F92),0)</f>
        <v>9.9229085120604091E-2</v>
      </c>
      <c r="G93" s="36">
        <f>IF(G87&lt;&gt;0,(G90+G92)/(G88+G89+G90+G91+G92),0)</f>
        <v>9.9731354333234837E-2</v>
      </c>
      <c r="H93" s="36">
        <f>IF(H87&lt;&gt;0,(H90+H92)/(H88+H89+H90+H91+H92),0)</f>
        <v>0.10020299241245167</v>
      </c>
      <c r="I93" s="36">
        <f t="shared" ref="I93:W93" si="29">IF(I87&lt;&gt;0,(I90+I92)/(I88+I89+I90+I91+I92),0)</f>
        <v>0.10058249438302407</v>
      </c>
      <c r="J93" s="36">
        <f t="shared" si="29"/>
        <v>0.10090583394378538</v>
      </c>
      <c r="K93" s="36">
        <f t="shared" si="29"/>
        <v>0.10119845112816203</v>
      </c>
      <c r="L93" s="36">
        <f t="shared" si="29"/>
        <v>0.10149087354644584</v>
      </c>
      <c r="M93" s="36">
        <f>IF(M87&lt;&gt;0,(M90+M92)/(M88+M89+M90+M91+M92),0)</f>
        <v>0.1018117684682346</v>
      </c>
      <c r="N93" s="36">
        <f t="shared" si="29"/>
        <v>0.10212125339112381</v>
      </c>
      <c r="O93" s="36">
        <f t="shared" si="29"/>
        <v>0.1024067954982739</v>
      </c>
      <c r="P93" s="36">
        <f t="shared" si="29"/>
        <v>0.1026705562584132</v>
      </c>
      <c r="Q93" s="36">
        <f t="shared" si="29"/>
        <v>0.10291402676641621</v>
      </c>
      <c r="R93" s="36">
        <f t="shared" si="29"/>
        <v>0.10313815447020289</v>
      </c>
      <c r="S93" s="36">
        <f t="shared" si="29"/>
        <v>0.10334368161090234</v>
      </c>
      <c r="T93" s="36">
        <f t="shared" si="29"/>
        <v>0.10353146984985973</v>
      </c>
      <c r="U93" s="36">
        <f t="shared" si="29"/>
        <v>0.10370236397932249</v>
      </c>
      <c r="V93" s="36">
        <f t="shared" si="29"/>
        <v>0.10385780583369267</v>
      </c>
      <c r="W93" s="36">
        <f t="shared" si="29"/>
        <v>0.10399973298191585</v>
      </c>
    </row>
    <row r="94" spans="2:23" x14ac:dyDescent="0.2">
      <c r="B94" s="35" t="s">
        <v>74</v>
      </c>
      <c r="C94" s="108"/>
      <c r="D94" s="406">
        <f>(D88+D89+D91)/D87</f>
        <v>0.90220385626214106</v>
      </c>
      <c r="E94" s="406">
        <f>IF(E87&lt;&gt;0,(E88+E89+E91)/(E88+E89+E90+E91+E92),1)</f>
        <v>0.90151406962755076</v>
      </c>
      <c r="F94" s="108">
        <f>IF(F87&lt;&gt;0,(F88+F89+F91)/(F88+F89+F90+F91+F92),1)</f>
        <v>0.90077091487939587</v>
      </c>
      <c r="G94" s="108">
        <f>IF(G87&lt;&gt;0,(G88+G89+G91)/(G88+G89+G90+G91+G92),1)</f>
        <v>0.90026864566676534</v>
      </c>
      <c r="H94" s="108">
        <f>IF(H87&lt;&gt;0,(H88+H89+H91)/(H88+H89+H90+H91+H92),1)</f>
        <v>0.89979700758754821</v>
      </c>
      <c r="I94" s="108">
        <f t="shared" ref="I94:W94" si="30">IF(I87&lt;&gt;0,(I88+I89+I91)/(I88+I89+I90+I91+I92),1)</f>
        <v>0.89941750561697598</v>
      </c>
      <c r="J94" s="108">
        <f t="shared" si="30"/>
        <v>0.89909416605621451</v>
      </c>
      <c r="K94" s="108">
        <f t="shared" si="30"/>
        <v>0.89880154887183794</v>
      </c>
      <c r="L94" s="108">
        <f t="shared" si="30"/>
        <v>0.89850912645355407</v>
      </c>
      <c r="M94" s="108">
        <f t="shared" si="30"/>
        <v>0.89818823153176541</v>
      </c>
      <c r="N94" s="108">
        <f t="shared" si="30"/>
        <v>0.89787874660887612</v>
      </c>
      <c r="O94" s="108">
        <f t="shared" si="30"/>
        <v>0.89759320450172619</v>
      </c>
      <c r="P94" s="108">
        <f t="shared" si="30"/>
        <v>0.89732944374158674</v>
      </c>
      <c r="Q94" s="108">
        <f t="shared" si="30"/>
        <v>0.89708597323358386</v>
      </c>
      <c r="R94" s="108">
        <f t="shared" si="30"/>
        <v>0.8968618455297972</v>
      </c>
      <c r="S94" s="108">
        <f t="shared" si="30"/>
        <v>0.89665631838909765</v>
      </c>
      <c r="T94" s="108">
        <f t="shared" si="30"/>
        <v>0.89646853015014027</v>
      </c>
      <c r="U94" s="108">
        <f t="shared" si="30"/>
        <v>0.89629763602067747</v>
      </c>
      <c r="V94" s="108">
        <f t="shared" si="30"/>
        <v>0.89614219416630736</v>
      </c>
      <c r="W94" s="108">
        <f t="shared" si="30"/>
        <v>0.89600026701808411</v>
      </c>
    </row>
    <row r="95" spans="2:23" x14ac:dyDescent="0.2">
      <c r="C95" s="36"/>
      <c r="D95" s="36"/>
      <c r="E95" s="252"/>
      <c r="F95" s="252"/>
      <c r="G95" s="252"/>
      <c r="H95" s="36"/>
      <c r="I95" s="36"/>
      <c r="J95" s="36"/>
      <c r="K95" s="36"/>
      <c r="L95" s="36"/>
      <c r="M95" s="36"/>
      <c r="N95" s="36"/>
      <c r="O95" s="36"/>
      <c r="P95" s="36"/>
      <c r="Q95" s="36"/>
      <c r="R95" s="36"/>
      <c r="S95" s="36"/>
      <c r="T95" s="36"/>
      <c r="U95" s="36"/>
      <c r="V95" s="36"/>
      <c r="W95" s="36"/>
    </row>
    <row r="96" spans="2:23" x14ac:dyDescent="0.2">
      <c r="B96" s="113" t="s">
        <v>132</v>
      </c>
      <c r="C96" s="115">
        <f>C35</f>
        <v>0.73297140000000005</v>
      </c>
      <c r="D96" s="115">
        <f>D35</f>
        <v>0.83926920000000005</v>
      </c>
      <c r="E96" s="115">
        <f>E98+E99</f>
        <v>1.5804370000000001</v>
      </c>
      <c r="F96" s="115">
        <f>F98+F99</f>
        <v>1.6625099999999999</v>
      </c>
      <c r="G96" s="115">
        <f>G98+G99</f>
        <v>1.8895660000000001</v>
      </c>
      <c r="H96" s="115">
        <f>H98+H99</f>
        <v>1.9991450275951226</v>
      </c>
      <c r="I96" s="115">
        <f t="shared" ref="I96:W96" si="31">I98+I99</f>
        <v>2.0879879377116972</v>
      </c>
      <c r="J96" s="115">
        <f t="shared" si="31"/>
        <v>2.1640664638770444</v>
      </c>
      <c r="K96" s="115">
        <f t="shared" si="31"/>
        <v>2.2321150325315466</v>
      </c>
      <c r="L96" s="115">
        <f t="shared" si="31"/>
        <v>2.2953928731785078</v>
      </c>
      <c r="M96" s="115">
        <f t="shared" si="31"/>
        <v>2.3575574010598914</v>
      </c>
      <c r="N96" s="115">
        <f t="shared" si="31"/>
        <v>2.4218578013202379</v>
      </c>
      <c r="O96" s="115">
        <f t="shared" si="31"/>
        <v>2.4836807638654266</v>
      </c>
      <c r="P96" s="115">
        <f t="shared" si="31"/>
        <v>2.5399818229513458</v>
      </c>
      <c r="Q96" s="115">
        <f t="shared" si="31"/>
        <v>2.593162917967573</v>
      </c>
      <c r="R96" s="115">
        <f t="shared" si="31"/>
        <v>2.6435117462956859</v>
      </c>
      <c r="S96" s="115">
        <f t="shared" si="31"/>
        <v>2.6912336233961884</v>
      </c>
      <c r="T96" s="115">
        <f t="shared" si="31"/>
        <v>2.7364930063751922</v>
      </c>
      <c r="U96" s="115">
        <f t="shared" si="31"/>
        <v>2.7794541625407629</v>
      </c>
      <c r="V96" s="115">
        <f t="shared" si="31"/>
        <v>2.8202665390550012</v>
      </c>
      <c r="W96" s="115">
        <f t="shared" si="31"/>
        <v>2.8591440708598914</v>
      </c>
    </row>
    <row r="97" spans="2:25" x14ac:dyDescent="0.2">
      <c r="B97" s="33" t="s">
        <v>133</v>
      </c>
      <c r="C97" s="1"/>
      <c r="D97" s="34"/>
      <c r="E97" s="405">
        <f>((E35*D87)-(E37*D90+D92))/(D88+D89+D91)</f>
        <v>1.3986373199095827</v>
      </c>
      <c r="F97" s="408">
        <f>((F35*E87)-(F37*E90+E92))/(E88+E89+E91)</f>
        <v>1.4749996435215262</v>
      </c>
      <c r="G97" s="265">
        <f>((G35*F87)-(G37*F90+F92))/(F88+F89+F91)</f>
        <v>1.8040155622143255</v>
      </c>
      <c r="H97" s="34">
        <f t="shared" ref="H97:W97" si="32">IF(G87&gt;0,(G97*G88+H36*(G91+G89))/(G88+G89+G91),H36)</f>
        <v>1.9098628764608092</v>
      </c>
      <c r="I97" s="34">
        <f t="shared" si="32"/>
        <v>2.0093870356338677</v>
      </c>
      <c r="J97" s="34">
        <f t="shared" si="32"/>
        <v>2.0949045781648019</v>
      </c>
      <c r="K97" s="34">
        <f t="shared" si="32"/>
        <v>2.1716095819320995</v>
      </c>
      <c r="L97" s="34">
        <f t="shared" si="32"/>
        <v>2.2430875055378614</v>
      </c>
      <c r="M97" s="34">
        <f t="shared" si="32"/>
        <v>2.3133803636679842</v>
      </c>
      <c r="N97" s="34">
        <f t="shared" si="32"/>
        <v>2.3860931069228264</v>
      </c>
      <c r="O97" s="34">
        <f t="shared" si="32"/>
        <v>2.4561100755947187</v>
      </c>
      <c r="P97" s="34">
        <f t="shared" si="32"/>
        <v>2.5228906568824949</v>
      </c>
      <c r="Q97" s="34">
        <f t="shared" si="32"/>
        <v>2.5862614493064231</v>
      </c>
      <c r="R97" s="34">
        <f t="shared" si="32"/>
        <v>2.6465329352597773</v>
      </c>
      <c r="S97" s="34">
        <f t="shared" si="32"/>
        <v>2.7039250922307163</v>
      </c>
      <c r="T97" s="34">
        <f t="shared" si="32"/>
        <v>2.7586132859260939</v>
      </c>
      <c r="U97" s="34">
        <f t="shared" si="32"/>
        <v>2.8107735214740153</v>
      </c>
      <c r="V97" s="34">
        <f t="shared" si="32"/>
        <v>2.8605660618824524</v>
      </c>
      <c r="W97" s="34">
        <f t="shared" si="32"/>
        <v>2.9082241720293056</v>
      </c>
    </row>
    <row r="98" spans="2:25" x14ac:dyDescent="0.2">
      <c r="B98" s="26" t="s">
        <v>134</v>
      </c>
      <c r="C98" s="34"/>
      <c r="D98" s="34"/>
      <c r="E98" s="265">
        <f>E35</f>
        <v>1.5804370000000001</v>
      </c>
      <c r="F98" s="265">
        <f>F35</f>
        <v>1.6625099999999999</v>
      </c>
      <c r="G98" s="265">
        <f>G35</f>
        <v>1.8895660000000001</v>
      </c>
      <c r="H98" s="34">
        <f t="shared" ref="H98:W98" si="33">(H97*(G88+G89+G91)+H37*(G90+G92))/G87</f>
        <v>1.9991450275951226</v>
      </c>
      <c r="I98" s="34">
        <f t="shared" si="33"/>
        <v>2.0879879377116972</v>
      </c>
      <c r="J98" s="34">
        <f t="shared" si="33"/>
        <v>2.1640664638770444</v>
      </c>
      <c r="K98" s="34">
        <f t="shared" si="33"/>
        <v>2.2321150325315466</v>
      </c>
      <c r="L98" s="34">
        <f t="shared" si="33"/>
        <v>2.2953928731785078</v>
      </c>
      <c r="M98" s="34">
        <f t="shared" si="33"/>
        <v>2.3575574010598914</v>
      </c>
      <c r="N98" s="34">
        <f t="shared" si="33"/>
        <v>2.4218578013202379</v>
      </c>
      <c r="O98" s="34">
        <f t="shared" si="33"/>
        <v>2.4836807638654266</v>
      </c>
      <c r="P98" s="34">
        <f t="shared" si="33"/>
        <v>2.5399818229513458</v>
      </c>
      <c r="Q98" s="34">
        <f t="shared" si="33"/>
        <v>2.593162917967573</v>
      </c>
      <c r="R98" s="34">
        <f t="shared" si="33"/>
        <v>2.6435117462956859</v>
      </c>
      <c r="S98" s="34">
        <f t="shared" si="33"/>
        <v>2.6912336233961884</v>
      </c>
      <c r="T98" s="34">
        <f t="shared" si="33"/>
        <v>2.7364930063751922</v>
      </c>
      <c r="U98" s="34">
        <f t="shared" si="33"/>
        <v>2.7794541625407629</v>
      </c>
      <c r="V98" s="34">
        <f t="shared" si="33"/>
        <v>2.8202665390550012</v>
      </c>
      <c r="W98" s="34">
        <f t="shared" si="33"/>
        <v>2.8591440708598914</v>
      </c>
    </row>
    <row r="99" spans="2:25" x14ac:dyDescent="0.2">
      <c r="B99" s="35" t="s">
        <v>135</v>
      </c>
      <c r="C99" s="114"/>
      <c r="D99" s="49"/>
      <c r="E99" s="49">
        <f>E108</f>
        <v>0</v>
      </c>
      <c r="F99" s="49">
        <f>F108</f>
        <v>0</v>
      </c>
      <c r="G99" s="49">
        <f>G108</f>
        <v>0</v>
      </c>
      <c r="H99" s="49">
        <f>H108</f>
        <v>0</v>
      </c>
      <c r="I99" s="49">
        <f t="shared" ref="I99:W99" si="34">I108</f>
        <v>0</v>
      </c>
      <c r="J99" s="49">
        <f t="shared" si="34"/>
        <v>0</v>
      </c>
      <c r="K99" s="49">
        <f t="shared" si="34"/>
        <v>0</v>
      </c>
      <c r="L99" s="49">
        <f t="shared" si="34"/>
        <v>0</v>
      </c>
      <c r="M99" s="49">
        <f t="shared" si="34"/>
        <v>0</v>
      </c>
      <c r="N99" s="49">
        <f t="shared" si="34"/>
        <v>0</v>
      </c>
      <c r="O99" s="49">
        <f t="shared" si="34"/>
        <v>0</v>
      </c>
      <c r="P99" s="49">
        <f t="shared" si="34"/>
        <v>0</v>
      </c>
      <c r="Q99" s="49">
        <f t="shared" si="34"/>
        <v>0</v>
      </c>
      <c r="R99" s="49">
        <f t="shared" si="34"/>
        <v>0</v>
      </c>
      <c r="S99" s="49">
        <f t="shared" si="34"/>
        <v>0</v>
      </c>
      <c r="T99" s="49">
        <f t="shared" si="34"/>
        <v>0</v>
      </c>
      <c r="U99" s="49">
        <f t="shared" si="34"/>
        <v>0</v>
      </c>
      <c r="V99" s="49">
        <f t="shared" si="34"/>
        <v>0</v>
      </c>
      <c r="W99" s="49">
        <f t="shared" si="34"/>
        <v>0</v>
      </c>
    </row>
    <row r="100" spans="2:25" x14ac:dyDescent="0.2">
      <c r="G100" s="98"/>
      <c r="H100" s="98"/>
      <c r="I100" s="98"/>
      <c r="J100" s="98"/>
      <c r="K100" s="98"/>
      <c r="L100" s="98"/>
      <c r="M100" s="98"/>
      <c r="N100" s="98"/>
      <c r="O100" s="98"/>
      <c r="P100" s="98"/>
      <c r="Q100" s="98"/>
      <c r="R100" s="98"/>
      <c r="S100" s="98"/>
      <c r="T100" s="98"/>
      <c r="U100" s="98"/>
      <c r="V100" s="98"/>
      <c r="W100" s="98"/>
    </row>
    <row r="101" spans="2:25" x14ac:dyDescent="0.2">
      <c r="B101" s="113" t="s">
        <v>186</v>
      </c>
      <c r="C101" s="115">
        <f t="shared" ref="C101:W101" si="35">((1+C96/100)/((1+C23/100)*(1+C41/100))-1)*100</f>
        <v>-4.3409713213587997</v>
      </c>
      <c r="D101" s="115">
        <f t="shared" si="35"/>
        <v>-5.5733961793317803</v>
      </c>
      <c r="E101" s="115">
        <f t="shared" si="35"/>
        <v>-1.0866936191633814</v>
      </c>
      <c r="F101" s="115">
        <f t="shared" si="35"/>
        <v>0.19460467612562038</v>
      </c>
      <c r="G101" s="115">
        <f t="shared" si="35"/>
        <v>-2.0385564104513976</v>
      </c>
      <c r="H101" s="115">
        <f t="shared" si="35"/>
        <v>-1.982928156542374</v>
      </c>
      <c r="I101" s="115">
        <f t="shared" si="35"/>
        <v>-1.9472727633912057</v>
      </c>
      <c r="J101" s="115">
        <f t="shared" si="35"/>
        <v>-1.9239071250937156</v>
      </c>
      <c r="K101" s="115">
        <f t="shared" si="35"/>
        <v>-1.0335259598567959</v>
      </c>
      <c r="L101" s="115">
        <f t="shared" si="35"/>
        <v>-1.0223714116412319</v>
      </c>
      <c r="M101" s="115">
        <f t="shared" si="35"/>
        <v>-1.012311686772227</v>
      </c>
      <c r="N101" s="115">
        <f t="shared" si="35"/>
        <v>-1.0002004637054362</v>
      </c>
      <c r="O101" s="115">
        <f t="shared" si="35"/>
        <v>-0.99049414776725131</v>
      </c>
      <c r="P101" s="115">
        <f t="shared" si="35"/>
        <v>-0.90953273431582105</v>
      </c>
      <c r="Q101" s="115">
        <f t="shared" si="35"/>
        <v>-0.83153554017701969</v>
      </c>
      <c r="R101" s="115">
        <f t="shared" si="35"/>
        <v>-0.75624171667212359</v>
      </c>
      <c r="S101" s="115">
        <f t="shared" si="35"/>
        <v>-0.68344317331816562</v>
      </c>
      <c r="T101" s="115">
        <f t="shared" si="35"/>
        <v>-0.61299660349157792</v>
      </c>
      <c r="U101" s="115">
        <f t="shared" si="35"/>
        <v>-0.54472722315428435</v>
      </c>
      <c r="V101" s="115">
        <f t="shared" si="35"/>
        <v>-0.47850888562483984</v>
      </c>
      <c r="W101" s="115">
        <f t="shared" si="35"/>
        <v>-0.41412034054149061</v>
      </c>
    </row>
    <row r="102" spans="2:25" x14ac:dyDescent="0.2">
      <c r="F102" s="34"/>
      <c r="G102" s="34"/>
      <c r="H102" s="34"/>
      <c r="I102" s="34"/>
      <c r="J102" s="34"/>
      <c r="K102" s="34"/>
      <c r="L102" s="34"/>
      <c r="M102" s="34"/>
      <c r="N102" s="34"/>
      <c r="O102" s="34"/>
      <c r="P102" s="34"/>
      <c r="Q102" s="34"/>
      <c r="R102" s="34"/>
      <c r="S102" s="34"/>
      <c r="T102" s="34"/>
      <c r="U102" s="34"/>
      <c r="V102" s="34"/>
      <c r="W102" s="34"/>
    </row>
    <row r="104" spans="2:25" s="93" customFormat="1" ht="12.75" x14ac:dyDescent="0.2">
      <c r="B104" s="25" t="s">
        <v>136</v>
      </c>
    </row>
    <row r="105" spans="2:25" s="109" customFormat="1" ht="12.75" x14ac:dyDescent="0.2">
      <c r="C105" s="103"/>
      <c r="D105" s="103"/>
      <c r="E105" s="103"/>
      <c r="F105" s="103"/>
      <c r="G105" s="103"/>
      <c r="H105" s="103"/>
      <c r="I105" s="103"/>
      <c r="J105" s="103"/>
      <c r="K105" s="103"/>
      <c r="L105" s="103"/>
      <c r="M105" s="103"/>
      <c r="N105" s="103"/>
      <c r="O105" s="103"/>
      <c r="P105" s="103"/>
      <c r="Q105" s="103"/>
      <c r="R105" s="103"/>
      <c r="S105" s="103"/>
      <c r="T105" s="103"/>
      <c r="U105" s="103"/>
      <c r="V105" s="103"/>
      <c r="W105" s="103"/>
    </row>
    <row r="106" spans="2:25" x14ac:dyDescent="0.2">
      <c r="B106" s="120" t="s">
        <v>43</v>
      </c>
      <c r="C106" s="34">
        <v>72.584819999999993</v>
      </c>
      <c r="D106" s="34">
        <v>73.511600000000001</v>
      </c>
      <c r="E106" s="34">
        <v>75.830699999999993</v>
      </c>
      <c r="F106" s="34">
        <v>80.487430000000003</v>
      </c>
      <c r="G106" s="34">
        <v>82.200940000000003</v>
      </c>
      <c r="H106" s="34">
        <v>83.851100000000002</v>
      </c>
      <c r="I106" s="34">
        <v>84.991829999999993</v>
      </c>
      <c r="J106" s="34">
        <v>86.238829999999993</v>
      </c>
      <c r="K106" s="34">
        <v>87.923959999999994</v>
      </c>
      <c r="L106" s="34">
        <v>89.657449999999997</v>
      </c>
      <c r="M106" s="34">
        <v>91.399360000000001</v>
      </c>
      <c r="N106" s="34">
        <v>93.105029999999999</v>
      </c>
      <c r="O106" s="34">
        <v>94.619609999999994</v>
      </c>
      <c r="P106" s="34">
        <v>95.846199999999996</v>
      </c>
      <c r="Q106" s="34">
        <v>96.773070000000004</v>
      </c>
      <c r="R106" s="34">
        <v>97.382469999999998</v>
      </c>
      <c r="S106" s="34">
        <v>97.779640000000001</v>
      </c>
      <c r="T106" s="34">
        <v>97.973089999999999</v>
      </c>
      <c r="U106" s="34">
        <v>97.936279999999996</v>
      </c>
      <c r="V106" s="34">
        <v>97.685180000000003</v>
      </c>
      <c r="W106" s="34">
        <v>97.32441</v>
      </c>
    </row>
    <row r="107" spans="2:25" x14ac:dyDescent="0.2">
      <c r="B107" s="26" t="s">
        <v>132</v>
      </c>
      <c r="C107" s="34">
        <v>0.73297140000000005</v>
      </c>
      <c r="D107" s="34">
        <v>0.83926920000000005</v>
      </c>
      <c r="E107" s="34">
        <v>1.5804370000000001</v>
      </c>
      <c r="F107" s="34">
        <v>1.6625099999999999</v>
      </c>
      <c r="G107" s="34">
        <v>1.8895660000000001</v>
      </c>
      <c r="H107" s="34">
        <v>1.986993</v>
      </c>
      <c r="I107" s="34">
        <v>2.0747490000000002</v>
      </c>
      <c r="J107" s="34">
        <v>2.153314</v>
      </c>
      <c r="K107" s="34">
        <v>2.2262529999999998</v>
      </c>
      <c r="L107" s="34">
        <v>2.2963450000000001</v>
      </c>
      <c r="M107" s="34">
        <v>2.363537</v>
      </c>
      <c r="N107" s="34">
        <v>2.4279989999999998</v>
      </c>
      <c r="O107" s="34">
        <v>2.4898479999999998</v>
      </c>
      <c r="P107" s="34">
        <v>2.546144</v>
      </c>
      <c r="Q107" s="34">
        <v>2.599335</v>
      </c>
      <c r="R107" s="34">
        <v>2.6497389999999998</v>
      </c>
      <c r="S107" s="34">
        <v>2.6975799999999999</v>
      </c>
      <c r="T107" s="34">
        <v>2.74302</v>
      </c>
      <c r="U107" s="34">
        <v>2.7862179999999999</v>
      </c>
      <c r="V107" s="34">
        <v>2.8273169999999999</v>
      </c>
      <c r="W107" s="34">
        <v>2.8665210000000001</v>
      </c>
    </row>
    <row r="108" spans="2:25" x14ac:dyDescent="0.2">
      <c r="B108" s="26" t="s">
        <v>185</v>
      </c>
      <c r="C108" s="34"/>
      <c r="D108" s="34">
        <v>0</v>
      </c>
      <c r="E108" s="34">
        <v>0</v>
      </c>
      <c r="F108" s="34">
        <v>0</v>
      </c>
      <c r="G108" s="34">
        <v>0</v>
      </c>
      <c r="H108" s="34">
        <v>0</v>
      </c>
      <c r="I108" s="34">
        <v>0</v>
      </c>
      <c r="J108" s="34">
        <v>0</v>
      </c>
      <c r="K108" s="34">
        <v>0</v>
      </c>
      <c r="L108" s="34">
        <v>0</v>
      </c>
      <c r="M108" s="34">
        <v>0</v>
      </c>
      <c r="N108" s="34">
        <v>0</v>
      </c>
      <c r="O108" s="34">
        <v>0</v>
      </c>
      <c r="P108" s="34">
        <v>0</v>
      </c>
      <c r="Q108" s="34">
        <v>0</v>
      </c>
      <c r="R108" s="34">
        <v>0</v>
      </c>
      <c r="S108" s="34">
        <v>0</v>
      </c>
      <c r="T108" s="34">
        <v>0</v>
      </c>
      <c r="U108" s="34">
        <v>0</v>
      </c>
      <c r="V108" s="34">
        <v>0</v>
      </c>
      <c r="W108" s="34">
        <v>0</v>
      </c>
    </row>
    <row r="109" spans="2:25" x14ac:dyDescent="0.2">
      <c r="C109" s="118"/>
      <c r="D109" s="118"/>
      <c r="E109" s="118"/>
      <c r="F109" s="118"/>
      <c r="G109" s="118"/>
      <c r="H109" s="118"/>
      <c r="I109" s="118"/>
      <c r="J109" s="118"/>
      <c r="K109" s="118"/>
      <c r="L109" s="118"/>
      <c r="M109" s="118"/>
      <c r="N109" s="118"/>
      <c r="O109" s="118"/>
      <c r="P109" s="118"/>
      <c r="Q109" s="118"/>
      <c r="R109" s="118"/>
      <c r="S109" s="118"/>
      <c r="T109" s="118"/>
      <c r="U109" s="118"/>
      <c r="V109" s="118"/>
      <c r="W109" s="118"/>
    </row>
    <row r="110" spans="2:25" x14ac:dyDescent="0.2">
      <c r="B110" s="26" t="s">
        <v>96</v>
      </c>
      <c r="C110" s="31">
        <v>2021</v>
      </c>
      <c r="D110" s="31">
        <v>2022</v>
      </c>
      <c r="E110" s="31">
        <v>2023</v>
      </c>
      <c r="F110" s="31">
        <v>2024</v>
      </c>
      <c r="G110" s="31">
        <v>2025</v>
      </c>
      <c r="H110" s="31">
        <v>2026</v>
      </c>
      <c r="I110" s="31">
        <v>2027</v>
      </c>
      <c r="J110" s="31">
        <v>2028</v>
      </c>
      <c r="K110" s="31">
        <v>2029</v>
      </c>
      <c r="L110" s="31">
        <v>2030</v>
      </c>
      <c r="M110" s="31">
        <v>2031</v>
      </c>
      <c r="N110" s="31">
        <v>2032</v>
      </c>
      <c r="O110" s="31">
        <v>2033</v>
      </c>
      <c r="P110" s="31">
        <v>2034</v>
      </c>
      <c r="Q110" s="31">
        <v>2035</v>
      </c>
      <c r="R110" s="31">
        <v>2036</v>
      </c>
      <c r="S110" s="31">
        <v>2037</v>
      </c>
      <c r="T110" s="31">
        <v>2038</v>
      </c>
      <c r="U110" s="31">
        <v>2039</v>
      </c>
      <c r="V110" s="31">
        <v>2040</v>
      </c>
      <c r="W110" s="31">
        <v>2041</v>
      </c>
    </row>
    <row r="111" spans="2:25" x14ac:dyDescent="0.2">
      <c r="B111" s="26" t="s">
        <v>137</v>
      </c>
      <c r="C111" s="34">
        <v>3.8019160000000003E-2</v>
      </c>
      <c r="D111" s="34">
        <v>7.8597440000000005E-2</v>
      </c>
      <c r="E111" s="34">
        <v>5.9475470000000003E-2</v>
      </c>
      <c r="F111" s="34">
        <v>9.6876959999999998E-2</v>
      </c>
      <c r="G111" s="34">
        <v>0.11684023</v>
      </c>
      <c r="H111" s="34">
        <v>0.13811532000000001</v>
      </c>
      <c r="I111" s="34">
        <v>0.13659083</v>
      </c>
      <c r="J111" s="34">
        <v>0.14219135999999999</v>
      </c>
      <c r="K111" s="34">
        <v>0.1389396</v>
      </c>
      <c r="L111" s="34">
        <v>0.12512538000000001</v>
      </c>
      <c r="M111" s="34">
        <v>0.12849179999999999</v>
      </c>
      <c r="N111" s="34">
        <v>7.2085140000000006E-2</v>
      </c>
      <c r="O111" s="34">
        <v>6.8681389999999995E-2</v>
      </c>
      <c r="P111" s="34">
        <v>6.8049499999999999E-2</v>
      </c>
      <c r="Q111" s="34">
        <v>6.8080779999999994E-2</v>
      </c>
      <c r="R111" s="34">
        <v>6.7666320000000002E-2</v>
      </c>
      <c r="S111" s="34">
        <v>6.9220519999999994E-2</v>
      </c>
      <c r="T111" s="34">
        <v>6.6629789999999994E-2</v>
      </c>
      <c r="U111" s="34">
        <v>6.6434309999999996E-2</v>
      </c>
      <c r="V111" s="34">
        <v>6.6393380000000002E-2</v>
      </c>
      <c r="W111" s="34">
        <v>6.621254E-2</v>
      </c>
      <c r="X111" s="38"/>
    </row>
    <row r="112" spans="2:25" x14ac:dyDescent="0.2">
      <c r="B112" s="26" t="s">
        <v>138</v>
      </c>
      <c r="C112" s="34">
        <v>3.0337050000000001E-2</v>
      </c>
      <c r="D112" s="34">
        <v>3.594311E-2</v>
      </c>
      <c r="E112" s="34">
        <v>4.1166179999999997E-2</v>
      </c>
      <c r="F112" s="34">
        <v>1.594102E-2</v>
      </c>
      <c r="G112" s="34">
        <v>1.5850139999999999E-2</v>
      </c>
      <c r="H112" s="34">
        <v>3.7528779999999998E-2</v>
      </c>
      <c r="I112" s="34">
        <v>3.4050280000000002E-2</v>
      </c>
      <c r="J112" s="34">
        <v>4.734439E-2</v>
      </c>
      <c r="K112" s="34">
        <v>4.4075929999999999E-2</v>
      </c>
      <c r="L112" s="34">
        <v>5.08599E-2</v>
      </c>
      <c r="M112" s="34">
        <v>6.6237939999999995E-2</v>
      </c>
      <c r="N112" s="34">
        <v>6.0253769999999998E-2</v>
      </c>
      <c r="O112" s="34">
        <v>9.0030589999999994E-2</v>
      </c>
      <c r="P112" s="34">
        <v>7.2952390000000006E-2</v>
      </c>
      <c r="Q112" s="34">
        <v>7.7366660000000004E-2</v>
      </c>
      <c r="R112" s="34">
        <v>9.0839359999999994E-2</v>
      </c>
      <c r="S112" s="34">
        <v>9.9621100000000004E-2</v>
      </c>
      <c r="T112" s="34">
        <v>0.10965455</v>
      </c>
      <c r="U112" s="34">
        <v>9.8654409999999998E-2</v>
      </c>
      <c r="V112" s="34">
        <v>0.10313576000000001</v>
      </c>
      <c r="W112" s="34">
        <v>0.11073872999999999</v>
      </c>
      <c r="X112" s="34"/>
      <c r="Y112" s="98"/>
    </row>
    <row r="113" spans="2:24" x14ac:dyDescent="0.2">
      <c r="B113" s="26" t="s">
        <v>139</v>
      </c>
      <c r="C113" s="34">
        <v>1E-3</v>
      </c>
      <c r="D113" s="34">
        <v>7.5373060000000006E-2</v>
      </c>
      <c r="E113" s="34">
        <v>4.6882050000000001E-2</v>
      </c>
      <c r="F113" s="34">
        <v>5.4216720000000003E-2</v>
      </c>
      <c r="G113" s="34">
        <v>6.7343109999999998E-2</v>
      </c>
      <c r="H113" s="34">
        <v>7.3281109999999997E-2</v>
      </c>
      <c r="I113" s="34">
        <v>6.3735609999999998E-2</v>
      </c>
      <c r="J113" s="34">
        <v>7.1999019999999997E-2</v>
      </c>
      <c r="K113" s="34">
        <v>7.7920139999999999E-2</v>
      </c>
      <c r="L113" s="34">
        <v>7.3665930000000004E-2</v>
      </c>
      <c r="M113" s="34">
        <v>9.2833230000000003E-2</v>
      </c>
      <c r="N113" s="34">
        <v>9.7499160000000001E-2</v>
      </c>
      <c r="O113" s="34">
        <v>0.10431984</v>
      </c>
      <c r="P113" s="34">
        <v>7.7692949999999997E-2</v>
      </c>
      <c r="Q113" s="34">
        <v>8.1896739999999996E-2</v>
      </c>
      <c r="R113" s="34">
        <v>7.226059E-2</v>
      </c>
      <c r="S113" s="34">
        <v>7.2475159999999997E-2</v>
      </c>
      <c r="T113" s="34">
        <v>7.2704249999999998E-2</v>
      </c>
      <c r="U113" s="34">
        <v>7.292216E-2</v>
      </c>
      <c r="V113" s="34">
        <v>7.3112590000000005E-2</v>
      </c>
      <c r="W113" s="34">
        <v>7.3435849999999997E-2</v>
      </c>
      <c r="X113" s="38"/>
    </row>
    <row r="114" spans="2:24" x14ac:dyDescent="0.2">
      <c r="B114" s="26" t="s">
        <v>140</v>
      </c>
      <c r="C114" s="34">
        <v>8.3818409999999996E-2</v>
      </c>
      <c r="D114" s="34">
        <v>6.9391629999999996E-2</v>
      </c>
      <c r="E114" s="34">
        <v>4.6492409999999998E-2</v>
      </c>
      <c r="F114" s="34">
        <v>4.9193250000000001E-2</v>
      </c>
      <c r="G114" s="34">
        <v>5.6712739999999998E-2</v>
      </c>
      <c r="H114" s="34">
        <v>6.4011879999999993E-2</v>
      </c>
      <c r="I114" s="34">
        <v>6.4931299999999997E-2</v>
      </c>
      <c r="J114" s="34">
        <v>6.3912460000000004E-2</v>
      </c>
      <c r="K114" s="34">
        <v>6.1693610000000003E-2</v>
      </c>
      <c r="L114" s="34">
        <v>5.4426040000000002E-2</v>
      </c>
      <c r="M114" s="34">
        <v>8.556656E-2</v>
      </c>
      <c r="N114" s="34">
        <v>8.1653809999999993E-2</v>
      </c>
      <c r="O114" s="34">
        <v>7.5878589999999996E-2</v>
      </c>
      <c r="P114" s="34">
        <v>6.1356269999999997E-2</v>
      </c>
      <c r="Q114" s="34">
        <v>8.1797350000000005E-2</v>
      </c>
      <c r="R114" s="34">
        <v>8.4442320000000001E-2</v>
      </c>
      <c r="S114" s="34">
        <v>6.0270190000000001E-2</v>
      </c>
      <c r="T114" s="34">
        <v>7.2970759999999996E-2</v>
      </c>
      <c r="U114" s="34">
        <v>5.7315959999999999E-2</v>
      </c>
      <c r="V114" s="34">
        <v>6.0796679999999999E-2</v>
      </c>
      <c r="W114" s="34">
        <v>5.7293660000000003E-2</v>
      </c>
      <c r="X114" s="38"/>
    </row>
    <row r="115" spans="2:24" x14ac:dyDescent="0.2">
      <c r="C115" s="38"/>
      <c r="D115" s="38"/>
      <c r="E115" s="34"/>
      <c r="F115" s="34"/>
      <c r="G115" s="38"/>
      <c r="H115" s="118"/>
      <c r="I115" s="118"/>
      <c r="J115" s="118"/>
      <c r="K115" s="118"/>
      <c r="L115" s="118"/>
      <c r="M115" s="118"/>
      <c r="N115" s="118"/>
      <c r="O115" s="118"/>
      <c r="P115" s="118"/>
      <c r="Q115" s="118"/>
      <c r="R115" s="118"/>
      <c r="S115" s="118"/>
      <c r="T115" s="118"/>
      <c r="U115" s="118"/>
      <c r="V115" s="118"/>
      <c r="W115" s="118"/>
      <c r="X115" s="38"/>
    </row>
    <row r="116" spans="2:24"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2:24" x14ac:dyDescent="0.2">
      <c r="D117" s="258"/>
      <c r="E117" s="258"/>
      <c r="F117" s="258"/>
      <c r="G117" s="258"/>
    </row>
    <row r="118" spans="2:24" x14ac:dyDescent="0.2">
      <c r="D118" s="258"/>
      <c r="E118" s="258"/>
      <c r="F118" s="258"/>
      <c r="G118" s="258"/>
      <c r="H118" s="258"/>
      <c r="I118" s="258"/>
      <c r="J118" s="258"/>
      <c r="K118" s="258"/>
      <c r="L118" s="258"/>
      <c r="M118" s="258"/>
      <c r="N118" s="258"/>
      <c r="O118" s="258"/>
      <c r="P118" s="258"/>
      <c r="Q118" s="258"/>
      <c r="R118" s="258"/>
      <c r="S118" s="258"/>
      <c r="T118" s="258"/>
      <c r="U118" s="121"/>
      <c r="V118" s="121"/>
      <c r="W118" s="121"/>
    </row>
    <row r="119" spans="2:24" x14ac:dyDescent="0.2">
      <c r="E119" s="34"/>
      <c r="F119" s="34"/>
      <c r="G119" s="121"/>
      <c r="H119" s="121"/>
      <c r="I119" s="121"/>
      <c r="J119" s="121"/>
      <c r="K119" s="121"/>
      <c r="L119" s="121"/>
      <c r="M119" s="121"/>
      <c r="N119" s="121"/>
      <c r="O119" s="121"/>
      <c r="P119" s="121"/>
      <c r="Q119" s="121"/>
      <c r="R119" s="121"/>
      <c r="S119" s="121"/>
      <c r="T119" s="121"/>
      <c r="U119" s="121"/>
      <c r="V119" s="121"/>
      <c r="W119" s="121"/>
      <c r="X119" s="121"/>
    </row>
    <row r="120" spans="2:24" x14ac:dyDescent="0.2">
      <c r="G120" s="121"/>
      <c r="H120" s="121"/>
      <c r="I120" s="121"/>
      <c r="J120" s="121"/>
      <c r="K120" s="121"/>
      <c r="L120" s="121"/>
      <c r="M120" s="121"/>
      <c r="N120" s="121"/>
      <c r="O120" s="121"/>
      <c r="P120" s="121"/>
      <c r="Q120" s="121"/>
      <c r="R120" s="121"/>
      <c r="S120" s="121"/>
      <c r="T120" s="121"/>
      <c r="U120" s="121"/>
      <c r="V120" s="121"/>
      <c r="W120" s="121"/>
      <c r="X120" s="121"/>
    </row>
    <row r="121" spans="2:24" x14ac:dyDescent="0.2">
      <c r="E121" s="34"/>
      <c r="F121" s="98"/>
      <c r="G121" s="98"/>
      <c r="H121" s="98"/>
      <c r="I121" s="98"/>
      <c r="J121" s="98"/>
      <c r="K121" s="98"/>
      <c r="L121" s="98"/>
      <c r="M121" s="98"/>
      <c r="N121" s="98"/>
      <c r="O121" s="98"/>
      <c r="P121" s="98"/>
      <c r="Q121" s="98"/>
      <c r="R121" s="98"/>
      <c r="S121" s="98"/>
      <c r="T121" s="98"/>
      <c r="U121" s="98"/>
      <c r="V121" s="98"/>
      <c r="W121" s="98"/>
      <c r="X121" s="121"/>
    </row>
    <row r="122" spans="2:24" x14ac:dyDescent="0.2">
      <c r="E122" s="34"/>
      <c r="F122" s="34"/>
      <c r="G122" s="121"/>
      <c r="H122" s="121"/>
      <c r="I122" s="121"/>
      <c r="J122" s="121"/>
      <c r="K122" s="121"/>
      <c r="L122" s="121"/>
      <c r="M122" s="121"/>
      <c r="N122" s="121"/>
      <c r="O122" s="121"/>
      <c r="P122" s="121"/>
      <c r="Q122" s="121"/>
      <c r="R122" s="121"/>
      <c r="S122" s="121"/>
      <c r="T122" s="121"/>
      <c r="U122" s="121"/>
      <c r="V122" s="121"/>
      <c r="W122" s="121"/>
      <c r="X122" s="121"/>
    </row>
    <row r="123" spans="2:24" x14ac:dyDescent="0.2">
      <c r="G123" s="121"/>
      <c r="H123" s="121"/>
      <c r="I123" s="121"/>
      <c r="J123" s="121"/>
      <c r="K123" s="121"/>
      <c r="L123" s="121"/>
      <c r="M123" s="121"/>
      <c r="N123" s="121"/>
      <c r="O123" s="121"/>
      <c r="P123" s="121"/>
      <c r="Q123" s="121"/>
      <c r="R123" s="121"/>
      <c r="S123" s="121"/>
      <c r="T123" s="121"/>
      <c r="U123" s="121"/>
      <c r="V123" s="121"/>
      <c r="W123" s="121"/>
      <c r="X123" s="121"/>
    </row>
  </sheetData>
  <conditionalFormatting sqref="U10:W43 U45:W52 U54:W80 U82:W103 U105:W129">
    <cfRule type="expression" dxfId="56" priority="1">
      <formula>U$10&gt;($C$6+10)</formula>
    </cfRule>
  </conditionalFormatting>
  <pageMargins left="0.7" right="0.7" top="0.75" bottom="0.75" header="0.3" footer="0.3"/>
  <pageSetup paperSize="9" orientation="portrait" r:id="rId1"/>
  <ignoredErrors>
    <ignoredError sqref="C5:C6 C46:C47" unlockedFormula="1"/>
    <ignoredError sqref="V35:W35 V56:W57 V66:W69 V76:W77 V97:W98 U84:U86 V83:W86 V100:W100 U88:U94 V88:W96" evalErro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FFC000"/>
  </sheetPr>
  <dimension ref="A1:AY135"/>
  <sheetViews>
    <sheetView tabSelected="1" topLeftCell="A53" zoomScale="145" zoomScaleNormal="145" workbookViewId="0">
      <selection activeCell="G72" sqref="G72"/>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1">
        <f>'Input data'!C13</f>
        <v>-2.1345519999999998</v>
      </c>
      <c r="D12" s="2">
        <f>'Input data'!D13</f>
        <v>0.29205680000000001</v>
      </c>
      <c r="E12" s="2">
        <f>'Input data'!E13</f>
        <v>-0.3391101166058319</v>
      </c>
      <c r="F12" s="2">
        <f>'Input data'!F13</f>
        <v>-0.3744433445451063</v>
      </c>
      <c r="G12" s="425">
        <v>0.44336499216821834</v>
      </c>
      <c r="H12" s="426">
        <v>1.1033448931261973</v>
      </c>
      <c r="I12" s="426">
        <v>1.423330146090432</v>
      </c>
      <c r="J12" s="426">
        <v>1.7834653510414613</v>
      </c>
      <c r="K12" s="427">
        <v>2.0633649921682187</v>
      </c>
      <c r="L12" s="427">
        <v>2.3433649921682189</v>
      </c>
      <c r="M12" s="427">
        <v>2.6233649921682192</v>
      </c>
      <c r="N12" s="427">
        <v>2.6233649921682192</v>
      </c>
      <c r="O12" s="427">
        <v>2.6233649921682192</v>
      </c>
      <c r="P12" s="427">
        <v>2.6233649921682192</v>
      </c>
      <c r="Q12" s="427">
        <v>2.6233649921682192</v>
      </c>
      <c r="R12" s="427">
        <v>2.6233649921682192</v>
      </c>
      <c r="S12" s="427">
        <v>2.6233649921682192</v>
      </c>
      <c r="T12" s="427">
        <v>2.6233649921682192</v>
      </c>
      <c r="U12" s="427">
        <v>2.6233649921682192</v>
      </c>
      <c r="V12" s="427">
        <v>2.6233649921682192</v>
      </c>
      <c r="W12" s="428">
        <v>2.6233649921682192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262">
        <f>G12-F12</f>
        <v>0.81780833671332465</v>
      </c>
      <c r="H13" s="262">
        <f t="shared" ref="H13:W13" si="0">H12-G12</f>
        <v>0.65997990095797898</v>
      </c>
      <c r="I13" s="262">
        <f t="shared" si="0"/>
        <v>0.31998525296423463</v>
      </c>
      <c r="J13" s="262">
        <f t="shared" si="0"/>
        <v>0.36013520495102935</v>
      </c>
      <c r="K13" s="262">
        <f t="shared" si="0"/>
        <v>0.27989964112675736</v>
      </c>
      <c r="L13" s="262">
        <f t="shared" si="0"/>
        <v>0.28000000000000025</v>
      </c>
      <c r="M13" s="262">
        <f t="shared" si="0"/>
        <v>0.28000000000000025</v>
      </c>
      <c r="N13" s="262">
        <f t="shared" si="0"/>
        <v>0</v>
      </c>
      <c r="O13" s="262">
        <f t="shared" si="0"/>
        <v>0</v>
      </c>
      <c r="P13" s="262">
        <f t="shared" si="0"/>
        <v>0</v>
      </c>
      <c r="Q13" s="262">
        <f t="shared" si="0"/>
        <v>0</v>
      </c>
      <c r="R13" s="262">
        <f t="shared" si="0"/>
        <v>0</v>
      </c>
      <c r="S13" s="262">
        <f t="shared" si="0"/>
        <v>0</v>
      </c>
      <c r="T13" s="262">
        <f t="shared" si="0"/>
        <v>0</v>
      </c>
      <c r="U13" s="262">
        <f t="shared" si="0"/>
        <v>0</v>
      </c>
      <c r="V13" s="262">
        <f t="shared" si="0"/>
        <v>0</v>
      </c>
      <c r="W13" s="262">
        <f t="shared" si="0"/>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233.2291584533499</v>
      </c>
      <c r="H23" s="34">
        <f>IF(AND(H50&gt;1,G50&gt;1),IF(AND(H50&gt;0,G50&gt;0),H27*(H51/100+1),0)+IF(H50&gt;0,G23*(1+H52/100),0)-G23*(1+'Input data'!H30/100),IF(H50=1,H27,G23*(1+H52/100)))</f>
        <v>236.86192588317715</v>
      </c>
      <c r="I23" s="34">
        <f>IF(AND(I50&gt;1,H50&gt;1),IF(AND(I50&gt;0,H50&gt;0),I27*(I51/100+1),0)+IF(I50&gt;0,H23*(1+I52/100),0)-H23*(1+'Input data'!I30/100),IF(I50=1,I27,H23*(1+I52/100)))</f>
        <v>240.6505689183135</v>
      </c>
      <c r="J23" s="34">
        <f>IF(AND(J50&gt;1,I50&gt;1),IF(AND(J50&gt;0,I50&gt;0),J27*(J51/100+1),0)+IF(J50&gt;0,I23*(1+J52/100),0)-I23*(1+'Input data'!J30/100),IF(J50=1,J27,I23*(1+J52/100)))</f>
        <v>243.88362527052561</v>
      </c>
      <c r="K23" s="34">
        <f>IF(AND(K50&gt;1,J50&gt;1),IF(AND(K50&gt;0,J50&gt;0),K27*(K51/100+1),0)+IF(K50&gt;0,J23*(1+K52/100),0)-J23*(1+'Input data'!K30/100),IF(K50=1,K27,J23*(1+K52/100)))</f>
        <v>246.96956933810475</v>
      </c>
      <c r="L23" s="34">
        <f>IF(AND(L50&gt;1,K50&gt;1),IF(AND(L50&gt;0,K50&gt;0),L27*(L51/100+1),0)+IF(L50&gt;0,K23*(1+L52/100),0)-K23*(1+'Input data'!L30/100),IF(L50=1,L27,K23*(1+L52/100)))</f>
        <v>249.81905149558409</v>
      </c>
      <c r="M23" s="34">
        <f>IF(AND(M50&gt;1,L50&gt;1),IF(AND(M50&gt;0,L50&gt;0),M27*(M51/100+1),0)+IF(M50&gt;0,L23*(1+M52/100),0)-L23*(1+'Input data'!M30/100),IF(M50=1,M27,L23*(1+M52/100)))</f>
        <v>252.51738857071862</v>
      </c>
      <c r="N23" s="34">
        <f>IF(AND(N50&gt;1,M50&gt;1),IF(AND(N50&gt;0,M50&gt;0),N27*(N51/100+1),0)+IF(N50&gt;0,M23*(1+N52/100),0)-M23*(1+'Input data'!N30/100),IF(N50=1,N27,M23*(1+N52/100)))</f>
        <v>255.65198226554256</v>
      </c>
      <c r="O23" s="34">
        <f>IF(AND(O50&gt;1,N50&gt;1),IF(AND(O50&gt;0,N50&gt;0),O27*(O51/100+1),0)+IF(O50&gt;0,N23*(1+O52/100),0)-N23*(1+'Input data'!O30/100),IF(O50=1,O27,N23*(1+O52/100)))</f>
        <v>258.8231187079171</v>
      </c>
      <c r="P23" s="34">
        <f>IF(AND(P50&gt;1,O50&gt;1),IF(AND(P50&gt;0,O50&gt;0),P27*(P51/100+1),0)+IF(P50&gt;0,O23*(1+P52/100),0)-O23*(1+'Input data'!P30/100),IF(P50=1,P27,O23*(1+P52/100)))</f>
        <v>262.0312072276696</v>
      </c>
      <c r="Q23" s="34">
        <f>IF(AND(Q50&gt;1,P50&gt;1),IF(AND(Q50&gt;0,P50&gt;0),Q27*(Q51/100+1),0)+IF(Q50&gt;0,P23*(1+Q52/100),0)-P23*(1+'Input data'!Q30/100),IF(Q50=1,Q27,P23*(1+Q52/100)))</f>
        <v>264.48142035883194</v>
      </c>
      <c r="R23" s="34">
        <f>IF(AND(R50&gt;1,Q50&gt;1),IF(AND(R50&gt;0,Q50&gt;0),R27*(R51/100+1),0)+IF(R50&gt;0,Q23*(1+R52/100),0)-Q23*(1+'Input data'!R30/100),IF(R50=1,R27,Q23*(1+R52/100)))</f>
        <v>266.95455034214859</v>
      </c>
      <c r="S23" s="34">
        <f>IF(AND(S50&gt;1,R50&gt;1),IF(AND(S50&gt;0,R50&gt;0),S27*(S51/100+1),0)+IF(S50&gt;0,R23*(1+S52/100),0)-R23*(1+'Input data'!S30/100),IF(S50=1,S27,R23*(1+S52/100)))</f>
        <v>269.4507982207432</v>
      </c>
      <c r="T23" s="34">
        <f>IF(AND(T50&gt;1,S50&gt;1),IF(AND(T50&gt;0,S50&gt;0),T27*(T51/100+1),0)+IF(T50&gt;0,S23*(1+T52/100),0)-S23*(1+'Input data'!T30/100),IF(T50=1,T27,S23*(1+T52/100)))</f>
        <v>271.97040426772412</v>
      </c>
      <c r="U23" s="34">
        <f>IF(AND(U50&gt;1,T50&gt;1),IF(AND(U50&gt;0,T50&gt;0),U27*(U51/100+1),0)+IF(U50&gt;0,T23*(1+U52/100),0)-T23*(1+'Input data'!U30/100),IF(U50=1,U27,T23*(1+U52/100)))</f>
        <v>274.51356272647968</v>
      </c>
      <c r="V23" s="34">
        <f>IF(AND(V50&gt;1,U50&gt;1),IF(AND(V50&gt;0,U50&gt;0),V27*(V51/100+1),0)+IF(V50&gt;0,U23*(1+V52/100),0)-U23*(1+'Input data'!V30/100),IF(V50=1,V27,U23*(1+V52/100)))</f>
        <v>277.08051564162838</v>
      </c>
      <c r="W23" s="34">
        <f>IF(AND(W50&gt;1,V50&gt;1),IF(AND(W50&gt;0,V50&gt;0),W27*(W51/100+1),0)+IF(W50&gt;0,V23*(1+W52/100),0)-V23*(1+'Input data'!W30/100),IF(W50=1,W27,V23*(1+W52/100)))</f>
        <v>279.67146360216714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386">
        <f>'Baseline NFPC'!F23</f>
        <v>-0.22177088705733761</v>
      </c>
      <c r="G24" s="34">
        <f>100*(G23/F23-1)</f>
        <v>1.2218437474650123</v>
      </c>
      <c r="H24" s="34">
        <f t="shared" ref="H24:S24" si="1">100*(H23/G23-1)</f>
        <v>1.5575957371358751</v>
      </c>
      <c r="I24" s="34">
        <f t="shared" si="1"/>
        <v>1.5995154227551822</v>
      </c>
      <c r="J24" s="34">
        <f t="shared" si="1"/>
        <v>1.3434650774956314</v>
      </c>
      <c r="K24" s="34">
        <f t="shared" si="1"/>
        <v>1.2653346710571833</v>
      </c>
      <c r="L24" s="34">
        <f t="shared" si="1"/>
        <v>1.1537786477565426</v>
      </c>
      <c r="M24" s="34">
        <f t="shared" si="1"/>
        <v>1.0801166119959626</v>
      </c>
      <c r="N24" s="34">
        <f t="shared" si="1"/>
        <v>1.2413377599721498</v>
      </c>
      <c r="O24" s="34">
        <f t="shared" si="1"/>
        <v>1.2404114430377255</v>
      </c>
      <c r="P24" s="34">
        <f t="shared" si="1"/>
        <v>1.239490713104674</v>
      </c>
      <c r="Q24" s="34">
        <f t="shared" si="1"/>
        <v>0.93508447222221402</v>
      </c>
      <c r="R24" s="34">
        <f t="shared" si="1"/>
        <v>0.93508647222222407</v>
      </c>
      <c r="S24" s="34">
        <f t="shared" si="1"/>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34">
        <f>+J27*(1+'Input data'!K33/100)</f>
        <v>250.11626204522659</v>
      </c>
      <c r="L27" s="34">
        <f>+K27*(1+'Input data'!L33/100)</f>
        <v>252.45509921161153</v>
      </c>
      <c r="M27" s="34">
        <f>+L27*(1+'Input data'!M33/100)</f>
        <v>254.81580684433933</v>
      </c>
      <c r="N27" s="34">
        <f>+M27*(1+'Input data'!N33/100)</f>
        <v>257.1985894541408</v>
      </c>
      <c r="O27" s="34">
        <f>+N27*(1+'Input data'!O33/100)</f>
        <v>259.60365346412652</v>
      </c>
      <c r="P27" s="34">
        <f>+O27*(1+'Input data'!P33/100)</f>
        <v>262.0312072276696</v>
      </c>
      <c r="Q27" s="34">
        <f>+P27*(1+'Input data'!Q33/100)</f>
        <v>264.48146104645554</v>
      </c>
      <c r="R27" s="34">
        <f>+Q27*(1+'Input data'!R33/100)</f>
        <v>266.95462718870095</v>
      </c>
      <c r="S27" s="34">
        <f>+R27*(1+'Input data'!S33/100)</f>
        <v>269.45091990754253</v>
      </c>
      <c r="T27" s="34">
        <f>+S27*(1+'Input data'!T33/100)</f>
        <v>271.97055545959796</v>
      </c>
      <c r="U27" s="34">
        <f>+T27*(1+'Input data'!U33/100)</f>
        <v>274.51375212370067</v>
      </c>
      <c r="V27" s="34">
        <f>+U27*(1+'Input data'!V33/100)</f>
        <v>277.08073021980942</v>
      </c>
      <c r="W27" s="34">
        <f>+V27*(1+'Input data'!W33/100)</f>
        <v>279.6717121280949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T30" si="2">100*(D23/D27-1)</f>
        <v>-0.14622746557002575</v>
      </c>
      <c r="E30" s="100">
        <f t="shared" si="2"/>
        <v>-2.3697984129074534</v>
      </c>
      <c r="F30" s="100">
        <f t="shared" si="2"/>
        <v>-3.4887901007707112</v>
      </c>
      <c r="G30" s="34">
        <f>100*(G23/G27-1)</f>
        <v>-3.2146140609303986</v>
      </c>
      <c r="H30" s="34">
        <f t="shared" si="2"/>
        <v>-2.6177108016665618</v>
      </c>
      <c r="I30" s="34">
        <f t="shared" si="2"/>
        <v>-1.976682112473449</v>
      </c>
      <c r="J30" s="34">
        <f t="shared" si="2"/>
        <v>-1.5800975764149405</v>
      </c>
      <c r="K30" s="34">
        <f t="shared" si="2"/>
        <v>-1.2580920094483306</v>
      </c>
      <c r="L30" s="34">
        <f t="shared" si="2"/>
        <v>-1.0441649720126511</v>
      </c>
      <c r="M30" s="34">
        <f>100*(M23/M27-1)</f>
        <v>-0.90199203184626597</v>
      </c>
      <c r="N30" s="34">
        <f t="shared" si="2"/>
        <v>-0.60132802123085138</v>
      </c>
      <c r="O30" s="34">
        <f t="shared" si="2"/>
        <v>-0.30066401061542569</v>
      </c>
      <c r="P30" s="34">
        <f t="shared" si="2"/>
        <v>0</v>
      </c>
      <c r="Q30" s="34">
        <f t="shared" si="2"/>
        <v>-1.5383922724598875E-5</v>
      </c>
      <c r="R30" s="34">
        <f t="shared" si="2"/>
        <v>-2.878637211933821E-5</v>
      </c>
      <c r="S30" s="34">
        <f t="shared" si="2"/>
        <v>-4.5161025752360473E-5</v>
      </c>
      <c r="T30" s="34">
        <f t="shared" si="2"/>
        <v>-5.5591265601950823E-5</v>
      </c>
      <c r="U30" s="34">
        <f>100*(U23/U27-1)</f>
        <v>-6.8993709612108489E-5</v>
      </c>
      <c r="V30" s="34">
        <f>100*(V23/V27-1)</f>
        <v>-7.7442477097733331E-5</v>
      </c>
      <c r="W30" s="34">
        <f>100*(W23/W27-1)</f>
        <v>-8.8863448455267502E-5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3">100*((1+C24/100)*(1+C42/100)-1)</f>
        <v>5.3041963643644108</v>
      </c>
      <c r="D33" s="2">
        <f t="shared" si="3"/>
        <v>6.7911638456366497</v>
      </c>
      <c r="E33" s="2">
        <f t="shared" si="3"/>
        <v>2.6964325799547773</v>
      </c>
      <c r="F33" s="2">
        <f>100*((1+F24/100)*(1+F42/100)-1)</f>
        <v>1.4650542597770766</v>
      </c>
      <c r="G33" s="1">
        <f>100*((1+G24/100)*(1+G42/100)-1)</f>
        <v>3.3834114612152355</v>
      </c>
      <c r="H33" s="1">
        <f t="shared" si="3"/>
        <v>3.77895598699034</v>
      </c>
      <c r="I33" s="1">
        <f t="shared" si="3"/>
        <v>3.8744369335716788</v>
      </c>
      <c r="J33" s="1">
        <f t="shared" si="3"/>
        <v>3.6651650294890148</v>
      </c>
      <c r="K33" s="1">
        <f t="shared" si="3"/>
        <v>3.6377159140058568</v>
      </c>
      <c r="L33" s="1">
        <f t="shared" si="3"/>
        <v>3.5759598200283182</v>
      </c>
      <c r="M33" s="1">
        <f t="shared" si="3"/>
        <v>3.552909133560278</v>
      </c>
      <c r="N33" s="1">
        <f t="shared" si="3"/>
        <v>3.7705331091938854</v>
      </c>
      <c r="O33" s="1">
        <f t="shared" si="3"/>
        <v>3.8220419348351964</v>
      </c>
      <c r="P33" s="1">
        <f t="shared" si="3"/>
        <v>3.7932568663427535</v>
      </c>
      <c r="Q33" s="1">
        <f t="shared" si="3"/>
        <v>3.4534148298041689</v>
      </c>
      <c r="R33" s="1">
        <f t="shared" si="3"/>
        <v>3.425659730924302</v>
      </c>
      <c r="S33" s="1">
        <f t="shared" si="3"/>
        <v>3.3978995089444464</v>
      </c>
      <c r="T33" s="1">
        <f t="shared" si="3"/>
        <v>3.3701485057395786</v>
      </c>
      <c r="U33" s="1">
        <f>100*((1+U24/100)*(1+U42/100)-1)</f>
        <v>3.3423882845847075</v>
      </c>
      <c r="V33" s="1">
        <f t="shared" si="3"/>
        <v>3.3146362536798479</v>
      </c>
      <c r="W33" s="1">
        <f t="shared" si="3"/>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4">H109</f>
        <v>1.9800874450398689</v>
      </c>
      <c r="I36" s="34">
        <f t="shared" si="4"/>
        <v>2.0597411836186312</v>
      </c>
      <c r="J36" s="34">
        <f t="shared" si="4"/>
        <v>2.1254620901125669</v>
      </c>
      <c r="K36" s="34">
        <f t="shared" si="4"/>
        <v>2.1824467881436358</v>
      </c>
      <c r="L36" s="34">
        <f t="shared" si="4"/>
        <v>2.2297678976260178</v>
      </c>
      <c r="M36" s="34">
        <f t="shared" si="4"/>
        <v>2.2728421332522841</v>
      </c>
      <c r="N36" s="34">
        <f t="shared" si="4"/>
        <v>2.3167855671693469</v>
      </c>
      <c r="O36" s="34">
        <f t="shared" si="4"/>
        <v>2.3589202495665504</v>
      </c>
      <c r="P36" s="34">
        <f t="shared" si="4"/>
        <v>2.3951221476412248</v>
      </c>
      <c r="Q36" s="34">
        <f t="shared" si="4"/>
        <v>2.4272413087484797</v>
      </c>
      <c r="R36" s="34">
        <f t="shared" si="4"/>
        <v>2.4571054317994925</v>
      </c>
      <c r="S36" s="34">
        <f t="shared" si="4"/>
        <v>2.4851718198389681</v>
      </c>
      <c r="T36" s="34">
        <f t="shared" si="4"/>
        <v>2.5125022148978471</v>
      </c>
      <c r="U36" s="34">
        <f t="shared" si="4"/>
        <v>2.5394413661815012</v>
      </c>
      <c r="V36" s="34">
        <f t="shared" si="4"/>
        <v>2.5663058235230571</v>
      </c>
      <c r="W36" s="34">
        <f t="shared" si="4"/>
        <v>2.5932970227381635</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5">H37+($O$37-$G$37)/($O$10-$G$10)</f>
        <v>3.0683720000000001</v>
      </c>
      <c r="J37" s="1">
        <f t="shared" si="5"/>
        <v>3.0955400000000002</v>
      </c>
      <c r="K37" s="1">
        <f t="shared" si="5"/>
        <v>3.1227080000000003</v>
      </c>
      <c r="L37" s="1">
        <f t="shared" si="5"/>
        <v>3.1498760000000003</v>
      </c>
      <c r="M37" s="1">
        <f t="shared" si="5"/>
        <v>3.1770440000000004</v>
      </c>
      <c r="N37" s="1">
        <f t="shared" si="5"/>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6">H38+($O$38-$G$38)/($O$10-$G$10)</f>
        <v>2.7938037499999995</v>
      </c>
      <c r="J38" s="1">
        <f t="shared" si="6"/>
        <v>2.7825181249999993</v>
      </c>
      <c r="K38" s="1">
        <f t="shared" si="6"/>
        <v>2.7712324999999991</v>
      </c>
      <c r="L38" s="1">
        <f t="shared" si="6"/>
        <v>2.7599468749999989</v>
      </c>
      <c r="M38" s="1">
        <f t="shared" si="6"/>
        <v>2.7486612499999987</v>
      </c>
      <c r="N38" s="1">
        <f t="shared" si="6"/>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7">IF(C50=4,2/3*C30,IF(C50=3,1/3*B30,0))</f>
        <v>0</v>
      </c>
      <c r="E51" s="34">
        <f t="shared" si="7"/>
        <v>0</v>
      </c>
      <c r="F51" s="34">
        <f t="shared" si="7"/>
        <v>0</v>
      </c>
      <c r="G51" s="34">
        <f t="shared" si="7"/>
        <v>0</v>
      </c>
      <c r="H51" s="34">
        <f t="shared" si="7"/>
        <v>-2.1430760406202656</v>
      </c>
      <c r="I51" s="34">
        <f t="shared" si="7"/>
        <v>-1.7451405344443744</v>
      </c>
      <c r="J51" s="34">
        <f t="shared" si="7"/>
        <v>-1.3177880749822992</v>
      </c>
      <c r="K51" s="34">
        <f t="shared" si="7"/>
        <v>-1.053398384276627</v>
      </c>
      <c r="L51" s="34">
        <f t="shared" si="7"/>
        <v>-0.838728006298887</v>
      </c>
      <c r="M51" s="34">
        <f t="shared" si="7"/>
        <v>-0.69610998134176738</v>
      </c>
      <c r="N51" s="34">
        <f t="shared" si="7"/>
        <v>-0.60132802123084395</v>
      </c>
      <c r="O51" s="34">
        <f t="shared" si="7"/>
        <v>-0.30066401061542197</v>
      </c>
      <c r="P51" s="34">
        <f t="shared" si="7"/>
        <v>0</v>
      </c>
      <c r="Q51" s="34">
        <f t="shared" si="7"/>
        <v>0</v>
      </c>
      <c r="R51" s="34">
        <f t="shared" si="7"/>
        <v>0</v>
      </c>
      <c r="S51" s="34">
        <f t="shared" si="7"/>
        <v>0</v>
      </c>
      <c r="T51" s="34">
        <f t="shared" si="7"/>
        <v>0</v>
      </c>
      <c r="U51" s="34">
        <f t="shared" si="7"/>
        <v>0</v>
      </c>
      <c r="V51" s="34">
        <f t="shared" si="7"/>
        <v>0</v>
      </c>
      <c r="W51" s="34">
        <f t="shared" si="7"/>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1.2218437474650066</v>
      </c>
      <c r="H52" s="34">
        <f>'Input data'!H30-$C$47*((H12-G12))</f>
        <v>1.3402150742815082</v>
      </c>
      <c r="I52" s="34">
        <f>'Input data'!I30-$C$47*((I12-H12))</f>
        <v>1.5952110602768164</v>
      </c>
      <c r="J52" s="34">
        <f>'Input data'!J30-$C$47*((J12-I12))</f>
        <v>1.5650985962867203</v>
      </c>
      <c r="K52" s="34">
        <f>'Input data'!K30-$C$47*((K12-J12))</f>
        <v>0.7251752691549429</v>
      </c>
      <c r="L52" s="34">
        <f>'Input data'!L30-$C$47*((L12-K12))</f>
        <v>0.72508997222222482</v>
      </c>
      <c r="M52" s="34">
        <f>'Input data'!M30-$C$47*((M12-L12))</f>
        <v>0.72508697222222085</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+E57+F58</f>
        <v>81.669832373893243</v>
      </c>
      <c r="G57" s="45">
        <f>+F57+G58</f>
        <v>83.200765726871722</v>
      </c>
      <c r="H57" s="45">
        <f t="shared" ref="H57:S57" si="8">+G57+H58</f>
        <v>83.905617226229836</v>
      </c>
      <c r="I57" s="45">
        <f t="shared" si="8"/>
        <v>83.611302840545278</v>
      </c>
      <c r="J57" s="45">
        <f t="shared" si="8"/>
        <v>82.882428589420286</v>
      </c>
      <c r="K57" s="45">
        <f t="shared" si="8"/>
        <v>81.411608300186288</v>
      </c>
      <c r="L57" s="45">
        <f t="shared" si="8"/>
        <v>79.680213463441049</v>
      </c>
      <c r="M57" s="460">
        <f t="shared" si="8"/>
        <v>78.119823634032073</v>
      </c>
      <c r="N57" s="45">
        <f t="shared" si="8"/>
        <v>76.305685259611082</v>
      </c>
      <c r="O57" s="45">
        <f t="shared" si="8"/>
        <v>74.172962826336715</v>
      </c>
      <c r="P57" s="45">
        <f t="shared" si="8"/>
        <v>71.779246762511292</v>
      </c>
      <c r="Q57" s="45">
        <f t="shared" si="8"/>
        <v>69.501953123410331</v>
      </c>
      <c r="R57" s="45">
        <f t="shared" si="8"/>
        <v>67.099087240745945</v>
      </c>
      <c r="S57" s="45">
        <f t="shared" si="8"/>
        <v>64.549158046107493</v>
      </c>
      <c r="T57" s="45">
        <f>+S57+T58</f>
        <v>61.834612929558347</v>
      </c>
      <c r="U57" s="45">
        <f>+T57+U58</f>
        <v>58.939595673664421</v>
      </c>
      <c r="V57" s="45">
        <f>+U57+V58</f>
        <v>55.863558414330043</v>
      </c>
      <c r="W57" s="45">
        <f>+V57+W58</f>
        <v>52.621468714687694</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3.060895797359378</v>
      </c>
      <c r="F58" s="47">
        <f>-F59+F67+F72</f>
        <v>5.0973259915721227</v>
      </c>
      <c r="G58" s="448">
        <f>-G59+G67+G72</f>
        <v>1.530933352978481</v>
      </c>
      <c r="H58" s="448">
        <f t="shared" ref="H58:S58" si="9">-H59+H67+H72</f>
        <v>0.70485149935811808</v>
      </c>
      <c r="I58" s="448">
        <f t="shared" si="9"/>
        <v>-0.29431438568456314</v>
      </c>
      <c r="J58" s="448">
        <f t="shared" si="9"/>
        <v>-0.72887425112499793</v>
      </c>
      <c r="K58" s="448">
        <f t="shared" si="9"/>
        <v>-1.470820289233997</v>
      </c>
      <c r="L58" s="448">
        <f t="shared" si="9"/>
        <v>-1.731394836745237</v>
      </c>
      <c r="M58" s="448">
        <f t="shared" si="9"/>
        <v>-1.5603898294089695</v>
      </c>
      <c r="N58" s="47">
        <f t="shared" si="9"/>
        <v>-1.8141383744209896</v>
      </c>
      <c r="O58" s="47">
        <f t="shared" si="9"/>
        <v>-2.1327224332743722</v>
      </c>
      <c r="P58" s="47">
        <f t="shared" si="9"/>
        <v>-2.3937160638254218</v>
      </c>
      <c r="Q58" s="47">
        <f t="shared" si="9"/>
        <v>-2.2772936391009675</v>
      </c>
      <c r="R58" s="47">
        <f t="shared" si="9"/>
        <v>-2.4028658826643827</v>
      </c>
      <c r="S58" s="47">
        <f t="shared" si="9"/>
        <v>-2.5499291946384535</v>
      </c>
      <c r="T58" s="47">
        <f>-T59+T67+T72</f>
        <v>-2.7145451165491483</v>
      </c>
      <c r="U58" s="47">
        <f>-U59+U67+U72</f>
        <v>-2.8950172558939267</v>
      </c>
      <c r="V58" s="47">
        <f>-V59+V67+V72</f>
        <v>-3.0760372593343805</v>
      </c>
      <c r="W58" s="47">
        <f>-W59+W67+W72</f>
        <v>-3.2420896996423476</v>
      </c>
    </row>
    <row r="59" spans="2:48" outlineLevel="1" x14ac:dyDescent="0.2">
      <c r="B59" s="84" t="s">
        <v>106</v>
      </c>
      <c r="C59" s="48"/>
      <c r="D59" s="48">
        <f>D60+D61-D62-D63-D64-D65-D66</f>
        <v>0.20695241503824502</v>
      </c>
      <c r="E59" s="48">
        <f>E60+E61-E62-E63-E64-E65-E66</f>
        <v>-1.7183327929179697</v>
      </c>
      <c r="F59" s="48">
        <f>F60+F61-F62-F63-F64-F65-F66</f>
        <v>-2.4049191831936598</v>
      </c>
      <c r="G59" s="48">
        <f t="shared" ref="G59:R59" si="10">G60+G61-G62-G63-G64-G65-G66</f>
        <v>-1.4275403912932736</v>
      </c>
      <c r="H59" s="48">
        <f t="shared" si="10"/>
        <v>-0.42016279344374152</v>
      </c>
      <c r="I59" s="48">
        <f t="shared" si="10"/>
        <v>0.27290115663088477</v>
      </c>
      <c r="J59" s="48">
        <f t="shared" si="10"/>
        <v>0.86384856156796597</v>
      </c>
      <c r="K59" s="48">
        <f t="shared" si="10"/>
        <v>1.3311554426692904</v>
      </c>
      <c r="L59" s="48">
        <f t="shared" si="10"/>
        <v>1.735660978456856</v>
      </c>
      <c r="M59" s="48">
        <f t="shared" si="10"/>
        <v>2.0984056296336924</v>
      </c>
      <c r="N59" s="48">
        <f t="shared" si="10"/>
        <v>2.2458730838118641</v>
      </c>
      <c r="O59" s="48">
        <f t="shared" si="10"/>
        <v>2.4308995379900451</v>
      </c>
      <c r="P59" s="48">
        <f t="shared" si="10"/>
        <v>2.6154859921682214</v>
      </c>
      <c r="Q59" s="48">
        <f t="shared" si="10"/>
        <v>2.6335970387251981</v>
      </c>
      <c r="R59" s="48">
        <f t="shared" si="10"/>
        <v>2.6676792384996455</v>
      </c>
      <c r="S59" s="48">
        <f>S60+S61-S62-S63-S64-S65-S66</f>
        <v>2.7206907084512308</v>
      </c>
      <c r="T59" s="48">
        <f>T60+T61-T62-T63-T64-T65-T66</f>
        <v>2.7894446380516387</v>
      </c>
      <c r="U59" s="48">
        <f>U60+U61-U62-U63-U64-U65-U66</f>
        <v>2.8724168378292236</v>
      </c>
      <c r="V59" s="48">
        <f>V60+V61-V62-V63-V64-V65-V66</f>
        <v>2.9543519206465496</v>
      </c>
      <c r="W59" s="48">
        <f>W60+W61-W62-W63-W64-W65-W66</f>
        <v>3.0195752736412187</v>
      </c>
    </row>
    <row r="60" spans="2:48" outlineLevel="1" x14ac:dyDescent="0.2">
      <c r="B60" s="79" t="s">
        <v>107</v>
      </c>
      <c r="C60" s="1"/>
      <c r="D60" s="1">
        <f>D12</f>
        <v>0.29205680000000001</v>
      </c>
      <c r="E60" s="1">
        <f>E12</f>
        <v>-0.3391101166058319</v>
      </c>
      <c r="F60" s="1">
        <f>F12</f>
        <v>-0.3744433445451063</v>
      </c>
      <c r="G60" s="1">
        <f t="shared" ref="G60:W60" si="11">IF(G12="",F60,G12)</f>
        <v>0.44336499216821834</v>
      </c>
      <c r="H60" s="1">
        <f t="shared" si="11"/>
        <v>1.1033448931261973</v>
      </c>
      <c r="I60" s="1">
        <f t="shared" si="11"/>
        <v>1.423330146090432</v>
      </c>
      <c r="J60" s="1">
        <f t="shared" si="11"/>
        <v>1.7834653510414613</v>
      </c>
      <c r="K60" s="1">
        <f t="shared" si="11"/>
        <v>2.0633649921682187</v>
      </c>
      <c r="L60" s="1">
        <f t="shared" si="11"/>
        <v>2.3433649921682189</v>
      </c>
      <c r="M60" s="1">
        <f t="shared" si="11"/>
        <v>2.6233649921682192</v>
      </c>
      <c r="N60" s="1">
        <f t="shared" si="11"/>
        <v>2.6233649921682192</v>
      </c>
      <c r="O60" s="1">
        <f t="shared" si="11"/>
        <v>2.6233649921682192</v>
      </c>
      <c r="P60" s="1">
        <f t="shared" si="11"/>
        <v>2.6233649921682192</v>
      </c>
      <c r="Q60" s="1">
        <f t="shared" si="11"/>
        <v>2.6233649921682192</v>
      </c>
      <c r="R60" s="1">
        <f t="shared" si="11"/>
        <v>2.6233649921682192</v>
      </c>
      <c r="S60" s="1">
        <f t="shared" si="11"/>
        <v>2.6233649921682192</v>
      </c>
      <c r="T60" s="1">
        <f t="shared" si="11"/>
        <v>2.6233649921682192</v>
      </c>
      <c r="U60" s="1">
        <f t="shared" si="11"/>
        <v>2.6233649921682192</v>
      </c>
      <c r="V60" s="1">
        <f t="shared" si="11"/>
        <v>2.6233649921682192</v>
      </c>
      <c r="W60" s="1">
        <f t="shared" si="11"/>
        <v>2.6233649921682192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434">
        <f t="shared" ref="D62:W62" si="12">-$C$48*D30</f>
        <v>8.5104384961754986E-2</v>
      </c>
      <c r="E62" s="434">
        <f>-$C$48*E30</f>
        <v>1.3792226763121378</v>
      </c>
      <c r="F62" s="434">
        <f t="shared" si="12"/>
        <v>2.0304758386485537</v>
      </c>
      <c r="G62" s="434">
        <f t="shared" si="12"/>
        <v>1.8709053834614919</v>
      </c>
      <c r="H62" s="434">
        <f t="shared" si="12"/>
        <v>1.5235076865699388</v>
      </c>
      <c r="I62" s="434">
        <f t="shared" si="12"/>
        <v>1.1504289894595472</v>
      </c>
      <c r="J62" s="434">
        <f t="shared" si="12"/>
        <v>0.91961678947349534</v>
      </c>
      <c r="K62" s="1">
        <f t="shared" si="12"/>
        <v>0.73220954949892836</v>
      </c>
      <c r="L62" s="1">
        <f t="shared" si="12"/>
        <v>0.60770401371136296</v>
      </c>
      <c r="M62" s="1">
        <f>-$C$48*M30</f>
        <v>0.5249593625345268</v>
      </c>
      <c r="N62" s="1">
        <f t="shared" si="12"/>
        <v>0.34997290835635547</v>
      </c>
      <c r="O62" s="1">
        <f t="shared" si="12"/>
        <v>0.17498645417817774</v>
      </c>
      <c r="P62" s="1">
        <f t="shared" si="12"/>
        <v>0</v>
      </c>
      <c r="Q62" s="1">
        <f t="shared" si="12"/>
        <v>8.9534430257165444E-6</v>
      </c>
      <c r="R62" s="1">
        <f t="shared" si="12"/>
        <v>1.6753668573454839E-5</v>
      </c>
      <c r="S62" s="1">
        <f t="shared" si="12"/>
        <v>2.6283716987873792E-5</v>
      </c>
      <c r="T62" s="1">
        <f t="shared" si="12"/>
        <v>3.2354116580335374E-5</v>
      </c>
      <c r="U62" s="1">
        <f>-$C$48*U30</f>
        <v>4.0154338994247138E-5</v>
      </c>
      <c r="V62" s="1">
        <f t="shared" si="12"/>
        <v>4.5071521670880799E-5</v>
      </c>
      <c r="W62" s="1">
        <f t="shared" si="12"/>
        <v>5.1718527000965682E-5</v>
      </c>
    </row>
    <row r="63" spans="2:48" outlineLevel="1" x14ac:dyDescent="0.2">
      <c r="B63" s="79" t="s">
        <v>110</v>
      </c>
      <c r="C63" s="1"/>
      <c r="D63" s="1">
        <f t="shared" ref="D63:W63" si="13">-D14</f>
        <v>0</v>
      </c>
      <c r="E63" s="1">
        <f t="shared" si="13"/>
        <v>0</v>
      </c>
      <c r="F63" s="1">
        <f t="shared" si="13"/>
        <v>0</v>
      </c>
      <c r="G63" s="1">
        <f t="shared" si="13"/>
        <v>0</v>
      </c>
      <c r="H63" s="1">
        <f t="shared" si="13"/>
        <v>0</v>
      </c>
      <c r="I63" s="1">
        <f t="shared" si="13"/>
        <v>0</v>
      </c>
      <c r="J63" s="1">
        <f t="shared" si="13"/>
        <v>0</v>
      </c>
      <c r="K63" s="1">
        <f t="shared" si="13"/>
        <v>0</v>
      </c>
      <c r="L63" s="1">
        <f t="shared" si="13"/>
        <v>0</v>
      </c>
      <c r="M63" s="1">
        <f t="shared" si="13"/>
        <v>0</v>
      </c>
      <c r="N63" s="1">
        <f t="shared" si="13"/>
        <v>0</v>
      </c>
      <c r="O63" s="1">
        <f t="shared" si="13"/>
        <v>0</v>
      </c>
      <c r="P63" s="1">
        <f t="shared" si="13"/>
        <v>0</v>
      </c>
      <c r="Q63" s="1">
        <f t="shared" si="13"/>
        <v>0</v>
      </c>
      <c r="R63" s="1">
        <f t="shared" si="13"/>
        <v>0</v>
      </c>
      <c r="S63" s="1">
        <f t="shared" si="13"/>
        <v>0</v>
      </c>
      <c r="T63" s="1">
        <f t="shared" si="13"/>
        <v>0</v>
      </c>
      <c r="U63" s="1">
        <f t="shared" si="13"/>
        <v>0</v>
      </c>
      <c r="V63" s="1">
        <f t="shared" si="13"/>
        <v>0</v>
      </c>
      <c r="W63" s="1">
        <f t="shared" si="13"/>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4">SUM(D68:D71)</f>
        <v>-4.0426919999999997</v>
      </c>
      <c r="E67" s="48">
        <f t="shared" si="14"/>
        <v>-0.79948272499993989</v>
      </c>
      <c r="F67" s="48">
        <f t="shared" si="14"/>
        <v>0.14925019261305703</v>
      </c>
      <c r="G67" s="48">
        <f t="shared" si="14"/>
        <v>-1.1799431771259685</v>
      </c>
      <c r="H67" s="48">
        <f t="shared" si="14"/>
        <v>-1.4421733068024174</v>
      </c>
      <c r="I67" s="48">
        <f t="shared" si="14"/>
        <v>-1.46583867477425</v>
      </c>
      <c r="J67" s="48">
        <f t="shared" si="14"/>
        <v>-1.2418498413817249</v>
      </c>
      <c r="K67" s="48">
        <f t="shared" si="14"/>
        <v>-1.1638257205778839</v>
      </c>
      <c r="L67" s="48">
        <f t="shared" si="14"/>
        <v>-1.0581185988903461</v>
      </c>
      <c r="M67" s="48">
        <f t="shared" si="14"/>
        <v>-0.98496519977527686</v>
      </c>
      <c r="N67" s="48">
        <f t="shared" si="14"/>
        <v>-1.0944002906091255</v>
      </c>
      <c r="O67" s="48">
        <f t="shared" si="14"/>
        <v>-1.075344895284327</v>
      </c>
      <c r="P67" s="48">
        <f t="shared" ref="P67:W67" si="15">SUM(P68:P71)</f>
        <v>-0.99913807165720059</v>
      </c>
      <c r="Q67" s="48">
        <f t="shared" si="15"/>
        <v>-0.71199160037576936</v>
      </c>
      <c r="R67" s="48">
        <f t="shared" si="15"/>
        <v>-0.65086764416473719</v>
      </c>
      <c r="S67" s="48">
        <f t="shared" si="15"/>
        <v>-0.59230598618722241</v>
      </c>
      <c r="T67" s="48">
        <f t="shared" si="15"/>
        <v>-0.53555447849750937</v>
      </c>
      <c r="U67" s="48">
        <f t="shared" si="15"/>
        <v>-0.48044091806470324</v>
      </c>
      <c r="V67" s="48">
        <f t="shared" si="15"/>
        <v>-0.42691233868783074</v>
      </c>
      <c r="W67" s="48">
        <f t="shared" si="15"/>
        <v>-0.37512792600112899</v>
      </c>
    </row>
    <row r="68" spans="2:23" outlineLevel="1" x14ac:dyDescent="0.2">
      <c r="B68" s="79" t="s">
        <v>115</v>
      </c>
      <c r="C68" s="34"/>
      <c r="D68" s="34">
        <f>C57*D36/100*(1/(1+D33/100))</f>
        <v>0.57044236264340553</v>
      </c>
      <c r="E68" s="34">
        <f>D57*E36/100*(1/(1+E33/100))</f>
        <v>1.1312999524848377</v>
      </c>
      <c r="F68" s="34">
        <f>E57*F36/100*(1/(1+F33/100))</f>
        <v>1.2546443552845774</v>
      </c>
      <c r="G68" s="36">
        <f>F57*G36/100*(1/(1+G33/100))</f>
        <v>1.4927011625777316</v>
      </c>
      <c r="H68" s="34">
        <f t="shared" ref="H68:W68" si="16">G57*H36/100*(1/(1+H33/100))</f>
        <v>1.5874585561848822</v>
      </c>
      <c r="I68" s="34">
        <f t="shared" si="16"/>
        <v>1.6637765791051011</v>
      </c>
      <c r="J68" s="34">
        <f>I57*J36/100*(1/(1+J33/100))</f>
        <v>1.7142948110095355</v>
      </c>
      <c r="K68" s="34">
        <f t="shared" si="16"/>
        <v>1.745373182660803</v>
      </c>
      <c r="L68" s="34">
        <f>K57*L36/100*(1/(1+L33/100))</f>
        <v>1.7526170261639928</v>
      </c>
      <c r="M68" s="34">
        <f t="shared" si="16"/>
        <v>1.7488697117399685</v>
      </c>
      <c r="N68" s="34">
        <f t="shared" si="16"/>
        <v>1.7441066792505977</v>
      </c>
      <c r="O68" s="34">
        <f t="shared" si="16"/>
        <v>1.7337265070256118</v>
      </c>
      <c r="P68" s="34">
        <f t="shared" si="16"/>
        <v>1.711607395173051</v>
      </c>
      <c r="Q68" s="34">
        <f t="shared" si="16"/>
        <v>1.6840966838981992</v>
      </c>
      <c r="R68" s="34">
        <f t="shared" si="16"/>
        <v>1.6511727068939726</v>
      </c>
      <c r="S68" s="34">
        <f t="shared" si="16"/>
        <v>1.612728706671583</v>
      </c>
      <c r="T68" s="34">
        <f t="shared" si="16"/>
        <v>1.5689239582705186</v>
      </c>
      <c r="U68" s="34">
        <f t="shared" si="16"/>
        <v>1.5194672441933976</v>
      </c>
      <c r="V68" s="34">
        <f t="shared" si="16"/>
        <v>1.4640425896871117</v>
      </c>
      <c r="W68" s="34">
        <f t="shared" si="16"/>
        <v>1.4026060742536055</v>
      </c>
    </row>
    <row r="69" spans="2:23" outlineLevel="1" x14ac:dyDescent="0.2">
      <c r="B69" s="79" t="s">
        <v>116</v>
      </c>
      <c r="C69" s="34"/>
      <c r="D69" s="34">
        <f t="shared" ref="D69:W69" si="17">-C57*(D24/100)*(1/(1+D33/100))</f>
        <v>-0.90770273794427436</v>
      </c>
      <c r="E69" s="34">
        <f t="shared" si="17"/>
        <v>0.82999130151990808</v>
      </c>
      <c r="F69" s="34">
        <f t="shared" si="17"/>
        <v>0.16736355968562128</v>
      </c>
      <c r="G69" s="34">
        <f t="shared" si="17"/>
        <v>-0.96522036400388034</v>
      </c>
      <c r="H69" s="34">
        <f t="shared" si="17"/>
        <v>-1.2487421634773599</v>
      </c>
      <c r="I69" s="34">
        <f t="shared" si="17"/>
        <v>-1.2920246094327765</v>
      </c>
      <c r="J69" s="34">
        <f t="shared" si="17"/>
        <v>-1.0835738834567072</v>
      </c>
      <c r="K69" s="34">
        <f t="shared" si="17"/>
        <v>-1.0119290027834515</v>
      </c>
      <c r="L69" s="34">
        <f t="shared" si="17"/>
        <v>-0.90688008587597924</v>
      </c>
      <c r="M69" s="34">
        <f t="shared" si="17"/>
        <v>-0.83111061706864908</v>
      </c>
      <c r="N69" s="34">
        <f t="shared" si="17"/>
        <v>-0.93449540995657798</v>
      </c>
      <c r="O69" s="34">
        <f t="shared" si="17"/>
        <v>-0.91166040853121399</v>
      </c>
      <c r="P69" s="34">
        <f t="shared" si="17"/>
        <v>-0.88576754754975873</v>
      </c>
      <c r="Q69" s="34">
        <f t="shared" si="17"/>
        <v>-0.64879114126732773</v>
      </c>
      <c r="R69" s="34">
        <f t="shared" si="17"/>
        <v>-0.62837729367939454</v>
      </c>
      <c r="S69" s="34">
        <f t="shared" si="17"/>
        <v>-0.60681355983049512</v>
      </c>
      <c r="T69" s="34">
        <f t="shared" si="17"/>
        <v>-0.58391362498983368</v>
      </c>
      <c r="U69" s="34">
        <f t="shared" si="17"/>
        <v>-0.55950622997313093</v>
      </c>
      <c r="V69" s="34">
        <f t="shared" si="17"/>
        <v>-0.53345697462789043</v>
      </c>
      <c r="W69" s="34">
        <f t="shared" si="17"/>
        <v>-0.50575030920236486</v>
      </c>
    </row>
    <row r="70" spans="2:23" outlineLevel="1" x14ac:dyDescent="0.2">
      <c r="B70" s="79" t="s">
        <v>117</v>
      </c>
      <c r="C70" s="34"/>
      <c r="D70" s="34">
        <f t="shared" ref="D70:W70" si="18">-C57*D42/100*(1/(1+D42/100))</f>
        <v>-3.7081792093539843</v>
      </c>
      <c r="E70" s="34">
        <f t="shared" si="18"/>
        <v>-2.7601372355757476</v>
      </c>
      <c r="F70" s="34">
        <f t="shared" si="18"/>
        <v>-1.2729942369236147</v>
      </c>
      <c r="G70" s="34">
        <f>-F57*G42/100*(1/(1+G42/100))</f>
        <v>-1.7075744585293433</v>
      </c>
      <c r="H70" s="34">
        <f t="shared" si="18"/>
        <v>-1.7808896995099397</v>
      </c>
      <c r="I70" s="34">
        <f t="shared" si="18"/>
        <v>-1.8375906444465746</v>
      </c>
      <c r="J70" s="34">
        <f t="shared" si="18"/>
        <v>-1.8725707689345532</v>
      </c>
      <c r="K70" s="34">
        <f t="shared" si="18"/>
        <v>-1.8972699004552354</v>
      </c>
      <c r="L70" s="34">
        <f t="shared" si="18"/>
        <v>-1.9038555391783596</v>
      </c>
      <c r="M70" s="34">
        <f t="shared" si="18"/>
        <v>-1.9027242944465963</v>
      </c>
      <c r="N70" s="34">
        <f t="shared" si="18"/>
        <v>-1.9040115599031451</v>
      </c>
      <c r="O70" s="34">
        <f t="shared" si="18"/>
        <v>-1.8974109937787247</v>
      </c>
      <c r="P70" s="34">
        <f t="shared" si="18"/>
        <v>-1.8249779192804929</v>
      </c>
      <c r="Q70" s="34">
        <f t="shared" si="18"/>
        <v>-1.7472971430066409</v>
      </c>
      <c r="R70" s="34">
        <f t="shared" si="18"/>
        <v>-1.6736630573793152</v>
      </c>
      <c r="S70" s="34">
        <f t="shared" si="18"/>
        <v>-1.5982211330283103</v>
      </c>
      <c r="T70" s="34">
        <f t="shared" si="18"/>
        <v>-1.5205648117781942</v>
      </c>
      <c r="U70" s="34">
        <f t="shared" si="18"/>
        <v>-1.4404019322849699</v>
      </c>
      <c r="V70" s="34">
        <f t="shared" si="18"/>
        <v>-1.357497953747052</v>
      </c>
      <c r="W70" s="34">
        <f t="shared" si="18"/>
        <v>-1.2719836910523696</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42">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D15</f>
        <v>5.1764349999999997</v>
      </c>
      <c r="E73" s="34">
        <f t="shared" ref="E73:W73" si="19">E15</f>
        <v>2.1420457294413482</v>
      </c>
      <c r="F73" s="34">
        <f t="shared" si="19"/>
        <v>2.543156615765406</v>
      </c>
      <c r="G73" s="34">
        <f t="shared" si="19"/>
        <v>1.2833361388111759</v>
      </c>
      <c r="H73" s="34">
        <f t="shared" si="19"/>
        <v>1.726862012716794</v>
      </c>
      <c r="I73" s="34">
        <f t="shared" si="19"/>
        <v>1.4444254457205716</v>
      </c>
      <c r="J73" s="34">
        <f t="shared" si="19"/>
        <v>1.3768241518246929</v>
      </c>
      <c r="K73" s="34">
        <f t="shared" si="19"/>
        <v>1.0241608740131771</v>
      </c>
      <c r="L73" s="34">
        <f t="shared" si="19"/>
        <v>1.0623847406019649</v>
      </c>
      <c r="M73" s="34">
        <f t="shared" si="19"/>
        <v>1.5229809999999999</v>
      </c>
      <c r="N73" s="34">
        <f t="shared" si="19"/>
        <v>1.526135</v>
      </c>
      <c r="O73" s="34">
        <f t="shared" si="19"/>
        <v>1.3735219999999999</v>
      </c>
      <c r="P73" s="34">
        <f t="shared" si="19"/>
        <v>1.2209080000000001</v>
      </c>
      <c r="Q73" s="34">
        <f t="shared" si="19"/>
        <v>1.068295</v>
      </c>
      <c r="R73" s="34">
        <f t="shared" si="19"/>
        <v>0.91568099999999997</v>
      </c>
      <c r="S73" s="34">
        <f t="shared" si="19"/>
        <v>0.76306750000000001</v>
      </c>
      <c r="T73" s="34">
        <f t="shared" si="19"/>
        <v>0.61045400000000005</v>
      </c>
      <c r="U73" s="34">
        <f t="shared" si="19"/>
        <v>0.45784049999999998</v>
      </c>
      <c r="V73" s="34">
        <f t="shared" si="19"/>
        <v>0.30522700000000003</v>
      </c>
      <c r="W73" s="34">
        <f t="shared" si="19"/>
        <v>0.15261350000000001</v>
      </c>
    </row>
    <row r="74" spans="2:23" outlineLevel="1" x14ac:dyDescent="0.2">
      <c r="B74" s="89" t="s">
        <v>121</v>
      </c>
      <c r="C74" s="49"/>
      <c r="D74" s="49">
        <f>+D72-D73</f>
        <v>0</v>
      </c>
      <c r="E74" s="49">
        <f t="shared" ref="E74:T74" si="20">+E72-E73</f>
        <v>0</v>
      </c>
      <c r="F74" s="49">
        <f t="shared" si="20"/>
        <v>0</v>
      </c>
      <c r="G74" s="49">
        <f t="shared" si="20"/>
        <v>0</v>
      </c>
      <c r="H74" s="49">
        <f t="shared" si="20"/>
        <v>0</v>
      </c>
      <c r="I74" s="49">
        <f t="shared" si="20"/>
        <v>0</v>
      </c>
      <c r="J74" s="49">
        <f t="shared" si="20"/>
        <v>0</v>
      </c>
      <c r="K74" s="49">
        <f t="shared" si="20"/>
        <v>0</v>
      </c>
      <c r="L74" s="49">
        <f t="shared" si="20"/>
        <v>0</v>
      </c>
      <c r="M74" s="49">
        <f t="shared" si="20"/>
        <v>0</v>
      </c>
      <c r="N74" s="49">
        <f t="shared" si="20"/>
        <v>0</v>
      </c>
      <c r="O74" s="49">
        <f t="shared" si="20"/>
        <v>0</v>
      </c>
      <c r="P74" s="49">
        <f t="shared" si="20"/>
        <v>0</v>
      </c>
      <c r="Q74" s="49">
        <f t="shared" si="20"/>
        <v>0</v>
      </c>
      <c r="R74" s="49">
        <f t="shared" si="20"/>
        <v>0</v>
      </c>
      <c r="S74" s="49">
        <f t="shared" si="20"/>
        <v>0</v>
      </c>
      <c r="T74" s="49">
        <f t="shared" si="20"/>
        <v>0</v>
      </c>
      <c r="U74" s="49">
        <f>+U72-U73</f>
        <v>0</v>
      </c>
      <c r="V74" s="49">
        <f>+V72-V73</f>
        <v>0</v>
      </c>
      <c r="W74" s="49">
        <f>+W72-W73</f>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-0.36348994760516051</v>
      </c>
      <c r="E77" s="78">
        <f t="shared" ref="E77:T77" si="21">E59-E68</f>
        <v>-2.8496327454028076</v>
      </c>
      <c r="F77" s="78">
        <f t="shared" si="21"/>
        <v>-3.6595635384782375</v>
      </c>
      <c r="G77" s="78">
        <f>G59-G68</f>
        <v>-2.9202415538710049</v>
      </c>
      <c r="H77" s="78">
        <f t="shared" si="21"/>
        <v>-2.0076213496286237</v>
      </c>
      <c r="I77" s="78">
        <f t="shared" si="21"/>
        <v>-1.3908754224742164</v>
      </c>
      <c r="J77" s="78">
        <f t="shared" si="21"/>
        <v>-0.85044624944156955</v>
      </c>
      <c r="K77" s="78">
        <f t="shared" si="21"/>
        <v>-0.41421773999151257</v>
      </c>
      <c r="L77" s="78">
        <f t="shared" si="21"/>
        <v>-1.6956047707136879E-2</v>
      </c>
      <c r="M77" s="78">
        <f t="shared" si="21"/>
        <v>0.34953591789372385</v>
      </c>
      <c r="N77" s="78">
        <f t="shared" si="21"/>
        <v>0.50176640456126642</v>
      </c>
      <c r="O77" s="78">
        <f t="shared" si="21"/>
        <v>0.69717303096443328</v>
      </c>
      <c r="P77" s="78">
        <f t="shared" si="21"/>
        <v>0.90387859699517037</v>
      </c>
      <c r="Q77" s="78">
        <f t="shared" si="21"/>
        <v>0.9495003548269989</v>
      </c>
      <c r="R77" s="78">
        <f t="shared" si="21"/>
        <v>1.0165065316056729</v>
      </c>
      <c r="S77" s="78">
        <f t="shared" si="21"/>
        <v>1.1079620017796479</v>
      </c>
      <c r="T77" s="78">
        <f t="shared" si="21"/>
        <v>1.2205206797811201</v>
      </c>
      <c r="U77" s="78">
        <f>U59-U68</f>
        <v>1.352949593635826</v>
      </c>
      <c r="V77" s="78">
        <f>V59-V68</f>
        <v>1.490309330959438</v>
      </c>
      <c r="W77" s="78">
        <f>W59-W68</f>
        <v>1.6169691993876132</v>
      </c>
    </row>
    <row r="78" spans="2:23" ht="12" thickBot="1" x14ac:dyDescent="0.25">
      <c r="B78" s="26" t="s">
        <v>42</v>
      </c>
      <c r="D78" s="34">
        <f>D60-D68-D64-D65-D66</f>
        <v>-0.27838556264340553</v>
      </c>
      <c r="E78" s="34">
        <f t="shared" ref="E78:W78" si="22">E60-E68-E64-E65-E66</f>
        <v>-1.4704100690906696</v>
      </c>
      <c r="F78" s="34">
        <f t="shared" si="22"/>
        <v>-1.6290876998296837</v>
      </c>
      <c r="G78" s="34">
        <f t="shared" si="22"/>
        <v>-1.0493361704095132</v>
      </c>
      <c r="H78" s="34">
        <f t="shared" si="22"/>
        <v>-0.48411366305868486</v>
      </c>
      <c r="I78" s="34">
        <f t="shared" si="22"/>
        <v>-0.24044643301466917</v>
      </c>
      <c r="J78" s="34">
        <f t="shared" si="22"/>
        <v>6.9170540031925798E-2</v>
      </c>
      <c r="K78" s="34">
        <f t="shared" si="22"/>
        <v>0.31799180950741568</v>
      </c>
      <c r="L78" s="34">
        <f t="shared" si="22"/>
        <v>0.59074796600422608</v>
      </c>
      <c r="M78" s="34">
        <f t="shared" si="22"/>
        <v>0.87449528042825064</v>
      </c>
      <c r="N78" s="34">
        <f t="shared" si="22"/>
        <v>0.85173931291762206</v>
      </c>
      <c r="O78" s="34">
        <f t="shared" si="22"/>
        <v>0.8721594851426111</v>
      </c>
      <c r="P78" s="34">
        <f t="shared" si="22"/>
        <v>0.90387859699517037</v>
      </c>
      <c r="Q78" s="34">
        <f t="shared" si="22"/>
        <v>0.94950930827002455</v>
      </c>
      <c r="R78" s="34">
        <f t="shared" si="22"/>
        <v>1.0165232852742463</v>
      </c>
      <c r="S78" s="34">
        <f t="shared" si="22"/>
        <v>1.1079882854966356</v>
      </c>
      <c r="T78" s="34">
        <f t="shared" si="22"/>
        <v>1.2205530338977006</v>
      </c>
      <c r="U78" s="34">
        <f t="shared" si="22"/>
        <v>1.3529897479748203</v>
      </c>
      <c r="V78" s="34">
        <f t="shared" si="22"/>
        <v>1.4903544024811088</v>
      </c>
      <c r="W78" s="34">
        <f t="shared" si="22"/>
        <v>1.6170209179146142</v>
      </c>
    </row>
    <row r="79" spans="2:23" ht="12" thickBot="1" x14ac:dyDescent="0.25">
      <c r="B79" s="35" t="s">
        <v>123</v>
      </c>
      <c r="C79" s="35"/>
      <c r="D79" s="281">
        <f>'Input data'!D45</f>
        <v>5.7681103325160432</v>
      </c>
      <c r="E79" s="281">
        <f>'Input data'!E45</f>
        <v>7.4830230810080138</v>
      </c>
      <c r="F79" s="281">
        <f>'Input data'!F45</f>
        <v>3.9912900392291735</v>
      </c>
      <c r="G79" s="456">
        <f>'Input data'!G33+G42-(G$12-F$12)/'Input data'!$C$64*100</f>
        <v>1.5881731969804143</v>
      </c>
      <c r="H79" s="457">
        <f>'Input data'!H33+H42-(H$12-G$12)/'Input data'!$C$64*100</f>
        <v>1.9260768663543977</v>
      </c>
      <c r="I79" s="457">
        <f>'Input data'!I33+I42-(I$12-H$12)/'Input data'!$C$64*100</f>
        <v>2.5941845793995375</v>
      </c>
      <c r="J79" s="458">
        <f>'Input data'!J33+J42-(J$12-I$12)/'Input data'!$C$64*100</f>
        <v>2.5732222253289665</v>
      </c>
      <c r="K79" s="459">
        <f>'Input data'!K33+K42-(K$12-J$12)/'Input data'!$C$64*100</f>
        <v>2.770476979863747</v>
      </c>
      <c r="L79" s="459">
        <f>'Input data'!L33+L42-(L$12-K$12)/'Input data'!$C$64*100</f>
        <v>2.8221106216750718</v>
      </c>
      <c r="M79" s="459">
        <f>'Input data'!M33+M42-(M$12-L$12)/'Input data'!$C$64*100</f>
        <v>2.8739261792508843</v>
      </c>
      <c r="N79" s="49">
        <f>'Input data'!N33+N42-(N$12-M$12)/'Input data'!$C$64*100</f>
        <v>3.4332844424241884</v>
      </c>
      <c r="O79" s="49">
        <f>'Input data'!O33+O42-(O$12-N$12)/'Input data'!$C$64*100</f>
        <v>3.4851000000000001</v>
      </c>
      <c r="P79" s="49">
        <f>'Input data'!P33+P42-(P$12-O$12)/'Input data'!$C$64*100</f>
        <v>3.4576000000000002</v>
      </c>
      <c r="Q79" s="49">
        <f>'Input data'!Q33+Q42-(Q$12-P$12)/'Input data'!$C$64*100</f>
        <v>3.4300999999999995</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2.4497386641218597</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3">IF(K57&lt;J57,0,1)</f>
        <v>0</v>
      </c>
      <c r="L83" s="257">
        <f t="shared" si="23"/>
        <v>0</v>
      </c>
      <c r="M83" s="257">
        <f t="shared" si="23"/>
        <v>0</v>
      </c>
      <c r="N83" s="257">
        <f t="shared" si="23"/>
        <v>0</v>
      </c>
      <c r="O83" s="257">
        <f t="shared" si="23"/>
        <v>0</v>
      </c>
      <c r="P83" s="257">
        <f t="shared" si="23"/>
        <v>0</v>
      </c>
      <c r="Q83" s="257">
        <f t="shared" si="23"/>
        <v>0</v>
      </c>
      <c r="R83" s="257">
        <f t="shared" si="23"/>
        <v>0</v>
      </c>
      <c r="S83" s="257">
        <f t="shared" si="23"/>
        <v>0</v>
      </c>
      <c r="T83" s="257">
        <f t="shared" si="23"/>
        <v>0</v>
      </c>
      <c r="U83" s="257">
        <f t="shared" si="23"/>
        <v>0</v>
      </c>
      <c r="V83" s="257">
        <f t="shared" si="23"/>
        <v>0</v>
      </c>
      <c r="W83" s="257">
        <f t="shared" si="23"/>
        <v>0</v>
      </c>
    </row>
    <row r="84" spans="2:23" x14ac:dyDescent="0.2">
      <c r="B84" s="26" t="s">
        <v>261</v>
      </c>
      <c r="F84" s="29">
        <f t="shared" ref="F84:W84" si="24">IF(F57&gt;90,1,0)</f>
        <v>0</v>
      </c>
      <c r="G84" s="29">
        <f t="shared" si="24"/>
        <v>0</v>
      </c>
      <c r="H84" s="29">
        <f t="shared" si="24"/>
        <v>0</v>
      </c>
      <c r="I84" s="29">
        <f t="shared" si="24"/>
        <v>0</v>
      </c>
      <c r="J84" s="29">
        <f t="shared" si="24"/>
        <v>0</v>
      </c>
      <c r="K84" s="29">
        <f t="shared" si="24"/>
        <v>0</v>
      </c>
      <c r="L84" s="29">
        <f t="shared" si="24"/>
        <v>0</v>
      </c>
      <c r="M84" s="29">
        <f t="shared" si="24"/>
        <v>0</v>
      </c>
      <c r="N84" s="29">
        <f t="shared" si="24"/>
        <v>0</v>
      </c>
      <c r="O84" s="29">
        <f t="shared" si="24"/>
        <v>0</v>
      </c>
      <c r="P84" s="29">
        <f t="shared" si="24"/>
        <v>0</v>
      </c>
      <c r="Q84" s="29">
        <f t="shared" si="24"/>
        <v>0</v>
      </c>
      <c r="R84" s="29">
        <f t="shared" si="24"/>
        <v>0</v>
      </c>
      <c r="S84" s="29">
        <f t="shared" si="24"/>
        <v>0</v>
      </c>
      <c r="T84" s="29">
        <f t="shared" si="24"/>
        <v>0</v>
      </c>
      <c r="U84" s="29">
        <f t="shared" si="24"/>
        <v>0</v>
      </c>
      <c r="V84" s="29">
        <f t="shared" si="24"/>
        <v>0</v>
      </c>
      <c r="W84" s="29">
        <f t="shared" si="24"/>
        <v>0</v>
      </c>
    </row>
    <row r="85" spans="2:23" x14ac:dyDescent="0.2">
      <c r="B85" s="26" t="s">
        <v>262</v>
      </c>
      <c r="F85" s="29">
        <f t="shared" ref="F85:W85" si="25">IF(AND(F57&gt;60,F57&lt;=90),1,0)</f>
        <v>1</v>
      </c>
      <c r="G85" s="29">
        <f t="shared" si="25"/>
        <v>1</v>
      </c>
      <c r="H85" s="29">
        <f t="shared" si="25"/>
        <v>1</v>
      </c>
      <c r="I85" s="29">
        <f t="shared" si="25"/>
        <v>1</v>
      </c>
      <c r="J85" s="29">
        <f t="shared" si="25"/>
        <v>1</v>
      </c>
      <c r="K85" s="29">
        <f t="shared" si="25"/>
        <v>1</v>
      </c>
      <c r="L85" s="29">
        <f t="shared" si="25"/>
        <v>1</v>
      </c>
      <c r="M85" s="29">
        <f t="shared" si="25"/>
        <v>1</v>
      </c>
      <c r="N85" s="29">
        <f t="shared" si="25"/>
        <v>1</v>
      </c>
      <c r="O85" s="29">
        <f t="shared" si="25"/>
        <v>1</v>
      </c>
      <c r="P85" s="29">
        <f t="shared" si="25"/>
        <v>1</v>
      </c>
      <c r="Q85" s="29">
        <f t="shared" si="25"/>
        <v>1</v>
      </c>
      <c r="R85" s="29">
        <f t="shared" si="25"/>
        <v>1</v>
      </c>
      <c r="S85" s="29">
        <f t="shared" si="25"/>
        <v>1</v>
      </c>
      <c r="T85" s="29">
        <f t="shared" si="25"/>
        <v>1</v>
      </c>
      <c r="U85" s="29">
        <f t="shared" si="25"/>
        <v>0</v>
      </c>
      <c r="V85" s="29">
        <f t="shared" si="25"/>
        <v>0</v>
      </c>
      <c r="W85" s="29">
        <f t="shared" si="25"/>
        <v>0</v>
      </c>
    </row>
    <row r="86" spans="2:23" x14ac:dyDescent="0.2">
      <c r="B86" s="26" t="s">
        <v>263</v>
      </c>
      <c r="F86" s="29">
        <f t="shared" ref="F86:W86" si="26">IF(F57&gt;60,1,0)</f>
        <v>1</v>
      </c>
      <c r="G86" s="29">
        <f t="shared" si="26"/>
        <v>1</v>
      </c>
      <c r="H86" s="29">
        <f t="shared" si="26"/>
        <v>1</v>
      </c>
      <c r="I86" s="29">
        <f t="shared" si="26"/>
        <v>1</v>
      </c>
      <c r="J86" s="29">
        <f t="shared" si="26"/>
        <v>1</v>
      </c>
      <c r="K86" s="29">
        <f t="shared" si="26"/>
        <v>1</v>
      </c>
      <c r="L86" s="29">
        <f t="shared" si="26"/>
        <v>1</v>
      </c>
      <c r="M86" s="29">
        <f t="shared" si="26"/>
        <v>1</v>
      </c>
      <c r="N86" s="29">
        <f t="shared" si="26"/>
        <v>1</v>
      </c>
      <c r="O86" s="29">
        <f t="shared" si="26"/>
        <v>1</v>
      </c>
      <c r="P86" s="29">
        <f t="shared" si="26"/>
        <v>1</v>
      </c>
      <c r="Q86" s="29">
        <f t="shared" si="26"/>
        <v>1</v>
      </c>
      <c r="R86" s="29">
        <f t="shared" si="26"/>
        <v>1</v>
      </c>
      <c r="S86" s="29">
        <f t="shared" si="26"/>
        <v>1</v>
      </c>
      <c r="T86" s="29">
        <f t="shared" si="26"/>
        <v>1</v>
      </c>
      <c r="U86" s="29">
        <f t="shared" si="26"/>
        <v>0</v>
      </c>
      <c r="V86" s="29">
        <f t="shared" si="26"/>
        <v>0</v>
      </c>
      <c r="W86" s="29">
        <f t="shared" si="26"/>
        <v>0</v>
      </c>
    </row>
    <row r="87" spans="2:23" x14ac:dyDescent="0.2">
      <c r="B87" s="26" t="s">
        <v>264</v>
      </c>
      <c r="F87" s="360">
        <f>'Input data'!F17</f>
        <v>0</v>
      </c>
      <c r="G87" s="29">
        <f>IF(F87=0,0,IF(AND(E77&gt;-3.05,F77&gt;-3.05),0,1))</f>
        <v>0</v>
      </c>
      <c r="H87" s="29">
        <f t="shared" ref="H87:W87" si="27">IF(G87=0,0,IF(AND(F77&gt;-3.05,G77&gt;-3.05),0,1))</f>
        <v>0</v>
      </c>
      <c r="I87" s="29">
        <f t="shared" si="27"/>
        <v>0</v>
      </c>
      <c r="J87" s="29">
        <f t="shared" si="27"/>
        <v>0</v>
      </c>
      <c r="K87" s="29">
        <f t="shared" si="27"/>
        <v>0</v>
      </c>
      <c r="L87" s="29">
        <f t="shared" si="27"/>
        <v>0</v>
      </c>
      <c r="M87" s="29">
        <f t="shared" si="27"/>
        <v>0</v>
      </c>
      <c r="N87" s="29">
        <f t="shared" si="27"/>
        <v>0</v>
      </c>
      <c r="O87" s="29">
        <f t="shared" si="27"/>
        <v>0</v>
      </c>
      <c r="P87" s="29">
        <f t="shared" si="27"/>
        <v>0</v>
      </c>
      <c r="Q87" s="29">
        <f t="shared" si="27"/>
        <v>0</v>
      </c>
      <c r="R87" s="29">
        <f t="shared" si="27"/>
        <v>0</v>
      </c>
      <c r="S87" s="29">
        <f t="shared" si="27"/>
        <v>0</v>
      </c>
      <c r="T87" s="29">
        <f t="shared" si="27"/>
        <v>0</v>
      </c>
      <c r="U87" s="29">
        <f t="shared" si="27"/>
        <v>0</v>
      </c>
      <c r="V87" s="29">
        <f t="shared" si="27"/>
        <v>0</v>
      </c>
      <c r="W87" s="29">
        <f t="shared" si="27"/>
        <v>0</v>
      </c>
    </row>
    <row r="88" spans="2:23" x14ac:dyDescent="0.2">
      <c r="B88" s="26" t="s">
        <v>259</v>
      </c>
      <c r="F88" s="29">
        <f t="shared" ref="F88:W88" si="28">IF(F78&gt;=-1.55,1,0)</f>
        <v>0</v>
      </c>
      <c r="G88" s="29">
        <f t="shared" si="28"/>
        <v>1</v>
      </c>
      <c r="H88" s="29">
        <f t="shared" si="28"/>
        <v>1</v>
      </c>
      <c r="I88" s="29">
        <f t="shared" si="28"/>
        <v>1</v>
      </c>
      <c r="J88" s="29">
        <f t="shared" si="28"/>
        <v>1</v>
      </c>
      <c r="K88" s="29">
        <f t="shared" si="28"/>
        <v>1</v>
      </c>
      <c r="L88" s="29">
        <f t="shared" si="28"/>
        <v>1</v>
      </c>
      <c r="M88" s="29">
        <f t="shared" si="28"/>
        <v>1</v>
      </c>
      <c r="N88" s="29">
        <f t="shared" si="28"/>
        <v>1</v>
      </c>
      <c r="O88" s="29">
        <f t="shared" si="28"/>
        <v>1</v>
      </c>
      <c r="P88" s="29">
        <f t="shared" si="28"/>
        <v>1</v>
      </c>
      <c r="Q88" s="29">
        <f t="shared" si="28"/>
        <v>1</v>
      </c>
      <c r="R88" s="29">
        <f t="shared" si="28"/>
        <v>1</v>
      </c>
      <c r="S88" s="29">
        <f t="shared" si="28"/>
        <v>1</v>
      </c>
      <c r="T88" s="29">
        <f t="shared" si="28"/>
        <v>1</v>
      </c>
      <c r="U88" s="29">
        <f t="shared" si="28"/>
        <v>1</v>
      </c>
      <c r="V88" s="29">
        <f t="shared" si="28"/>
        <v>1</v>
      </c>
      <c r="W88" s="29">
        <f t="shared" si="28"/>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1.2546443552845774</v>
      </c>
      <c r="G90" s="34">
        <f>F57*G36/100*(1/((1+'Input data'!G30/100)*(1+G42/100)))</f>
        <v>1.4837105818037626</v>
      </c>
      <c r="H90" s="34">
        <f>G57*H36/100*(1/((1+'Input data'!H30/100)*(1+H42/100)))</f>
        <v>1.5831311206584924</v>
      </c>
      <c r="I90" s="34">
        <f>H57*I36/100*(1/((1+'Input data'!I30/100)*(1+I42/100)))</f>
        <v>1.6599259804940489</v>
      </c>
      <c r="J90" s="34">
        <f>I57*J36/100*(1/((1+'Input data'!J30/100)*(1+J42/100)))</f>
        <v>1.7060169402336014</v>
      </c>
      <c r="K90" s="34">
        <f>J57*K36/100*(1/((1+'Input data'!K30/100)*(1+K42/100)))</f>
        <v>1.7510836118261575</v>
      </c>
      <c r="L90" s="34">
        <f>K57*L36/100*(1/((1+'Input data'!L30/100)*(1+L42/100)))</f>
        <v>1.7564142932618492</v>
      </c>
      <c r="M90" s="34">
        <f>L57*M36/100*(1/((1+'Input data'!M30/100)*(1+M42/100)))</f>
        <v>1.7513825935525602</v>
      </c>
      <c r="N90" s="34">
        <f>M57*N36/100*(1/((1+'Input data'!N30/100)*(1+N42/100)))</f>
        <v>1.7493985379629924</v>
      </c>
      <c r="O90" s="34">
        <f>N57*O36/100*(1/((1+'Input data'!O30/100)*(1+O42/100)))</f>
        <v>1.7389709753581459</v>
      </c>
      <c r="P90" s="34">
        <f>O57*P36/100*(1/((1+'Input data'!P30/100)*(1+P42/100)))</f>
        <v>1.7167692827722549</v>
      </c>
      <c r="Q90" s="34">
        <f>P57*Q36/100*(1/((1+'Input data'!Q30/100)*(1+Q42/100)))</f>
        <v>1.6840966838981992</v>
      </c>
      <c r="R90" s="34">
        <f>Q57*R36/100*(1/((1+'Input data'!R30/100)*(1+R42/100)))</f>
        <v>1.6511727068939726</v>
      </c>
      <c r="S90" s="34">
        <f>R57*S36/100*(1/((1+'Input data'!S30/100)*(1+S42/100)))</f>
        <v>1.612728706671583</v>
      </c>
      <c r="T90" s="34">
        <f>S57*T36/100*(1/((1+'Input data'!T30/100)*(1+T42/100)))</f>
        <v>1.5689239582705186</v>
      </c>
      <c r="U90" s="34">
        <f>T57*U36/100*(1/((1+'Input data'!U30/100)*(1+U42/100)))</f>
        <v>1.5194672441933976</v>
      </c>
      <c r="V90" s="34">
        <f>U57*V36/100*(1/((1+'Input data'!V30/100)*(1+V42/100)))</f>
        <v>1.4640425896871117</v>
      </c>
      <c r="W90" s="34">
        <f>V57*W36/100*(1/((1+'Input data'!W30/100)*(1+W42/100)))</f>
        <v>1.4026060742536055</v>
      </c>
    </row>
    <row r="91" spans="2:23" x14ac:dyDescent="0.2">
      <c r="B91" s="32" t="s">
        <v>260</v>
      </c>
      <c r="F91" s="34"/>
      <c r="G91" s="34">
        <f>G90-F90</f>
        <v>0.22906622651918518</v>
      </c>
      <c r="H91" s="34">
        <f t="shared" ref="H91:W91" si="29">H90-G90</f>
        <v>9.942053885472979E-2</v>
      </c>
      <c r="I91" s="34">
        <f t="shared" si="29"/>
        <v>7.6794859835556561E-2</v>
      </c>
      <c r="J91" s="34">
        <f t="shared" si="29"/>
        <v>4.6090959739552462E-2</v>
      </c>
      <c r="K91" s="34">
        <f t="shared" si="29"/>
        <v>4.5066671592556062E-2</v>
      </c>
      <c r="L91" s="34">
        <f t="shared" si="29"/>
        <v>5.3306814356917087E-3</v>
      </c>
      <c r="M91" s="34">
        <f t="shared" si="29"/>
        <v>-5.0316997092889615E-3</v>
      </c>
      <c r="N91" s="34">
        <f t="shared" si="29"/>
        <v>-1.9840555895678236E-3</v>
      </c>
      <c r="O91" s="34">
        <f t="shared" si="29"/>
        <v>-1.0427562604846452E-2</v>
      </c>
      <c r="P91" s="34">
        <f t="shared" si="29"/>
        <v>-2.2201692585890997E-2</v>
      </c>
      <c r="Q91" s="34">
        <f t="shared" si="29"/>
        <v>-3.2672598874055714E-2</v>
      </c>
      <c r="R91" s="34">
        <f t="shared" si="29"/>
        <v>-3.2923977004226668E-2</v>
      </c>
      <c r="S91" s="34">
        <f t="shared" si="29"/>
        <v>-3.8444000222389585E-2</v>
      </c>
      <c r="T91" s="34">
        <f t="shared" si="29"/>
        <v>-4.3804748401064408E-2</v>
      </c>
      <c r="U91" s="34">
        <f t="shared" si="29"/>
        <v>-4.9456714077120933E-2</v>
      </c>
      <c r="V91" s="34">
        <f t="shared" si="29"/>
        <v>-5.5424654506285975E-2</v>
      </c>
      <c r="W91" s="34">
        <f t="shared" si="29"/>
        <v>-6.1436515433506145E-2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0">IF((D100-C100*D43/((1+D24/100)*(1+D42/100)))&gt;0,1,0)</f>
        <v>1</v>
      </c>
      <c r="E95" s="29">
        <f t="shared" si="30"/>
        <v>1</v>
      </c>
      <c r="F95" s="29">
        <f t="shared" si="30"/>
        <v>1</v>
      </c>
      <c r="G95" s="29">
        <f t="shared" si="30"/>
        <v>1</v>
      </c>
      <c r="H95" s="29">
        <f t="shared" si="30"/>
        <v>1</v>
      </c>
      <c r="I95" s="29">
        <f t="shared" si="30"/>
        <v>1</v>
      </c>
      <c r="J95" s="29">
        <f t="shared" si="30"/>
        <v>1</v>
      </c>
      <c r="K95" s="29">
        <f t="shared" si="30"/>
        <v>1</v>
      </c>
      <c r="L95" s="29">
        <f t="shared" si="30"/>
        <v>1</v>
      </c>
      <c r="M95" s="29">
        <f t="shared" si="30"/>
        <v>1</v>
      </c>
      <c r="N95" s="29">
        <f t="shared" si="30"/>
        <v>1</v>
      </c>
      <c r="O95" s="29">
        <f t="shared" si="30"/>
        <v>1</v>
      </c>
      <c r="P95" s="29">
        <f t="shared" si="30"/>
        <v>1</v>
      </c>
      <c r="Q95" s="29">
        <f t="shared" si="30"/>
        <v>1</v>
      </c>
      <c r="R95" s="29">
        <f t="shared" si="30"/>
        <v>0</v>
      </c>
      <c r="S95" s="29">
        <f t="shared" si="30"/>
        <v>0</v>
      </c>
      <c r="T95" s="29">
        <f t="shared" si="30"/>
        <v>0</v>
      </c>
      <c r="U95" s="29">
        <f t="shared" si="30"/>
        <v>0</v>
      </c>
      <c r="V95" s="29">
        <f t="shared" si="30"/>
        <v>0</v>
      </c>
      <c r="W95" s="29">
        <f t="shared" si="30"/>
        <v>0</v>
      </c>
    </row>
    <row r="96" spans="2:23" x14ac:dyDescent="0.2">
      <c r="B96" s="26" t="s">
        <v>126</v>
      </c>
      <c r="D96" s="29">
        <f t="shared" ref="D96:W96" si="31">IF(AND(D95=0,ABS(D100-C100*D43/((1+D24/100)*(1+D42/100)))&lt;((C106*C100*D43/((1+D24/100)*(1+D42/100))+(D39*C100*C107*D43/((1+D24/100)*(1+D42/100)))))),1,0)</f>
        <v>0</v>
      </c>
      <c r="E96" s="29">
        <f t="shared" si="31"/>
        <v>0</v>
      </c>
      <c r="F96" s="29">
        <f t="shared" si="31"/>
        <v>0</v>
      </c>
      <c r="G96" s="29">
        <f t="shared" si="31"/>
        <v>0</v>
      </c>
      <c r="H96" s="29">
        <f t="shared" si="31"/>
        <v>0</v>
      </c>
      <c r="I96" s="29">
        <f t="shared" si="31"/>
        <v>0</v>
      </c>
      <c r="J96" s="29">
        <f t="shared" si="31"/>
        <v>0</v>
      </c>
      <c r="K96" s="29">
        <f t="shared" si="31"/>
        <v>0</v>
      </c>
      <c r="L96" s="29">
        <f t="shared" si="31"/>
        <v>0</v>
      </c>
      <c r="M96" s="29">
        <f t="shared" si="31"/>
        <v>0</v>
      </c>
      <c r="N96" s="29">
        <f t="shared" si="31"/>
        <v>0</v>
      </c>
      <c r="O96" s="29">
        <f t="shared" si="31"/>
        <v>0</v>
      </c>
      <c r="P96" s="29">
        <f t="shared" si="31"/>
        <v>0</v>
      </c>
      <c r="Q96" s="29">
        <f t="shared" si="31"/>
        <v>0</v>
      </c>
      <c r="R96" s="29">
        <f t="shared" si="31"/>
        <v>1</v>
      </c>
      <c r="S96" s="29">
        <f t="shared" si="31"/>
        <v>1</v>
      </c>
      <c r="T96" s="29">
        <f t="shared" si="31"/>
        <v>1</v>
      </c>
      <c r="U96" s="29">
        <f t="shared" si="31"/>
        <v>1</v>
      </c>
      <c r="V96" s="29">
        <f t="shared" si="31"/>
        <v>1</v>
      </c>
      <c r="W96" s="29">
        <f t="shared" si="31"/>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76.572506382321123</v>
      </c>
      <c r="F100" s="110">
        <f>F57</f>
        <v>81.669832373893243</v>
      </c>
      <c r="G100" s="110">
        <f>G57</f>
        <v>83.200765726871722</v>
      </c>
      <c r="H100" s="110">
        <f t="shared" ref="H100:W100" si="32">G100*(1+H113/100)*H43-H60-H61+H62+H63+H64+H65+H66+H72</f>
        <v>83.90561722622985</v>
      </c>
      <c r="I100" s="110">
        <f t="shared" si="32"/>
        <v>83.611302840545278</v>
      </c>
      <c r="J100" s="110">
        <f t="shared" si="32"/>
        <v>82.882428589420286</v>
      </c>
      <c r="K100" s="110">
        <f t="shared" si="32"/>
        <v>81.411608300186288</v>
      </c>
      <c r="L100" s="110">
        <f t="shared" si="32"/>
        <v>79.680213463441063</v>
      </c>
      <c r="M100" s="110">
        <f t="shared" si="32"/>
        <v>78.119823634032116</v>
      </c>
      <c r="N100" s="110">
        <f t="shared" si="32"/>
        <v>76.305685259611124</v>
      </c>
      <c r="O100" s="110">
        <f t="shared" si="32"/>
        <v>74.172962826336729</v>
      </c>
      <c r="P100" s="110">
        <f t="shared" si="32"/>
        <v>71.779246762511278</v>
      </c>
      <c r="Q100" s="110">
        <f t="shared" si="32"/>
        <v>69.501953123410303</v>
      </c>
      <c r="R100" s="110">
        <f t="shared" si="32"/>
        <v>67.099087240745916</v>
      </c>
      <c r="S100" s="110">
        <f t="shared" si="32"/>
        <v>64.549158046107465</v>
      </c>
      <c r="T100" s="110">
        <f t="shared" si="32"/>
        <v>61.834612929558318</v>
      </c>
      <c r="U100" s="110">
        <f t="shared" si="32"/>
        <v>58.9395956736644</v>
      </c>
      <c r="V100" s="110">
        <f t="shared" si="32"/>
        <v>55.863558414330022</v>
      </c>
      <c r="W100" s="110">
        <f t="shared" si="32"/>
        <v>52.621468714687666</v>
      </c>
    </row>
    <row r="101" spans="2:23" x14ac:dyDescent="0.2">
      <c r="B101" s="26" t="s">
        <v>127</v>
      </c>
      <c r="C101" s="34"/>
      <c r="D101" s="253">
        <f>'Input data'!C66*$D$100</f>
        <v>59.051128502792025</v>
      </c>
      <c r="E101" s="34">
        <f t="shared" ref="E101:W101" si="33">IF(E100=0,0,IF(E95=1,D100*E43/((1+E24/100)*(1+E42/100))-E102-E103,IF(AND(E95=0,E96=1),(1-D106-E39*D107)*D100*E43/((1+E24/100)*(1+E42/100)),E100)))</f>
        <v>61.999403317237508</v>
      </c>
      <c r="F101" s="34">
        <f t="shared" si="33"/>
        <v>65.885197792321179</v>
      </c>
      <c r="G101" s="34">
        <f t="shared" si="33"/>
        <v>68.856139848365714</v>
      </c>
      <c r="H101" s="34">
        <f t="shared" si="33"/>
        <v>69.788221848428535</v>
      </c>
      <c r="I101" s="34">
        <f t="shared" si="33"/>
        <v>70.235776641948803</v>
      </c>
      <c r="J101" s="34">
        <f t="shared" si="33"/>
        <v>70.059999023997207</v>
      </c>
      <c r="K101" s="34">
        <f t="shared" si="33"/>
        <v>69.4026210449411</v>
      </c>
      <c r="L101" s="34">
        <f t="shared" si="33"/>
        <v>68.15359453294765</v>
      </c>
      <c r="M101" s="34">
        <f t="shared" si="33"/>
        <v>66.664681461460276</v>
      </c>
      <c r="N101" s="34">
        <f t="shared" si="33"/>
        <v>65.168266798787172</v>
      </c>
      <c r="O101" s="34">
        <f t="shared" si="33"/>
        <v>63.571714520629591</v>
      </c>
      <c r="P101" s="34">
        <f t="shared" si="33"/>
        <v>61.807475949639318</v>
      </c>
      <c r="Q101" s="34">
        <f t="shared" si="33"/>
        <v>60.007176540602742</v>
      </c>
      <c r="R101" s="34">
        <f t="shared" si="33"/>
        <v>58.118166509979233</v>
      </c>
      <c r="S101" s="34">
        <f t="shared" si="33"/>
        <v>56.184647181194315</v>
      </c>
      <c r="T101" s="34">
        <f t="shared" si="33"/>
        <v>54.271408069650917</v>
      </c>
      <c r="U101" s="34">
        <f t="shared" si="33"/>
        <v>52.367750097882606</v>
      </c>
      <c r="V101" s="34">
        <f t="shared" si="33"/>
        <v>50.45765746630714</v>
      </c>
      <c r="W101" s="34">
        <f t="shared" si="33"/>
        <v>48.51949448842069</v>
      </c>
    </row>
    <row r="102" spans="2:23" x14ac:dyDescent="0.2">
      <c r="B102" s="105" t="s">
        <v>128</v>
      </c>
      <c r="C102" s="34"/>
      <c r="D102" s="253">
        <f>'Input data'!C67*$D$100</f>
        <v>2.5660693694891989</v>
      </c>
      <c r="E102" s="34">
        <f t="shared" ref="E102:W102" si="34">IF(E100=0,0,IF(E95=1,E39*D100*D107*E43/((1+E24/100)*(1+E42/100)),IF(AND(E95=0,E96=1),(E39*D100*D107*E43/((1+E24/100)*(1+E42/100)))*(1-ABS(E100-D100*E43/((1+E24/100)*(1+E42/100)))/((E39*D100*D107*E43/((1+E24/100)*(1+E42/100)))+(D106*D100*E43/((1+E24/100)*(1+E42/100))))),0)))</f>
        <v>2.5449751617705147</v>
      </c>
      <c r="F102" s="34">
        <f t="shared" si="34"/>
        <v>2.1622470266405025</v>
      </c>
      <c r="G102" s="34">
        <f t="shared" si="34"/>
        <v>2.3093520793812177</v>
      </c>
      <c r="H102" s="34">
        <f t="shared" si="34"/>
        <v>2.390958112755452</v>
      </c>
      <c r="I102" s="34">
        <f t="shared" si="34"/>
        <v>2.4570301982120233</v>
      </c>
      <c r="J102" s="34">
        <f t="shared" si="34"/>
        <v>2.5015635794561426</v>
      </c>
      <c r="K102" s="34">
        <f t="shared" si="34"/>
        <v>2.5283684462115343</v>
      </c>
      <c r="L102" s="34">
        <f t="shared" si="34"/>
        <v>2.5323073554943654</v>
      </c>
      <c r="M102" s="34">
        <f t="shared" si="34"/>
        <v>2.5254145971159501</v>
      </c>
      <c r="N102" s="34">
        <f t="shared" si="34"/>
        <v>2.516135310302166</v>
      </c>
      <c r="O102" s="34">
        <f t="shared" si="34"/>
        <v>2.5008045422950702</v>
      </c>
      <c r="P102" s="34">
        <f t="shared" si="34"/>
        <v>2.4314023582373641</v>
      </c>
      <c r="Q102" s="34">
        <f t="shared" si="34"/>
        <v>2.3605816013400687</v>
      </c>
      <c r="R102" s="34">
        <f t="shared" si="34"/>
        <v>2.2608889394231042</v>
      </c>
      <c r="S102" s="34">
        <f t="shared" si="34"/>
        <v>2.1226848879025235</v>
      </c>
      <c r="T102" s="34">
        <f t="shared" si="34"/>
        <v>1.9755901441264785</v>
      </c>
      <c r="U102" s="34">
        <f t="shared" si="34"/>
        <v>1.8131075886732964</v>
      </c>
      <c r="V102" s="34">
        <f t="shared" si="34"/>
        <v>1.6280239265431877</v>
      </c>
      <c r="W102" s="34">
        <f t="shared" si="34"/>
        <v>1.406552916598161</v>
      </c>
    </row>
    <row r="103" spans="2:23" x14ac:dyDescent="0.2">
      <c r="B103" s="105" t="s">
        <v>129</v>
      </c>
      <c r="C103" s="34"/>
      <c r="D103" s="253">
        <f>'Input data'!C68*$D$100</f>
        <v>6.679115961728173</v>
      </c>
      <c r="E103" s="34">
        <f t="shared" ref="E103:W103" si="35">IF(E100=0,0,IF(E95=1,(1-D107)*D100*E43/((1+E24/100)*(1+E42/100)),IF(AND(E95=0,E96=1),(D106*D100*E43/((1+E24/100)*(1+E42/100)))*(1-ABS(E100-D100*E43/((1+E24/100)*(1+E42/100)))/((E39*D100*D107*E43/((1+E24/100)*(1+E42/100)))+(D106*D100*E43/((1+E24/100)*(1+E42/100))))),0)))</f>
        <v>6.9964135836832329</v>
      </c>
      <c r="F103" s="34">
        <f t="shared" si="35"/>
        <v>7.4338450593811274</v>
      </c>
      <c r="G103" s="34">
        <f t="shared" si="35"/>
        <v>7.839603321443338</v>
      </c>
      <c r="H103" s="34">
        <f t="shared" si="35"/>
        <v>7.9919539027004278</v>
      </c>
      <c r="I103" s="34">
        <f t="shared" si="35"/>
        <v>8.0831951321896938</v>
      </c>
      <c r="J103" s="34">
        <f t="shared" si="35"/>
        <v>8.0935955847006547</v>
      </c>
      <c r="K103" s="34">
        <f t="shared" si="35"/>
        <v>8.0422401950289597</v>
      </c>
      <c r="L103" s="34">
        <f t="shared" si="35"/>
        <v>7.9149707866899348</v>
      </c>
      <c r="M103" s="34">
        <f t="shared" si="35"/>
        <v>7.7562824933495857</v>
      </c>
      <c r="N103" s="34">
        <f t="shared" si="35"/>
        <v>7.5969145550830719</v>
      </c>
      <c r="O103" s="34">
        <f t="shared" si="35"/>
        <v>7.4240947943765052</v>
      </c>
      <c r="P103" s="34">
        <f t="shared" si="35"/>
        <v>7.2233390516297868</v>
      </c>
      <c r="Q103" s="34">
        <f t="shared" si="35"/>
        <v>7.0154003362944906</v>
      </c>
      <c r="R103" s="34">
        <f t="shared" si="35"/>
        <v>6.7200317913435788</v>
      </c>
      <c r="S103" s="34">
        <f t="shared" si="35"/>
        <v>6.2418259770106239</v>
      </c>
      <c r="T103" s="34">
        <f t="shared" si="35"/>
        <v>5.5876147157809211</v>
      </c>
      <c r="U103" s="34">
        <f t="shared" si="35"/>
        <v>4.7587379871084918</v>
      </c>
      <c r="V103" s="34">
        <f t="shared" si="35"/>
        <v>3.7778770214796933</v>
      </c>
      <c r="W103" s="34">
        <f t="shared" si="35"/>
        <v>2.6954213096688195</v>
      </c>
    </row>
    <row r="104" spans="2:23" x14ac:dyDescent="0.2">
      <c r="B104" s="105" t="s">
        <v>130</v>
      </c>
      <c r="C104" s="34"/>
      <c r="D104" s="253">
        <f>'Input data'!C69*$D$100</f>
        <v>4.7052606775120811</v>
      </c>
      <c r="E104" s="34">
        <f>IF(E100=0,0,IF(E95=1,'Input data'!$C$58*(E100-D100*E43/((1+E24/100)*(1+E42/100))),0))</f>
        <v>4.4868133712998963</v>
      </c>
      <c r="F104" s="34">
        <f>IF(F100=0,0,IF(F95=1,'Input data'!$C$58*(F100-E100*F43/((1+F24/100)*(1+F42/100))),0))</f>
        <v>5.5183648065170443</v>
      </c>
      <c r="G104" s="34">
        <f>IF(G100=0,0,IF(G95=1,'Input data'!$C$58*(G100-F100*G43/((1+G24/100)*(1+G42/100))),0))</f>
        <v>3.7413074759407587</v>
      </c>
      <c r="H104" s="34">
        <f>IF(H100=0,0,IF(H95=1,'Input data'!$C$58*(H100-G100*H43/((1+H24/100)*(1+H42/100))),0))</f>
        <v>3.3300638352419467</v>
      </c>
      <c r="I104" s="34">
        <f>IF(I100=0,0,IF(I95=1,'Input data'!$C$58*(I100-H100*I43/((1+I24/100)*(1+I42/100))),0))</f>
        <v>2.528256780685088</v>
      </c>
      <c r="J104" s="34">
        <f>IF(J100=0,0,IF(J95=1,'Input data'!$C$58*(J100-I100*J43/((1+J24/100)*(1+J42/100))),0))</f>
        <v>1.9860719395208315</v>
      </c>
      <c r="K104" s="34">
        <f>IF(K100=0,0,IF(K95=1,'Input data'!$C$58*(K100-J100*K43/((1+K24/100)*(1+K42/100))),0))</f>
        <v>1.2826118472446966</v>
      </c>
      <c r="L104" s="34">
        <f>IF(L100=0,0,IF(L95=1,'Input data'!$C$58*(L100-K100*L43/((1+L24/100)*(1+L42/100))),0))</f>
        <v>0.96245541251851552</v>
      </c>
      <c r="M104" s="34">
        <f>IF(M100=0,0,IF(M95=1,'Input data'!$C$58*(M100-L100*M43/((1+M24/100)*(1+M42/100))),0))</f>
        <v>1.0463688417962358</v>
      </c>
      <c r="N104" s="34">
        <f>IF(N100=0,0,IF(N95=1,'Input data'!$C$58*(N100-M100*N43/((1+N24/100)*(1+N42/100))),0))</f>
        <v>0.91343633982229255</v>
      </c>
      <c r="O104" s="34">
        <f>IF(O100=0,0,IF(O95=1,'Input data'!$C$58*(O100-N100*O43/((1+O24/100)*(1+O42/100))),0))</f>
        <v>0.60310490722709997</v>
      </c>
      <c r="P104" s="34">
        <f>IF(P100=0,0,IF(P95=1,'Input data'!$C$58*(P100-O100*P43/((1+P24/100)*(1+P42/100))),0))</f>
        <v>0.28269724275638897</v>
      </c>
      <c r="Q104" s="34">
        <f>IF(Q100=0,0,IF(Q95=1,'Input data'!$C$58*(Q100-P100*Q43/((1+Q24/100)*(1+Q42/100))),0))</f>
        <v>0.10592998102488416</v>
      </c>
      <c r="R104" s="34">
        <f>IF(R100=0,0,IF(R95=1,'Input data'!$C$58*(R100-Q100*R43/((1+R24/100)*(1+R42/100))),0))</f>
        <v>0</v>
      </c>
      <c r="S104" s="34">
        <f>IF(S100=0,0,IF(S95=1,'Input data'!$C$58*(S100-R100*S43/((1+S24/100)*(1+S42/100))),0))</f>
        <v>0</v>
      </c>
      <c r="T104" s="34">
        <f>IF(T100=0,0,IF(T95=1,'Input data'!$C$58*(T100-S100*T43/((1+T24/100)*(1+T42/100))),0))</f>
        <v>0</v>
      </c>
      <c r="U104" s="34">
        <f>IF(U100=0,0,IF(U95=1,'Input data'!$C$58*(U100-T100*U43/((1+U24/100)*(1+U42/100))),0))</f>
        <v>0</v>
      </c>
      <c r="V104" s="34">
        <f>IF(V100=0,0,IF(V95=1,'Input data'!$C$58*(V100-U100*V43/((1+V24/100)*(1+V42/100))),0))</f>
        <v>0</v>
      </c>
      <c r="W104" s="34">
        <f>IF(W100=0,0,IF(W95=1,'Input data'!$C$58*(W100-V100*W43/((1+W24/100)*(1+W42/100))),0))</f>
        <v>0</v>
      </c>
    </row>
    <row r="105" spans="2:23" x14ac:dyDescent="0.2">
      <c r="B105" s="107" t="s">
        <v>131</v>
      </c>
      <c r="C105" s="49"/>
      <c r="D105" s="254">
        <f>'Input data'!C70*$D$100</f>
        <v>0.51003587344023849</v>
      </c>
      <c r="E105" s="49">
        <f>IF(E100=0,0,IF(E95=1,'Input data'!$C$57*(E100-D100*E43/((1+E24/100)*(1+E42/100))),0))</f>
        <v>0.54490094832997338</v>
      </c>
      <c r="F105" s="49">
        <f>IF(F100=0,0,IF(F95=1,'Input data'!$C$57*(F100-E100*F43/((1+F24/100)*(1+F42/100))),0))</f>
        <v>0.67017768903339203</v>
      </c>
      <c r="G105" s="49">
        <f>IF(G100=0,0,IF(G95=1,'Input data'!$C$57*(G100-F100*G43/((1+G24/100)*(1+G42/100))),0))</f>
        <v>0.45436300174070166</v>
      </c>
      <c r="H105" s="49">
        <f>IF(H100=0,0,IF(H95=1,'Input data'!$C$57*(H100-G100*H43/((1+H24/100)*(1+H42/100))),0))</f>
        <v>0.40441952710348222</v>
      </c>
      <c r="I105" s="49">
        <f>IF(I100=0,0,IF(I95=1,'Input data'!$C$57*(I100-H100*I43/((1+I24/100)*(1+I42/100))),0))</f>
        <v>0.30704408750967604</v>
      </c>
      <c r="J105" s="49">
        <f>IF(J100=0,0,IF(J95=1,'Input data'!$C$57*(J100-I100*J43/((1+J24/100)*(1+J42/100))),0))</f>
        <v>0.24119846174544979</v>
      </c>
      <c r="K105" s="49">
        <f>IF(K100=0,0,IF(K95=1,'Input data'!$C$57*(K100-J100*K43/((1+K24/100)*(1+K42/100))),0))</f>
        <v>0.15576676675999418</v>
      </c>
      <c r="L105" s="49">
        <f>IF(L100=0,0,IF(L95=1,'Input data'!$C$57*(L100-K100*L43/((1+L24/100)*(1+L42/100))),0))</f>
        <v>0.11688537579059501</v>
      </c>
      <c r="M105" s="49">
        <f>IF(M100=0,0,IF(M95=1,'Input data'!$C$57*(M100-L100*M43/((1+M24/100)*(1+M42/100))),0))</f>
        <v>0.12707624031006193</v>
      </c>
      <c r="N105" s="49">
        <f>IF(N100=0,0,IF(N95=1,'Input data'!$C$57*(N100-M100*N43/((1+N24/100)*(1+N42/100))),0))</f>
        <v>0.1109322556164235</v>
      </c>
      <c r="O105" s="49">
        <f>IF(O100=0,0,IF(O95=1,'Input data'!$C$57*(O100-N100*O43/((1+O24/100)*(1+O42/100))),0))</f>
        <v>7.3244061808458438E-2</v>
      </c>
      <c r="P105" s="49">
        <f>IF(P100=0,0,IF(P95=1,'Input data'!$C$57*(P100-O100*P43/((1+P24/100)*(1+P42/100))),0))</f>
        <v>3.4332160248420764E-2</v>
      </c>
      <c r="Q105" s="49">
        <f>IF(Q100=0,0,IF(Q95=1,'Input data'!$C$57*(Q100-P100*Q43/((1+Q24/100)*(1+Q42/100))),0))</f>
        <v>1.2864664148112926E-2</v>
      </c>
      <c r="R105" s="49">
        <f>IF(R100=0,0,IF(R95=1,'Input data'!$C$57*(R100-Q100*R43/((1+R24/100)*(1+R42/100))),0))</f>
        <v>0</v>
      </c>
      <c r="S105" s="49">
        <f>IF(S100=0,0,IF(S95=1,'Input data'!$C$57*(S100-R100*S43/((1+S24/100)*(1+S42/100))),0))</f>
        <v>0</v>
      </c>
      <c r="T105" s="49">
        <f>IF(T100=0,0,IF(T95=1,'Input data'!$C$57*(T100-S100*T43/((1+T24/100)*(1+T42/100))),0))</f>
        <v>0</v>
      </c>
      <c r="U105" s="49">
        <f>IF(U100=0,0,IF(U95=1,'Input data'!$C$57*(U100-T100*U43/((1+U24/100)*(1+U42/100))),0))</f>
        <v>0</v>
      </c>
      <c r="V105" s="49">
        <f>IF(V100=0,0,IF(V95=1,'Input data'!$C$57*(V100-U100*V43/((1+V24/100)*(1+V42/100))),0))</f>
        <v>0</v>
      </c>
      <c r="W105" s="49">
        <f>IF(W100=0,0,IF(W95=1,'Input data'!$C$57*(W100-V100*W43/((1+W24/100)*(1+W42/100))),0))</f>
        <v>0</v>
      </c>
    </row>
    <row r="106" spans="2:23" x14ac:dyDescent="0.2">
      <c r="B106" s="26" t="s">
        <v>73</v>
      </c>
      <c r="C106" s="36"/>
      <c r="D106" s="259">
        <f>'Baseline NFPC'!$D$93</f>
        <v>9.7796141283269952E-2</v>
      </c>
      <c r="E106" s="36">
        <f>IF(E100&lt;&gt;0,(E103+E105)/(E101+E102+E103+E104+E105),0)</f>
        <v>9.8485930372449279E-2</v>
      </c>
      <c r="F106" s="36">
        <f>IF(F100&lt;&gt;0,(F103+F105)/(F101+F102+F103+F104+F105),0)</f>
        <v>9.9229085120604091E-2</v>
      </c>
      <c r="G106" s="36">
        <f>IF(G100&lt;&gt;0,(G103+G105)/(G101+G102+G103+G104+G105),0)</f>
        <v>9.9686177774026205E-2</v>
      </c>
      <c r="H106" s="36">
        <f t="shared" ref="H106:W106" si="36">IF(H100&lt;&gt;0,(H103+H105)/(H101+H102+H103+H104+H105),0)</f>
        <v>0.10006926481650515</v>
      </c>
      <c r="I106" s="36">
        <f t="shared" si="36"/>
        <v>0.10034814594027264</v>
      </c>
      <c r="J106" s="36">
        <f t="shared" si="36"/>
        <v>0.10056165327556556</v>
      </c>
      <c r="K106" s="36">
        <f t="shared" si="36"/>
        <v>0.10069825585020652</v>
      </c>
      <c r="L106" s="36">
        <f t="shared" si="36"/>
        <v>0.10080113761449337</v>
      </c>
      <c r="M106" s="36">
        <f t="shared" si="36"/>
        <v>0.10091367807729333</v>
      </c>
      <c r="N106" s="36">
        <f t="shared" si="36"/>
        <v>0.10101274609454672</v>
      </c>
      <c r="O106" s="36">
        <f t="shared" si="36"/>
        <v>0.10107913410090814</v>
      </c>
      <c r="P106" s="36">
        <f t="shared" si="36"/>
        <v>0.10111099710882906</v>
      </c>
      <c r="Q106" s="36">
        <f t="shared" si="36"/>
        <v>0.10112327329798847</v>
      </c>
      <c r="R106" s="36">
        <f t="shared" si="36"/>
        <v>0.10015086743628369</v>
      </c>
      <c r="S106" s="36">
        <f t="shared" si="36"/>
        <v>9.66987977217625E-2</v>
      </c>
      <c r="T106" s="36">
        <f t="shared" si="36"/>
        <v>9.0363866628328432E-2</v>
      </c>
      <c r="U106" s="36">
        <f>IF(U100&lt;&gt;0,(U103+U105)/(U101+U102+U103+U104+U105),0)</f>
        <v>8.0739237056470153E-2</v>
      </c>
      <c r="V106" s="36">
        <f t="shared" si="36"/>
        <v>6.7626859597089306E-2</v>
      </c>
      <c r="W106" s="34">
        <f t="shared" si="36"/>
        <v>5.122284450636163E-2</v>
      </c>
    </row>
    <row r="107" spans="2:23" x14ac:dyDescent="0.2">
      <c r="B107" s="35" t="s">
        <v>74</v>
      </c>
      <c r="C107" s="108"/>
      <c r="D107" s="260">
        <f>'Baseline NFPC'!$D$94</f>
        <v>0.90220385626214106</v>
      </c>
      <c r="E107" s="108">
        <f>IF(E100&lt;&gt;0,(E101+E102+E104)/(E101+E102+E103+E104+E105),1)</f>
        <v>0.90151406962755076</v>
      </c>
      <c r="F107" s="108">
        <f>IF(F100&lt;&gt;0,(F101+F102+F104)/(F101+F102+F103+F104+F105),1)</f>
        <v>0.90077091487939587</v>
      </c>
      <c r="G107" s="108">
        <f>IF(G100&lt;&gt;0,(G101+G102+G104)/(G101+G102+G103+G104+G105),1)</f>
        <v>0.90031382222597389</v>
      </c>
      <c r="H107" s="108">
        <f t="shared" ref="H107:W107" si="37">IF(H100&lt;&gt;0,(H101+H102+H104)/(H101+H102+H103+H104+H105),1)</f>
        <v>0.89993073518349476</v>
      </c>
      <c r="I107" s="108">
        <f t="shared" si="37"/>
        <v>0.89965185405972736</v>
      </c>
      <c r="J107" s="108">
        <f t="shared" si="37"/>
        <v>0.89943834672443446</v>
      </c>
      <c r="K107" s="108">
        <f t="shared" si="37"/>
        <v>0.89930174414979358</v>
      </c>
      <c r="L107" s="108">
        <f t="shared" si="37"/>
        <v>0.8991988623855065</v>
      </c>
      <c r="M107" s="108">
        <f t="shared" si="37"/>
        <v>0.89908632192270665</v>
      </c>
      <c r="N107" s="108">
        <f t="shared" si="37"/>
        <v>0.89898725390545331</v>
      </c>
      <c r="O107" s="108">
        <f t="shared" si="37"/>
        <v>0.89892086589909204</v>
      </c>
      <c r="P107" s="108">
        <f t="shared" si="37"/>
        <v>0.8988890028911708</v>
      </c>
      <c r="Q107" s="108">
        <f t="shared" si="37"/>
        <v>0.89887672670201146</v>
      </c>
      <c r="R107" s="108">
        <f t="shared" si="37"/>
        <v>0.89984913256371635</v>
      </c>
      <c r="S107" s="108">
        <f t="shared" si="37"/>
        <v>0.9033012022782374</v>
      </c>
      <c r="T107" s="108">
        <f t="shared" si="37"/>
        <v>0.90963613337167148</v>
      </c>
      <c r="U107" s="108">
        <f t="shared" si="37"/>
        <v>0.91926076294352987</v>
      </c>
      <c r="V107" s="108">
        <f t="shared" si="37"/>
        <v>0.93237314040291064</v>
      </c>
      <c r="W107" s="49">
        <f t="shared" si="37"/>
        <v>0.94877715549363839</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1.9800874450398689</v>
      </c>
      <c r="I109" s="115">
        <f t="shared" ref="I109:V109" si="38">I111</f>
        <v>2.0597411836186312</v>
      </c>
      <c r="J109" s="115">
        <f t="shared" si="38"/>
        <v>2.1254620901125669</v>
      </c>
      <c r="K109" s="115">
        <f t="shared" si="38"/>
        <v>2.1824467881436358</v>
      </c>
      <c r="L109" s="115">
        <f t="shared" si="38"/>
        <v>2.2297678976260178</v>
      </c>
      <c r="M109" s="115">
        <f t="shared" si="38"/>
        <v>2.2728421332522841</v>
      </c>
      <c r="N109" s="115">
        <f t="shared" si="38"/>
        <v>2.3167855671693469</v>
      </c>
      <c r="O109" s="115">
        <f t="shared" si="38"/>
        <v>2.3589202495665504</v>
      </c>
      <c r="P109" s="115">
        <f t="shared" si="38"/>
        <v>2.3951221476412248</v>
      </c>
      <c r="Q109" s="115">
        <f t="shared" si="38"/>
        <v>2.4272413087484797</v>
      </c>
      <c r="R109" s="115">
        <f t="shared" si="38"/>
        <v>2.4571054317994925</v>
      </c>
      <c r="S109" s="115">
        <f t="shared" si="38"/>
        <v>2.4851718198389681</v>
      </c>
      <c r="T109" s="115">
        <f t="shared" si="38"/>
        <v>2.5125022148978471</v>
      </c>
      <c r="U109" s="115">
        <f t="shared" si="38"/>
        <v>2.5394413661815012</v>
      </c>
      <c r="V109" s="115">
        <f t="shared" si="38"/>
        <v>2.5663058235230571</v>
      </c>
      <c r="W109" s="115">
        <f>W111</f>
        <v>2.5932970227381635</v>
      </c>
    </row>
    <row r="110" spans="2:23" x14ac:dyDescent="0.2">
      <c r="B110" s="33" t="s">
        <v>133</v>
      </c>
      <c r="C110" s="34"/>
      <c r="D110" s="34"/>
      <c r="E110" s="265">
        <f>((E36*D100)-(E38*(D103+D105)))/(D101+D102+D104)</f>
        <v>1.3799500275570342</v>
      </c>
      <c r="F110" s="265">
        <f>((F36*E100)-(F38*(E103+E105)))/(E101+E102+E104)</f>
        <v>1.4547589474903004</v>
      </c>
      <c r="G110" s="265">
        <f>((G36*F100)-(G38*(F103+F105)))/(F101+F102+F104)</f>
        <v>1.7874685547645983</v>
      </c>
      <c r="H110" s="34">
        <f t="shared" ref="H110:W110" si="39">IF(G100&gt;0,(G110*G101+H37*(G104+G102))/(G101+G102+G104),H37)</f>
        <v>1.8887400870146598</v>
      </c>
      <c r="I110" s="34">
        <f t="shared" si="39"/>
        <v>1.9781159001659858</v>
      </c>
      <c r="J110" s="34">
        <f t="shared" si="39"/>
        <v>2.0521733456029119</v>
      </c>
      <c r="K110" s="34">
        <f t="shared" si="39"/>
        <v>2.1166176350672363</v>
      </c>
      <c r="L110" s="34">
        <f t="shared" si="39"/>
        <v>2.1704017297548774</v>
      </c>
      <c r="M110" s="34">
        <f t="shared" si="39"/>
        <v>2.2195023101350149</v>
      </c>
      <c r="N110" s="34">
        <f t="shared" si="39"/>
        <v>2.2695784318103449</v>
      </c>
      <c r="O110" s="34">
        <f t="shared" si="39"/>
        <v>2.3176640197223475</v>
      </c>
      <c r="P110" s="34">
        <f t="shared" si="39"/>
        <v>2.3619887344147936</v>
      </c>
      <c r="Q110" s="34">
        <f t="shared" si="39"/>
        <v>2.4017928710721268</v>
      </c>
      <c r="R110" s="34">
        <f t="shared" si="39"/>
        <v>2.4390975004604196</v>
      </c>
      <c r="S110" s="34">
        <f t="shared" si="39"/>
        <v>2.4745206387575021</v>
      </c>
      <c r="T110" s="34">
        <f t="shared" si="39"/>
        <v>2.5090696117858799</v>
      </c>
      <c r="U110" s="34">
        <f t="shared" si="39"/>
        <v>2.5425386460937132</v>
      </c>
      <c r="V110" s="34">
        <f t="shared" si="39"/>
        <v>2.5745924068589758</v>
      </c>
      <c r="W110" s="34">
        <f t="shared" si="39"/>
        <v>2.6047311815563465</v>
      </c>
    </row>
    <row r="111" spans="2:23" x14ac:dyDescent="0.2">
      <c r="B111" s="35" t="s">
        <v>63</v>
      </c>
      <c r="C111" s="49"/>
      <c r="D111" s="49"/>
      <c r="E111" s="49">
        <f t="shared" ref="E111:W111" si="40">(E110*(D101+D102+D104)+E38*(D103+D105))/D100</f>
        <v>1.5804370000000001</v>
      </c>
      <c r="F111" s="49">
        <f t="shared" si="40"/>
        <v>1.6625099999999997</v>
      </c>
      <c r="G111" s="49">
        <f t="shared" si="40"/>
        <v>1.8895660000000001</v>
      </c>
      <c r="H111" s="49">
        <f t="shared" si="40"/>
        <v>1.9800874450398689</v>
      </c>
      <c r="I111" s="49">
        <f t="shared" si="40"/>
        <v>2.0597411836186312</v>
      </c>
      <c r="J111" s="49">
        <f t="shared" si="40"/>
        <v>2.1254620901125669</v>
      </c>
      <c r="K111" s="49">
        <f t="shared" si="40"/>
        <v>2.1824467881436358</v>
      </c>
      <c r="L111" s="49">
        <f t="shared" si="40"/>
        <v>2.2297678976260178</v>
      </c>
      <c r="M111" s="49">
        <f t="shared" si="40"/>
        <v>2.2728421332522841</v>
      </c>
      <c r="N111" s="49">
        <f t="shared" si="40"/>
        <v>2.3167855671693469</v>
      </c>
      <c r="O111" s="49">
        <f t="shared" si="40"/>
        <v>2.3589202495665504</v>
      </c>
      <c r="P111" s="49">
        <f t="shared" si="40"/>
        <v>2.3951221476412248</v>
      </c>
      <c r="Q111" s="49">
        <f t="shared" si="40"/>
        <v>2.4272413087484797</v>
      </c>
      <c r="R111" s="49">
        <f t="shared" si="40"/>
        <v>2.4571054317994925</v>
      </c>
      <c r="S111" s="49">
        <f t="shared" si="40"/>
        <v>2.4851718198389681</v>
      </c>
      <c r="T111" s="49">
        <f t="shared" si="40"/>
        <v>2.5125022148978471</v>
      </c>
      <c r="U111" s="49">
        <f t="shared" si="40"/>
        <v>2.5394413661815012</v>
      </c>
      <c r="V111" s="49">
        <f t="shared" si="40"/>
        <v>2.5663058235230571</v>
      </c>
      <c r="W111" s="49">
        <f t="shared" si="40"/>
        <v>2.5932970227381635</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1">((1+C109/100)/((1+C24/100)*(1+C42/100))-1)*100</f>
        <v>-4.3409713213587997</v>
      </c>
      <c r="D113" s="115">
        <f t="shared" si="41"/>
        <v>-5.5733961793317803</v>
      </c>
      <c r="E113" s="115">
        <f t="shared" si="41"/>
        <v>-1.0866936191633814</v>
      </c>
      <c r="F113" s="115">
        <f t="shared" si="41"/>
        <v>0.19460467612562038</v>
      </c>
      <c r="G113" s="115">
        <f t="shared" si="41"/>
        <v>-1.4449566328884833</v>
      </c>
      <c r="H113" s="115">
        <f t="shared" si="41"/>
        <v>-1.733365425429767</v>
      </c>
      <c r="I113" s="115">
        <f t="shared" si="41"/>
        <v>-1.7470089884709217</v>
      </c>
      <c r="J113" s="115">
        <f t="shared" si="41"/>
        <v>-1.48526550740401</v>
      </c>
      <c r="K113" s="115">
        <f t="shared" si="41"/>
        <v>-1.4041887290045518</v>
      </c>
      <c r="L113" s="115">
        <f t="shared" si="41"/>
        <v>-1.2997146487866762</v>
      </c>
      <c r="M113" s="115">
        <f t="shared" si="41"/>
        <v>-1.2361477924844988</v>
      </c>
      <c r="N113" s="115">
        <f t="shared" si="41"/>
        <v>-1.4009251937588285</v>
      </c>
      <c r="O113" s="115">
        <f t="shared" si="41"/>
        <v>-1.4092592073916221</v>
      </c>
      <c r="P113" s="115">
        <f t="shared" si="41"/>
        <v>-1.3470381033538148</v>
      </c>
      <c r="Q113" s="115">
        <f t="shared" si="41"/>
        <v>-0.99191846179644827</v>
      </c>
      <c r="R113" s="115">
        <f t="shared" si="41"/>
        <v>-0.93647389017835758</v>
      </c>
      <c r="S113" s="115">
        <f t="shared" si="41"/>
        <v>-0.88273329868420181</v>
      </c>
      <c r="T113" s="115">
        <f t="shared" si="41"/>
        <v>-0.82968468483346491</v>
      </c>
      <c r="U113" s="115">
        <f t="shared" si="41"/>
        <v>-0.77697731950229221</v>
      </c>
      <c r="V113" s="115">
        <f t="shared" si="41"/>
        <v>-0.72432179727113244</v>
      </c>
      <c r="W113" s="115">
        <f t="shared" si="41"/>
        <v>-0.67150739524840519</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55" priority="4">
      <formula>AND(G10&gt;$C$5,G10&lt;=$C$6)</formula>
    </cfRule>
  </conditionalFormatting>
  <conditionalFormatting sqref="U10:W44 U46:W53 U55:W92 U94:W150">
    <cfRule type="expression" dxfId="52" priority="1">
      <formula>U$10&gt;$C$7</formula>
    </cfRule>
  </conditionalFormatting>
  <pageMargins left="0.7" right="0.7" top="0.75" bottom="0.75" header="0.3" footer="0.3"/>
  <pageSetup paperSize="9" orientation="portrait" r:id="rId1"/>
  <ignoredErrors>
    <ignoredError sqref="C5:C6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48" id="{3F484ED4-3931-4998-AB2F-E78A0CF23E03}">
            <xm:f>OR('Criteria results'!#REF!=7,'Criteria results'!#REF!=10)</xm:f>
            <x14:dxf>
              <font>
                <color theme="0"/>
              </font>
            </x14:dxf>
          </x14:cfRule>
          <xm:sqref>K83:M83</xm:sqref>
        </x14:conditionalFormatting>
        <x14:conditionalFormatting xmlns:xm="http://schemas.microsoft.com/office/excel/2006/main">
          <x14:cfRule type="expression" priority="49" id="{2AB03453-3383-4490-89FD-BF0D6B58ED6B}">
            <xm:f>'Criteria results'!#REF!=10</xm:f>
            <x14:dxf>
              <font>
                <color theme="0"/>
              </font>
            </x14:dxf>
          </x14:cfRule>
          <xm:sqref>N83:P83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5BAAB-8429-4160-992B-FEC30BB89CA8}">
  <sheetPr>
    <tabColor rgb="FFFFC000"/>
  </sheetPr>
  <dimension ref="A1:AY135"/>
  <sheetViews>
    <sheetView zoomScale="145" zoomScaleNormal="145" workbookViewId="0">
      <selection activeCell="G13" sqref="G13:M13"/>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c r="G2" s="26">
        <v>0.64</v>
      </c>
    </row>
    <row r="3" spans="1:51" ht="11.25" customHeight="1" x14ac:dyDescent="0.2">
      <c r="B3" s="19" t="s">
        <v>15</v>
      </c>
      <c r="C3" s="20" t="str">
        <f>'Input data'!C3</f>
        <v>FI</v>
      </c>
      <c r="G3" s="26">
        <v>0.48</v>
      </c>
    </row>
    <row r="4" spans="1:51" x14ac:dyDescent="0.2">
      <c r="B4" s="64" t="s">
        <v>38</v>
      </c>
      <c r="C4" s="21"/>
      <c r="G4" s="26">
        <v>0.14000000000000001</v>
      </c>
    </row>
    <row r="5" spans="1:51" x14ac:dyDescent="0.2">
      <c r="A5" s="29"/>
      <c r="B5" s="22" t="str">
        <f>'Input data'!B5</f>
        <v>Last year before the adjustment</v>
      </c>
      <c r="C5" s="23">
        <f>+'Input data'!C5</f>
        <v>2024</v>
      </c>
      <c r="G5" s="26">
        <v>0.18</v>
      </c>
      <c r="J5" s="53"/>
      <c r="M5" s="38"/>
    </row>
    <row r="6" spans="1:51" x14ac:dyDescent="0.2">
      <c r="A6" s="29"/>
      <c r="B6" s="65" t="s">
        <v>44</v>
      </c>
      <c r="C6" s="23">
        <f>+C5+'Criteria results'!$F$5</f>
        <v>2031</v>
      </c>
      <c r="E6" s="43"/>
      <c r="F6" s="29"/>
      <c r="G6" s="26">
        <v>0.1</v>
      </c>
    </row>
    <row r="7" spans="1:51" x14ac:dyDescent="0.2">
      <c r="A7" s="29"/>
      <c r="B7" s="24" t="s">
        <v>39</v>
      </c>
      <c r="C7" s="66">
        <f>C5+'Criteria results'!$F$5+10</f>
        <v>2041</v>
      </c>
      <c r="E7" s="43"/>
      <c r="F7" s="29"/>
      <c r="G7" s="53">
        <v>0.1</v>
      </c>
      <c r="H7" s="53"/>
      <c r="I7" s="53"/>
      <c r="J7" s="53"/>
      <c r="K7" s="53"/>
      <c r="L7" s="53"/>
      <c r="M7" s="53"/>
    </row>
    <row r="8" spans="1:51" x14ac:dyDescent="0.2">
      <c r="A8" s="29"/>
      <c r="C8" s="29"/>
      <c r="E8" s="43"/>
      <c r="F8" s="29"/>
      <c r="G8" s="29">
        <v>0.1</v>
      </c>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450">
        <f>'Input data'!C13</f>
        <v>-2.1345519999999998</v>
      </c>
      <c r="D12" s="451">
        <f>'Input data'!D13</f>
        <v>0.29205680000000001</v>
      </c>
      <c r="E12" s="451">
        <f>'Input data'!E13</f>
        <v>-0.3391101166058319</v>
      </c>
      <c r="F12" s="451">
        <f>'Input data'!F13</f>
        <v>-0.3744433445451063</v>
      </c>
      <c r="G12" s="426">
        <f>F12+G13</f>
        <v>0.26555665545489371</v>
      </c>
      <c r="H12" s="426">
        <f t="shared" ref="H12:N12" si="0">G12+H13</f>
        <v>0.74555665545489369</v>
      </c>
      <c r="I12" s="426">
        <f t="shared" si="0"/>
        <v>0.8855566554548937</v>
      </c>
      <c r="J12" s="426">
        <f t="shared" si="0"/>
        <v>1.0655566554548936</v>
      </c>
      <c r="K12" s="426">
        <f t="shared" si="0"/>
        <v>1.1655566554548937</v>
      </c>
      <c r="L12" s="426">
        <f t="shared" si="0"/>
        <v>1.2655566554548938</v>
      </c>
      <c r="M12" s="426">
        <f t="shared" si="0"/>
        <v>1.3655566554548939</v>
      </c>
      <c r="N12" s="426">
        <f t="shared" si="0"/>
        <v>1.3655566554548939</v>
      </c>
      <c r="O12" s="426">
        <f t="shared" ref="O12:W12" si="1">N12+O13</f>
        <v>1.3655566554548939</v>
      </c>
      <c r="P12" s="426">
        <f t="shared" si="1"/>
        <v>1.3655566554548939</v>
      </c>
      <c r="Q12" s="426">
        <f t="shared" si="1"/>
        <v>1.3655566554548939</v>
      </c>
      <c r="R12" s="426">
        <f t="shared" si="1"/>
        <v>1.3655566554548939</v>
      </c>
      <c r="S12" s="426">
        <f t="shared" si="1"/>
        <v>1.3655566554548939</v>
      </c>
      <c r="T12" s="426">
        <f t="shared" si="1"/>
        <v>1.3655566554548939</v>
      </c>
      <c r="U12" s="426">
        <f t="shared" si="1"/>
        <v>1.3655566554548939</v>
      </c>
      <c r="V12" s="426">
        <f t="shared" si="1"/>
        <v>1.3655566554548939</v>
      </c>
      <c r="W12" s="452">
        <f t="shared" si="1"/>
        <v>1.3655566554548939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453">
        <v>0.64</v>
      </c>
      <c r="H13" s="453">
        <v>0.48</v>
      </c>
      <c r="I13" s="453">
        <v>0.14000000000000001</v>
      </c>
      <c r="J13" s="453">
        <v>0.18</v>
      </c>
      <c r="K13" s="453">
        <v>0.1</v>
      </c>
      <c r="L13" s="454">
        <v>0.1</v>
      </c>
      <c r="M13" s="453">
        <v>0.1</v>
      </c>
      <c r="N13" s="455">
        <v>0</v>
      </c>
      <c r="O13" s="262">
        <v>0</v>
      </c>
      <c r="P13" s="262">
        <v>0</v>
      </c>
      <c r="Q13" s="262">
        <v>0</v>
      </c>
      <c r="R13" s="262">
        <v>0</v>
      </c>
      <c r="S13" s="262">
        <v>0</v>
      </c>
      <c r="T13" s="262">
        <v>0</v>
      </c>
      <c r="U13" s="262">
        <v>0</v>
      </c>
      <c r="V13" s="262">
        <v>0</v>
      </c>
      <c r="W13" s="262">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233.53642974383166</v>
      </c>
      <c r="H23" s="34">
        <f>IF(AND(H50&gt;1,G50&gt;1),IF(AND(H50&gt;0,G50&gt;0),H27*(H51/100+1),0)+IF(H50&gt;0,G23*(1+H52/100),0)-G23*(1+'Input data'!H30/100),IF(H50=1,H27,G23*(1+H52/100)))</f>
        <v>237.3824069690362</v>
      </c>
      <c r="I23" s="34">
        <f>IF(AND(I50&gt;1,H50&gt;1),IF(AND(I50&gt;0,H50&gt;0),I27*(I51/100+1),0)+IF(I50&gt;0,H23*(1+I52/100),0)-H23*(1+'Input data'!I30/100),IF(I50=1,I27,H23*(1+I52/100)))</f>
        <v>241.31999188519282</v>
      </c>
      <c r="J23" s="34">
        <f>IF(AND(J50&gt;1,I50&gt;1),IF(AND(J50&gt;0,I50&gt;0),J27*(J51/100+1),0)+IF(J50&gt;0,I23*(1+J52/100),0)-I23*(1+'Input data'!J30/100),IF(J50=1,J27,I23*(1+J52/100)))</f>
        <v>244.65829900686808</v>
      </c>
      <c r="K23" s="34">
        <f>IF(AND(K50&gt;1,J50&gt;1),IF(AND(K50&gt;0,J50&gt;0),K27*(K51/100+1),0)+IF(K50&gt;0,J23*(1+K52/100),0)-J23*(1+'Input data'!K30/100),IF(K50=1,K27,J23*(1+K52/100)))</f>
        <v>247.81932613140788</v>
      </c>
      <c r="L23" s="34">
        <f>IF(AND(L50&gt;1,K50&gt;1),IF(AND(L50&gt;0,K50&gt;0),L27*(L51/100+1),0)+IF(L50&gt;0,K23*(1+L52/100),0)-K23*(1+'Input data'!L30/100),IF(L50=1,L27,K23*(1+L52/100)))</f>
        <v>250.72362500931376</v>
      </c>
      <c r="M23" s="34">
        <f>IF(AND(M50&gt;1,L50&gt;1),IF(AND(M50&gt;0,L50&gt;0),M27*(M51/100+1),0)+IF(M50&gt;0,L23*(1+M52/100),0)-L23*(1+'Input data'!M30/100),IF(M50=1,M27,L23*(1+M52/100)))</f>
        <v>253.46265398054004</v>
      </c>
      <c r="N23" s="34">
        <f>IF(AND(N50&gt;1,M50&gt;1),IF(AND(N50&gt;0,M50&gt;0),N27*(N51/100+1),0)+IF(N50&gt;0,M23*(1+N52/100),0)-M23*(1+'Input data'!N30/100),IF(N50=1,N27,M23*(1+N52/100)))</f>
        <v>256.28805198998828</v>
      </c>
      <c r="O23" s="34">
        <f>IF(AND(O50&gt;1,N50&gt;1),IF(AND(O50&gt;0,N50&gt;0),O27*(O51/100+1),0)+IF(O50&gt;0,N23*(1+O52/100),0)-N23*(1+'Input data'!O30/100),IF(O50=1,O27,N23*(1+O52/100)))</f>
        <v>259.14412751413658</v>
      </c>
      <c r="P23" s="34">
        <f>IF(AND(P50&gt;1,O50&gt;1),IF(AND(P50&gt;0,O50&gt;0),P27*(P51/100+1),0)+IF(P50&gt;0,O23*(1+P52/100),0)-O23*(1+'Input data'!P30/100),IF(P50=1,P27,O23*(1+P52/100)))</f>
        <v>262.0312072276696</v>
      </c>
      <c r="Q23" s="34">
        <f>IF(AND(Q50&gt;1,P50&gt;1),IF(AND(Q50&gt;0,P50&gt;0),Q27*(Q51/100+1),0)+IF(Q50&gt;0,P23*(1+Q52/100),0)-P23*(1+'Input data'!Q30/100),IF(Q50=1,Q27,P23*(1+Q52/100)))</f>
        <v>264.48142035883194</v>
      </c>
      <c r="R23" s="34">
        <f>IF(AND(R50&gt;1,Q50&gt;1),IF(AND(R50&gt;0,Q50&gt;0),R27*(R51/100+1),0)+IF(R50&gt;0,Q23*(1+R52/100),0)-Q23*(1+'Input data'!R30/100),IF(R50=1,R27,Q23*(1+R52/100)))</f>
        <v>266.95455034214859</v>
      </c>
      <c r="S23" s="34">
        <f>IF(AND(S50&gt;1,R50&gt;1),IF(AND(S50&gt;0,R50&gt;0),S27*(S51/100+1),0)+IF(S50&gt;0,R23*(1+S52/100),0)-R23*(1+'Input data'!S30/100),IF(S50=1,S27,R23*(1+S52/100)))</f>
        <v>269.4507982207432</v>
      </c>
      <c r="T23" s="34">
        <f>IF(AND(T50&gt;1,S50&gt;1),IF(AND(T50&gt;0,S50&gt;0),T27*(T51/100+1),0)+IF(T50&gt;0,S23*(1+T52/100),0)-S23*(1+'Input data'!T30/100),IF(T50=1,T27,S23*(1+T52/100)))</f>
        <v>271.97040426772412</v>
      </c>
      <c r="U23" s="34">
        <f>IF(AND(U50&gt;1,T50&gt;1),IF(AND(U50&gt;0,T50&gt;0),U27*(U51/100+1),0)+IF(U50&gt;0,T23*(1+U52/100),0)-T23*(1+'Input data'!U30/100),IF(U50=1,U27,T23*(1+U52/100)))</f>
        <v>274.51356272647968</v>
      </c>
      <c r="V23" s="34">
        <f>IF(AND(V50&gt;1,U50&gt;1),IF(AND(V50&gt;0,U50&gt;0),V27*(V51/100+1),0)+IF(V50&gt;0,U23*(1+V52/100),0)-U23*(1+'Input data'!V30/100),IF(V50=1,V27,U23*(1+V52/100)))</f>
        <v>277.08051564162838</v>
      </c>
      <c r="W23" s="34">
        <f>IF(AND(W50&gt;1,V50&gt;1),IF(AND(W50&gt;0,V50&gt;0),W27*(W51/100+1),0)+IF(W50&gt;0,V23*(1+W52/100),0)-V23*(1+'Input data'!W30/100),IF(W50=1,W27,V23*(1+W52/100)))</f>
        <v>279.67146360216714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386">
        <f>'Baseline NFPC'!F23</f>
        <v>-0.22177088705733761</v>
      </c>
      <c r="G24" s="34">
        <f>100*(G23/F23-1)</f>
        <v>1.3552000000000008</v>
      </c>
      <c r="H24" s="34">
        <f t="shared" ref="H24:S24" si="2">100*(H23/G23-1)</f>
        <v>1.6468425202111892</v>
      </c>
      <c r="I24" s="34">
        <f t="shared" si="2"/>
        <v>1.6587517863824841</v>
      </c>
      <c r="J24" s="34">
        <f t="shared" si="2"/>
        <v>1.3833529064858574</v>
      </c>
      <c r="K24" s="34">
        <f t="shared" si="2"/>
        <v>1.2920171264866998</v>
      </c>
      <c r="L24" s="34">
        <f t="shared" si="2"/>
        <v>1.171942044732166</v>
      </c>
      <c r="M24" s="34">
        <f t="shared" si="2"/>
        <v>1.092449493391201</v>
      </c>
      <c r="N24" s="34">
        <f t="shared" si="2"/>
        <v>1.1147196500456369</v>
      </c>
      <c r="O24" s="34">
        <f t="shared" si="2"/>
        <v>1.1144005746549057</v>
      </c>
      <c r="P24" s="34">
        <f t="shared" si="2"/>
        <v>1.1140826308616791</v>
      </c>
      <c r="Q24" s="34">
        <f t="shared" si="2"/>
        <v>0.93508447222221402</v>
      </c>
      <c r="R24" s="34">
        <f t="shared" si="2"/>
        <v>0.93508647222222407</v>
      </c>
      <c r="S24" s="34">
        <f t="shared" si="2"/>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34">
        <f>+J27*(1+'Input data'!K33/100)</f>
        <v>250.11626204522659</v>
      </c>
      <c r="L27" s="34">
        <f>+K27*(1+'Input data'!L33/100)</f>
        <v>252.45509921161153</v>
      </c>
      <c r="M27" s="34">
        <f>+L27*(1+'Input data'!M33/100)</f>
        <v>254.81580684433933</v>
      </c>
      <c r="N27" s="34">
        <f>+M27*(1+'Input data'!N33/100)</f>
        <v>257.1985894541408</v>
      </c>
      <c r="O27" s="34">
        <f>+N27*(1+'Input data'!O33/100)</f>
        <v>259.60365346412652</v>
      </c>
      <c r="P27" s="34">
        <f>+O27*(1+'Input data'!P33/100)</f>
        <v>262.0312072276696</v>
      </c>
      <c r="Q27" s="34">
        <f>+P27*(1+'Input data'!Q33/100)</f>
        <v>264.48146104645554</v>
      </c>
      <c r="R27" s="34">
        <f>+Q27*(1+'Input data'!R33/100)</f>
        <v>266.95462718870095</v>
      </c>
      <c r="S27" s="34">
        <f>+R27*(1+'Input data'!S33/100)</f>
        <v>269.45091990754253</v>
      </c>
      <c r="T27" s="34">
        <f>+S27*(1+'Input data'!T33/100)</f>
        <v>271.97055545959796</v>
      </c>
      <c r="U27" s="34">
        <f>+T27*(1+'Input data'!U33/100)</f>
        <v>274.51375212370067</v>
      </c>
      <c r="V27" s="34">
        <f>+U27*(1+'Input data'!V33/100)</f>
        <v>277.08073021980942</v>
      </c>
      <c r="W27" s="34">
        <f>+V27*(1+'Input data'!W33/100)</f>
        <v>279.6717121280949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3">100*(D23/D27-1)</f>
        <v>-0.14622746557002575</v>
      </c>
      <c r="E30" s="100">
        <f t="shared" si="3"/>
        <v>-2.3697984129074534</v>
      </c>
      <c r="F30" s="100">
        <f t="shared" si="3"/>
        <v>-3.4887901007707112</v>
      </c>
      <c r="G30" s="34">
        <f>100*(G23/G27-1)</f>
        <v>-3.0871026869903173</v>
      </c>
      <c r="H30" s="34">
        <f t="shared" si="3"/>
        <v>-2.4037226757303354</v>
      </c>
      <c r="I30" s="34">
        <f t="shared" si="3"/>
        <v>-1.7040084986998716</v>
      </c>
      <c r="J30" s="34">
        <f t="shared" si="3"/>
        <v>-1.2674758763874583</v>
      </c>
      <c r="K30" s="34">
        <f t="shared" si="3"/>
        <v>-0.91834728979093283</v>
      </c>
      <c r="L30" s="34">
        <f t="shared" si="3"/>
        <v>-0.68585431932448593</v>
      </c>
      <c r="M30" s="34">
        <f>100*(M23/M27-1)</f>
        <v>-0.5310317599825809</v>
      </c>
      <c r="N30" s="34">
        <f t="shared" si="3"/>
        <v>-0.3540211733217391</v>
      </c>
      <c r="O30" s="34">
        <f t="shared" si="3"/>
        <v>-0.1770105866608862</v>
      </c>
      <c r="P30" s="34">
        <f t="shared" si="3"/>
        <v>0</v>
      </c>
      <c r="Q30" s="34">
        <f t="shared" si="3"/>
        <v>-1.5383922724598875E-5</v>
      </c>
      <c r="R30" s="34">
        <f t="shared" si="3"/>
        <v>-2.878637211933821E-5</v>
      </c>
      <c r="S30" s="34">
        <f t="shared" si="3"/>
        <v>-4.5161025752360473E-5</v>
      </c>
      <c r="T30" s="34">
        <f t="shared" si="3"/>
        <v>-5.5591265601950823E-5</v>
      </c>
      <c r="U30" s="34">
        <f t="shared" si="3"/>
        <v>-6.8993709612108489E-5</v>
      </c>
      <c r="V30" s="34">
        <f t="shared" si="3"/>
        <v>-7.7442477097733331E-5</v>
      </c>
      <c r="W30" s="34">
        <f t="shared" si="3"/>
        <v>-8.8863448455267502E-5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4">100*((1+C24/100)*(1+C42/100)-1)</f>
        <v>5.3041963643644108</v>
      </c>
      <c r="D33" s="2">
        <f t="shared" si="4"/>
        <v>6.7911638456366497</v>
      </c>
      <c r="E33" s="2">
        <f t="shared" si="4"/>
        <v>2.6964325799547773</v>
      </c>
      <c r="F33" s="2">
        <f>100*((1+F24/100)*(1+F42/100)-1)</f>
        <v>1.4650542597770766</v>
      </c>
      <c r="G33" s="1">
        <f>100*((1+G24/100)*(1+G42/100)-1)</f>
        <v>3.5196155039033616</v>
      </c>
      <c r="H33" s="1">
        <f t="shared" si="4"/>
        <v>3.8701548570061917</v>
      </c>
      <c r="I33" s="1">
        <f t="shared" si="4"/>
        <v>3.9349996625588801</v>
      </c>
      <c r="J33" s="1">
        <f t="shared" si="4"/>
        <v>3.7059666576135131</v>
      </c>
      <c r="K33" s="1">
        <f t="shared" si="4"/>
        <v>3.6650234693966111</v>
      </c>
      <c r="L33" s="1">
        <f t="shared" si="4"/>
        <v>3.5945581492305756</v>
      </c>
      <c r="M33" s="1">
        <f t="shared" si="4"/>
        <v>3.5655437227285702</v>
      </c>
      <c r="N33" s="1">
        <f t="shared" si="4"/>
        <v>3.6407518453438925</v>
      </c>
      <c r="O33" s="1">
        <f t="shared" si="4"/>
        <v>3.6928177893086112</v>
      </c>
      <c r="P33" s="1">
        <f t="shared" si="4"/>
        <v>3.6646853652251732</v>
      </c>
      <c r="Q33" s="1">
        <f t="shared" si="4"/>
        <v>3.4534148298041689</v>
      </c>
      <c r="R33" s="1">
        <f t="shared" si="4"/>
        <v>3.425659730924302</v>
      </c>
      <c r="S33" s="1">
        <f t="shared" si="4"/>
        <v>3.3978995089444464</v>
      </c>
      <c r="T33" s="1">
        <f t="shared" si="4"/>
        <v>3.3701485057395786</v>
      </c>
      <c r="U33" s="1">
        <f>100*((1+U24/100)*(1+U42/100)-1)</f>
        <v>3.3423882845847075</v>
      </c>
      <c r="V33" s="1">
        <f t="shared" si="4"/>
        <v>3.3146362536798479</v>
      </c>
      <c r="W33" s="1">
        <f t="shared" si="4"/>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5">H109</f>
        <v>1.981421280327154</v>
      </c>
      <c r="I36" s="34">
        <f t="shared" si="5"/>
        <v>2.0637208681660164</v>
      </c>
      <c r="J36" s="34">
        <f t="shared" si="5"/>
        <v>2.1333975372327667</v>
      </c>
      <c r="K36" s="34">
        <f t="shared" si="5"/>
        <v>2.1956572008146145</v>
      </c>
      <c r="L36" s="34">
        <f t="shared" si="5"/>
        <v>2.2497267552637119</v>
      </c>
      <c r="M36" s="34">
        <f t="shared" si="5"/>
        <v>2.3009945530196267</v>
      </c>
      <c r="N36" s="34">
        <f t="shared" si="5"/>
        <v>2.3542341235458961</v>
      </c>
      <c r="O36" s="34">
        <f t="shared" si="5"/>
        <v>2.4058419259452206</v>
      </c>
      <c r="P36" s="34">
        <f t="shared" si="5"/>
        <v>2.4521720828802711</v>
      </c>
      <c r="Q36" s="34">
        <f t="shared" si="5"/>
        <v>2.495387027186363</v>
      </c>
      <c r="R36" s="34">
        <f t="shared" si="5"/>
        <v>2.5365462700861086</v>
      </c>
      <c r="S36" s="34">
        <f t="shared" si="5"/>
        <v>2.5755954698687642</v>
      </c>
      <c r="T36" s="34">
        <f t="shared" si="5"/>
        <v>2.6124326998986969</v>
      </c>
      <c r="U36" s="34">
        <f t="shared" si="5"/>
        <v>2.6469587910039296</v>
      </c>
      <c r="V36" s="34">
        <f t="shared" si="5"/>
        <v>2.6790507639108641</v>
      </c>
      <c r="W36" s="34">
        <f t="shared" si="5"/>
        <v>2.7086880154766941</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6">H37+($O$37-$G$37)/($O$10-$G$10)</f>
        <v>3.0683720000000001</v>
      </c>
      <c r="J37" s="1">
        <f t="shared" si="6"/>
        <v>3.0955400000000002</v>
      </c>
      <c r="K37" s="1">
        <f t="shared" si="6"/>
        <v>3.1227080000000003</v>
      </c>
      <c r="L37" s="1">
        <f t="shared" si="6"/>
        <v>3.1498760000000003</v>
      </c>
      <c r="M37" s="1">
        <f t="shared" si="6"/>
        <v>3.1770440000000004</v>
      </c>
      <c r="N37" s="1">
        <f t="shared" si="6"/>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7">H38+($O$38-$G$38)/($O$10-$G$10)</f>
        <v>2.7938037499999995</v>
      </c>
      <c r="J38" s="1">
        <f t="shared" si="7"/>
        <v>2.7825181249999993</v>
      </c>
      <c r="K38" s="1">
        <f t="shared" si="7"/>
        <v>2.7712324999999991</v>
      </c>
      <c r="L38" s="1">
        <f t="shared" si="7"/>
        <v>2.7599468749999989</v>
      </c>
      <c r="M38" s="1">
        <f t="shared" si="7"/>
        <v>2.7486612499999987</v>
      </c>
      <c r="N38" s="1">
        <f t="shared" si="7"/>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8">IF(C50=4,2/3*C30,IF(C50=3,1/3*B30,0))</f>
        <v>0</v>
      </c>
      <c r="E51" s="34">
        <f t="shared" si="8"/>
        <v>0</v>
      </c>
      <c r="F51" s="34">
        <f t="shared" si="8"/>
        <v>0</v>
      </c>
      <c r="G51" s="34">
        <f t="shared" si="8"/>
        <v>0</v>
      </c>
      <c r="H51" s="34">
        <f t="shared" si="8"/>
        <v>-2.0580684579935449</v>
      </c>
      <c r="I51" s="34">
        <f t="shared" si="8"/>
        <v>-1.6024817838202234</v>
      </c>
      <c r="J51" s="34">
        <f t="shared" si="8"/>
        <v>-1.1360056657999142</v>
      </c>
      <c r="K51" s="34">
        <f t="shared" si="8"/>
        <v>-0.84498391759163882</v>
      </c>
      <c r="L51" s="34">
        <f t="shared" si="8"/>
        <v>-0.61223152652728852</v>
      </c>
      <c r="M51" s="34">
        <f t="shared" si="8"/>
        <v>-0.4572362128829906</v>
      </c>
      <c r="N51" s="34">
        <f t="shared" si="8"/>
        <v>-0.35402117332172056</v>
      </c>
      <c r="O51" s="34">
        <f t="shared" si="8"/>
        <v>-0.17701058666086028</v>
      </c>
      <c r="P51" s="34">
        <f t="shared" si="8"/>
        <v>0</v>
      </c>
      <c r="Q51" s="34">
        <f t="shared" si="8"/>
        <v>0</v>
      </c>
      <c r="R51" s="34">
        <f t="shared" si="8"/>
        <v>0</v>
      </c>
      <c r="S51" s="34">
        <f t="shared" si="8"/>
        <v>0</v>
      </c>
      <c r="T51" s="34">
        <f t="shared" si="8"/>
        <v>0</v>
      </c>
      <c r="U51" s="34">
        <f t="shared" si="8"/>
        <v>0</v>
      </c>
      <c r="V51" s="34">
        <f t="shared" si="8"/>
        <v>0</v>
      </c>
      <c r="W51" s="34">
        <f t="shared" si="8"/>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1.3552</v>
      </c>
      <c r="H52" s="34">
        <f>'Input data'!H30-$C$47*((H12-G12))</f>
        <v>1.4751999999999925</v>
      </c>
      <c r="I52" s="34">
        <f>'Input data'!I30-$C$47*((I12-H12))</f>
        <v>1.7301999999999924</v>
      </c>
      <c r="J52" s="34">
        <f>'Input data'!J30-$C$47*((J12-I12))</f>
        <v>1.7001999999999924</v>
      </c>
      <c r="K52" s="34">
        <f>'Input data'!K30-$C$47*((K12-J12))</f>
        <v>0.86010000000001086</v>
      </c>
      <c r="L52" s="34">
        <f>'Input data'!L30-$C$47*((L12-K12))</f>
        <v>0.86008997222222494</v>
      </c>
      <c r="M52" s="34">
        <f>'Input data'!M30-$C$47*((M12-L12))</f>
        <v>0.86008697222222097</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+E57+F58</f>
        <v>81.669832373893243</v>
      </c>
      <c r="G57" s="45">
        <f>+F57+G58</f>
        <v>83.198459540870374</v>
      </c>
      <c r="H57" s="45">
        <f t="shared" ref="H57:S57" si="9">+G57+H58</f>
        <v>84.065883803217574</v>
      </c>
      <c r="I57" s="45">
        <f t="shared" si="9"/>
        <v>84.102936627391074</v>
      </c>
      <c r="J57" s="45">
        <f t="shared" si="9"/>
        <v>83.876560988244449</v>
      </c>
      <c r="K57" s="45">
        <f t="shared" si="9"/>
        <v>83.08076220720703</v>
      </c>
      <c r="L57" s="45">
        <f t="shared" si="9"/>
        <v>82.198229644824309</v>
      </c>
      <c r="M57" s="45">
        <f t="shared" si="9"/>
        <v>81.661063072715336</v>
      </c>
      <c r="N57" s="45">
        <f t="shared" si="9"/>
        <v>81.041522211627012</v>
      </c>
      <c r="O57" s="45">
        <f t="shared" si="9"/>
        <v>80.164145761212779</v>
      </c>
      <c r="P57" s="45">
        <f t="shared" si="9"/>
        <v>79.08973672392932</v>
      </c>
      <c r="Q57" s="45">
        <f t="shared" si="9"/>
        <v>78.049834460944382</v>
      </c>
      <c r="R57" s="45">
        <f t="shared" si="9"/>
        <v>76.88467800582923</v>
      </c>
      <c r="S57" s="45">
        <f t="shared" si="9"/>
        <v>75.573413756807241</v>
      </c>
      <c r="T57" s="45">
        <f>+S57+T58</f>
        <v>74.098269108189271</v>
      </c>
      <c r="U57" s="45">
        <f>+T57+U58</f>
        <v>72.442866204043867</v>
      </c>
      <c r="V57" s="45">
        <f>+U57+V58</f>
        <v>70.605885421250079</v>
      </c>
      <c r="W57" s="45">
        <f>+V57+W58</f>
        <v>68.601488381949821</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3.060895797359378</v>
      </c>
      <c r="F58" s="47">
        <f>-F59+F67+F72</f>
        <v>5.0973259915721227</v>
      </c>
      <c r="G58" s="47">
        <f>-G59+G67+G72</f>
        <v>1.5286271669771283</v>
      </c>
      <c r="H58" s="47">
        <f t="shared" ref="H58:S58" si="10">-H59+H67+H72</f>
        <v>0.86742426234720094</v>
      </c>
      <c r="I58" s="47">
        <f t="shared" si="10"/>
        <v>3.7052824173505305E-2</v>
      </c>
      <c r="J58" s="47">
        <f t="shared" si="10"/>
        <v>-0.22637563914661762</v>
      </c>
      <c r="K58" s="47">
        <f t="shared" si="10"/>
        <v>-0.7957987810374243</v>
      </c>
      <c r="L58" s="47">
        <f t="shared" si="10"/>
        <v>-0.8825325623827156</v>
      </c>
      <c r="M58" s="47">
        <f t="shared" si="10"/>
        <v>-0.53716657210897156</v>
      </c>
      <c r="N58" s="47">
        <f t="shared" si="10"/>
        <v>-0.61954086108831774</v>
      </c>
      <c r="O58" s="47">
        <f t="shared" si="10"/>
        <v>-0.87737645041423562</v>
      </c>
      <c r="P58" s="47">
        <f t="shared" si="10"/>
        <v>-1.0744090372834632</v>
      </c>
      <c r="Q58" s="47">
        <f t="shared" si="10"/>
        <v>-1.039902262984933</v>
      </c>
      <c r="R58" s="47">
        <f t="shared" si="10"/>
        <v>-1.1651564551151512</v>
      </c>
      <c r="S58" s="47">
        <f t="shared" si="10"/>
        <v>-1.3112642490219892</v>
      </c>
      <c r="T58" s="47">
        <f>-T59+T67+T72</f>
        <v>-1.4751446486179718</v>
      </c>
      <c r="U58" s="47">
        <f>-U59+U67+U72</f>
        <v>-1.6554029041454044</v>
      </c>
      <c r="V58" s="47">
        <f>-V59+V67+V72</f>
        <v>-1.8369807827937867</v>
      </c>
      <c r="W58" s="47">
        <f>-W59+W67+W72</f>
        <v>-2.0043970393002621</v>
      </c>
    </row>
    <row r="59" spans="2:48" outlineLevel="1" x14ac:dyDescent="0.2">
      <c r="B59" s="84" t="s">
        <v>106</v>
      </c>
      <c r="C59" s="48"/>
      <c r="D59" s="48">
        <f>D60+D61-D62-D63-D64-D65-D66</f>
        <v>0.20695241503824502</v>
      </c>
      <c r="E59" s="48">
        <f>E60+E61-E62-E63-E64-E65-E66</f>
        <v>-1.7183327929179697</v>
      </c>
      <c r="F59" s="48">
        <f t="shared" ref="F59:R59" si="11">F60+F61-F62-F63-F64-F65-F66</f>
        <v>-2.4049191831936598</v>
      </c>
      <c r="G59" s="48">
        <f t="shared" si="11"/>
        <v>-1.5311371083734708</v>
      </c>
      <c r="H59" s="48">
        <f t="shared" si="11"/>
        <v>-0.65340994182016143</v>
      </c>
      <c r="I59" s="48">
        <f t="shared" si="11"/>
        <v>-0.10617629078843149</v>
      </c>
      <c r="J59" s="48">
        <f t="shared" si="11"/>
        <v>0.32788569539739298</v>
      </c>
      <c r="K59" s="48">
        <f t="shared" si="11"/>
        <v>0.63107853279657089</v>
      </c>
      <c r="L59" s="48">
        <f t="shared" si="11"/>
        <v>0.8663894416080431</v>
      </c>
      <c r="M59" s="48">
        <f t="shared" si="11"/>
        <v>1.0564961711450318</v>
      </c>
      <c r="N59" s="48">
        <f t="shared" si="11"/>
        <v>1.1319973325816424</v>
      </c>
      <c r="O59" s="48">
        <f t="shared" si="11"/>
        <v>1.2450574940182619</v>
      </c>
      <c r="P59" s="48">
        <f t="shared" si="11"/>
        <v>1.3576776554548962</v>
      </c>
      <c r="Q59" s="48">
        <f t="shared" si="11"/>
        <v>1.3757887020118729</v>
      </c>
      <c r="R59" s="48">
        <f t="shared" si="11"/>
        <v>1.40987090178632</v>
      </c>
      <c r="S59" s="48">
        <f>S60+S61-S62-S63-S64-S65-S66</f>
        <v>1.4628823717379054</v>
      </c>
      <c r="T59" s="48">
        <f>T60+T61-T62-T63-T64-T65-T66</f>
        <v>1.5316363013383136</v>
      </c>
      <c r="U59" s="48">
        <f>U60+U61-U62-U63-U64-U65-U66</f>
        <v>1.6146085011158984</v>
      </c>
      <c r="V59" s="48">
        <f>V60+V61-V62-V63-V64-V65-V66</f>
        <v>1.6965435839332244</v>
      </c>
      <c r="W59" s="48">
        <f>W60+W61-W62-W63-W64-W65-W66</f>
        <v>1.7617669369278934</v>
      </c>
    </row>
    <row r="60" spans="2:48" outlineLevel="1" x14ac:dyDescent="0.2">
      <c r="B60" s="79" t="s">
        <v>107</v>
      </c>
      <c r="C60" s="1"/>
      <c r="D60" s="1">
        <f>D12</f>
        <v>0.29205680000000001</v>
      </c>
      <c r="E60" s="1">
        <f>E12</f>
        <v>-0.3391101166058319</v>
      </c>
      <c r="F60" s="1">
        <f>F12</f>
        <v>-0.3744433445451063</v>
      </c>
      <c r="G60" s="1">
        <f t="shared" ref="G60:W60" si="12">IF(G12="",F60,G12)</f>
        <v>0.26555665545489371</v>
      </c>
      <c r="H60" s="1">
        <f t="shared" si="12"/>
        <v>0.74555665545489369</v>
      </c>
      <c r="I60" s="1">
        <f t="shared" si="12"/>
        <v>0.8855566554548937</v>
      </c>
      <c r="J60" s="1">
        <f t="shared" si="12"/>
        <v>1.0655566554548936</v>
      </c>
      <c r="K60" s="1">
        <f t="shared" si="12"/>
        <v>1.1655566554548937</v>
      </c>
      <c r="L60" s="1">
        <f t="shared" si="12"/>
        <v>1.2655566554548938</v>
      </c>
      <c r="M60" s="1">
        <f t="shared" si="12"/>
        <v>1.3655566554548939</v>
      </c>
      <c r="N60" s="1">
        <f t="shared" si="12"/>
        <v>1.3655566554548939</v>
      </c>
      <c r="O60" s="1">
        <f t="shared" si="12"/>
        <v>1.3655566554548939</v>
      </c>
      <c r="P60" s="1">
        <f t="shared" si="12"/>
        <v>1.3655566554548939</v>
      </c>
      <c r="Q60" s="1">
        <f t="shared" si="12"/>
        <v>1.3655566554548939</v>
      </c>
      <c r="R60" s="1">
        <f t="shared" si="12"/>
        <v>1.3655566554548939</v>
      </c>
      <c r="S60" s="1">
        <f t="shared" si="12"/>
        <v>1.3655566554548939</v>
      </c>
      <c r="T60" s="1">
        <f t="shared" si="12"/>
        <v>1.3655566554548939</v>
      </c>
      <c r="U60" s="1">
        <f t="shared" si="12"/>
        <v>1.3655566554548939</v>
      </c>
      <c r="V60" s="1">
        <f t="shared" si="12"/>
        <v>1.3655566554548939</v>
      </c>
      <c r="W60" s="1">
        <f t="shared" si="12"/>
        <v>1.3655566554548939</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434">
        <f t="shared" ref="D62:W62" si="13">-$C$48*D30</f>
        <v>8.5104384961754986E-2</v>
      </c>
      <c r="E62" s="434">
        <f>-$C$48*E30</f>
        <v>1.3792226763121378</v>
      </c>
      <c r="F62" s="434">
        <f t="shared" si="13"/>
        <v>2.0304758386485537</v>
      </c>
      <c r="G62" s="434">
        <f t="shared" si="13"/>
        <v>1.7966937638283647</v>
      </c>
      <c r="H62" s="434">
        <f t="shared" si="13"/>
        <v>1.3989665972750551</v>
      </c>
      <c r="I62" s="434">
        <f t="shared" si="13"/>
        <v>0.9917329462433252</v>
      </c>
      <c r="J62" s="434">
        <f t="shared" si="13"/>
        <v>0.73767096005750066</v>
      </c>
      <c r="K62" s="1">
        <f t="shared" si="13"/>
        <v>0.53447812265832284</v>
      </c>
      <c r="L62" s="1">
        <f t="shared" si="13"/>
        <v>0.39916721384685078</v>
      </c>
      <c r="M62" s="1">
        <f>-$C$48*M30</f>
        <v>0.30906048430986205</v>
      </c>
      <c r="N62" s="1">
        <f t="shared" si="13"/>
        <v>0.20604032287325214</v>
      </c>
      <c r="O62" s="1">
        <f t="shared" si="13"/>
        <v>0.10302016143663577</v>
      </c>
      <c r="P62" s="1">
        <f t="shared" si="13"/>
        <v>0</v>
      </c>
      <c r="Q62" s="1">
        <f t="shared" si="13"/>
        <v>8.9534430257165444E-6</v>
      </c>
      <c r="R62" s="1">
        <f t="shared" si="13"/>
        <v>1.6753668573454839E-5</v>
      </c>
      <c r="S62" s="1">
        <f t="shared" si="13"/>
        <v>2.6283716987873792E-5</v>
      </c>
      <c r="T62" s="1">
        <f t="shared" si="13"/>
        <v>3.2354116580335374E-5</v>
      </c>
      <c r="U62" s="1">
        <f>-$C$48*U30</f>
        <v>4.0154338994247138E-5</v>
      </c>
      <c r="V62" s="1">
        <f t="shared" si="13"/>
        <v>4.5071521670880799E-5</v>
      </c>
      <c r="W62" s="1">
        <f t="shared" si="13"/>
        <v>5.1718527000965682E-5</v>
      </c>
    </row>
    <row r="63" spans="2:48" outlineLevel="1" x14ac:dyDescent="0.2">
      <c r="B63" s="79" t="s">
        <v>110</v>
      </c>
      <c r="C63" s="1"/>
      <c r="D63" s="1">
        <f t="shared" ref="D63:W63" si="14">-D14</f>
        <v>0</v>
      </c>
      <c r="E63" s="1">
        <f t="shared" si="14"/>
        <v>0</v>
      </c>
      <c r="F63" s="1">
        <f t="shared" si="14"/>
        <v>0</v>
      </c>
      <c r="G63" s="1">
        <f t="shared" si="14"/>
        <v>0</v>
      </c>
      <c r="H63" s="1">
        <f t="shared" si="14"/>
        <v>0</v>
      </c>
      <c r="I63" s="1">
        <f t="shared" si="14"/>
        <v>0</v>
      </c>
      <c r="J63" s="1">
        <f t="shared" si="14"/>
        <v>0</v>
      </c>
      <c r="K63" s="1">
        <f t="shared" si="14"/>
        <v>0</v>
      </c>
      <c r="L63" s="1">
        <f t="shared" si="14"/>
        <v>0</v>
      </c>
      <c r="M63" s="1">
        <f t="shared" si="14"/>
        <v>0</v>
      </c>
      <c r="N63" s="1">
        <f t="shared" si="14"/>
        <v>0</v>
      </c>
      <c r="O63" s="1">
        <f t="shared" si="14"/>
        <v>0</v>
      </c>
      <c r="P63" s="1">
        <f t="shared" si="14"/>
        <v>0</v>
      </c>
      <c r="Q63" s="1">
        <f t="shared" si="14"/>
        <v>0</v>
      </c>
      <c r="R63" s="1">
        <f t="shared" si="14"/>
        <v>0</v>
      </c>
      <c r="S63" s="1">
        <f t="shared" si="14"/>
        <v>0</v>
      </c>
      <c r="T63" s="1">
        <f t="shared" si="14"/>
        <v>0</v>
      </c>
      <c r="U63" s="1">
        <f t="shared" si="14"/>
        <v>0</v>
      </c>
      <c r="V63" s="1">
        <f t="shared" si="14"/>
        <v>0</v>
      </c>
      <c r="W63" s="1">
        <f t="shared" si="14"/>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5">SUM(D68:D71)</f>
        <v>-4.0426919999999997</v>
      </c>
      <c r="E67" s="48">
        <f t="shared" si="15"/>
        <v>-0.79948272499993989</v>
      </c>
      <c r="F67" s="48">
        <f t="shared" si="15"/>
        <v>0.14925019261305703</v>
      </c>
      <c r="G67" s="48">
        <f t="shared" si="15"/>
        <v>-1.2858460802075184</v>
      </c>
      <c r="H67" s="48">
        <f t="shared" si="15"/>
        <v>-1.5128476921897545</v>
      </c>
      <c r="I67" s="48">
        <f t="shared" si="15"/>
        <v>-1.5135489123354977</v>
      </c>
      <c r="J67" s="48">
        <f t="shared" si="15"/>
        <v>-1.2753140955739175</v>
      </c>
      <c r="K67" s="48">
        <f t="shared" si="15"/>
        <v>-1.1888811222540305</v>
      </c>
      <c r="L67" s="48">
        <f t="shared" si="15"/>
        <v>-1.0785278613766374</v>
      </c>
      <c r="M67" s="48">
        <f t="shared" si="15"/>
        <v>-1.0036514009639399</v>
      </c>
      <c r="N67" s="48">
        <f t="shared" si="15"/>
        <v>-1.0136785285066754</v>
      </c>
      <c r="O67" s="48">
        <f t="shared" si="15"/>
        <v>-1.0058409563959736</v>
      </c>
      <c r="P67" s="48">
        <f t="shared" ref="P67:W67" si="16">SUM(P68:P71)</f>
        <v>-0.93763938182856732</v>
      </c>
      <c r="Q67" s="48">
        <f t="shared" si="16"/>
        <v>-0.7324085609730604</v>
      </c>
      <c r="R67" s="48">
        <f t="shared" si="16"/>
        <v>-0.67096655332883115</v>
      </c>
      <c r="S67" s="48">
        <f t="shared" si="16"/>
        <v>-0.61144937728408411</v>
      </c>
      <c r="T67" s="48">
        <f t="shared" si="16"/>
        <v>-0.55396234727965821</v>
      </c>
      <c r="U67" s="48">
        <f t="shared" si="16"/>
        <v>-0.49863490302950608</v>
      </c>
      <c r="V67" s="48">
        <f t="shared" si="16"/>
        <v>-0.4456641988605623</v>
      </c>
      <c r="W67" s="48">
        <f t="shared" si="16"/>
        <v>-0.39524360237236889</v>
      </c>
    </row>
    <row r="68" spans="2:23" outlineLevel="1" x14ac:dyDescent="0.2">
      <c r="B68" s="79" t="s">
        <v>115</v>
      </c>
      <c r="C68" s="34"/>
      <c r="D68" s="34">
        <f>C57*D36/100*(1/(1+D33/100))</f>
        <v>0.57044236264340553</v>
      </c>
      <c r="E68" s="34">
        <f>D57*E36/100*(1/(1+E33/100))</f>
        <v>1.1312999524848377</v>
      </c>
      <c r="F68" s="34">
        <f>E57*F36/100*(1/(1+F33/100))</f>
        <v>1.2546443552845774</v>
      </c>
      <c r="G68" s="36">
        <f>F57*G36/100*(1/(1+G33/100))</f>
        <v>1.490737168296274</v>
      </c>
      <c r="H68" s="34">
        <f t="shared" ref="H68:W68" si="17">G57*H36/100*(1/(1+H33/100))</f>
        <v>1.5870891735134336</v>
      </c>
      <c r="I68" s="34">
        <f t="shared" si="17"/>
        <v>1.6692020904293745</v>
      </c>
      <c r="J68" s="34">
        <f>I57*J36/100*(1/(1+J33/100))</f>
        <v>1.7301318685673444</v>
      </c>
      <c r="K68" s="34">
        <f t="shared" si="17"/>
        <v>1.7765314563187553</v>
      </c>
      <c r="L68" s="34">
        <f>K57*L36/100*(1/(1+L33/100))</f>
        <v>1.8042358298011054</v>
      </c>
      <c r="M68" s="34">
        <f t="shared" si="17"/>
        <v>1.826260664328351</v>
      </c>
      <c r="N68" s="34">
        <f t="shared" si="17"/>
        <v>1.8549581880465393</v>
      </c>
      <c r="O68" s="34">
        <f t="shared" si="17"/>
        <v>1.8802950487401655</v>
      </c>
      <c r="P68" s="34">
        <f t="shared" si="17"/>
        <v>1.896270456916211</v>
      </c>
      <c r="Q68" s="34">
        <f t="shared" si="17"/>
        <v>1.9077137601418286</v>
      </c>
      <c r="R68" s="34">
        <f t="shared" si="17"/>
        <v>1.9141963125766894</v>
      </c>
      <c r="S68" s="34">
        <f t="shared" si="17"/>
        <v>1.9151629705688777</v>
      </c>
      <c r="T68" s="34">
        <f t="shared" si="17"/>
        <v>1.9099368647061103</v>
      </c>
      <c r="U68" s="34">
        <f t="shared" si="17"/>
        <v>1.897914960838518</v>
      </c>
      <c r="V68" s="34">
        <f t="shared" si="17"/>
        <v>1.8785152141202415</v>
      </c>
      <c r="W68" s="34">
        <f t="shared" si="17"/>
        <v>1.8516322983802858</v>
      </c>
    </row>
    <row r="69" spans="2:23" outlineLevel="1" x14ac:dyDescent="0.2">
      <c r="B69" s="79" t="s">
        <v>116</v>
      </c>
      <c r="C69" s="34"/>
      <c r="D69" s="34">
        <f t="shared" ref="D69:W69" si="18">-C57*(D24/100)*(1/(1+D33/100))</f>
        <v>-0.90770273794427436</v>
      </c>
      <c r="E69" s="34">
        <f t="shared" si="18"/>
        <v>0.82999130151990808</v>
      </c>
      <c r="F69" s="34">
        <f t="shared" si="18"/>
        <v>0.16736355968562128</v>
      </c>
      <c r="G69" s="34">
        <f t="shared" si="18"/>
        <v>-1.0691592728039727</v>
      </c>
      <c r="H69" s="34">
        <f t="shared" si="18"/>
        <v>-1.3190965294756543</v>
      </c>
      <c r="I69" s="34">
        <f t="shared" si="18"/>
        <v>-1.3416504102096261</v>
      </c>
      <c r="J69" s="34">
        <f t="shared" si="18"/>
        <v>-1.1218644941771629</v>
      </c>
      <c r="K69" s="34">
        <f t="shared" si="18"/>
        <v>-1.0453858946900287</v>
      </c>
      <c r="L69" s="34">
        <f t="shared" si="18"/>
        <v>-0.93987406364302573</v>
      </c>
      <c r="M69" s="34">
        <f t="shared" si="18"/>
        <v>-0.86705878331071717</v>
      </c>
      <c r="N69" s="34">
        <f t="shared" si="18"/>
        <v>-0.87831465933987674</v>
      </c>
      <c r="O69" s="34">
        <f t="shared" si="18"/>
        <v>-0.87096407300889511</v>
      </c>
      <c r="P69" s="34">
        <f t="shared" si="18"/>
        <v>-0.86152272681657471</v>
      </c>
      <c r="Q69" s="34">
        <f t="shared" si="18"/>
        <v>-0.71486847335447501</v>
      </c>
      <c r="R69" s="34">
        <f t="shared" si="18"/>
        <v>-0.70565993539213578</v>
      </c>
      <c r="S69" s="34">
        <f t="shared" si="18"/>
        <v>-0.69530998223188267</v>
      </c>
      <c r="T69" s="34">
        <f t="shared" si="18"/>
        <v>-0.68363937370140426</v>
      </c>
      <c r="U69" s="34">
        <f t="shared" si="18"/>
        <v>-0.67047307700440717</v>
      </c>
      <c r="V69" s="34">
        <f t="shared" si="18"/>
        <v>-0.65567386061743604</v>
      </c>
      <c r="W69" s="34">
        <f t="shared" si="18"/>
        <v>-0.63921721775145568</v>
      </c>
    </row>
    <row r="70" spans="2:23" outlineLevel="1" x14ac:dyDescent="0.2">
      <c r="B70" s="79" t="s">
        <v>117</v>
      </c>
      <c r="C70" s="34"/>
      <c r="D70" s="34">
        <f t="shared" ref="D70:W70" si="19">-C57*D42/100*(1/(1+D42/100))</f>
        <v>-3.7081792093539843</v>
      </c>
      <c r="E70" s="34">
        <f t="shared" si="19"/>
        <v>-2.7601372355757476</v>
      </c>
      <c r="F70" s="34">
        <f t="shared" si="19"/>
        <v>-1.2729942369236147</v>
      </c>
      <c r="G70" s="34">
        <f>-F57*G42/100*(1/(1+G42/100))</f>
        <v>-1.7075744585293433</v>
      </c>
      <c r="H70" s="34">
        <f t="shared" si="19"/>
        <v>-1.7808403362275338</v>
      </c>
      <c r="I70" s="34">
        <f t="shared" si="19"/>
        <v>-1.8411005925552462</v>
      </c>
      <c r="J70" s="34">
        <f t="shared" si="19"/>
        <v>-1.8835814699640989</v>
      </c>
      <c r="K70" s="34">
        <f t="shared" si="19"/>
        <v>-1.9200266838827571</v>
      </c>
      <c r="L70" s="34">
        <f t="shared" si="19"/>
        <v>-1.9428896275347172</v>
      </c>
      <c r="M70" s="34">
        <f t="shared" si="19"/>
        <v>-1.9628532819815736</v>
      </c>
      <c r="N70" s="34">
        <f t="shared" si="19"/>
        <v>-1.990322057213338</v>
      </c>
      <c r="O70" s="34">
        <f t="shared" si="19"/>
        <v>-2.0151719321272439</v>
      </c>
      <c r="P70" s="34">
        <f t="shared" si="19"/>
        <v>-1.9723871119282035</v>
      </c>
      <c r="Q70" s="34">
        <f t="shared" si="19"/>
        <v>-1.925253847760414</v>
      </c>
      <c r="R70" s="34">
        <f t="shared" si="19"/>
        <v>-1.8795029305133848</v>
      </c>
      <c r="S70" s="34">
        <f t="shared" si="19"/>
        <v>-1.8313023656210792</v>
      </c>
      <c r="T70" s="34">
        <f t="shared" si="19"/>
        <v>-1.7802598382843642</v>
      </c>
      <c r="U70" s="34">
        <f t="shared" si="19"/>
        <v>-1.7260767868636169</v>
      </c>
      <c r="V70" s="34">
        <f t="shared" si="19"/>
        <v>-1.6685055523633678</v>
      </c>
      <c r="W70" s="34">
        <f t="shared" si="19"/>
        <v>-1.607658683001199</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D15</f>
        <v>5.1764349999999997</v>
      </c>
      <c r="E73" s="34">
        <f t="shared" ref="E73:W73" si="20">E15</f>
        <v>2.1420457294413482</v>
      </c>
      <c r="F73" s="34">
        <f t="shared" si="20"/>
        <v>2.543156615765406</v>
      </c>
      <c r="G73" s="34">
        <f t="shared" si="20"/>
        <v>1.2833361388111759</v>
      </c>
      <c r="H73" s="34">
        <f t="shared" si="20"/>
        <v>1.726862012716794</v>
      </c>
      <c r="I73" s="34">
        <f t="shared" si="20"/>
        <v>1.4444254457205716</v>
      </c>
      <c r="J73" s="34">
        <f t="shared" si="20"/>
        <v>1.3768241518246929</v>
      </c>
      <c r="K73" s="34">
        <f t="shared" si="20"/>
        <v>1.0241608740131771</v>
      </c>
      <c r="L73" s="34">
        <f t="shared" si="20"/>
        <v>1.0623847406019649</v>
      </c>
      <c r="M73" s="34">
        <f t="shared" si="20"/>
        <v>1.5229809999999999</v>
      </c>
      <c r="N73" s="34">
        <f t="shared" si="20"/>
        <v>1.526135</v>
      </c>
      <c r="O73" s="34">
        <f t="shared" si="20"/>
        <v>1.3735219999999999</v>
      </c>
      <c r="P73" s="34">
        <f t="shared" si="20"/>
        <v>1.2209080000000001</v>
      </c>
      <c r="Q73" s="34">
        <f t="shared" si="20"/>
        <v>1.068295</v>
      </c>
      <c r="R73" s="34">
        <f t="shared" si="20"/>
        <v>0.91568099999999997</v>
      </c>
      <c r="S73" s="34">
        <f t="shared" si="20"/>
        <v>0.76306750000000001</v>
      </c>
      <c r="T73" s="34">
        <f t="shared" si="20"/>
        <v>0.61045400000000005</v>
      </c>
      <c r="U73" s="34">
        <f t="shared" si="20"/>
        <v>0.45784049999999998</v>
      </c>
      <c r="V73" s="34">
        <f t="shared" si="20"/>
        <v>0.30522700000000003</v>
      </c>
      <c r="W73" s="34">
        <f t="shared" si="20"/>
        <v>0.15261350000000001</v>
      </c>
    </row>
    <row r="74" spans="2:23" outlineLevel="1" x14ac:dyDescent="0.2">
      <c r="B74" s="89" t="s">
        <v>121</v>
      </c>
      <c r="C74" s="49"/>
      <c r="D74" s="49">
        <f>+D72-D73</f>
        <v>0</v>
      </c>
      <c r="E74" s="49">
        <f t="shared" ref="E74:W74" si="21">+E72-E73</f>
        <v>0</v>
      </c>
      <c r="F74" s="49">
        <f t="shared" si="21"/>
        <v>0</v>
      </c>
      <c r="G74" s="49">
        <f t="shared" si="21"/>
        <v>0</v>
      </c>
      <c r="H74" s="49">
        <f t="shared" si="21"/>
        <v>0</v>
      </c>
      <c r="I74" s="49">
        <f t="shared" si="21"/>
        <v>0</v>
      </c>
      <c r="J74" s="49">
        <f t="shared" si="21"/>
        <v>0</v>
      </c>
      <c r="K74" s="49">
        <f t="shared" si="21"/>
        <v>0</v>
      </c>
      <c r="L74" s="49">
        <f t="shared" si="21"/>
        <v>0</v>
      </c>
      <c r="M74" s="49">
        <f t="shared" si="21"/>
        <v>0</v>
      </c>
      <c r="N74" s="49">
        <f t="shared" si="21"/>
        <v>0</v>
      </c>
      <c r="O74" s="49">
        <f t="shared" si="21"/>
        <v>0</v>
      </c>
      <c r="P74" s="49">
        <f t="shared" si="21"/>
        <v>0</v>
      </c>
      <c r="Q74" s="49">
        <f t="shared" si="21"/>
        <v>0</v>
      </c>
      <c r="R74" s="49">
        <f t="shared" si="21"/>
        <v>0</v>
      </c>
      <c r="S74" s="49">
        <f t="shared" si="21"/>
        <v>0</v>
      </c>
      <c r="T74" s="49">
        <f t="shared" si="21"/>
        <v>0</v>
      </c>
      <c r="U74" s="49">
        <f t="shared" si="21"/>
        <v>0</v>
      </c>
      <c r="V74" s="49">
        <f t="shared" si="21"/>
        <v>0</v>
      </c>
      <c r="W74" s="49">
        <f t="shared" si="21"/>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-0.36348994760516051</v>
      </c>
      <c r="E77" s="78">
        <f t="shared" ref="E77:W77" si="22">E59-E68</f>
        <v>-2.8496327454028076</v>
      </c>
      <c r="F77" s="78">
        <f t="shared" si="22"/>
        <v>-3.6595635384782375</v>
      </c>
      <c r="G77" s="78">
        <f>G59-G68</f>
        <v>-3.0218742766697448</v>
      </c>
      <c r="H77" s="78">
        <f t="shared" si="22"/>
        <v>-2.2404991153335949</v>
      </c>
      <c r="I77" s="78">
        <f t="shared" si="22"/>
        <v>-1.7753783812178061</v>
      </c>
      <c r="J77" s="78">
        <f t="shared" si="22"/>
        <v>-1.4022461731699514</v>
      </c>
      <c r="K77" s="78">
        <f t="shared" si="22"/>
        <v>-1.1454529235221844</v>
      </c>
      <c r="L77" s="78">
        <f t="shared" si="22"/>
        <v>-0.93784638819306232</v>
      </c>
      <c r="M77" s="78">
        <f t="shared" si="22"/>
        <v>-0.76976449318331919</v>
      </c>
      <c r="N77" s="78">
        <f t="shared" si="22"/>
        <v>-0.72296085546489697</v>
      </c>
      <c r="O77" s="78">
        <f t="shared" si="22"/>
        <v>-0.63523755472190357</v>
      </c>
      <c r="P77" s="78">
        <f t="shared" si="22"/>
        <v>-0.53859280146131483</v>
      </c>
      <c r="Q77" s="78">
        <f t="shared" si="22"/>
        <v>-0.53192505812995572</v>
      </c>
      <c r="R77" s="78">
        <f t="shared" si="22"/>
        <v>-0.50432541079036941</v>
      </c>
      <c r="S77" s="78">
        <f t="shared" si="22"/>
        <v>-0.45228059883097238</v>
      </c>
      <c r="T77" s="78">
        <f t="shared" si="22"/>
        <v>-0.37830056336779672</v>
      </c>
      <c r="U77" s="78">
        <f t="shared" si="22"/>
        <v>-0.28330645972261959</v>
      </c>
      <c r="V77" s="78">
        <f t="shared" si="22"/>
        <v>-0.18197163018701712</v>
      </c>
      <c r="W77" s="78">
        <f t="shared" si="22"/>
        <v>-8.9865361452392323E-2</v>
      </c>
    </row>
    <row r="78" spans="2:23" ht="12" thickBot="1" x14ac:dyDescent="0.25">
      <c r="B78" s="26" t="s">
        <v>42</v>
      </c>
      <c r="D78" s="34">
        <f>D60-D68-D64-D65-D66</f>
        <v>-0.27838556264340553</v>
      </c>
      <c r="E78" s="34">
        <f t="shared" ref="E78:W78" si="23">E60-E68-E64-E65-E66</f>
        <v>-1.4704100690906696</v>
      </c>
      <c r="F78" s="34">
        <f t="shared" si="23"/>
        <v>-1.6290876998296837</v>
      </c>
      <c r="G78" s="34">
        <f t="shared" si="23"/>
        <v>-1.2251805128413804</v>
      </c>
      <c r="H78" s="34">
        <f t="shared" si="23"/>
        <v>-0.8415325180585399</v>
      </c>
      <c r="I78" s="34">
        <f t="shared" si="23"/>
        <v>-0.7836454349744808</v>
      </c>
      <c r="J78" s="34">
        <f t="shared" si="23"/>
        <v>-0.66457521311245071</v>
      </c>
      <c r="K78" s="34">
        <f t="shared" si="23"/>
        <v>-0.61097480086386158</v>
      </c>
      <c r="L78" s="34">
        <f t="shared" si="23"/>
        <v>-0.5386791743462116</v>
      </c>
      <c r="M78" s="34">
        <f t="shared" si="23"/>
        <v>-0.46070400887345708</v>
      </c>
      <c r="N78" s="34">
        <f t="shared" si="23"/>
        <v>-0.51692053259164483</v>
      </c>
      <c r="O78" s="34">
        <f t="shared" si="23"/>
        <v>-0.53221739328526785</v>
      </c>
      <c r="P78" s="34">
        <f t="shared" si="23"/>
        <v>-0.53859280146131483</v>
      </c>
      <c r="Q78" s="34">
        <f t="shared" si="23"/>
        <v>-0.53191610468693007</v>
      </c>
      <c r="R78" s="34">
        <f t="shared" si="23"/>
        <v>-0.50430865712179584</v>
      </c>
      <c r="S78" s="34">
        <f t="shared" si="23"/>
        <v>-0.4522543151139844</v>
      </c>
      <c r="T78" s="34">
        <f t="shared" si="23"/>
        <v>-0.3782682092512164</v>
      </c>
      <c r="U78" s="34">
        <f t="shared" si="23"/>
        <v>-0.28326630538362529</v>
      </c>
      <c r="V78" s="34">
        <f t="shared" si="23"/>
        <v>-0.18192655866534624</v>
      </c>
      <c r="W78" s="34">
        <f t="shared" si="23"/>
        <v>-8.981364292539129E-2</v>
      </c>
    </row>
    <row r="79" spans="2:23" ht="12" thickBot="1" x14ac:dyDescent="0.25">
      <c r="B79" s="35" t="s">
        <v>123</v>
      </c>
      <c r="C79" s="35"/>
      <c r="D79" s="281">
        <f>'Input data'!D45</f>
        <v>5.7681103325160432</v>
      </c>
      <c r="E79" s="281">
        <f>'Input data'!E45</f>
        <v>7.4830230810080138</v>
      </c>
      <c r="F79" s="281">
        <f>'Input data'!F45</f>
        <v>3.9912900392291735</v>
      </c>
      <c r="G79" s="431">
        <f>'Input data'!G33+G42-(G$12-F$12)/'Input data'!$C$64*100</f>
        <v>1.910477926599238</v>
      </c>
      <c r="H79" s="432">
        <f>'Input data'!H33+H42-(H$12-G$12)/'Input data'!$C$64*100</f>
        <v>2.2523178873736169</v>
      </c>
      <c r="I79" s="432">
        <f>'Input data'!I33+I42-(I$12-H$12)/'Input data'!$C$64*100</f>
        <v>2.9204353017463829</v>
      </c>
      <c r="J79" s="433">
        <f>'Input data'!J33+J42-(J$12-I$12)/'Input data'!$C$64*100</f>
        <v>2.8997447585225533</v>
      </c>
      <c r="K79" s="49">
        <f>'Input data'!K33+K42-(K$12-J$12)/'Input data'!$C$64*100</f>
        <v>3.096572517697648</v>
      </c>
      <c r="L79" s="49">
        <f>'Input data'!L33+L42-(L$12-K$12)/'Input data'!$C$64*100</f>
        <v>3.1483880752734597</v>
      </c>
      <c r="M79" s="49">
        <f>'Input data'!M33+M42-(M$12-L$12)/'Input data'!$C$64*100</f>
        <v>3.2002036328492722</v>
      </c>
      <c r="N79" s="49">
        <f>'Input data'!N33+N42-(N$12-M$12)/'Input data'!$C$64*100</f>
        <v>3.4332844424241884</v>
      </c>
      <c r="O79" s="49">
        <f>'Input data'!O33+O42-(O$12-N$12)/'Input data'!$C$64*100</f>
        <v>3.4851000000000001</v>
      </c>
      <c r="P79" s="49">
        <f>'Input data'!P33+P42-(P$12-O$12)/'Input data'!$C$64*100</f>
        <v>3.4576000000000002</v>
      </c>
      <c r="Q79" s="49">
        <f>'Input data'!Q33+Q42-(Q$12-P$12)/'Input data'!$C$64*100</f>
        <v>3.4300999999999995</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2.7754485857231677</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4">IF(K57&lt;J57,0,1)</f>
        <v>0</v>
      </c>
      <c r="L83" s="257">
        <f t="shared" si="24"/>
        <v>0</v>
      </c>
      <c r="M83" s="257">
        <f t="shared" si="24"/>
        <v>0</v>
      </c>
      <c r="N83" s="257">
        <f t="shared" si="24"/>
        <v>0</v>
      </c>
      <c r="O83" s="257">
        <f t="shared" si="24"/>
        <v>0</v>
      </c>
      <c r="P83" s="257">
        <f t="shared" si="24"/>
        <v>0</v>
      </c>
      <c r="Q83" s="257">
        <f t="shared" si="24"/>
        <v>0</v>
      </c>
      <c r="R83" s="257">
        <f t="shared" si="24"/>
        <v>0</v>
      </c>
      <c r="S83" s="257">
        <f t="shared" si="24"/>
        <v>0</v>
      </c>
      <c r="T83" s="257">
        <f t="shared" si="24"/>
        <v>0</v>
      </c>
      <c r="U83" s="257">
        <f t="shared" si="24"/>
        <v>0</v>
      </c>
      <c r="V83" s="257">
        <f t="shared" si="24"/>
        <v>0</v>
      </c>
      <c r="W83" s="257">
        <f t="shared" si="24"/>
        <v>0</v>
      </c>
    </row>
    <row r="84" spans="2:23" x14ac:dyDescent="0.2">
      <c r="B84" s="26" t="s">
        <v>261</v>
      </c>
      <c r="F84" s="29">
        <f t="shared" ref="F84:W84" si="25">IF(F57&gt;90,1,0)</f>
        <v>0</v>
      </c>
      <c r="G84" s="29">
        <f t="shared" si="25"/>
        <v>0</v>
      </c>
      <c r="H84" s="29">
        <f t="shared" si="25"/>
        <v>0</v>
      </c>
      <c r="I84" s="29">
        <f t="shared" si="25"/>
        <v>0</v>
      </c>
      <c r="J84" s="29">
        <f t="shared" si="25"/>
        <v>0</v>
      </c>
      <c r="K84" s="29">
        <f t="shared" si="25"/>
        <v>0</v>
      </c>
      <c r="L84" s="29">
        <f t="shared" si="25"/>
        <v>0</v>
      </c>
      <c r="M84" s="29">
        <f t="shared" si="25"/>
        <v>0</v>
      </c>
      <c r="N84" s="29">
        <f t="shared" si="25"/>
        <v>0</v>
      </c>
      <c r="O84" s="29">
        <f t="shared" si="25"/>
        <v>0</v>
      </c>
      <c r="P84" s="29">
        <f t="shared" si="25"/>
        <v>0</v>
      </c>
      <c r="Q84" s="29">
        <f t="shared" si="25"/>
        <v>0</v>
      </c>
      <c r="R84" s="29">
        <f t="shared" si="25"/>
        <v>0</v>
      </c>
      <c r="S84" s="29">
        <f t="shared" si="25"/>
        <v>0</v>
      </c>
      <c r="T84" s="29">
        <f t="shared" si="25"/>
        <v>0</v>
      </c>
      <c r="U84" s="29">
        <f t="shared" si="25"/>
        <v>0</v>
      </c>
      <c r="V84" s="29">
        <f t="shared" si="25"/>
        <v>0</v>
      </c>
      <c r="W84" s="29">
        <f t="shared" si="25"/>
        <v>0</v>
      </c>
    </row>
    <row r="85" spans="2:23" x14ac:dyDescent="0.2">
      <c r="B85" s="26" t="s">
        <v>262</v>
      </c>
      <c r="F85" s="29">
        <f t="shared" ref="F85:W85" si="26">IF(AND(F57&gt;60,F57&lt;=90),1,0)</f>
        <v>1</v>
      </c>
      <c r="G85" s="29">
        <f t="shared" si="26"/>
        <v>1</v>
      </c>
      <c r="H85" s="29">
        <f t="shared" si="26"/>
        <v>1</v>
      </c>
      <c r="I85" s="29">
        <f t="shared" si="26"/>
        <v>1</v>
      </c>
      <c r="J85" s="29">
        <f t="shared" si="26"/>
        <v>1</v>
      </c>
      <c r="K85" s="29">
        <f t="shared" si="26"/>
        <v>1</v>
      </c>
      <c r="L85" s="29">
        <f t="shared" si="26"/>
        <v>1</v>
      </c>
      <c r="M85" s="29">
        <f t="shared" si="26"/>
        <v>1</v>
      </c>
      <c r="N85" s="29">
        <f t="shared" si="26"/>
        <v>1</v>
      </c>
      <c r="O85" s="29">
        <f t="shared" si="26"/>
        <v>1</v>
      </c>
      <c r="P85" s="29">
        <f t="shared" si="26"/>
        <v>1</v>
      </c>
      <c r="Q85" s="29">
        <f t="shared" si="26"/>
        <v>1</v>
      </c>
      <c r="R85" s="29">
        <f t="shared" si="26"/>
        <v>1</v>
      </c>
      <c r="S85" s="29">
        <f t="shared" si="26"/>
        <v>1</v>
      </c>
      <c r="T85" s="29">
        <f t="shared" si="26"/>
        <v>1</v>
      </c>
      <c r="U85" s="29">
        <f t="shared" si="26"/>
        <v>1</v>
      </c>
      <c r="V85" s="29">
        <f t="shared" si="26"/>
        <v>1</v>
      </c>
      <c r="W85" s="29">
        <f t="shared" si="26"/>
        <v>1</v>
      </c>
    </row>
    <row r="86" spans="2:23" x14ac:dyDescent="0.2">
      <c r="B86" s="26" t="s">
        <v>263</v>
      </c>
      <c r="F86" s="29">
        <f t="shared" ref="F86:W86" si="27">IF(F57&gt;60,1,0)</f>
        <v>1</v>
      </c>
      <c r="G86" s="29">
        <f t="shared" si="27"/>
        <v>1</v>
      </c>
      <c r="H86" s="29">
        <f t="shared" si="27"/>
        <v>1</v>
      </c>
      <c r="I86" s="29">
        <f t="shared" si="27"/>
        <v>1</v>
      </c>
      <c r="J86" s="29">
        <f t="shared" si="27"/>
        <v>1</v>
      </c>
      <c r="K86" s="29">
        <f t="shared" si="27"/>
        <v>1</v>
      </c>
      <c r="L86" s="29">
        <f t="shared" si="27"/>
        <v>1</v>
      </c>
      <c r="M86" s="29">
        <f t="shared" si="27"/>
        <v>1</v>
      </c>
      <c r="N86" s="29">
        <f t="shared" si="27"/>
        <v>1</v>
      </c>
      <c r="O86" s="29">
        <f t="shared" si="27"/>
        <v>1</v>
      </c>
      <c r="P86" s="29">
        <f t="shared" si="27"/>
        <v>1</v>
      </c>
      <c r="Q86" s="29">
        <f t="shared" si="27"/>
        <v>1</v>
      </c>
      <c r="R86" s="29">
        <f t="shared" si="27"/>
        <v>1</v>
      </c>
      <c r="S86" s="29">
        <f t="shared" si="27"/>
        <v>1</v>
      </c>
      <c r="T86" s="29">
        <f t="shared" si="27"/>
        <v>1</v>
      </c>
      <c r="U86" s="29">
        <f t="shared" si="27"/>
        <v>1</v>
      </c>
      <c r="V86" s="29">
        <f t="shared" si="27"/>
        <v>1</v>
      </c>
      <c r="W86" s="29">
        <f t="shared" si="27"/>
        <v>1</v>
      </c>
    </row>
    <row r="87" spans="2:23" x14ac:dyDescent="0.2">
      <c r="B87" s="26" t="s">
        <v>264</v>
      </c>
      <c r="F87" s="360">
        <f>'Input data'!F17</f>
        <v>0</v>
      </c>
      <c r="G87" s="29">
        <f>IF(F87=0,0,IF(AND(E77&gt;-3.05,F77&gt;-3.05),0,1))</f>
        <v>0</v>
      </c>
      <c r="H87" s="29">
        <f t="shared" ref="H87:W87" si="28">IF(G87=0,0,IF(AND(F77&gt;-3.05,G77&gt;-3.05),0,1))</f>
        <v>0</v>
      </c>
      <c r="I87" s="29">
        <f t="shared" si="28"/>
        <v>0</v>
      </c>
      <c r="J87" s="29">
        <f t="shared" si="28"/>
        <v>0</v>
      </c>
      <c r="K87" s="29">
        <f t="shared" si="28"/>
        <v>0</v>
      </c>
      <c r="L87" s="29">
        <f t="shared" si="28"/>
        <v>0</v>
      </c>
      <c r="M87" s="29">
        <f t="shared" si="28"/>
        <v>0</v>
      </c>
      <c r="N87" s="29">
        <f t="shared" si="28"/>
        <v>0</v>
      </c>
      <c r="O87" s="29">
        <f t="shared" si="28"/>
        <v>0</v>
      </c>
      <c r="P87" s="29">
        <f t="shared" si="28"/>
        <v>0</v>
      </c>
      <c r="Q87" s="29">
        <f t="shared" si="28"/>
        <v>0</v>
      </c>
      <c r="R87" s="29">
        <f t="shared" si="28"/>
        <v>0</v>
      </c>
      <c r="S87" s="29">
        <f t="shared" si="28"/>
        <v>0</v>
      </c>
      <c r="T87" s="29">
        <f t="shared" si="28"/>
        <v>0</v>
      </c>
      <c r="U87" s="29">
        <f t="shared" si="28"/>
        <v>0</v>
      </c>
      <c r="V87" s="29">
        <f t="shared" si="28"/>
        <v>0</v>
      </c>
      <c r="W87" s="29">
        <f t="shared" si="28"/>
        <v>0</v>
      </c>
    </row>
    <row r="88" spans="2:23" x14ac:dyDescent="0.2">
      <c r="B88" s="26" t="s">
        <v>259</v>
      </c>
      <c r="F88" s="29">
        <f t="shared" ref="F88:W88" si="29">IF(F78&gt;=-1.55,1,0)</f>
        <v>0</v>
      </c>
      <c r="G88" s="29">
        <f t="shared" si="29"/>
        <v>1</v>
      </c>
      <c r="H88" s="29">
        <f t="shared" si="29"/>
        <v>1</v>
      </c>
      <c r="I88" s="29">
        <f t="shared" si="29"/>
        <v>1</v>
      </c>
      <c r="J88" s="29">
        <f t="shared" si="29"/>
        <v>1</v>
      </c>
      <c r="K88" s="29">
        <f t="shared" si="29"/>
        <v>1</v>
      </c>
      <c r="L88" s="29">
        <f t="shared" si="29"/>
        <v>1</v>
      </c>
      <c r="M88" s="29">
        <f t="shared" si="29"/>
        <v>1</v>
      </c>
      <c r="N88" s="29">
        <f t="shared" si="29"/>
        <v>1</v>
      </c>
      <c r="O88" s="29">
        <f t="shared" si="29"/>
        <v>1</v>
      </c>
      <c r="P88" s="29">
        <f t="shared" si="29"/>
        <v>1</v>
      </c>
      <c r="Q88" s="29">
        <f t="shared" si="29"/>
        <v>1</v>
      </c>
      <c r="R88" s="29">
        <f t="shared" si="29"/>
        <v>1</v>
      </c>
      <c r="S88" s="29">
        <f t="shared" si="29"/>
        <v>1</v>
      </c>
      <c r="T88" s="29">
        <f t="shared" si="29"/>
        <v>1</v>
      </c>
      <c r="U88" s="29">
        <f t="shared" si="29"/>
        <v>1</v>
      </c>
      <c r="V88" s="29">
        <f t="shared" si="29"/>
        <v>1</v>
      </c>
      <c r="W88" s="29">
        <f t="shared" si="29"/>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1.2546443552845774</v>
      </c>
      <c r="G90" s="34">
        <f>F57*G36/100*(1/((1+'Input data'!G30/100)*(1+G42/100)))</f>
        <v>1.4837105818037626</v>
      </c>
      <c r="H90" s="34">
        <f>G57*H36/100*(1/((1+'Input data'!H30/100)*(1+H42/100)))</f>
        <v>1.5841536451605351</v>
      </c>
      <c r="I90" s="34">
        <f>H57*I36/100*(1/((1+'Input data'!I30/100)*(1+I42/100)))</f>
        <v>1.6663098908066225</v>
      </c>
      <c r="J90" s="34">
        <f>I57*J36/100*(1/((1+'Input data'!J30/100)*(1+J42/100)))</f>
        <v>1.7224552002227216</v>
      </c>
      <c r="K90" s="34">
        <f>J57*K36/100*(1/((1+'Input data'!K30/100)*(1+K42/100)))</f>
        <v>1.7828134583428528</v>
      </c>
      <c r="L90" s="34">
        <f>K57*L36/100*(1/((1+'Input data'!L30/100)*(1+L42/100)))</f>
        <v>1.8084696101019178</v>
      </c>
      <c r="M90" s="34">
        <f>L57*M36/100*(1/((1+'Input data'!M30/100)*(1+M42/100)))</f>
        <v>1.8291078901154503</v>
      </c>
      <c r="N90" s="34">
        <f>M57*N36/100*(1/((1+'Input data'!N30/100)*(1+N42/100)))</f>
        <v>1.8582594314732865</v>
      </c>
      <c r="O90" s="34">
        <f>N57*O36/100*(1/((1+'Input data'!O30/100)*(1+O42/100)))</f>
        <v>1.8836354566456361</v>
      </c>
      <c r="P90" s="34">
        <f>O57*P36/100*(1/((1+'Input data'!P30/100)*(1+P42/100)))</f>
        <v>1.8996332084672944</v>
      </c>
      <c r="Q90" s="34">
        <f>P57*Q36/100*(1/((1+'Input data'!Q30/100)*(1+Q42/100)))</f>
        <v>1.9077137601418286</v>
      </c>
      <c r="R90" s="34">
        <f>Q57*R36/100*(1/((1+'Input data'!R30/100)*(1+R42/100)))</f>
        <v>1.9141963125766894</v>
      </c>
      <c r="S90" s="34">
        <f>R57*S36/100*(1/((1+'Input data'!S30/100)*(1+S42/100)))</f>
        <v>1.9151629705688777</v>
      </c>
      <c r="T90" s="34">
        <f>S57*T36/100*(1/((1+'Input data'!T30/100)*(1+T42/100)))</f>
        <v>1.9099368647061103</v>
      </c>
      <c r="U90" s="34">
        <f>T57*U36/100*(1/((1+'Input data'!U30/100)*(1+U42/100)))</f>
        <v>1.897914960838518</v>
      </c>
      <c r="V90" s="34">
        <f>U57*V36/100*(1/((1+'Input data'!V30/100)*(1+V42/100)))</f>
        <v>1.8785152141202415</v>
      </c>
      <c r="W90" s="34">
        <f>V57*W36/100*(1/((1+'Input data'!W30/100)*(1+W42/100)))</f>
        <v>1.8516322983802858</v>
      </c>
    </row>
    <row r="91" spans="2:23" x14ac:dyDescent="0.2">
      <c r="B91" s="32" t="s">
        <v>260</v>
      </c>
      <c r="F91" s="34"/>
      <c r="G91" s="34">
        <f>G90-F90</f>
        <v>0.22906622651918518</v>
      </c>
      <c r="H91" s="34">
        <f t="shared" ref="H91:W91" si="30">H90-G90</f>
        <v>0.10044306335677256</v>
      </c>
      <c r="I91" s="34">
        <f t="shared" si="30"/>
        <v>8.2156245646087367E-2</v>
      </c>
      <c r="J91" s="34">
        <f t="shared" si="30"/>
        <v>5.6145309416099076E-2</v>
      </c>
      <c r="K91" s="34">
        <f t="shared" si="30"/>
        <v>6.0358258120131181E-2</v>
      </c>
      <c r="L91" s="34">
        <f t="shared" si="30"/>
        <v>2.5656151759064993E-2</v>
      </c>
      <c r="M91" s="34">
        <f t="shared" si="30"/>
        <v>2.0638280013532517E-2</v>
      </c>
      <c r="N91" s="34">
        <f t="shared" si="30"/>
        <v>2.9151541357836264E-2</v>
      </c>
      <c r="O91" s="34">
        <f t="shared" si="30"/>
        <v>2.5376025172349603E-2</v>
      </c>
      <c r="P91" s="34">
        <f t="shared" si="30"/>
        <v>1.5997751821658301E-2</v>
      </c>
      <c r="Q91" s="34">
        <f t="shared" si="30"/>
        <v>8.0805516745341421E-3</v>
      </c>
      <c r="R91" s="34">
        <f t="shared" si="30"/>
        <v>6.4825524348608443E-3</v>
      </c>
      <c r="S91" s="34">
        <f t="shared" si="30"/>
        <v>9.6665799218831339E-4</v>
      </c>
      <c r="T91" s="34">
        <f t="shared" si="30"/>
        <v>-5.226105862767394E-3</v>
      </c>
      <c r="U91" s="34">
        <f t="shared" si="30"/>
        <v>-1.2021903867592387E-2</v>
      </c>
      <c r="V91" s="34">
        <f t="shared" si="30"/>
        <v>-1.9399746718276489E-2</v>
      </c>
      <c r="W91" s="34">
        <f t="shared" si="30"/>
        <v>-2.6882915739955715E-2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1">IF((D100-C100*D43/((1+D24/100)*(1+D42/100)))&gt;0,1,0)</f>
        <v>1</v>
      </c>
      <c r="E95" s="29">
        <f t="shared" si="31"/>
        <v>1</v>
      </c>
      <c r="F95" s="29">
        <f t="shared" si="31"/>
        <v>1</v>
      </c>
      <c r="G95" s="29">
        <f t="shared" si="31"/>
        <v>1</v>
      </c>
      <c r="H95" s="29">
        <f t="shared" si="31"/>
        <v>1</v>
      </c>
      <c r="I95" s="29">
        <f t="shared" si="31"/>
        <v>1</v>
      </c>
      <c r="J95" s="29">
        <f t="shared" si="31"/>
        <v>1</v>
      </c>
      <c r="K95" s="29">
        <f t="shared" si="31"/>
        <v>1</v>
      </c>
      <c r="L95" s="29">
        <f t="shared" si="31"/>
        <v>1</v>
      </c>
      <c r="M95" s="29">
        <f t="shared" si="31"/>
        <v>1</v>
      </c>
      <c r="N95" s="29">
        <f t="shared" si="31"/>
        <v>1</v>
      </c>
      <c r="O95" s="29">
        <f t="shared" si="31"/>
        <v>1</v>
      </c>
      <c r="P95" s="29">
        <f t="shared" si="31"/>
        <v>1</v>
      </c>
      <c r="Q95" s="29">
        <f t="shared" si="31"/>
        <v>1</v>
      </c>
      <c r="R95" s="29">
        <f t="shared" si="31"/>
        <v>1</v>
      </c>
      <c r="S95" s="29">
        <f t="shared" si="31"/>
        <v>1</v>
      </c>
      <c r="T95" s="29">
        <f t="shared" si="31"/>
        <v>1</v>
      </c>
      <c r="U95" s="29">
        <f t="shared" si="31"/>
        <v>1</v>
      </c>
      <c r="V95" s="29">
        <f t="shared" si="31"/>
        <v>1</v>
      </c>
      <c r="W95" s="29">
        <f t="shared" si="31"/>
        <v>1</v>
      </c>
    </row>
    <row r="96" spans="2:23" x14ac:dyDescent="0.2">
      <c r="B96" s="26" t="s">
        <v>126</v>
      </c>
      <c r="D96" s="29">
        <f t="shared" ref="D96:W96" si="32">IF(AND(D95=0,ABS(D100-C100*D43/((1+D24/100)*(1+D42/100)))&lt;((C106*C100*D43/((1+D24/100)*(1+D42/100))+(D39*C100*C107*D43/((1+D24/100)*(1+D42/100)))))),1,0)</f>
        <v>0</v>
      </c>
      <c r="E96" s="29">
        <f t="shared" si="32"/>
        <v>0</v>
      </c>
      <c r="F96" s="29">
        <f t="shared" si="32"/>
        <v>0</v>
      </c>
      <c r="G96" s="29">
        <f t="shared" si="32"/>
        <v>0</v>
      </c>
      <c r="H96" s="29">
        <f t="shared" si="32"/>
        <v>0</v>
      </c>
      <c r="I96" s="29">
        <f t="shared" si="32"/>
        <v>0</v>
      </c>
      <c r="J96" s="29">
        <f t="shared" si="32"/>
        <v>0</v>
      </c>
      <c r="K96" s="29">
        <f t="shared" si="32"/>
        <v>0</v>
      </c>
      <c r="L96" s="29">
        <f t="shared" si="32"/>
        <v>0</v>
      </c>
      <c r="M96" s="29">
        <f t="shared" si="32"/>
        <v>0</v>
      </c>
      <c r="N96" s="29">
        <f t="shared" si="32"/>
        <v>0</v>
      </c>
      <c r="O96" s="29">
        <f t="shared" si="32"/>
        <v>0</v>
      </c>
      <c r="P96" s="29">
        <f t="shared" si="32"/>
        <v>0</v>
      </c>
      <c r="Q96" s="29">
        <f t="shared" si="32"/>
        <v>0</v>
      </c>
      <c r="R96" s="29">
        <f t="shared" si="32"/>
        <v>0</v>
      </c>
      <c r="S96" s="29">
        <f t="shared" si="32"/>
        <v>0</v>
      </c>
      <c r="T96" s="29">
        <f t="shared" si="32"/>
        <v>0</v>
      </c>
      <c r="U96" s="29">
        <f t="shared" si="32"/>
        <v>0</v>
      </c>
      <c r="V96" s="29">
        <f t="shared" si="32"/>
        <v>0</v>
      </c>
      <c r="W96" s="29">
        <f t="shared" si="32"/>
        <v>0</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76.572506382321123</v>
      </c>
      <c r="F100" s="110">
        <f>F57</f>
        <v>81.669832373893243</v>
      </c>
      <c r="G100" s="110">
        <f>G57</f>
        <v>83.198459540870374</v>
      </c>
      <c r="H100" s="110">
        <f t="shared" ref="H100:W100" si="33">G100*(1+H113/100)*H43-H60-H61+H62+H63+H64+H65+H66+H72</f>
        <v>84.065883803217559</v>
      </c>
      <c r="I100" s="110">
        <f t="shared" si="33"/>
        <v>84.102936627391088</v>
      </c>
      <c r="J100" s="110">
        <f t="shared" si="33"/>
        <v>83.876560988244449</v>
      </c>
      <c r="K100" s="110">
        <f t="shared" si="33"/>
        <v>83.080762207207016</v>
      </c>
      <c r="L100" s="110">
        <f t="shared" si="33"/>
        <v>82.198229644824309</v>
      </c>
      <c r="M100" s="110">
        <f t="shared" si="33"/>
        <v>81.661063072715351</v>
      </c>
      <c r="N100" s="110">
        <f t="shared" si="33"/>
        <v>81.04152221162704</v>
      </c>
      <c r="O100" s="110">
        <f t="shared" si="33"/>
        <v>80.164145761212794</v>
      </c>
      <c r="P100" s="110">
        <f t="shared" si="33"/>
        <v>79.089736723929306</v>
      </c>
      <c r="Q100" s="110">
        <f t="shared" si="33"/>
        <v>78.049834460944382</v>
      </c>
      <c r="R100" s="110">
        <f t="shared" si="33"/>
        <v>76.884678005829244</v>
      </c>
      <c r="S100" s="110">
        <f t="shared" si="33"/>
        <v>75.573413756807255</v>
      </c>
      <c r="T100" s="110">
        <f t="shared" si="33"/>
        <v>74.098269108189285</v>
      </c>
      <c r="U100" s="110">
        <f t="shared" si="33"/>
        <v>72.442866204043895</v>
      </c>
      <c r="V100" s="110">
        <f t="shared" si="33"/>
        <v>70.605885421250107</v>
      </c>
      <c r="W100" s="110">
        <f t="shared" si="33"/>
        <v>68.601488381949835</v>
      </c>
    </row>
    <row r="101" spans="2:23" x14ac:dyDescent="0.2">
      <c r="B101" s="26" t="s">
        <v>127</v>
      </c>
      <c r="C101" s="34"/>
      <c r="D101" s="253">
        <f>'Input data'!C66*$D$100</f>
        <v>59.051128502792025</v>
      </c>
      <c r="E101" s="34">
        <f t="shared" ref="E101:W101" si="34">IF(E100=0,0,IF(E95=1,D100*E43/((1+E24/100)*(1+E42/100))-E102-E103,IF(AND(E95=0,E96=1),(1-D106-E39*D107)*D100*E43/((1+E24/100)*(1+E42/100)),E100)))</f>
        <v>61.999403317237508</v>
      </c>
      <c r="F101" s="34">
        <f t="shared" si="34"/>
        <v>65.885197792321179</v>
      </c>
      <c r="G101" s="34">
        <f t="shared" si="34"/>
        <v>68.765543640433577</v>
      </c>
      <c r="H101" s="34">
        <f t="shared" si="34"/>
        <v>69.724155899553381</v>
      </c>
      <c r="I101" s="34">
        <f t="shared" si="34"/>
        <v>70.326296513732103</v>
      </c>
      <c r="J101" s="34">
        <f t="shared" si="34"/>
        <v>70.438872731475527</v>
      </c>
      <c r="K101" s="34">
        <f t="shared" si="34"/>
        <v>70.207526204212968</v>
      </c>
      <c r="L101" s="34">
        <f t="shared" si="34"/>
        <v>69.524665193026706</v>
      </c>
      <c r="M101" s="34">
        <f t="shared" si="34"/>
        <v>68.743442392760258</v>
      </c>
      <c r="N101" s="34">
        <f t="shared" si="34"/>
        <v>68.181430333276893</v>
      </c>
      <c r="O101" s="34">
        <f t="shared" si="34"/>
        <v>67.568099137503509</v>
      </c>
      <c r="P101" s="34">
        <f t="shared" si="34"/>
        <v>66.841978536737088</v>
      </c>
      <c r="Q101" s="34">
        <f t="shared" si="34"/>
        <v>66.069885826910934</v>
      </c>
      <c r="R101" s="34">
        <f t="shared" si="34"/>
        <v>65.20896713170707</v>
      </c>
      <c r="S101" s="34">
        <f t="shared" si="34"/>
        <v>64.244313156989449</v>
      </c>
      <c r="T101" s="34">
        <f t="shared" si="34"/>
        <v>63.158493502107277</v>
      </c>
      <c r="U101" s="34">
        <f t="shared" si="34"/>
        <v>61.936638603440684</v>
      </c>
      <c r="V101" s="34">
        <f t="shared" si="34"/>
        <v>60.565000721193158</v>
      </c>
      <c r="W101" s="34">
        <f t="shared" si="34"/>
        <v>59.042347025882854</v>
      </c>
    </row>
    <row r="102" spans="2:23" x14ac:dyDescent="0.2">
      <c r="B102" s="105" t="s">
        <v>128</v>
      </c>
      <c r="C102" s="34"/>
      <c r="D102" s="253">
        <f>'Input data'!C67*$D$100</f>
        <v>2.5660693694891989</v>
      </c>
      <c r="E102" s="34">
        <f t="shared" ref="E102:W102" si="35">IF(E100=0,0,IF(E95=1,E39*D100*D107*E43/((1+E24/100)*(1+E42/100)),IF(AND(E95=0,E96=1),(E39*D100*D107*E43/((1+E24/100)*(1+E42/100)))*(1-ABS(E100-D100*E43/((1+E24/100)*(1+E42/100)))/((E39*D100*D107*E43/((1+E24/100)*(1+E42/100)))+(D106*D100*E43/((1+E24/100)*(1+E42/100))))),0)))</f>
        <v>2.5449751617705147</v>
      </c>
      <c r="F102" s="34">
        <f t="shared" si="35"/>
        <v>2.1622470266405025</v>
      </c>
      <c r="G102" s="34">
        <f t="shared" si="35"/>
        <v>2.3063135915770383</v>
      </c>
      <c r="H102" s="34">
        <f t="shared" si="35"/>
        <v>2.3887632008325324</v>
      </c>
      <c r="I102" s="34">
        <f t="shared" si="35"/>
        <v>2.4601968188310801</v>
      </c>
      <c r="J102" s="34">
        <f t="shared" si="35"/>
        <v>2.5150916508384538</v>
      </c>
      <c r="K102" s="34">
        <f t="shared" si="35"/>
        <v>2.5576915002440046</v>
      </c>
      <c r="L102" s="34">
        <f t="shared" si="35"/>
        <v>2.5832507039885115</v>
      </c>
      <c r="M102" s="34">
        <f t="shared" si="35"/>
        <v>2.6041629400875461</v>
      </c>
      <c r="N102" s="34">
        <f t="shared" si="35"/>
        <v>2.6324730239972856</v>
      </c>
      <c r="O102" s="34">
        <f t="shared" si="35"/>
        <v>2.6580156050766663</v>
      </c>
      <c r="P102" s="34">
        <f t="shared" si="35"/>
        <v>2.6294512394567739</v>
      </c>
      <c r="Q102" s="34">
        <f t="shared" si="35"/>
        <v>2.5990784082319753</v>
      </c>
      <c r="R102" s="34">
        <f t="shared" si="35"/>
        <v>2.565211311839382</v>
      </c>
      <c r="S102" s="34">
        <f t="shared" si="35"/>
        <v>2.5272634436733599</v>
      </c>
      <c r="T102" s="34">
        <f t="shared" si="35"/>
        <v>2.484549121029735</v>
      </c>
      <c r="U102" s="34">
        <f t="shared" si="35"/>
        <v>2.4364834002346907</v>
      </c>
      <c r="V102" s="34">
        <f t="shared" si="35"/>
        <v>2.3825254682806065</v>
      </c>
      <c r="W102" s="34">
        <f t="shared" si="35"/>
        <v>2.3226268277250064</v>
      </c>
    </row>
    <row r="103" spans="2:23" x14ac:dyDescent="0.2">
      <c r="B103" s="105" t="s">
        <v>129</v>
      </c>
      <c r="C103" s="34"/>
      <c r="D103" s="253">
        <f>'Input data'!C68*$D$100</f>
        <v>6.679115961728173</v>
      </c>
      <c r="E103" s="34">
        <f t="shared" ref="E103:W103" si="36">IF(E100=0,0,IF(E95=1,(1-D107)*D100*E43/((1+E24/100)*(1+E42/100)),IF(AND(E95=0,E96=1),(D106*D100*E43/((1+E24/100)*(1+E42/100)))*(1-ABS(E100-D100*E43/((1+E24/100)*(1+E42/100)))/((E39*D100*D107*E43/((1+E24/100)*(1+E42/100)))+(D106*D100*E43/((1+E24/100)*(1+E42/100))))),0)))</f>
        <v>6.9964135836832329</v>
      </c>
      <c r="F103" s="34">
        <f t="shared" si="36"/>
        <v>7.4338450593811274</v>
      </c>
      <c r="G103" s="34">
        <f t="shared" si="36"/>
        <v>7.8292885066108617</v>
      </c>
      <c r="H103" s="34">
        <f t="shared" si="36"/>
        <v>7.9856035747812832</v>
      </c>
      <c r="I103" s="34">
        <f t="shared" si="36"/>
        <v>8.0966394678895099</v>
      </c>
      <c r="J103" s="34">
        <f t="shared" si="36"/>
        <v>8.1435262809358324</v>
      </c>
      <c r="K103" s="34">
        <f t="shared" si="36"/>
        <v>8.1459307052146794</v>
      </c>
      <c r="L103" s="34">
        <f t="shared" si="36"/>
        <v>8.0900826190140602</v>
      </c>
      <c r="M103" s="34">
        <f t="shared" si="36"/>
        <v>8.0207122466842264</v>
      </c>
      <c r="N103" s="34">
        <f t="shared" si="36"/>
        <v>7.9785229988879713</v>
      </c>
      <c r="O103" s="34">
        <f t="shared" si="36"/>
        <v>7.9292714639107178</v>
      </c>
      <c r="P103" s="34">
        <f t="shared" si="36"/>
        <v>7.8588061462741523</v>
      </c>
      <c r="Q103" s="34">
        <f t="shared" si="36"/>
        <v>7.7806501676714932</v>
      </c>
      <c r="R103" s="34">
        <f t="shared" si="36"/>
        <v>7.6904931514924186</v>
      </c>
      <c r="S103" s="34">
        <f t="shared" si="36"/>
        <v>7.5864890573134778</v>
      </c>
      <c r="T103" s="34">
        <f t="shared" si="36"/>
        <v>7.4664719216844899</v>
      </c>
      <c r="U103" s="34">
        <f t="shared" si="36"/>
        <v>7.3285972406458919</v>
      </c>
      <c r="V103" s="34">
        <f t="shared" si="36"/>
        <v>7.1711606015893343</v>
      </c>
      <c r="W103" s="34">
        <f t="shared" si="36"/>
        <v>6.994035666889582</v>
      </c>
    </row>
    <row r="104" spans="2:23" x14ac:dyDescent="0.2">
      <c r="B104" s="105" t="s">
        <v>130</v>
      </c>
      <c r="C104" s="34"/>
      <c r="D104" s="253">
        <f>'Input data'!C69*$D$100</f>
        <v>4.7052606775120811</v>
      </c>
      <c r="E104" s="34">
        <f>IF(E100=0,0,IF(E95=1,'Input data'!$C$58*(E100-D100*E43/((1+E24/100)*(1+E42/100))),0))</f>
        <v>4.4868133712998963</v>
      </c>
      <c r="F104" s="34">
        <f>IF(F100=0,0,IF(F95=1,'Input data'!$C$58*(F100-E100*F43/((1+F24/100)*(1+F42/100))),0))</f>
        <v>5.5183648065170443</v>
      </c>
      <c r="G104" s="34">
        <f>IF(G100=0,0,IF(G95=1,'Input data'!$C$58*(G100-F100*G43/((1+G24/100)*(1+G42/100))),0))</f>
        <v>3.8319435094678136</v>
      </c>
      <c r="H104" s="34">
        <f>IF(H100=0,0,IF(H95=1,'Input data'!$C$58*(H100-G100*H43/((1+H24/100)*(1+H42/100))),0))</f>
        <v>3.5377224992020735</v>
      </c>
      <c r="I104" s="34">
        <f>IF(I100=0,0,IF(I95=1,'Input data'!$C$58*(I100-H100*I43/((1+I24/100)*(1+I42/100))),0))</f>
        <v>2.8711206451666014</v>
      </c>
      <c r="J104" s="34">
        <f>IF(J100=0,0,IF(J95=1,'Input data'!$C$58*(J100-I100*J43/((1+J24/100)*(1+J42/100))),0))</f>
        <v>2.4781156285688932</v>
      </c>
      <c r="K104" s="34">
        <f>IF(K100=0,0,IF(K95=1,'Input data'!$C$58*(K100-J100*K43/((1+K24/100)*(1+K42/100))),0))</f>
        <v>1.9346591596747258</v>
      </c>
      <c r="L104" s="34">
        <f>IF(L100=0,0,IF(L95=1,'Input data'!$C$58*(L100-K100*L43/((1+L24/100)*(1+L42/100))),0))</f>
        <v>1.7836194990950966</v>
      </c>
      <c r="M104" s="34">
        <f>IF(M100=0,0,IF(M95=1,'Input data'!$C$58*(M100-L100*M43/((1+M24/100)*(1+M42/100))),0))</f>
        <v>2.0444565176663692</v>
      </c>
      <c r="N104" s="34">
        <f>IF(N100=0,0,IF(N95=1,'Input data'!$C$58*(N100-M100*N43/((1+N24/100)*(1+N42/100))),0))</f>
        <v>2.0055338432602712</v>
      </c>
      <c r="O104" s="34">
        <f>IF(O100=0,0,IF(O95=1,'Input data'!$C$58*(O100-N100*O43/((1+O24/100)*(1+O42/100))),0))</f>
        <v>1.7912243536345269</v>
      </c>
      <c r="P104" s="34">
        <f>IF(P100=0,0,IF(P95=1,'Input data'!$C$58*(P100-O100*P43/((1+P24/100)*(1+P42/100))),0))</f>
        <v>1.568958653318411</v>
      </c>
      <c r="Q104" s="34">
        <f>IF(Q100=0,0,IF(Q95=1,'Input data'!$C$58*(Q100-P100*Q43/((1+Q24/100)*(1+Q42/100))),0))</f>
        <v>1.4269269473088904</v>
      </c>
      <c r="R104" s="34">
        <f>IF(R100=0,0,IF(R95=1,'Input data'!$C$58*(R100-Q100*R43/((1+R24/100)*(1+R42/100))),0))</f>
        <v>1.2662292305447327</v>
      </c>
      <c r="S104" s="34">
        <f>IF(S100=0,0,IF(S95=1,'Input data'!$C$58*(S100-R100*S43/((1+S24/100)*(1+S42/100))),0))</f>
        <v>1.0837340425598403</v>
      </c>
      <c r="T104" s="34">
        <f>IF(T100=0,0,IF(T95=1,'Input data'!$C$58*(T100-S100*T43/((1+T24/100)*(1+T42/100))),0))</f>
        <v>0.8816790688106344</v>
      </c>
      <c r="U104" s="34">
        <f>IF(U100=0,0,IF(U95=1,'Input data'!$C$58*(U100-T100*U43/((1+U24/100)*(1+U42/100))),0))</f>
        <v>0.66088570966929683</v>
      </c>
      <c r="V104" s="34">
        <f>IF(V100=0,0,IF(V95=1,'Input data'!$C$58*(V100-U100*V43/((1+V24/100)*(1+V42/100))),0))</f>
        <v>0.4344382827685786</v>
      </c>
      <c r="W104" s="34">
        <f>IF(W100=0,0,IF(W95=1,'Input data'!$C$58*(W100-V100*W43/((1+W24/100)*(1+W42/100))),0))</f>
        <v>0.21622002536547466</v>
      </c>
    </row>
    <row r="105" spans="2:23" x14ac:dyDescent="0.2">
      <c r="B105" s="107" t="s">
        <v>131</v>
      </c>
      <c r="C105" s="49"/>
      <c r="D105" s="254">
        <f>'Input data'!C70*$D$100</f>
        <v>0.51003587344023849</v>
      </c>
      <c r="E105" s="49">
        <f>IF(E100=0,0,IF(E95=1,'Input data'!$C$57*(E100-D100*E43/((1+E24/100)*(1+E42/100))),0))</f>
        <v>0.54490094832997338</v>
      </c>
      <c r="F105" s="49">
        <f>IF(F100=0,0,IF(F95=1,'Input data'!$C$57*(F100-E100*F43/((1+F24/100)*(1+F42/100))),0))</f>
        <v>0.67017768903339203</v>
      </c>
      <c r="G105" s="49">
        <f>IF(G100=0,0,IF(G95=1,'Input data'!$C$57*(G100-F100*G43/((1+G24/100)*(1+G42/100))),0))</f>
        <v>0.46537029278108011</v>
      </c>
      <c r="H105" s="49">
        <f>IF(H100=0,0,IF(H95=1,'Input data'!$C$57*(H100-G100*H43/((1+H24/100)*(1+H42/100))),0))</f>
        <v>0.42963862884829718</v>
      </c>
      <c r="I105" s="49">
        <f>IF(I100=0,0,IF(I95=1,'Input data'!$C$57*(I100-H100*I43/((1+I24/100)*(1+I42/100))),0))</f>
        <v>0.34868318177178698</v>
      </c>
      <c r="J105" s="49">
        <f>IF(J100=0,0,IF(J95=1,'Input data'!$C$57*(J100-I100*J43/((1+J24/100)*(1+J42/100))),0))</f>
        <v>0.30095469642574146</v>
      </c>
      <c r="K105" s="49">
        <f>IF(K100=0,0,IF(K95=1,'Input data'!$C$57*(K100-J100*K43/((1+K24/100)*(1+K42/100))),0))</f>
        <v>0.23495463786063622</v>
      </c>
      <c r="L105" s="49">
        <f>IF(L100=0,0,IF(L95=1,'Input data'!$C$57*(L100-K100*L43/((1+L24/100)*(1+L42/100))),0))</f>
        <v>0.2166116296999395</v>
      </c>
      <c r="M105" s="49">
        <f>IF(M100=0,0,IF(M95=1,'Input data'!$C$57*(M100-L100*M43/((1+M24/100)*(1+M42/100))),0))</f>
        <v>0.24828897551694903</v>
      </c>
      <c r="N105" s="49">
        <f>IF(N100=0,0,IF(N95=1,'Input data'!$C$57*(N100-M100*N43/((1+N24/100)*(1+N42/100))),0))</f>
        <v>0.24356201220461562</v>
      </c>
      <c r="O105" s="49">
        <f>IF(O100=0,0,IF(O95=1,'Input data'!$C$57*(O100-N100*O43/((1+O24/100)*(1+O42/100))),0))</f>
        <v>0.21753520108736416</v>
      </c>
      <c r="P105" s="49">
        <f>IF(P100=0,0,IF(P95=1,'Input data'!$C$57*(P100-O100*P43/((1+P24/100)*(1+P42/100))),0))</f>
        <v>0.190542148142889</v>
      </c>
      <c r="Q105" s="49">
        <f>IF(Q100=0,0,IF(Q95=1,'Input data'!$C$57*(Q100-P100*Q43/((1+Q24/100)*(1+Q42/100))),0))</f>
        <v>0.17329311082108709</v>
      </c>
      <c r="R105" s="49">
        <f>IF(R100=0,0,IF(R95=1,'Input data'!$C$57*(R100-Q100*R43/((1+R24/100)*(1+R42/100))),0))</f>
        <v>0.15377718024564568</v>
      </c>
      <c r="S105" s="49">
        <f>IF(S100=0,0,IF(S95=1,'Input data'!$C$57*(S100-R100*S43/((1+S24/100)*(1+S42/100))),0))</f>
        <v>0.13161405627113212</v>
      </c>
      <c r="T105" s="49">
        <f>IF(T100=0,0,IF(T95=1,'Input data'!$C$57*(T100-S100*T43/((1+T24/100)*(1+T42/100))),0))</f>
        <v>0.10707549455715727</v>
      </c>
      <c r="U105" s="49">
        <f>IF(U100=0,0,IF(U95=1,'Input data'!$C$57*(U100-T100*U43/((1+U24/100)*(1+U42/100))),0))</f>
        <v>8.0261250053330388E-2</v>
      </c>
      <c r="V105" s="49">
        <f>IF(V100=0,0,IF(V95=1,'Input data'!$C$57*(V100-U100*V43/((1+V24/100)*(1+V42/100))),0))</f>
        <v>5.2760347418430872E-2</v>
      </c>
      <c r="W105" s="49">
        <f>IF(W100=0,0,IF(W95=1,'Input data'!$C$57*(W100-V100*W43/((1+W24/100)*(1+W42/100))),0))</f>
        <v>2.6258836086922928E-2</v>
      </c>
    </row>
    <row r="106" spans="2:23" x14ac:dyDescent="0.2">
      <c r="B106" s="26" t="s">
        <v>73</v>
      </c>
      <c r="C106" s="36"/>
      <c r="D106" s="259">
        <f>'Baseline NFPC'!$D$93</f>
        <v>9.7796141283269952E-2</v>
      </c>
      <c r="E106" s="36">
        <f t="shared" ref="E106:W106" si="37">IF(E100&lt;&gt;0,(E103+E105)/(E101+E102+E103+E104+E105),0)</f>
        <v>9.8485930372449279E-2</v>
      </c>
      <c r="F106" s="36">
        <f t="shared" si="37"/>
        <v>9.9229085120604091E-2</v>
      </c>
      <c r="G106" s="36">
        <f t="shared" si="37"/>
        <v>9.9697264170104938E-2</v>
      </c>
      <c r="H106" s="36">
        <f t="shared" si="37"/>
        <v>0.10010294096625548</v>
      </c>
      <c r="I106" s="36">
        <f t="shared" si="37"/>
        <v>0.10041650135330446</v>
      </c>
      <c r="J106" s="36">
        <f t="shared" si="37"/>
        <v>0.10067748221753027</v>
      </c>
      <c r="K106" s="36">
        <f t="shared" si="37"/>
        <v>0.10087636560402545</v>
      </c>
      <c r="L106" s="36">
        <f t="shared" si="37"/>
        <v>0.10105685103690111</v>
      </c>
      <c r="M106" s="36">
        <f t="shared" si="37"/>
        <v>0.10126002419094174</v>
      </c>
      <c r="N106" s="36">
        <f t="shared" si="37"/>
        <v>0.10145521439765062</v>
      </c>
      <c r="O106" s="36">
        <f t="shared" si="37"/>
        <v>0.10162656369176819</v>
      </c>
      <c r="P106" s="36">
        <f t="shared" si="37"/>
        <v>0.10177487785190262</v>
      </c>
      <c r="Q106" s="36">
        <f t="shared" si="37"/>
        <v>0.10190852207986015</v>
      </c>
      <c r="R106" s="36">
        <f t="shared" si="37"/>
        <v>0.10202644447757624</v>
      </c>
      <c r="S106" s="36">
        <f t="shared" si="37"/>
        <v>0.102127226095955</v>
      </c>
      <c r="T106" s="36">
        <f t="shared" si="37"/>
        <v>0.10220950512600603</v>
      </c>
      <c r="U106" s="36">
        <f>IF(U100&lt;&gt;0,(U103+U105)/(U101+U102+U103+U104+U105),0)</f>
        <v>0.10227174708730183</v>
      </c>
      <c r="V106" s="36">
        <f t="shared" si="37"/>
        <v>0.10231329733928379</v>
      </c>
      <c r="W106" s="34">
        <f t="shared" si="37"/>
        <v>0.10233443426022892</v>
      </c>
    </row>
    <row r="107" spans="2:23" x14ac:dyDescent="0.2">
      <c r="B107" s="35" t="s">
        <v>74</v>
      </c>
      <c r="C107" s="108"/>
      <c r="D107" s="260">
        <f>'Baseline NFPC'!$D$94</f>
        <v>0.90220385626214106</v>
      </c>
      <c r="E107" s="108">
        <f t="shared" ref="E107:W107" si="38">IF(E100&lt;&gt;0,(E101+E102+E104)/(E101+E102+E103+E104+E105),1)</f>
        <v>0.90151406962755076</v>
      </c>
      <c r="F107" s="108">
        <f t="shared" si="38"/>
        <v>0.90077091487939587</v>
      </c>
      <c r="G107" s="108">
        <f t="shared" si="38"/>
        <v>0.90030273582989506</v>
      </c>
      <c r="H107" s="108">
        <f t="shared" si="38"/>
        <v>0.89989705903374462</v>
      </c>
      <c r="I107" s="108">
        <f t="shared" si="38"/>
        <v>0.8995834986466954</v>
      </c>
      <c r="J107" s="108">
        <f t="shared" si="38"/>
        <v>0.89932251778246963</v>
      </c>
      <c r="K107" s="108">
        <f t="shared" si="38"/>
        <v>0.89912363439597454</v>
      </c>
      <c r="L107" s="108">
        <f t="shared" si="38"/>
        <v>0.8989431489630989</v>
      </c>
      <c r="M107" s="108">
        <f t="shared" si="38"/>
        <v>0.89873997580905829</v>
      </c>
      <c r="N107" s="108">
        <f t="shared" si="38"/>
        <v>0.89854478560234941</v>
      </c>
      <c r="O107" s="108">
        <f t="shared" si="38"/>
        <v>0.89837343630823185</v>
      </c>
      <c r="P107" s="108">
        <f t="shared" si="38"/>
        <v>0.89822512214809735</v>
      </c>
      <c r="Q107" s="108">
        <f t="shared" si="38"/>
        <v>0.89809147792013977</v>
      </c>
      <c r="R107" s="108">
        <f t="shared" si="38"/>
        <v>0.89797355552242386</v>
      </c>
      <c r="S107" s="108">
        <f t="shared" si="38"/>
        <v>0.89787277390404507</v>
      </c>
      <c r="T107" s="108">
        <f t="shared" si="38"/>
        <v>0.89779049487399409</v>
      </c>
      <c r="U107" s="108">
        <f t="shared" si="38"/>
        <v>0.8977282529126982</v>
      </c>
      <c r="V107" s="108">
        <f t="shared" si="38"/>
        <v>0.89768670266071626</v>
      </c>
      <c r="W107" s="49">
        <f t="shared" si="38"/>
        <v>0.89766556573977097</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1.981421280327154</v>
      </c>
      <c r="I109" s="115">
        <f t="shared" ref="I109:V109" si="39">I111</f>
        <v>2.0637208681660164</v>
      </c>
      <c r="J109" s="115">
        <f t="shared" si="39"/>
        <v>2.1333975372327667</v>
      </c>
      <c r="K109" s="115">
        <f t="shared" si="39"/>
        <v>2.1956572008146145</v>
      </c>
      <c r="L109" s="115">
        <f t="shared" si="39"/>
        <v>2.2497267552637119</v>
      </c>
      <c r="M109" s="115">
        <f t="shared" si="39"/>
        <v>2.3009945530196267</v>
      </c>
      <c r="N109" s="115">
        <f t="shared" si="39"/>
        <v>2.3542341235458961</v>
      </c>
      <c r="O109" s="115">
        <f t="shared" si="39"/>
        <v>2.4058419259452206</v>
      </c>
      <c r="P109" s="115">
        <f t="shared" si="39"/>
        <v>2.4521720828802711</v>
      </c>
      <c r="Q109" s="115">
        <f t="shared" si="39"/>
        <v>2.495387027186363</v>
      </c>
      <c r="R109" s="115">
        <f t="shared" si="39"/>
        <v>2.5365462700861086</v>
      </c>
      <c r="S109" s="115">
        <f t="shared" si="39"/>
        <v>2.5755954698687642</v>
      </c>
      <c r="T109" s="115">
        <f t="shared" si="39"/>
        <v>2.6124326998986969</v>
      </c>
      <c r="U109" s="115">
        <f t="shared" si="39"/>
        <v>2.6469587910039296</v>
      </c>
      <c r="V109" s="115">
        <f t="shared" si="39"/>
        <v>2.6790507639108641</v>
      </c>
      <c r="W109" s="115">
        <f>W111</f>
        <v>2.7086880154766941</v>
      </c>
    </row>
    <row r="110" spans="2:23" x14ac:dyDescent="0.2">
      <c r="B110" s="33" t="s">
        <v>133</v>
      </c>
      <c r="C110" s="34"/>
      <c r="D110" s="34"/>
      <c r="E110" s="265">
        <f>((E36*D100)-(E38*(D103+D105)))/(D101+D102+D104)</f>
        <v>1.3799500275570342</v>
      </c>
      <c r="F110" s="265">
        <f>((F36*E100)-(F38*(E103+E105)))/(E101+E102+E104)</f>
        <v>1.4547589474903004</v>
      </c>
      <c r="G110" s="265">
        <f>((G36*F100)-(G38*(F103+F105)))/(F101+F102+F104)</f>
        <v>1.7874685547645983</v>
      </c>
      <c r="H110" s="34">
        <f t="shared" ref="H110:W110" si="40">IF(G100&gt;0,(G110*G101+H37*(G104+G102))/(G101+G102+G104),H37)</f>
        <v>1.8902103438776607</v>
      </c>
      <c r="I110" s="34">
        <f t="shared" si="40"/>
        <v>1.982507752857946</v>
      </c>
      <c r="J110" s="34">
        <f t="shared" si="40"/>
        <v>2.0609390956561437</v>
      </c>
      <c r="K110" s="34">
        <f t="shared" si="40"/>
        <v>2.13122261722221</v>
      </c>
      <c r="L110" s="34">
        <f t="shared" si="40"/>
        <v>2.192483068891677</v>
      </c>
      <c r="M110" s="34">
        <f t="shared" si="40"/>
        <v>2.250669027136138</v>
      </c>
      <c r="N110" s="34">
        <f t="shared" si="40"/>
        <v>2.3110660006737929</v>
      </c>
      <c r="O110" s="34">
        <f t="shared" si="40"/>
        <v>2.3696825296254462</v>
      </c>
      <c r="P110" s="34">
        <f t="shared" si="40"/>
        <v>2.4252925758813002</v>
      </c>
      <c r="Q110" s="34">
        <f t="shared" si="40"/>
        <v>2.4774739290381493</v>
      </c>
      <c r="R110" s="34">
        <f t="shared" si="40"/>
        <v>2.5273969709695945</v>
      </c>
      <c r="S110" s="34">
        <f t="shared" si="40"/>
        <v>2.5749959582181616</v>
      </c>
      <c r="T110" s="34">
        <f t="shared" si="40"/>
        <v>2.6201519278511882</v>
      </c>
      <c r="U110" s="34">
        <f t="shared" si="40"/>
        <v>2.6627486977165877</v>
      </c>
      <c r="V110" s="34">
        <f t="shared" si="40"/>
        <v>2.7026433015966398</v>
      </c>
      <c r="W110" s="34">
        <f t="shared" si="40"/>
        <v>2.739806901750053</v>
      </c>
    </row>
    <row r="111" spans="2:23" x14ac:dyDescent="0.2">
      <c r="B111" s="35" t="s">
        <v>63</v>
      </c>
      <c r="C111" s="49"/>
      <c r="D111" s="49"/>
      <c r="E111" s="49">
        <f t="shared" ref="E111:W111" si="41">(E110*(D101+D102+D104)+E38*(D103+D105))/D100</f>
        <v>1.5804370000000001</v>
      </c>
      <c r="F111" s="49">
        <f t="shared" si="41"/>
        <v>1.6625099999999997</v>
      </c>
      <c r="G111" s="49">
        <f t="shared" si="41"/>
        <v>1.8895660000000001</v>
      </c>
      <c r="H111" s="49">
        <f t="shared" si="41"/>
        <v>1.981421280327154</v>
      </c>
      <c r="I111" s="49">
        <f t="shared" si="41"/>
        <v>2.0637208681660164</v>
      </c>
      <c r="J111" s="49">
        <f t="shared" si="41"/>
        <v>2.1333975372327667</v>
      </c>
      <c r="K111" s="49">
        <f t="shared" si="41"/>
        <v>2.1956572008146145</v>
      </c>
      <c r="L111" s="49">
        <f t="shared" si="41"/>
        <v>2.2497267552637119</v>
      </c>
      <c r="M111" s="49">
        <f t="shared" si="41"/>
        <v>2.3009945530196267</v>
      </c>
      <c r="N111" s="49">
        <f t="shared" si="41"/>
        <v>2.3542341235458961</v>
      </c>
      <c r="O111" s="49">
        <f t="shared" si="41"/>
        <v>2.4058419259452206</v>
      </c>
      <c r="P111" s="49">
        <f t="shared" si="41"/>
        <v>2.4521720828802711</v>
      </c>
      <c r="Q111" s="49">
        <f t="shared" si="41"/>
        <v>2.495387027186363</v>
      </c>
      <c r="R111" s="49">
        <f t="shared" si="41"/>
        <v>2.5365462700861086</v>
      </c>
      <c r="S111" s="49">
        <f t="shared" si="41"/>
        <v>2.5755954698687642</v>
      </c>
      <c r="T111" s="49">
        <f t="shared" si="41"/>
        <v>2.6124326998986969</v>
      </c>
      <c r="U111" s="49">
        <f t="shared" si="41"/>
        <v>2.6469587910039296</v>
      </c>
      <c r="V111" s="49">
        <f t="shared" si="41"/>
        <v>2.6790507639108641</v>
      </c>
      <c r="W111" s="49">
        <f t="shared" si="41"/>
        <v>2.7086880154766941</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2">((1+C109/100)/((1+C24/100)*(1+C42/100))-1)*100</f>
        <v>-4.3409713213587997</v>
      </c>
      <c r="D113" s="115">
        <f t="shared" si="42"/>
        <v>-5.5733961793317803</v>
      </c>
      <c r="E113" s="115">
        <f t="shared" si="42"/>
        <v>-1.0866936191633814</v>
      </c>
      <c r="F113" s="115">
        <f t="shared" si="42"/>
        <v>0.19460467612562038</v>
      </c>
      <c r="G113" s="115">
        <f t="shared" si="42"/>
        <v>-1.5746286304955337</v>
      </c>
      <c r="H113" s="115">
        <f t="shared" si="42"/>
        <v>-1.8183602202954119</v>
      </c>
      <c r="I113" s="115">
        <f t="shared" si="42"/>
        <v>-1.8004318087922799</v>
      </c>
      <c r="J113" s="115">
        <f t="shared" si="42"/>
        <v>-1.5163728482205929</v>
      </c>
      <c r="K113" s="115">
        <f t="shared" si="42"/>
        <v>-1.4174175815585333</v>
      </c>
      <c r="L113" s="115">
        <f t="shared" si="42"/>
        <v>-1.2981679906676202</v>
      </c>
      <c r="M113" s="115">
        <f t="shared" si="42"/>
        <v>-1.2210134029658315</v>
      </c>
      <c r="N113" s="115">
        <f t="shared" si="42"/>
        <v>-1.2413241884985382</v>
      </c>
      <c r="O113" s="115">
        <f t="shared" si="42"/>
        <v>-1.2411427240586415</v>
      </c>
      <c r="P113" s="115">
        <f t="shared" si="42"/>
        <v>-1.1696493150710419</v>
      </c>
      <c r="Q113" s="115">
        <f t="shared" si="42"/>
        <v>-0.92604753955574104</v>
      </c>
      <c r="R113" s="115">
        <f t="shared" si="42"/>
        <v>-0.85966428751950152</v>
      </c>
      <c r="S113" s="115">
        <f t="shared" si="42"/>
        <v>-0.79528118364198264</v>
      </c>
      <c r="T113" s="115">
        <f t="shared" si="42"/>
        <v>-0.73301220593564587</v>
      </c>
      <c r="U113" s="115">
        <f t="shared" si="42"/>
        <v>-0.67293731558215608</v>
      </c>
      <c r="V113" s="115">
        <f t="shared" si="42"/>
        <v>-0.61519404492540453</v>
      </c>
      <c r="W113" s="115">
        <f t="shared" si="42"/>
        <v>-0.55978846524517012</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W12">
    <cfRule type="expression" dxfId="51" priority="2">
      <formula>AND(G10&gt;$C$5,G10&lt;=$C$6)</formula>
    </cfRule>
  </conditionalFormatting>
  <conditionalFormatting sqref="U10:W11 U14:W44 U46:W53 U55:W92 U94:W150">
    <cfRule type="expression" dxfId="48" priority="1">
      <formula>U$10&gt;$C$7</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 id="{BA791A17-EE40-4A57-88AD-65E63DBDA328}">
            <xm:f>OR('Criteria results'!#REF!=7,'Criteria results'!#REF!=10)</xm:f>
            <x14:dxf>
              <font>
                <color theme="0"/>
              </font>
            </x14:dxf>
          </x14:cfRule>
          <xm:sqref>K83:M83</xm:sqref>
        </x14:conditionalFormatting>
        <x14:conditionalFormatting xmlns:xm="http://schemas.microsoft.com/office/excel/2006/main">
          <x14:cfRule type="expression" priority="4" id="{BF7FAADA-A09E-4C78-A61F-EFE6211E73AA}">
            <xm:f>'Criteria results'!#REF!=10</xm:f>
            <x14:dxf>
              <font>
                <color theme="0"/>
              </font>
            </x14:dxf>
          </x14:cfRule>
          <xm:sqref>N83:P83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DE71-DCFC-4AB7-83B5-885DD585D4FC}">
  <sheetPr>
    <tabColor rgb="FFFFC000"/>
  </sheetPr>
  <dimension ref="A1:AY135"/>
  <sheetViews>
    <sheetView topLeftCell="B50" zoomScale="145" zoomScaleNormal="145" workbookViewId="0">
      <selection activeCell="C27" sqref="C27:W27"/>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1">
        <f>'Input data'!C13</f>
        <v>-2.1345519999999998</v>
      </c>
      <c r="D12" s="2">
        <f>'Input data'!D13</f>
        <v>0.29205680000000001</v>
      </c>
      <c r="E12" s="2">
        <f>'Input data'!E13</f>
        <v>-0.3391101166058319</v>
      </c>
      <c r="F12" s="2">
        <f>'Input data'!F13</f>
        <v>-0.3744433445451063</v>
      </c>
      <c r="G12" s="425">
        <v>0.44336499216821834</v>
      </c>
      <c r="H12" s="426">
        <v>1.1033448931261973</v>
      </c>
      <c r="I12" s="426">
        <v>1.423330146090432</v>
      </c>
      <c r="J12" s="426">
        <v>1.7834653510414613</v>
      </c>
      <c r="K12" s="427">
        <v>2.0633649921682187</v>
      </c>
      <c r="L12" s="427">
        <v>2.3433649921682189</v>
      </c>
      <c r="M12" s="427">
        <v>2.6233649921682192</v>
      </c>
      <c r="N12" s="427">
        <v>2.6233649921682192</v>
      </c>
      <c r="O12" s="427">
        <v>2.6233649921682192</v>
      </c>
      <c r="P12" s="427">
        <v>2.6233649921682192</v>
      </c>
      <c r="Q12" s="427">
        <v>2.6233649921682192</v>
      </c>
      <c r="R12" s="427">
        <v>2.6233649921682192</v>
      </c>
      <c r="S12" s="427">
        <v>2.6233649921682192</v>
      </c>
      <c r="T12" s="427">
        <v>2.6233649921682192</v>
      </c>
      <c r="U12" s="427">
        <v>2.6233649921682192</v>
      </c>
      <c r="V12" s="427">
        <v>2.6233649921682192</v>
      </c>
      <c r="W12" s="428">
        <v>2.6233649921682192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262">
        <f>G12-F12</f>
        <v>0.81780833671332465</v>
      </c>
      <c r="H13" s="262">
        <f t="shared" ref="H13:W13" si="0">H12-G12</f>
        <v>0.65997990095797898</v>
      </c>
      <c r="I13" s="262">
        <f t="shared" si="0"/>
        <v>0.31998525296423463</v>
      </c>
      <c r="J13" s="262">
        <f t="shared" si="0"/>
        <v>0.36013520495102935</v>
      </c>
      <c r="K13" s="262">
        <f t="shared" si="0"/>
        <v>0.27989964112675736</v>
      </c>
      <c r="L13" s="262">
        <f t="shared" si="0"/>
        <v>0.28000000000000025</v>
      </c>
      <c r="M13" s="262">
        <f t="shared" si="0"/>
        <v>0.28000000000000025</v>
      </c>
      <c r="N13" s="262">
        <f t="shared" si="0"/>
        <v>0</v>
      </c>
      <c r="O13" s="262">
        <f t="shared" si="0"/>
        <v>0</v>
      </c>
      <c r="P13" s="262">
        <f t="shared" si="0"/>
        <v>0</v>
      </c>
      <c r="Q13" s="262">
        <f t="shared" si="0"/>
        <v>0</v>
      </c>
      <c r="R13" s="262">
        <f t="shared" si="0"/>
        <v>0</v>
      </c>
      <c r="S13" s="262">
        <f t="shared" si="0"/>
        <v>0</v>
      </c>
      <c r="T13" s="262">
        <f t="shared" si="0"/>
        <v>0</v>
      </c>
      <c r="U13" s="262">
        <f t="shared" si="0"/>
        <v>0</v>
      </c>
      <c r="V13" s="262">
        <f t="shared" si="0"/>
        <v>0</v>
      </c>
      <c r="W13" s="262">
        <f t="shared" si="0"/>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233.2291584533499</v>
      </c>
      <c r="H23" s="34">
        <f>IF(AND(H50&gt;1,G50&gt;1),IF(AND(H50&gt;0,G50&gt;0),H27*(H51/100+1),0)+IF(H50&gt;0,G23*(1+H52/100),0)-G23*(1+'Input data'!H30/100),IF(H50=1,H27,G23*(1+H52/100)))</f>
        <v>235.78486230581689</v>
      </c>
      <c r="I23" s="34">
        <f>IF(AND(I50&gt;1,H50&gt;1),IF(AND(I50&gt;0,H50&gt;0),I27*(I51/100+1),0)+IF(I50&gt;0,H23*(1+I52/100),0)-H23*(1+'Input data'!I30/100),IF(I50=1,I27,H23*(1+I52/100)))</f>
        <v>238.40600542207528</v>
      </c>
      <c r="J23" s="34">
        <f>IF(AND(J50&gt;1,I50&gt;1),IF(AND(J50&gt;0,I50&gt;0),J27*(J51/100+1),0)+IF(J50&gt;0,I23*(1+J52/100),0)-I23*(1+'Input data'!J30/100),IF(J50=1,J27,I23*(1+J52/100)))</f>
        <v>240.68312113343939</v>
      </c>
      <c r="K23" s="34">
        <f>IF(AND(K50&gt;1,J50&gt;1),IF(AND(K50&gt;0,J50&gt;0),K27*(K51/100+1),0)+IF(K50&gt;0,J23*(1+K52/100),0)-J23*(1+'Input data'!K30/100),IF(K50=1,K27,J23*(1+K52/100)))</f>
        <v>242.73196314431615</v>
      </c>
      <c r="L23" s="34">
        <f>IF(AND(L50&gt;1,K50&gt;1),IF(AND(L50&gt;0,K50&gt;0),L27*(L51/100+1),0)+IF(L50&gt;0,K23*(1+L52/100),0)-K23*(1+'Input data'!L30/100),IF(L50=1,L27,K23*(1+L52/100)))</f>
        <v>244.52126335388638</v>
      </c>
      <c r="M23" s="34">
        <f>IF(AND(M50&gt;1,L50&gt;1),IF(AND(M50&gt;0,L50&gt;0),M27*(M51/100+1),0)+IF(M50&gt;0,L23*(1+M52/100),0)-L23*(1+'Input data'!M30/100),IF(M50=1,M27,L23*(1+M52/100)))</f>
        <v>246.2434360056601</v>
      </c>
      <c r="N23" s="34">
        <f>IF(AND(N50&gt;1,M50&gt;1),IF(AND(N50&gt;0,M50&gt;0),N27*(N51/100+1),0)+IF(N50&gt;0,M23*(1+N52/100),0)-M23*(1+'Input data'!N30/100),IF(N50=1,N27,M23*(1+N52/100)))</f>
        <v>248.57594027863016</v>
      </c>
      <c r="O23" s="34">
        <f>IF(AND(O50&gt;1,N50&gt;1),IF(AND(O50&gt;0,N50&gt;0),O27*(O51/100+1),0)+IF(O50&gt;0,N23*(1+O52/100),0)-N23*(1+'Input data'!O30/100),IF(O50=1,O27,N23*(1+O52/100)))</f>
        <v>250.99375437894204</v>
      </c>
      <c r="P23" s="34">
        <f>IF(AND(P50&gt;1,O50&gt;1),IF(AND(P50&gt;0,O50&gt;0),P27*(P51/100+1),0)+IF(P50&gt;0,O23*(1+P52/100),0)-O23*(1+'Input data'!P30/100),IF(P50=1,P27,O23*(1+P52/100)))</f>
        <v>253.9501091209801</v>
      </c>
      <c r="Q23" s="34">
        <f>IF(AND(Q50&gt;1,P50&gt;1),IF(AND(Q50&gt;0,P50&gt;0),Q27*(Q51/100+1),0)+IF(Q50&gt;0,P23*(1+Q52/100),0)-P23*(1+'Input data'!Q30/100),IF(Q50=1,Q27,P23*(1+Q52/100)))</f>
        <v>256.32475715856174</v>
      </c>
      <c r="R23" s="34">
        <f>IF(AND(R50&gt;1,Q50&gt;1),IF(AND(R50&gt;0,Q50&gt;0),R27*(R51/100+1),0)+IF(R50&gt;0,Q23*(1+R52/100),0)-Q23*(1+'Input data'!R30/100),IF(R50=1,R27,Q23*(1+R52/100)))</f>
        <v>258.72161528770789</v>
      </c>
      <c r="S23" s="34">
        <f>IF(AND(S50&gt;1,R50&gt;1),IF(AND(S50&gt;0,R50&gt;0),S27*(S51/100+1),0)+IF(S50&gt;0,R23*(1+S52/100),0)-R23*(1+'Input data'!S30/100),IF(S50=1,S27,R23*(1+S52/100)))</f>
        <v>261.1408783513296</v>
      </c>
      <c r="T23" s="34">
        <f>IF(AND(T50&gt;1,S50&gt;1),IF(AND(T50&gt;0,S50&gt;0),T27*(T51/100+1),0)+IF(T50&gt;0,S23*(1+T52/100),0)-S23*(1+'Input data'!T30/100),IF(T50=1,T27,S23*(1+T52/100)))</f>
        <v>263.58277921246156</v>
      </c>
      <c r="U23" s="34">
        <f>IF(AND(U50&gt;1,T50&gt;1),IF(AND(U50&gt;0,T50&gt;0),U27*(U51/100+1),0)+IF(U50&gt;0,T23*(1+U52/100),0)-T23*(1+'Input data'!U30/100),IF(U50=1,U27,T23*(1+U52/100)))</f>
        <v>266.04750612398465</v>
      </c>
      <c r="V23" s="34">
        <f>IF(AND(V50&gt;1,U50&gt;1),IF(AND(V50&gt;0,U50&gt;0),V27*(V51/100+1),0)+IF(V50&gt;0,U23*(1+V52/100),0)-U23*(1+'Input data'!V30/100),IF(V50=1,V27,U23*(1+V52/100)))</f>
        <v>268.53529366580989</v>
      </c>
      <c r="W23" s="34">
        <f>IF(AND(W50&gt;1,V50&gt;1),IF(AND(W50&gt;0,V50&gt;0),W27*(W51/100+1),0)+IF(W50&gt;0,V23*(1+W52/100),0)-V23*(1+'Input data'!W30/100),IF(W50=1,W27,V23*(1+W52/100)))</f>
        <v>271.04633624072693</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100">
        <f>'Baseline NFPC'!F23</f>
        <v>-0.22177088705733761</v>
      </c>
      <c r="G24" s="34">
        <f t="shared" ref="G24:S24" si="1">100*(G23/F23-1)</f>
        <v>1.2218437474650123</v>
      </c>
      <c r="H24" s="34">
        <f t="shared" si="1"/>
        <v>1.0957908819870799</v>
      </c>
      <c r="I24" s="34">
        <f t="shared" si="1"/>
        <v>1.1116672591384269</v>
      </c>
      <c r="J24" s="34">
        <f t="shared" si="1"/>
        <v>0.95514192578021184</v>
      </c>
      <c r="K24" s="34">
        <f t="shared" si="1"/>
        <v>0.85126119406639944</v>
      </c>
      <c r="L24" s="34">
        <f t="shared" si="1"/>
        <v>0.73715063578436713</v>
      </c>
      <c r="M24" s="34">
        <f t="shared" si="1"/>
        <v>0.70430384178135075</v>
      </c>
      <c r="N24" s="34">
        <f t="shared" si="1"/>
        <v>0.94723510636702812</v>
      </c>
      <c r="O24" s="34">
        <f t="shared" si="1"/>
        <v>0.97266617903637442</v>
      </c>
      <c r="P24" s="34">
        <f t="shared" si="1"/>
        <v>1.1778598831485798</v>
      </c>
      <c r="Q24" s="34">
        <f t="shared" si="1"/>
        <v>0.93508447222221402</v>
      </c>
      <c r="R24" s="34">
        <f t="shared" si="1"/>
        <v>0.93508647222222407</v>
      </c>
      <c r="S24" s="34">
        <f t="shared" si="1"/>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v>231.15090000000001</v>
      </c>
      <c r="D27" s="100">
        <v>233.97713813562902</v>
      </c>
      <c r="E27" s="100">
        <v>236.531302768659</v>
      </c>
      <c r="F27" s="100">
        <v>238.0217037741894</v>
      </c>
      <c r="G27" s="34">
        <v>239.52552870698202</v>
      </c>
      <c r="H27" s="34">
        <v>241.16563377590157</v>
      </c>
      <c r="I27" s="34">
        <v>242.58008299977581</v>
      </c>
      <c r="J27" s="34">
        <v>244.12752876078073</v>
      </c>
      <c r="K27" s="34">
        <v>245.54683836400028</v>
      </c>
      <c r="L27" s="34">
        <v>246.91806349839558</v>
      </c>
      <c r="M27" s="34">
        <v>248.36415543386613</v>
      </c>
      <c r="N27" s="34">
        <v>249.99905992456323</v>
      </c>
      <c r="O27" s="34">
        <v>251.71018449019431</v>
      </c>
      <c r="P27" s="34">
        <v>253.9501091209801</v>
      </c>
      <c r="Q27" s="34">
        <v>256.73165767969641</v>
      </c>
      <c r="R27" s="34">
        <v>260.07107674574905</v>
      </c>
      <c r="S27" s="34">
        <v>263.64707745740003</v>
      </c>
      <c r="T27" s="34">
        <v>267.40128528979625</v>
      </c>
      <c r="U27" s="34">
        <v>271.37498337175526</v>
      </c>
      <c r="V27" s="34">
        <v>275.53537353933132</v>
      </c>
      <c r="W27" s="34">
        <v>279.63617201442469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2">100*(D23/D27-1)</f>
        <v>-0.14622746557002575</v>
      </c>
      <c r="E30" s="100">
        <f t="shared" si="2"/>
        <v>-2.3697984129074534</v>
      </c>
      <c r="F30" s="100">
        <f t="shared" si="2"/>
        <v>-3.196281076610763</v>
      </c>
      <c r="G30" s="34">
        <f t="shared" si="2"/>
        <v>-2.6286844194109427</v>
      </c>
      <c r="H30" s="34">
        <f t="shared" si="2"/>
        <v>-2.2311518377799433</v>
      </c>
      <c r="I30" s="34">
        <f t="shared" si="2"/>
        <v>-1.7207008613746688</v>
      </c>
      <c r="J30" s="34">
        <f t="shared" si="2"/>
        <v>-1.4109050482039254</v>
      </c>
      <c r="K30" s="34">
        <f t="shared" si="2"/>
        <v>-1.1463699709752917</v>
      </c>
      <c r="L30" s="34">
        <f t="shared" si="2"/>
        <v>-0.97068643360909146</v>
      </c>
      <c r="M30" s="34">
        <f>100*(M23/M27-1)</f>
        <v>-0.85387499838749381</v>
      </c>
      <c r="N30" s="34">
        <f t="shared" si="2"/>
        <v>-0.56924999892499217</v>
      </c>
      <c r="O30" s="34">
        <f t="shared" si="2"/>
        <v>-0.28462499946250164</v>
      </c>
      <c r="P30" s="34">
        <f t="shared" si="2"/>
        <v>0</v>
      </c>
      <c r="Q30" s="34">
        <f t="shared" si="2"/>
        <v>-0.15849253840066746</v>
      </c>
      <c r="R30" s="34">
        <f t="shared" si="2"/>
        <v>-0.51888178990407985</v>
      </c>
      <c r="S30" s="34">
        <f t="shared" si="2"/>
        <v>-0.9505886165096511</v>
      </c>
      <c r="T30" s="34">
        <f t="shared" si="2"/>
        <v>-1.4280058800751005</v>
      </c>
      <c r="U30" s="34">
        <f t="shared" si="2"/>
        <v>-1.9631423580678931</v>
      </c>
      <c r="V30" s="34">
        <f t="shared" si="2"/>
        <v>-2.5405376389983525</v>
      </c>
      <c r="W30" s="34">
        <f t="shared" si="2"/>
        <v>-3.0717899304009477</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3">100*((1+C24/100)*(1+C42/100)-1)</f>
        <v>5.3041963643644108</v>
      </c>
      <c r="D33" s="2">
        <f t="shared" si="3"/>
        <v>6.7911638456366497</v>
      </c>
      <c r="E33" s="2">
        <f t="shared" si="3"/>
        <v>2.6964325799547773</v>
      </c>
      <c r="F33" s="2">
        <f>100*((1+F24/100)*(1+F42/100)-1)</f>
        <v>1.4650542597770766</v>
      </c>
      <c r="G33" s="1">
        <f>100*((1+G24/100)*(1+G42/100)-1)</f>
        <v>3.3834114612152355</v>
      </c>
      <c r="H33" s="1">
        <f t="shared" si="3"/>
        <v>3.3070501153595</v>
      </c>
      <c r="I33" s="1">
        <f t="shared" si="3"/>
        <v>3.3756653292593253</v>
      </c>
      <c r="J33" s="1">
        <f t="shared" si="3"/>
        <v>3.2679456964361364</v>
      </c>
      <c r="K33" s="1">
        <f t="shared" si="3"/>
        <v>3.2139417812753202</v>
      </c>
      <c r="L33" s="1">
        <f t="shared" si="3"/>
        <v>3.1493554281331271</v>
      </c>
      <c r="M33" s="1">
        <f t="shared" si="3"/>
        <v>3.1679025966698582</v>
      </c>
      <c r="N33" s="1">
        <f t="shared" si="3"/>
        <v>3.4690832288516438</v>
      </c>
      <c r="O33" s="1">
        <f t="shared" si="3"/>
        <v>3.5474691666018021</v>
      </c>
      <c r="P33" s="1">
        <f t="shared" si="3"/>
        <v>3.730071398701007</v>
      </c>
      <c r="Q33" s="1">
        <f t="shared" si="3"/>
        <v>3.4534148298041689</v>
      </c>
      <c r="R33" s="1">
        <f t="shared" si="3"/>
        <v>3.425659730924302</v>
      </c>
      <c r="S33" s="1">
        <f t="shared" si="3"/>
        <v>3.3978995089444464</v>
      </c>
      <c r="T33" s="1">
        <f t="shared" si="3"/>
        <v>3.3701485057395786</v>
      </c>
      <c r="U33" s="1">
        <f>100*((1+U24/100)*(1+U42/100)-1)</f>
        <v>3.3423882845847075</v>
      </c>
      <c r="V33" s="1">
        <f t="shared" si="3"/>
        <v>3.3146362536798479</v>
      </c>
      <c r="W33" s="1">
        <f t="shared" si="3"/>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4">H109</f>
        <v>1.97588808697859</v>
      </c>
      <c r="I36" s="34">
        <f t="shared" si="4"/>
        <v>2.0532165057207568</v>
      </c>
      <c r="J36" s="34">
        <f t="shared" si="4"/>
        <v>2.1176253309361708</v>
      </c>
      <c r="K36" s="34">
        <f t="shared" si="4"/>
        <v>2.1739224647422284</v>
      </c>
      <c r="L36" s="34">
        <f t="shared" si="4"/>
        <v>2.2209299362645964</v>
      </c>
      <c r="M36" s="34">
        <f t="shared" si="4"/>
        <v>2.2639649049811101</v>
      </c>
      <c r="N36" s="34">
        <f t="shared" si="4"/>
        <v>2.3080631630627693</v>
      </c>
      <c r="O36" s="34">
        <f t="shared" si="4"/>
        <v>2.3504785247334463</v>
      </c>
      <c r="P36" s="34">
        <f t="shared" si="4"/>
        <v>2.3871045273177827</v>
      </c>
      <c r="Q36" s="34">
        <f t="shared" si="4"/>
        <v>2.4197767063567031</v>
      </c>
      <c r="R36" s="34">
        <f t="shared" si="4"/>
        <v>2.4512680291081321</v>
      </c>
      <c r="S36" s="34">
        <f t="shared" si="4"/>
        <v>2.4827378543889402</v>
      </c>
      <c r="T36" s="34">
        <f t="shared" si="4"/>
        <v>2.5144677650569105</v>
      </c>
      <c r="U36" s="34">
        <f t="shared" si="4"/>
        <v>2.5466123614036307</v>
      </c>
      <c r="V36" s="34">
        <f t="shared" si="4"/>
        <v>2.5794443970822978</v>
      </c>
      <c r="W36" s="34">
        <f t="shared" si="4"/>
        <v>2.6133314080274297</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5">H37+($O$37-$G$37)/($O$10-$G$10)</f>
        <v>3.0683720000000001</v>
      </c>
      <c r="J37" s="1">
        <f t="shared" si="5"/>
        <v>3.0955400000000002</v>
      </c>
      <c r="K37" s="1">
        <f t="shared" si="5"/>
        <v>3.1227080000000003</v>
      </c>
      <c r="L37" s="1">
        <f t="shared" si="5"/>
        <v>3.1498760000000003</v>
      </c>
      <c r="M37" s="1">
        <f t="shared" si="5"/>
        <v>3.1770440000000004</v>
      </c>
      <c r="N37" s="1">
        <f t="shared" si="5"/>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6">H38+($O$38-$G$38)/($O$10-$G$10)</f>
        <v>2.7938037499999995</v>
      </c>
      <c r="J38" s="1">
        <f t="shared" si="6"/>
        <v>2.7825181249999993</v>
      </c>
      <c r="K38" s="1">
        <f t="shared" si="6"/>
        <v>2.7712324999999991</v>
      </c>
      <c r="L38" s="1">
        <f t="shared" si="6"/>
        <v>2.7599468749999989</v>
      </c>
      <c r="M38" s="1">
        <f t="shared" si="6"/>
        <v>2.7486612499999987</v>
      </c>
      <c r="N38" s="1">
        <f t="shared" si="6"/>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7">IF(C50=4,2/3*C30,IF(C50=3,1/3*B30,0))</f>
        <v>0</v>
      </c>
      <c r="E51" s="34">
        <f t="shared" si="7"/>
        <v>0</v>
      </c>
      <c r="F51" s="34">
        <f t="shared" si="7"/>
        <v>0</v>
      </c>
      <c r="G51" s="34">
        <f t="shared" si="7"/>
        <v>0</v>
      </c>
      <c r="H51" s="34">
        <f t="shared" si="7"/>
        <v>-1.7524562796072951</v>
      </c>
      <c r="I51" s="34">
        <f t="shared" si="7"/>
        <v>-1.4874345585199622</v>
      </c>
      <c r="J51" s="34">
        <f t="shared" si="7"/>
        <v>-1.1471339075831124</v>
      </c>
      <c r="K51" s="34">
        <f t="shared" si="7"/>
        <v>-0.94060336546928358</v>
      </c>
      <c r="L51" s="34">
        <f t="shared" si="7"/>
        <v>-0.76424664731686109</v>
      </c>
      <c r="M51" s="34">
        <f t="shared" si="7"/>
        <v>-0.64712428907272757</v>
      </c>
      <c r="N51" s="34">
        <f t="shared" si="7"/>
        <v>-0.56924999892499584</v>
      </c>
      <c r="O51" s="34">
        <f t="shared" si="7"/>
        <v>-0.28462499946249792</v>
      </c>
      <c r="P51" s="34">
        <f t="shared" si="7"/>
        <v>0</v>
      </c>
      <c r="Q51" s="34">
        <f t="shared" si="7"/>
        <v>0</v>
      </c>
      <c r="R51" s="34">
        <f t="shared" si="7"/>
        <v>0</v>
      </c>
      <c r="S51" s="34">
        <f t="shared" si="7"/>
        <v>0</v>
      </c>
      <c r="T51" s="34">
        <f t="shared" si="7"/>
        <v>0</v>
      </c>
      <c r="U51" s="34">
        <f t="shared" si="7"/>
        <v>0</v>
      </c>
      <c r="V51" s="34">
        <f t="shared" si="7"/>
        <v>0</v>
      </c>
      <c r="W51" s="34">
        <f t="shared" si="7"/>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1.2218437474650066</v>
      </c>
      <c r="H52" s="34">
        <f>'Input data'!H30-$C$47*((H12-G12))</f>
        <v>1.3402150742815082</v>
      </c>
      <c r="I52" s="34">
        <f>'Input data'!I30-$C$47*((I12-H12))</f>
        <v>1.5952110602768164</v>
      </c>
      <c r="J52" s="34">
        <f>'Input data'!J30-$C$47*((J12-I12))</f>
        <v>1.5650985962867203</v>
      </c>
      <c r="K52" s="34">
        <f>'Input data'!K30-$C$47*((K12-J12))</f>
        <v>0.7251752691549429</v>
      </c>
      <c r="L52" s="34">
        <f>'Input data'!L30-$C$47*((L12-K12))</f>
        <v>0.72508997222222482</v>
      </c>
      <c r="M52" s="34">
        <f>'Input data'!M30-$C$47*((M12-L12))</f>
        <v>0.72508697222222085</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+E57+F58</f>
        <v>81.499592121832151</v>
      </c>
      <c r="G57" s="45">
        <f>+F57+G58</f>
        <v>82.691974321260318</v>
      </c>
      <c r="H57" s="45">
        <f t="shared" ref="H57:S57" si="8">+G57+H58</f>
        <v>83.548495148459892</v>
      </c>
      <c r="I57" s="45">
        <f t="shared" si="8"/>
        <v>83.502231597206034</v>
      </c>
      <c r="J57" s="45">
        <f t="shared" si="8"/>
        <v>82.986590642636216</v>
      </c>
      <c r="K57" s="45">
        <f t="shared" si="8"/>
        <v>81.778372305509691</v>
      </c>
      <c r="L57" s="45">
        <f t="shared" si="8"/>
        <v>80.326261757219726</v>
      </c>
      <c r="M57" s="45">
        <f t="shared" si="8"/>
        <v>79.019029468559978</v>
      </c>
      <c r="N57" s="45">
        <f t="shared" si="8"/>
        <v>77.393954423206026</v>
      </c>
      <c r="O57" s="45">
        <f t="shared" si="8"/>
        <v>75.432581597251797</v>
      </c>
      <c r="P57" s="45">
        <f t="shared" si="8"/>
        <v>73.061397142347744</v>
      </c>
      <c r="Q57" s="45">
        <f t="shared" si="8"/>
        <v>70.858347631335491</v>
      </c>
      <c r="R57" s="45">
        <f t="shared" si="8"/>
        <v>68.740752631122746</v>
      </c>
      <c r="S57" s="45">
        <f t="shared" si="8"/>
        <v>66.727930057235739</v>
      </c>
      <c r="T57" s="45">
        <f>+S57+T58</f>
        <v>64.827643881229051</v>
      </c>
      <c r="U57" s="45">
        <f>+T57+U58</f>
        <v>63.056378583906799</v>
      </c>
      <c r="V57" s="45">
        <f>+U57+V58</f>
        <v>61.437089313936966</v>
      </c>
      <c r="W57" s="45">
        <f>+V57+W58</f>
        <v>59.957219814155792</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3.060895797359378</v>
      </c>
      <c r="F58" s="47">
        <f>-F59+F67+F72</f>
        <v>4.9270857395110337</v>
      </c>
      <c r="G58" s="47">
        <f>-G59+G67+G72</f>
        <v>1.1923821994281607</v>
      </c>
      <c r="H58" s="47">
        <f t="shared" ref="H58:S58" si="9">-H59+H67+H72</f>
        <v>0.85652082719957323</v>
      </c>
      <c r="I58" s="47">
        <f t="shared" si="9"/>
        <v>-4.6263551253853175E-2</v>
      </c>
      <c r="J58" s="47">
        <f t="shared" si="9"/>
        <v>-0.51564095456981796</v>
      </c>
      <c r="K58" s="47">
        <f t="shared" si="9"/>
        <v>-1.2082183371265303</v>
      </c>
      <c r="L58" s="47">
        <f t="shared" si="9"/>
        <v>-1.4521105482899674</v>
      </c>
      <c r="M58" s="47">
        <f t="shared" si="9"/>
        <v>-1.3072322886597421</v>
      </c>
      <c r="N58" s="47">
        <f t="shared" si="9"/>
        <v>-1.6250750453539591</v>
      </c>
      <c r="O58" s="47">
        <f t="shared" si="9"/>
        <v>-1.9613728259542325</v>
      </c>
      <c r="P58" s="47">
        <f t="shared" si="9"/>
        <v>-2.3711844549040535</v>
      </c>
      <c r="Q58" s="47">
        <f t="shared" si="9"/>
        <v>-2.2030495110122557</v>
      </c>
      <c r="R58" s="47">
        <f t="shared" si="9"/>
        <v>-2.1175950002127397</v>
      </c>
      <c r="S58" s="47">
        <f t="shared" si="9"/>
        <v>-2.0128225738870036</v>
      </c>
      <c r="T58" s="47">
        <f>-T59+T67+T72</f>
        <v>-1.9002861760066903</v>
      </c>
      <c r="U58" s="47">
        <f>-U59+U67+U72</f>
        <v>-1.7712652973222487</v>
      </c>
      <c r="V58" s="47">
        <f>-V59+V67+V72</f>
        <v>-1.6192892699698342</v>
      </c>
      <c r="W58" s="47">
        <f>-W59+W67+W72</f>
        <v>-1.4798694997811712</v>
      </c>
    </row>
    <row r="59" spans="2:48" outlineLevel="1" x14ac:dyDescent="0.2">
      <c r="B59" s="84" t="s">
        <v>106</v>
      </c>
      <c r="C59" s="48"/>
      <c r="D59" s="48">
        <f>D60+D61-D62-D63-D64-D65-D66</f>
        <v>0.20695241503824502</v>
      </c>
      <c r="E59" s="48">
        <f>E60+E61-E62-E63-E64-E65-E66</f>
        <v>-1.7183327929179697</v>
      </c>
      <c r="F59" s="48">
        <f t="shared" ref="F59:R59" si="10">F60+F61-F62-F63-F64-F65-F66</f>
        <v>-2.2346789311325703</v>
      </c>
      <c r="G59" s="48">
        <f t="shared" si="10"/>
        <v>-1.0865293399289502</v>
      </c>
      <c r="H59" s="48">
        <f t="shared" si="10"/>
        <v>-0.19518547646172957</v>
      </c>
      <c r="I59" s="48">
        <f t="shared" si="10"/>
        <v>0.42188224477037473</v>
      </c>
      <c r="J59" s="48">
        <f t="shared" si="10"/>
        <v>0.96231861298677679</v>
      </c>
      <c r="K59" s="48">
        <f t="shared" si="10"/>
        <v>1.3961776690605989</v>
      </c>
      <c r="L59" s="48">
        <f t="shared" si="10"/>
        <v>1.7784254878077277</v>
      </c>
      <c r="M59" s="48">
        <f t="shared" si="10"/>
        <v>2.1264097431066977</v>
      </c>
      <c r="N59" s="48">
        <f t="shared" si="10"/>
        <v>2.2645424927938742</v>
      </c>
      <c r="O59" s="48">
        <f t="shared" si="10"/>
        <v>2.440234242481047</v>
      </c>
      <c r="P59" s="48">
        <f t="shared" si="10"/>
        <v>2.6154859921682214</v>
      </c>
      <c r="Q59" s="48">
        <f t="shared" si="10"/>
        <v>2.5413633348190352</v>
      </c>
      <c r="R59" s="48">
        <f t="shared" si="10"/>
        <v>2.3657067904440443</v>
      </c>
      <c r="S59" s="48">
        <f>S60+S61-S62-S63-S64-S65-S66</f>
        <v>2.1674744173596019</v>
      </c>
      <c r="T59" s="48">
        <f>T60+T61-T62-T63-T64-T65-T66</f>
        <v>1.9583775699645107</v>
      </c>
      <c r="U59" s="48">
        <f>U60+U61-U62-U63-U64-U65-U66</f>
        <v>1.7299081397727043</v>
      </c>
      <c r="V59" s="48">
        <f>V60+V61-V62-V63-V64-V65-V66</f>
        <v>1.4758040862711794</v>
      </c>
      <c r="W59" s="48">
        <f>W60+W61-W62-W63-W64-W65-W66</f>
        <v>1.2318452526748682</v>
      </c>
    </row>
    <row r="60" spans="2:48" outlineLevel="1" x14ac:dyDescent="0.2">
      <c r="B60" s="79" t="s">
        <v>107</v>
      </c>
      <c r="C60" s="1"/>
      <c r="D60" s="1">
        <f>D12</f>
        <v>0.29205680000000001</v>
      </c>
      <c r="E60" s="1">
        <f>E12</f>
        <v>-0.3391101166058319</v>
      </c>
      <c r="F60" s="1">
        <f>F12</f>
        <v>-0.3744433445451063</v>
      </c>
      <c r="G60" s="1">
        <f t="shared" ref="G60:W60" si="11">IF(G12="",F60,G12)</f>
        <v>0.44336499216821834</v>
      </c>
      <c r="H60" s="1">
        <f t="shared" si="11"/>
        <v>1.1033448931261973</v>
      </c>
      <c r="I60" s="1">
        <f t="shared" si="11"/>
        <v>1.423330146090432</v>
      </c>
      <c r="J60" s="1">
        <f t="shared" si="11"/>
        <v>1.7834653510414613</v>
      </c>
      <c r="K60" s="1">
        <f t="shared" si="11"/>
        <v>2.0633649921682187</v>
      </c>
      <c r="L60" s="1">
        <f t="shared" si="11"/>
        <v>2.3433649921682189</v>
      </c>
      <c r="M60" s="1">
        <f t="shared" si="11"/>
        <v>2.6233649921682192</v>
      </c>
      <c r="N60" s="1">
        <f t="shared" si="11"/>
        <v>2.6233649921682192</v>
      </c>
      <c r="O60" s="1">
        <f t="shared" si="11"/>
        <v>2.6233649921682192</v>
      </c>
      <c r="P60" s="1">
        <f t="shared" si="11"/>
        <v>2.6233649921682192</v>
      </c>
      <c r="Q60" s="1">
        <f t="shared" si="11"/>
        <v>2.6233649921682192</v>
      </c>
      <c r="R60" s="1">
        <f t="shared" si="11"/>
        <v>2.6233649921682192</v>
      </c>
      <c r="S60" s="1">
        <f t="shared" si="11"/>
        <v>2.6233649921682192</v>
      </c>
      <c r="T60" s="1">
        <f t="shared" si="11"/>
        <v>2.6233649921682192</v>
      </c>
      <c r="U60" s="1">
        <f t="shared" si="11"/>
        <v>2.6233649921682192</v>
      </c>
      <c r="V60" s="1">
        <f t="shared" si="11"/>
        <v>2.6233649921682192</v>
      </c>
      <c r="W60" s="1">
        <f t="shared" si="11"/>
        <v>2.6233649921682192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434">
        <f t="shared" ref="D62:W62" si="12">-$C$48*D30</f>
        <v>8.5104384961754986E-2</v>
      </c>
      <c r="E62" s="434">
        <f>-$C$48*E30</f>
        <v>1.3792226763121378</v>
      </c>
      <c r="F62" s="434">
        <f t="shared" si="12"/>
        <v>1.860235586587464</v>
      </c>
      <c r="G62" s="434">
        <f t="shared" si="12"/>
        <v>1.5298943320971685</v>
      </c>
      <c r="H62" s="434">
        <f t="shared" si="12"/>
        <v>1.2985303695879269</v>
      </c>
      <c r="I62" s="434">
        <f t="shared" si="12"/>
        <v>1.0014479013200572</v>
      </c>
      <c r="J62" s="434">
        <f t="shared" si="12"/>
        <v>0.82114673805468452</v>
      </c>
      <c r="K62" s="1">
        <f t="shared" si="12"/>
        <v>0.66718732310761975</v>
      </c>
      <c r="L62" s="1">
        <f t="shared" si="12"/>
        <v>0.56493950436049123</v>
      </c>
      <c r="M62" s="1">
        <f>-$C$48*M30</f>
        <v>0.49695524906152139</v>
      </c>
      <c r="N62" s="1">
        <f t="shared" si="12"/>
        <v>0.33130349937434544</v>
      </c>
      <c r="O62" s="1">
        <f t="shared" si="12"/>
        <v>0.16565174968717594</v>
      </c>
      <c r="P62" s="1">
        <f t="shared" si="12"/>
        <v>0</v>
      </c>
      <c r="Q62" s="1">
        <f t="shared" si="12"/>
        <v>9.2242657349188462E-2</v>
      </c>
      <c r="R62" s="1">
        <f t="shared" si="12"/>
        <v>0.30198920172417443</v>
      </c>
      <c r="S62" s="1">
        <f t="shared" si="12"/>
        <v>0.55324257480861694</v>
      </c>
      <c r="T62" s="1">
        <f t="shared" si="12"/>
        <v>0.83109942220370847</v>
      </c>
      <c r="U62" s="1">
        <f>-$C$48*U30</f>
        <v>1.1425488523955136</v>
      </c>
      <c r="V62" s="1">
        <f t="shared" si="12"/>
        <v>1.4785929058970411</v>
      </c>
      <c r="W62" s="1">
        <f t="shared" si="12"/>
        <v>1.7877817394933515</v>
      </c>
    </row>
    <row r="63" spans="2:48" outlineLevel="1" x14ac:dyDescent="0.2">
      <c r="B63" s="79" t="s">
        <v>110</v>
      </c>
      <c r="C63" s="1"/>
      <c r="D63" s="1">
        <f t="shared" ref="D63:W63" si="13">-D14</f>
        <v>0</v>
      </c>
      <c r="E63" s="1">
        <f t="shared" si="13"/>
        <v>0</v>
      </c>
      <c r="F63" s="1">
        <f t="shared" si="13"/>
        <v>0</v>
      </c>
      <c r="G63" s="1">
        <f t="shared" si="13"/>
        <v>0</v>
      </c>
      <c r="H63" s="1">
        <f t="shared" si="13"/>
        <v>0</v>
      </c>
      <c r="I63" s="1">
        <f t="shared" si="13"/>
        <v>0</v>
      </c>
      <c r="J63" s="1">
        <f t="shared" si="13"/>
        <v>0</v>
      </c>
      <c r="K63" s="1">
        <f t="shared" si="13"/>
        <v>0</v>
      </c>
      <c r="L63" s="1">
        <f t="shared" si="13"/>
        <v>0</v>
      </c>
      <c r="M63" s="1">
        <f t="shared" si="13"/>
        <v>0</v>
      </c>
      <c r="N63" s="1">
        <f t="shared" si="13"/>
        <v>0</v>
      </c>
      <c r="O63" s="1">
        <f t="shared" si="13"/>
        <v>0</v>
      </c>
      <c r="P63" s="1">
        <f t="shared" si="13"/>
        <v>0</v>
      </c>
      <c r="Q63" s="1">
        <f t="shared" si="13"/>
        <v>0</v>
      </c>
      <c r="R63" s="1">
        <f t="shared" si="13"/>
        <v>0</v>
      </c>
      <c r="S63" s="1">
        <f t="shared" si="13"/>
        <v>0</v>
      </c>
      <c r="T63" s="1">
        <f t="shared" si="13"/>
        <v>0</v>
      </c>
      <c r="U63" s="1">
        <f t="shared" si="13"/>
        <v>0</v>
      </c>
      <c r="V63" s="1">
        <f t="shared" si="13"/>
        <v>0</v>
      </c>
      <c r="W63" s="1">
        <f t="shared" si="13"/>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4">SUM(D68:D71)</f>
        <v>-4.0426919999999997</v>
      </c>
      <c r="E67" s="48">
        <f t="shared" si="14"/>
        <v>-0.79948272499993989</v>
      </c>
      <c r="F67" s="48">
        <f t="shared" si="14"/>
        <v>0.14925019261305703</v>
      </c>
      <c r="G67" s="48">
        <f t="shared" si="14"/>
        <v>-1.1774832793119654</v>
      </c>
      <c r="H67" s="48">
        <f t="shared" si="14"/>
        <v>-1.0655266619789503</v>
      </c>
      <c r="I67" s="48">
        <f t="shared" si="14"/>
        <v>-1.0688067522040501</v>
      </c>
      <c r="J67" s="48">
        <f t="shared" si="14"/>
        <v>-0.93014649340773403</v>
      </c>
      <c r="K67" s="48">
        <f t="shared" si="14"/>
        <v>-0.83620154207910846</v>
      </c>
      <c r="L67" s="48">
        <f t="shared" si="14"/>
        <v>-0.73606980108420461</v>
      </c>
      <c r="M67" s="48">
        <f t="shared" si="14"/>
        <v>-0.70380354555304425</v>
      </c>
      <c r="N67" s="48">
        <f t="shared" si="14"/>
        <v>-0.88666755256008489</v>
      </c>
      <c r="O67" s="48">
        <f t="shared" si="14"/>
        <v>-0.89466058347318511</v>
      </c>
      <c r="P67" s="48">
        <f t="shared" ref="P67:W67" si="15">SUM(P68:P71)</f>
        <v>-0.97660646273583218</v>
      </c>
      <c r="Q67" s="48">
        <f t="shared" si="15"/>
        <v>-0.72998117619322023</v>
      </c>
      <c r="R67" s="48">
        <f t="shared" si="15"/>
        <v>-0.6675692097686956</v>
      </c>
      <c r="S67" s="48">
        <f t="shared" si="15"/>
        <v>-0.60841565652740193</v>
      </c>
      <c r="T67" s="48">
        <f t="shared" si="15"/>
        <v>-0.55236260604217935</v>
      </c>
      <c r="U67" s="48">
        <f t="shared" si="15"/>
        <v>-0.4991976575495447</v>
      </c>
      <c r="V67" s="48">
        <f t="shared" si="15"/>
        <v>-0.44871218369865473</v>
      </c>
      <c r="W67" s="48">
        <f t="shared" si="15"/>
        <v>-0.40063774710630295</v>
      </c>
    </row>
    <row r="68" spans="2:23" outlineLevel="1" x14ac:dyDescent="0.2">
      <c r="B68" s="79" t="s">
        <v>115</v>
      </c>
      <c r="C68" s="34"/>
      <c r="D68" s="34">
        <f>C57*D36/100*(1/(1+D33/100))</f>
        <v>0.57044236264340553</v>
      </c>
      <c r="E68" s="34">
        <f>D57*E36/100*(1/(1+E33/100))</f>
        <v>1.1312999524848377</v>
      </c>
      <c r="F68" s="34">
        <f>E57*F36/100*(1/(1+F33/100))</f>
        <v>1.2546443552845774</v>
      </c>
      <c r="G68" s="36">
        <f>F57*G36/100*(1/(1+G33/100))</f>
        <v>1.4895896363901213</v>
      </c>
      <c r="H68" s="34">
        <f t="shared" ref="H68:W68" si="16">G57*H36/100*(1/(1+H33/100))</f>
        <v>1.5815966748413157</v>
      </c>
      <c r="I68" s="34">
        <f t="shared" si="16"/>
        <v>1.659415189450733</v>
      </c>
      <c r="J68" s="34">
        <f>I57*J36/100*(1/(1+J33/100))</f>
        <v>1.7123071406856178</v>
      </c>
      <c r="K68" s="34">
        <f t="shared" si="16"/>
        <v>1.7478880329238886</v>
      </c>
      <c r="L68" s="34">
        <f>K57*L36/100*(1/(1+L33/100))</f>
        <v>1.7607869136791681</v>
      </c>
      <c r="M68" s="34">
        <f t="shared" si="16"/>
        <v>1.7627172113562173</v>
      </c>
      <c r="N68" s="34">
        <f t="shared" si="16"/>
        <v>1.762660936059198</v>
      </c>
      <c r="O68" s="34">
        <f t="shared" si="16"/>
        <v>1.7568061226417597</v>
      </c>
      <c r="P68" s="34">
        <f t="shared" si="16"/>
        <v>1.7359041077486692</v>
      </c>
      <c r="Q68" s="34">
        <f t="shared" si="16"/>
        <v>1.7089070209019017</v>
      </c>
      <c r="R68" s="34">
        <f t="shared" si="16"/>
        <v>1.679397574992586</v>
      </c>
      <c r="S68" s="34">
        <f t="shared" si="16"/>
        <v>1.6505680435192125</v>
      </c>
      <c r="T68" s="34">
        <f t="shared" si="16"/>
        <v>1.6231497350376276</v>
      </c>
      <c r="U68" s="34">
        <f t="shared" si="16"/>
        <v>1.5975136825170171</v>
      </c>
      <c r="V68" s="34">
        <f t="shared" si="16"/>
        <v>1.5743212030402451</v>
      </c>
      <c r="W68" s="34">
        <f t="shared" si="16"/>
        <v>1.5544615278094873</v>
      </c>
    </row>
    <row r="69" spans="2:23" outlineLevel="1" x14ac:dyDescent="0.2">
      <c r="B69" s="79" t="s">
        <v>116</v>
      </c>
      <c r="C69" s="34"/>
      <c r="D69" s="34">
        <f t="shared" ref="D69:W69" si="17">-C57*(D24/100)*(1/(1+D33/100))</f>
        <v>-0.90770273794427436</v>
      </c>
      <c r="E69" s="34">
        <f t="shared" si="17"/>
        <v>0.82999130151990808</v>
      </c>
      <c r="F69" s="34">
        <f t="shared" si="17"/>
        <v>0.16736355968562128</v>
      </c>
      <c r="G69" s="34">
        <f t="shared" si="17"/>
        <v>-0.96320836822421163</v>
      </c>
      <c r="H69" s="34">
        <f t="shared" si="17"/>
        <v>-0.87712417858763936</v>
      </c>
      <c r="I69" s="34">
        <f t="shared" si="17"/>
        <v>-0.89845251598627884</v>
      </c>
      <c r="J69" s="34">
        <f t="shared" si="17"/>
        <v>-0.77232564041847784</v>
      </c>
      <c r="K69" s="34">
        <f t="shared" si="17"/>
        <v>-0.68443529064758413</v>
      </c>
      <c r="L69" s="34">
        <f t="shared" si="17"/>
        <v>-0.58442419623666864</v>
      </c>
      <c r="M69" s="34">
        <f t="shared" si="17"/>
        <v>-0.54836914706619611</v>
      </c>
      <c r="N69" s="34">
        <f t="shared" si="17"/>
        <v>-0.72340061830952263</v>
      </c>
      <c r="O69" s="34">
        <f t="shared" si="17"/>
        <v>-0.7269948993945613</v>
      </c>
      <c r="P69" s="34">
        <f t="shared" si="17"/>
        <v>-0.85654054362144549</v>
      </c>
      <c r="Q69" s="34">
        <f t="shared" si="17"/>
        <v>-0.6603801150408013</v>
      </c>
      <c r="R69" s="34">
        <f t="shared" si="17"/>
        <v>-0.64064065422896344</v>
      </c>
      <c r="S69" s="34">
        <f t="shared" si="17"/>
        <v>-0.62166003331545971</v>
      </c>
      <c r="T69" s="34">
        <f t="shared" si="17"/>
        <v>-0.60362286212869065</v>
      </c>
      <c r="U69" s="34">
        <f t="shared" si="17"/>
        <v>-0.58658846409125964</v>
      </c>
      <c r="V69" s="34">
        <f t="shared" si="17"/>
        <v>-0.57071760615066447</v>
      </c>
      <c r="W69" s="34">
        <f t="shared" si="17"/>
        <v>-0.55620923190325122</v>
      </c>
    </row>
    <row r="70" spans="2:23" outlineLevel="1" x14ac:dyDescent="0.2">
      <c r="B70" s="79" t="s">
        <v>117</v>
      </c>
      <c r="C70" s="34"/>
      <c r="D70" s="34">
        <f t="shared" ref="D70:W70" si="18">-C57*D42/100*(1/(1+D42/100))</f>
        <v>-3.7081792093539843</v>
      </c>
      <c r="E70" s="34">
        <f t="shared" si="18"/>
        <v>-2.7601372355757476</v>
      </c>
      <c r="F70" s="34">
        <f t="shared" si="18"/>
        <v>-1.2729942369236147</v>
      </c>
      <c r="G70" s="34">
        <f>-F57*G42/100*(1/(1+G42/100))</f>
        <v>-1.7040150303073986</v>
      </c>
      <c r="H70" s="34">
        <f t="shared" si="18"/>
        <v>-1.7699991582326267</v>
      </c>
      <c r="I70" s="34">
        <f t="shared" si="18"/>
        <v>-1.8297694256685042</v>
      </c>
      <c r="J70" s="34">
        <f t="shared" si="18"/>
        <v>-1.870127993674874</v>
      </c>
      <c r="K70" s="34">
        <f t="shared" si="18"/>
        <v>-1.8996542843554129</v>
      </c>
      <c r="L70" s="34">
        <f t="shared" si="18"/>
        <v>-1.9124325185267039</v>
      </c>
      <c r="M70" s="34">
        <f t="shared" si="18"/>
        <v>-1.9181516098430653</v>
      </c>
      <c r="N70" s="34">
        <f t="shared" si="18"/>
        <v>-1.9259278703097604</v>
      </c>
      <c r="O70" s="34">
        <f t="shared" si="18"/>
        <v>-1.9244718067203836</v>
      </c>
      <c r="P70" s="34">
        <f t="shared" si="18"/>
        <v>-1.8559700268630559</v>
      </c>
      <c r="Q70" s="34">
        <f t="shared" si="18"/>
        <v>-1.7785080820543206</v>
      </c>
      <c r="R70" s="34">
        <f t="shared" si="18"/>
        <v>-1.7063261305323181</v>
      </c>
      <c r="S70" s="34">
        <f t="shared" si="18"/>
        <v>-1.6373236667311548</v>
      </c>
      <c r="T70" s="34">
        <f t="shared" si="18"/>
        <v>-1.5718894789511164</v>
      </c>
      <c r="U70" s="34">
        <f t="shared" si="18"/>
        <v>-1.510122875975302</v>
      </c>
      <c r="V70" s="34">
        <f t="shared" si="18"/>
        <v>-1.4523157805882354</v>
      </c>
      <c r="W70" s="34">
        <f t="shared" si="18"/>
        <v>-1.3988900430125391</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19">D15</f>
        <v>5.1764349999999997</v>
      </c>
      <c r="E73" s="34">
        <f t="shared" si="19"/>
        <v>2.1420457294413482</v>
      </c>
      <c r="F73" s="34">
        <f t="shared" si="19"/>
        <v>2.543156615765406</v>
      </c>
      <c r="G73" s="34">
        <f t="shared" si="19"/>
        <v>1.2833361388111759</v>
      </c>
      <c r="H73" s="34">
        <f t="shared" si="19"/>
        <v>1.726862012716794</v>
      </c>
      <c r="I73" s="34">
        <f t="shared" si="19"/>
        <v>1.4444254457205716</v>
      </c>
      <c r="J73" s="34">
        <f t="shared" si="19"/>
        <v>1.3768241518246929</v>
      </c>
      <c r="K73" s="34">
        <f t="shared" si="19"/>
        <v>1.0241608740131771</v>
      </c>
      <c r="L73" s="34">
        <f t="shared" si="19"/>
        <v>1.0623847406019649</v>
      </c>
      <c r="M73" s="34">
        <f t="shared" si="19"/>
        <v>1.5229809999999999</v>
      </c>
      <c r="N73" s="34">
        <f t="shared" si="19"/>
        <v>1.526135</v>
      </c>
      <c r="O73" s="34">
        <f t="shared" si="19"/>
        <v>1.3735219999999999</v>
      </c>
      <c r="P73" s="34">
        <f t="shared" si="19"/>
        <v>1.2209080000000001</v>
      </c>
      <c r="Q73" s="34">
        <f t="shared" si="19"/>
        <v>1.068295</v>
      </c>
      <c r="R73" s="34">
        <f t="shared" si="19"/>
        <v>0.91568099999999997</v>
      </c>
      <c r="S73" s="34">
        <f t="shared" si="19"/>
        <v>0.76306750000000001</v>
      </c>
      <c r="T73" s="34">
        <f t="shared" si="19"/>
        <v>0.61045400000000005</v>
      </c>
      <c r="U73" s="34">
        <f t="shared" si="19"/>
        <v>0.45784049999999998</v>
      </c>
      <c r="V73" s="34">
        <f t="shared" si="19"/>
        <v>0.30522700000000003</v>
      </c>
      <c r="W73" s="34">
        <f t="shared" si="19"/>
        <v>0.15261350000000001</v>
      </c>
    </row>
    <row r="74" spans="2:23" outlineLevel="1" x14ac:dyDescent="0.2">
      <c r="B74" s="89" t="s">
        <v>121</v>
      </c>
      <c r="C74" s="49"/>
      <c r="D74" s="49">
        <f>+D72-D73</f>
        <v>0</v>
      </c>
      <c r="E74" s="49">
        <f t="shared" ref="E74:W74" si="20">+E72-E73</f>
        <v>0</v>
      </c>
      <c r="F74" s="49">
        <f t="shared" si="20"/>
        <v>0</v>
      </c>
      <c r="G74" s="49">
        <f t="shared" si="20"/>
        <v>0</v>
      </c>
      <c r="H74" s="49">
        <f t="shared" si="20"/>
        <v>0</v>
      </c>
      <c r="I74" s="49">
        <f t="shared" si="20"/>
        <v>0</v>
      </c>
      <c r="J74" s="49">
        <f t="shared" si="20"/>
        <v>0</v>
      </c>
      <c r="K74" s="49">
        <f t="shared" si="20"/>
        <v>0</v>
      </c>
      <c r="L74" s="49">
        <f t="shared" si="20"/>
        <v>0</v>
      </c>
      <c r="M74" s="49">
        <f t="shared" si="20"/>
        <v>0</v>
      </c>
      <c r="N74" s="49">
        <f t="shared" si="20"/>
        <v>0</v>
      </c>
      <c r="O74" s="49">
        <f t="shared" si="20"/>
        <v>0</v>
      </c>
      <c r="P74" s="49">
        <f t="shared" si="20"/>
        <v>0</v>
      </c>
      <c r="Q74" s="49">
        <f t="shared" si="20"/>
        <v>0</v>
      </c>
      <c r="R74" s="49">
        <f t="shared" si="20"/>
        <v>0</v>
      </c>
      <c r="S74" s="49">
        <f t="shared" si="20"/>
        <v>0</v>
      </c>
      <c r="T74" s="49">
        <f t="shared" si="20"/>
        <v>0</v>
      </c>
      <c r="U74" s="49">
        <f t="shared" si="20"/>
        <v>0</v>
      </c>
      <c r="V74" s="49">
        <f t="shared" si="20"/>
        <v>0</v>
      </c>
      <c r="W74" s="49">
        <f t="shared" si="20"/>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-0.36348994760516051</v>
      </c>
      <c r="E77" s="78">
        <f t="shared" ref="E77:W77" si="21">E59-E68</f>
        <v>-2.8496327454028076</v>
      </c>
      <c r="F77" s="78">
        <f t="shared" si="21"/>
        <v>-3.4893232864171475</v>
      </c>
      <c r="G77" s="78">
        <f>G59-G68</f>
        <v>-2.5761189763190715</v>
      </c>
      <c r="H77" s="78">
        <f t="shared" si="21"/>
        <v>-1.7767821513030453</v>
      </c>
      <c r="I77" s="78">
        <f t="shared" si="21"/>
        <v>-1.2375329446803582</v>
      </c>
      <c r="J77" s="78">
        <f t="shared" si="21"/>
        <v>-0.74998852769884106</v>
      </c>
      <c r="K77" s="78">
        <f t="shared" si="21"/>
        <v>-0.35171036386328969</v>
      </c>
      <c r="L77" s="78">
        <f t="shared" si="21"/>
        <v>1.7638574128559625E-2</v>
      </c>
      <c r="M77" s="78">
        <f t="shared" si="21"/>
        <v>0.36369253175048044</v>
      </c>
      <c r="N77" s="78">
        <f t="shared" si="21"/>
        <v>0.50188155673467616</v>
      </c>
      <c r="O77" s="78">
        <f t="shared" si="21"/>
        <v>0.68342811983928731</v>
      </c>
      <c r="P77" s="78">
        <f t="shared" si="21"/>
        <v>0.87958188441955221</v>
      </c>
      <c r="Q77" s="78">
        <f t="shared" si="21"/>
        <v>0.83245631391713348</v>
      </c>
      <c r="R77" s="78">
        <f t="shared" si="21"/>
        <v>0.68630921545145829</v>
      </c>
      <c r="S77" s="78">
        <f t="shared" si="21"/>
        <v>0.5169063738403894</v>
      </c>
      <c r="T77" s="78">
        <f t="shared" si="21"/>
        <v>0.33522783492688313</v>
      </c>
      <c r="U77" s="78">
        <f t="shared" si="21"/>
        <v>0.13239445725568721</v>
      </c>
      <c r="V77" s="78">
        <f t="shared" si="21"/>
        <v>-9.8517116769065716E-2</v>
      </c>
      <c r="W77" s="78">
        <f t="shared" si="21"/>
        <v>-0.3226162751346191</v>
      </c>
    </row>
    <row r="78" spans="2:23" ht="12" thickBot="1" x14ac:dyDescent="0.25">
      <c r="B78" s="26" t="s">
        <v>42</v>
      </c>
      <c r="D78" s="34">
        <f>D60-D68-D64-D65-D66</f>
        <v>-0.27838556264340553</v>
      </c>
      <c r="E78" s="34">
        <f t="shared" ref="E78:W78" si="22">E60-E68-E64-E65-E66</f>
        <v>-1.4704100690906696</v>
      </c>
      <c r="F78" s="34">
        <f t="shared" si="22"/>
        <v>-1.6290876998296837</v>
      </c>
      <c r="G78" s="34">
        <f t="shared" si="22"/>
        <v>-1.046224644221903</v>
      </c>
      <c r="H78" s="34">
        <f t="shared" si="22"/>
        <v>-0.4782517817151184</v>
      </c>
      <c r="I78" s="34">
        <f t="shared" si="22"/>
        <v>-0.23608504336030101</v>
      </c>
      <c r="J78" s="34">
        <f t="shared" si="22"/>
        <v>7.1158210355843465E-2</v>
      </c>
      <c r="K78" s="34">
        <f t="shared" si="22"/>
        <v>0.31547695924433006</v>
      </c>
      <c r="L78" s="34">
        <f t="shared" si="22"/>
        <v>0.58257807848905085</v>
      </c>
      <c r="M78" s="34">
        <f t="shared" si="22"/>
        <v>0.86064778081200188</v>
      </c>
      <c r="N78" s="34">
        <f t="shared" si="22"/>
        <v>0.83318505610902172</v>
      </c>
      <c r="O78" s="34">
        <f t="shared" si="22"/>
        <v>0.84907986952646319</v>
      </c>
      <c r="P78" s="34">
        <f t="shared" si="22"/>
        <v>0.87958188441955221</v>
      </c>
      <c r="Q78" s="34">
        <f t="shared" si="22"/>
        <v>0.92469897126632206</v>
      </c>
      <c r="R78" s="34">
        <f t="shared" si="22"/>
        <v>0.98829841717563283</v>
      </c>
      <c r="S78" s="34">
        <f t="shared" si="22"/>
        <v>1.0701489486490061</v>
      </c>
      <c r="T78" s="34">
        <f t="shared" si="22"/>
        <v>1.1663272571305916</v>
      </c>
      <c r="U78" s="34">
        <f t="shared" si="22"/>
        <v>1.2749433096512008</v>
      </c>
      <c r="V78" s="34">
        <f t="shared" si="22"/>
        <v>1.3800757891279753</v>
      </c>
      <c r="W78" s="34">
        <f t="shared" si="22"/>
        <v>1.4651654643587324</v>
      </c>
    </row>
    <row r="79" spans="2:23" ht="12" thickBot="1" x14ac:dyDescent="0.25">
      <c r="B79" s="35" t="s">
        <v>123</v>
      </c>
      <c r="C79" s="35"/>
      <c r="D79" s="281">
        <f>'Input data'!D45</f>
        <v>5.7681103325160432</v>
      </c>
      <c r="E79" s="281">
        <f>'Input data'!E45</f>
        <v>7.4830230810080138</v>
      </c>
      <c r="F79" s="281">
        <f>'Input data'!F45</f>
        <v>3.9912900392291735</v>
      </c>
      <c r="G79" s="431">
        <f>'Input data'!G33+G42-(G$12-F$12)/'Input data'!$C$64*100</f>
        <v>1.5881731969804143</v>
      </c>
      <c r="H79" s="432">
        <f>'Input data'!H33+H42-(H$12-G$12)/'Input data'!$C$64*100</f>
        <v>1.9260768663543977</v>
      </c>
      <c r="I79" s="432">
        <f>'Input data'!I33+I42-(I$12-H$12)/'Input data'!$C$64*100</f>
        <v>2.5941845793995375</v>
      </c>
      <c r="J79" s="433">
        <f>'Input data'!J33+J42-(J$12-I$12)/'Input data'!$C$64*100</f>
        <v>2.5732222253289665</v>
      </c>
      <c r="K79" s="49">
        <f>'Input data'!K33+K42-(K$12-J$12)/'Input data'!$C$64*100</f>
        <v>2.770476979863747</v>
      </c>
      <c r="L79" s="49">
        <f>'Input data'!L33+L42-(L$12-K$12)/'Input data'!$C$64*100</f>
        <v>2.8221106216750718</v>
      </c>
      <c r="M79" s="49">
        <f>'Input data'!M33+M42-(M$12-L$12)/'Input data'!$C$64*100</f>
        <v>2.8739261792508843</v>
      </c>
      <c r="N79" s="49">
        <f>'Input data'!N33+N42-(N$12-M$12)/'Input data'!$C$64*100</f>
        <v>3.4332844424241884</v>
      </c>
      <c r="O79" s="49">
        <f>'Input data'!O33+O42-(O$12-N$12)/'Input data'!$C$64*100</f>
        <v>3.4851000000000001</v>
      </c>
      <c r="P79" s="49">
        <f>'Input data'!P33+P42-(P$12-O$12)/'Input data'!$C$64*100</f>
        <v>3.4576000000000002</v>
      </c>
      <c r="Q79" s="49">
        <f>'Input data'!Q33+Q42-(Q$12-P$12)/'Input data'!$C$64*100</f>
        <v>3.4300999999999995</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2.4497386641218597</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3">IF(K57&lt;J57,0,1)</f>
        <v>0</v>
      </c>
      <c r="L83" s="257">
        <f t="shared" si="23"/>
        <v>0</v>
      </c>
      <c r="M83" s="257">
        <f t="shared" si="23"/>
        <v>0</v>
      </c>
      <c r="N83" s="257">
        <f t="shared" si="23"/>
        <v>0</v>
      </c>
      <c r="O83" s="257">
        <f t="shared" si="23"/>
        <v>0</v>
      </c>
      <c r="P83" s="257">
        <f t="shared" si="23"/>
        <v>0</v>
      </c>
      <c r="Q83" s="257">
        <f t="shared" si="23"/>
        <v>0</v>
      </c>
      <c r="R83" s="257">
        <f t="shared" si="23"/>
        <v>0</v>
      </c>
      <c r="S83" s="257">
        <f t="shared" si="23"/>
        <v>0</v>
      </c>
      <c r="T83" s="257">
        <f t="shared" si="23"/>
        <v>0</v>
      </c>
      <c r="U83" s="257">
        <f t="shared" si="23"/>
        <v>0</v>
      </c>
      <c r="V83" s="257">
        <f t="shared" si="23"/>
        <v>0</v>
      </c>
      <c r="W83" s="257">
        <f t="shared" si="23"/>
        <v>0</v>
      </c>
    </row>
    <row r="84" spans="2:23" x14ac:dyDescent="0.2">
      <c r="B84" s="26" t="s">
        <v>261</v>
      </c>
      <c r="F84" s="29">
        <f t="shared" ref="F84:W84" si="24">IF(F57&gt;90,1,0)</f>
        <v>0</v>
      </c>
      <c r="G84" s="29">
        <f t="shared" si="24"/>
        <v>0</v>
      </c>
      <c r="H84" s="29">
        <f t="shared" si="24"/>
        <v>0</v>
      </c>
      <c r="I84" s="29">
        <f t="shared" si="24"/>
        <v>0</v>
      </c>
      <c r="J84" s="29">
        <f t="shared" si="24"/>
        <v>0</v>
      </c>
      <c r="K84" s="29">
        <f t="shared" si="24"/>
        <v>0</v>
      </c>
      <c r="L84" s="29">
        <f t="shared" si="24"/>
        <v>0</v>
      </c>
      <c r="M84" s="29">
        <f t="shared" si="24"/>
        <v>0</v>
      </c>
      <c r="N84" s="29">
        <f t="shared" si="24"/>
        <v>0</v>
      </c>
      <c r="O84" s="29">
        <f t="shared" si="24"/>
        <v>0</v>
      </c>
      <c r="P84" s="29">
        <f t="shared" si="24"/>
        <v>0</v>
      </c>
      <c r="Q84" s="29">
        <f t="shared" si="24"/>
        <v>0</v>
      </c>
      <c r="R84" s="29">
        <f t="shared" si="24"/>
        <v>0</v>
      </c>
      <c r="S84" s="29">
        <f t="shared" si="24"/>
        <v>0</v>
      </c>
      <c r="T84" s="29">
        <f t="shared" si="24"/>
        <v>0</v>
      </c>
      <c r="U84" s="29">
        <f t="shared" si="24"/>
        <v>0</v>
      </c>
      <c r="V84" s="29">
        <f t="shared" si="24"/>
        <v>0</v>
      </c>
      <c r="W84" s="29">
        <f t="shared" si="24"/>
        <v>0</v>
      </c>
    </row>
    <row r="85" spans="2:23" x14ac:dyDescent="0.2">
      <c r="B85" s="26" t="s">
        <v>262</v>
      </c>
      <c r="F85" s="29">
        <f t="shared" ref="F85:W85" si="25">IF(AND(F57&gt;60,F57&lt;=90),1,0)</f>
        <v>1</v>
      </c>
      <c r="G85" s="29">
        <f t="shared" si="25"/>
        <v>1</v>
      </c>
      <c r="H85" s="29">
        <f t="shared" si="25"/>
        <v>1</v>
      </c>
      <c r="I85" s="29">
        <f t="shared" si="25"/>
        <v>1</v>
      </c>
      <c r="J85" s="29">
        <f t="shared" si="25"/>
        <v>1</v>
      </c>
      <c r="K85" s="29">
        <f t="shared" si="25"/>
        <v>1</v>
      </c>
      <c r="L85" s="29">
        <f t="shared" si="25"/>
        <v>1</v>
      </c>
      <c r="M85" s="29">
        <f t="shared" si="25"/>
        <v>1</v>
      </c>
      <c r="N85" s="29">
        <f t="shared" si="25"/>
        <v>1</v>
      </c>
      <c r="O85" s="29">
        <f t="shared" si="25"/>
        <v>1</v>
      </c>
      <c r="P85" s="29">
        <f t="shared" si="25"/>
        <v>1</v>
      </c>
      <c r="Q85" s="29">
        <f t="shared" si="25"/>
        <v>1</v>
      </c>
      <c r="R85" s="29">
        <f t="shared" si="25"/>
        <v>1</v>
      </c>
      <c r="S85" s="29">
        <f t="shared" si="25"/>
        <v>1</v>
      </c>
      <c r="T85" s="29">
        <f t="shared" si="25"/>
        <v>1</v>
      </c>
      <c r="U85" s="29">
        <f t="shared" si="25"/>
        <v>1</v>
      </c>
      <c r="V85" s="29">
        <f t="shared" si="25"/>
        <v>1</v>
      </c>
      <c r="W85" s="29">
        <f t="shared" si="25"/>
        <v>0</v>
      </c>
    </row>
    <row r="86" spans="2:23" x14ac:dyDescent="0.2">
      <c r="B86" s="26" t="s">
        <v>263</v>
      </c>
      <c r="F86" s="29">
        <f t="shared" ref="F86:W86" si="26">IF(F57&gt;60,1,0)</f>
        <v>1</v>
      </c>
      <c r="G86" s="29">
        <f t="shared" si="26"/>
        <v>1</v>
      </c>
      <c r="H86" s="29">
        <f t="shared" si="26"/>
        <v>1</v>
      </c>
      <c r="I86" s="29">
        <f t="shared" si="26"/>
        <v>1</v>
      </c>
      <c r="J86" s="29">
        <f t="shared" si="26"/>
        <v>1</v>
      </c>
      <c r="K86" s="29">
        <f t="shared" si="26"/>
        <v>1</v>
      </c>
      <c r="L86" s="29">
        <f t="shared" si="26"/>
        <v>1</v>
      </c>
      <c r="M86" s="29">
        <f t="shared" si="26"/>
        <v>1</v>
      </c>
      <c r="N86" s="29">
        <f t="shared" si="26"/>
        <v>1</v>
      </c>
      <c r="O86" s="29">
        <f t="shared" si="26"/>
        <v>1</v>
      </c>
      <c r="P86" s="29">
        <f t="shared" si="26"/>
        <v>1</v>
      </c>
      <c r="Q86" s="29">
        <f t="shared" si="26"/>
        <v>1</v>
      </c>
      <c r="R86" s="29">
        <f t="shared" si="26"/>
        <v>1</v>
      </c>
      <c r="S86" s="29">
        <f t="shared" si="26"/>
        <v>1</v>
      </c>
      <c r="T86" s="29">
        <f t="shared" si="26"/>
        <v>1</v>
      </c>
      <c r="U86" s="29">
        <f t="shared" si="26"/>
        <v>1</v>
      </c>
      <c r="V86" s="29">
        <f t="shared" si="26"/>
        <v>1</v>
      </c>
      <c r="W86" s="29">
        <f t="shared" si="26"/>
        <v>0</v>
      </c>
    </row>
    <row r="87" spans="2:23" x14ac:dyDescent="0.2">
      <c r="B87" s="26" t="s">
        <v>264</v>
      </c>
      <c r="F87" s="360">
        <f>'Input data'!F17</f>
        <v>0</v>
      </c>
      <c r="G87" s="29">
        <f>IF(F87=0,0,IF(AND(E77&gt;-3.05,F77&gt;-3.05),0,1))</f>
        <v>0</v>
      </c>
      <c r="H87" s="29">
        <f t="shared" ref="H87:W87" si="27">IF(G87=0,0,IF(AND(F77&gt;-3.05,G77&gt;-3.05),0,1))</f>
        <v>0</v>
      </c>
      <c r="I87" s="29">
        <f t="shared" si="27"/>
        <v>0</v>
      </c>
      <c r="J87" s="29">
        <f t="shared" si="27"/>
        <v>0</v>
      </c>
      <c r="K87" s="29">
        <f t="shared" si="27"/>
        <v>0</v>
      </c>
      <c r="L87" s="29">
        <f t="shared" si="27"/>
        <v>0</v>
      </c>
      <c r="M87" s="29">
        <f t="shared" si="27"/>
        <v>0</v>
      </c>
      <c r="N87" s="29">
        <f t="shared" si="27"/>
        <v>0</v>
      </c>
      <c r="O87" s="29">
        <f t="shared" si="27"/>
        <v>0</v>
      </c>
      <c r="P87" s="29">
        <f t="shared" si="27"/>
        <v>0</v>
      </c>
      <c r="Q87" s="29">
        <f t="shared" si="27"/>
        <v>0</v>
      </c>
      <c r="R87" s="29">
        <f t="shared" si="27"/>
        <v>0</v>
      </c>
      <c r="S87" s="29">
        <f t="shared" si="27"/>
        <v>0</v>
      </c>
      <c r="T87" s="29">
        <f t="shared" si="27"/>
        <v>0</v>
      </c>
      <c r="U87" s="29">
        <f t="shared" si="27"/>
        <v>0</v>
      </c>
      <c r="V87" s="29">
        <f t="shared" si="27"/>
        <v>0</v>
      </c>
      <c r="W87" s="29">
        <f t="shared" si="27"/>
        <v>0</v>
      </c>
    </row>
    <row r="88" spans="2:23" x14ac:dyDescent="0.2">
      <c r="B88" s="26" t="s">
        <v>259</v>
      </c>
      <c r="F88" s="29">
        <f t="shared" ref="F88:W88" si="28">IF(F78&gt;=-1.55,1,0)</f>
        <v>0</v>
      </c>
      <c r="G88" s="29">
        <f t="shared" si="28"/>
        <v>1</v>
      </c>
      <c r="H88" s="29">
        <f t="shared" si="28"/>
        <v>1</v>
      </c>
      <c r="I88" s="29">
        <f t="shared" si="28"/>
        <v>1</v>
      </c>
      <c r="J88" s="29">
        <f t="shared" si="28"/>
        <v>1</v>
      </c>
      <c r="K88" s="29">
        <f t="shared" si="28"/>
        <v>1</v>
      </c>
      <c r="L88" s="29">
        <f t="shared" si="28"/>
        <v>1</v>
      </c>
      <c r="M88" s="29">
        <f t="shared" si="28"/>
        <v>1</v>
      </c>
      <c r="N88" s="29">
        <f t="shared" si="28"/>
        <v>1</v>
      </c>
      <c r="O88" s="29">
        <f t="shared" si="28"/>
        <v>1</v>
      </c>
      <c r="P88" s="29">
        <f t="shared" si="28"/>
        <v>1</v>
      </c>
      <c r="Q88" s="29">
        <f t="shared" si="28"/>
        <v>1</v>
      </c>
      <c r="R88" s="29">
        <f t="shared" si="28"/>
        <v>1</v>
      </c>
      <c r="S88" s="29">
        <f t="shared" si="28"/>
        <v>1</v>
      </c>
      <c r="T88" s="29">
        <f t="shared" si="28"/>
        <v>1</v>
      </c>
      <c r="U88" s="29">
        <f t="shared" si="28"/>
        <v>1</v>
      </c>
      <c r="V88" s="29">
        <f t="shared" si="28"/>
        <v>1</v>
      </c>
      <c r="W88" s="29">
        <f t="shared" si="28"/>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1.2546443552845774</v>
      </c>
      <c r="G90" s="34">
        <f>F57*G36/100*(1/((1+'Input data'!G30/100)*(1+G42/100)))</f>
        <v>1.4806177964252447</v>
      </c>
      <c r="H90" s="34">
        <f>G57*H36/100*(1/((1+'Input data'!H30/100)*(1+H42/100)))</f>
        <v>1.5701129540611083</v>
      </c>
      <c r="I90" s="34">
        <f>H57*I36/100*(1/((1+'Input data'!I30/100)*(1+I42/100)))</f>
        <v>1.6476251480873281</v>
      </c>
      <c r="J90" s="34">
        <f>I57*J36/100*(1/((1+'Input data'!J30/100)*(1+J42/100)))</f>
        <v>1.6975094113670268</v>
      </c>
      <c r="K90" s="34">
        <f>J57*K36/100*(1/((1+'Input data'!K30/100)*(1+K42/100)))</f>
        <v>1.7464362005525329</v>
      </c>
      <c r="L90" s="34">
        <f>K57*L36/100*(1/((1+'Input data'!L30/100)*(1+L42/100)))</f>
        <v>1.7573339124147116</v>
      </c>
      <c r="M90" s="34">
        <f>L57*M36/100*(1/((1+'Input data'!M30/100)*(1+M42/100)))</f>
        <v>1.7586868448273736</v>
      </c>
      <c r="N90" s="34">
        <f>M57*N36/100*(1/((1+'Input data'!N30/100)*(1+N42/100)))</f>
        <v>1.7628730844649974</v>
      </c>
      <c r="O90" s="34">
        <f>N57*O36/100*(1/((1+'Input data'!O30/100)*(1+O42/100)))</f>
        <v>1.7574602176651632</v>
      </c>
      <c r="P90" s="34">
        <f>O57*P36/100*(1/((1+'Input data'!P30/100)*(1+P42/100)))</f>
        <v>1.7400793289703318</v>
      </c>
      <c r="Q90" s="34">
        <f>P57*Q36/100*(1/((1+'Input data'!Q30/100)*(1+Q42/100)))</f>
        <v>1.7089070209019017</v>
      </c>
      <c r="R90" s="34">
        <f>Q57*R36/100*(1/((1+'Input data'!R30/100)*(1+R42/100)))</f>
        <v>1.679397574992586</v>
      </c>
      <c r="S90" s="34">
        <f>R57*S36/100*(1/((1+'Input data'!S30/100)*(1+S42/100)))</f>
        <v>1.6505680435192125</v>
      </c>
      <c r="T90" s="34">
        <f>S57*T36/100*(1/((1+'Input data'!T30/100)*(1+T42/100)))</f>
        <v>1.6231497350376276</v>
      </c>
      <c r="U90" s="34">
        <f>T57*U36/100*(1/((1+'Input data'!U30/100)*(1+U42/100)))</f>
        <v>1.5975136825170171</v>
      </c>
      <c r="V90" s="34">
        <f>U57*V36/100*(1/((1+'Input data'!V30/100)*(1+V42/100)))</f>
        <v>1.5743212030402451</v>
      </c>
      <c r="W90" s="34">
        <f>V57*W36/100*(1/((1+'Input data'!W30/100)*(1+W42/100)))</f>
        <v>1.5544615278094873</v>
      </c>
    </row>
    <row r="91" spans="2:23" x14ac:dyDescent="0.2">
      <c r="B91" s="32" t="s">
        <v>260</v>
      </c>
      <c r="F91" s="34"/>
      <c r="G91" s="34">
        <f>G90-F90</f>
        <v>0.22597344114066731</v>
      </c>
      <c r="H91" s="34">
        <f t="shared" ref="H91:W91" si="29">H90-G90</f>
        <v>8.9495157635863576E-2</v>
      </c>
      <c r="I91" s="34">
        <f t="shared" si="29"/>
        <v>7.7512194026219783E-2</v>
      </c>
      <c r="J91" s="34">
        <f t="shared" si="29"/>
        <v>4.9884263279698748E-2</v>
      </c>
      <c r="K91" s="34">
        <f t="shared" si="29"/>
        <v>4.8926789185506081E-2</v>
      </c>
      <c r="L91" s="34">
        <f t="shared" si="29"/>
        <v>1.0897711862178694E-2</v>
      </c>
      <c r="M91" s="34">
        <f t="shared" si="29"/>
        <v>1.352932412661989E-3</v>
      </c>
      <c r="N91" s="34">
        <f t="shared" si="29"/>
        <v>4.1862396376237676E-3</v>
      </c>
      <c r="O91" s="34">
        <f t="shared" si="29"/>
        <v>-5.412866799834104E-3</v>
      </c>
      <c r="P91" s="34">
        <f t="shared" si="29"/>
        <v>-1.7380888694831453E-2</v>
      </c>
      <c r="Q91" s="34">
        <f t="shared" si="29"/>
        <v>-3.1172308068430077E-2</v>
      </c>
      <c r="R91" s="34">
        <f t="shared" si="29"/>
        <v>-2.9509445909315701E-2</v>
      </c>
      <c r="S91" s="34">
        <f t="shared" si="29"/>
        <v>-2.8829531473373526E-2</v>
      </c>
      <c r="T91" s="34">
        <f t="shared" si="29"/>
        <v>-2.7418308481584885E-2</v>
      </c>
      <c r="U91" s="34">
        <f t="shared" si="29"/>
        <v>-2.5636052520610519E-2</v>
      </c>
      <c r="V91" s="34">
        <f t="shared" si="29"/>
        <v>-2.3192479476771943E-2</v>
      </c>
      <c r="W91" s="34">
        <f t="shared" si="29"/>
        <v>-1.9859675230757823E-2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0">IF((D100-C100*D43/((1+D24/100)*(1+D42/100)))&gt;0,1,0)</f>
        <v>1</v>
      </c>
      <c r="E95" s="29">
        <f t="shared" si="30"/>
        <v>1</v>
      </c>
      <c r="F95" s="29">
        <f t="shared" si="30"/>
        <v>1</v>
      </c>
      <c r="G95" s="29">
        <f t="shared" si="30"/>
        <v>1</v>
      </c>
      <c r="H95" s="29">
        <f t="shared" si="30"/>
        <v>1</v>
      </c>
      <c r="I95" s="29">
        <f t="shared" si="30"/>
        <v>1</v>
      </c>
      <c r="J95" s="29">
        <f t="shared" si="30"/>
        <v>1</v>
      </c>
      <c r="K95" s="29">
        <f t="shared" si="30"/>
        <v>1</v>
      </c>
      <c r="L95" s="29">
        <f t="shared" si="30"/>
        <v>1</v>
      </c>
      <c r="M95" s="29">
        <f t="shared" si="30"/>
        <v>1</v>
      </c>
      <c r="N95" s="29">
        <f t="shared" si="30"/>
        <v>1</v>
      </c>
      <c r="O95" s="29">
        <f t="shared" si="30"/>
        <v>1</v>
      </c>
      <c r="P95" s="29">
        <f t="shared" si="30"/>
        <v>1</v>
      </c>
      <c r="Q95" s="29">
        <f t="shared" si="30"/>
        <v>1</v>
      </c>
      <c r="R95" s="29">
        <f t="shared" si="30"/>
        <v>1</v>
      </c>
      <c r="S95" s="29">
        <f t="shared" si="30"/>
        <v>1</v>
      </c>
      <c r="T95" s="29">
        <f t="shared" si="30"/>
        <v>1</v>
      </c>
      <c r="U95" s="29">
        <f t="shared" si="30"/>
        <v>1</v>
      </c>
      <c r="V95" s="29">
        <f t="shared" si="30"/>
        <v>1</v>
      </c>
      <c r="W95" s="29">
        <f t="shared" si="30"/>
        <v>1</v>
      </c>
    </row>
    <row r="96" spans="2:23" x14ac:dyDescent="0.2">
      <c r="B96" s="26" t="s">
        <v>126</v>
      </c>
      <c r="D96" s="29">
        <f t="shared" ref="D96:W96" si="31">IF(AND(D95=0,ABS(D100-C100*D43/((1+D24/100)*(1+D42/100)))&lt;((C106*C100*D43/((1+D24/100)*(1+D42/100))+(D39*C100*C107*D43/((1+D24/100)*(1+D42/100)))))),1,0)</f>
        <v>0</v>
      </c>
      <c r="E96" s="29">
        <f t="shared" si="31"/>
        <v>0</v>
      </c>
      <c r="F96" s="29">
        <f t="shared" si="31"/>
        <v>0</v>
      </c>
      <c r="G96" s="29">
        <f t="shared" si="31"/>
        <v>0</v>
      </c>
      <c r="H96" s="29">
        <f t="shared" si="31"/>
        <v>0</v>
      </c>
      <c r="I96" s="29">
        <f t="shared" si="31"/>
        <v>0</v>
      </c>
      <c r="J96" s="29">
        <f t="shared" si="31"/>
        <v>0</v>
      </c>
      <c r="K96" s="29">
        <f t="shared" si="31"/>
        <v>0</v>
      </c>
      <c r="L96" s="29">
        <f t="shared" si="31"/>
        <v>0</v>
      </c>
      <c r="M96" s="29">
        <f t="shared" si="31"/>
        <v>0</v>
      </c>
      <c r="N96" s="29">
        <f t="shared" si="31"/>
        <v>0</v>
      </c>
      <c r="O96" s="29">
        <f t="shared" si="31"/>
        <v>0</v>
      </c>
      <c r="P96" s="29">
        <f t="shared" si="31"/>
        <v>0</v>
      </c>
      <c r="Q96" s="29">
        <f t="shared" si="31"/>
        <v>0</v>
      </c>
      <c r="R96" s="29">
        <f t="shared" si="31"/>
        <v>0</v>
      </c>
      <c r="S96" s="29">
        <f t="shared" si="31"/>
        <v>0</v>
      </c>
      <c r="T96" s="29">
        <f t="shared" si="31"/>
        <v>0</v>
      </c>
      <c r="U96" s="29">
        <f t="shared" si="31"/>
        <v>0</v>
      </c>
      <c r="V96" s="29">
        <f t="shared" si="31"/>
        <v>0</v>
      </c>
      <c r="W96" s="29">
        <f t="shared" si="31"/>
        <v>0</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76.572506382321123</v>
      </c>
      <c r="F100" s="110">
        <f>F57</f>
        <v>81.499592121832151</v>
      </c>
      <c r="G100" s="110">
        <f>G57</f>
        <v>82.691974321260318</v>
      </c>
      <c r="H100" s="110">
        <f t="shared" ref="H100:W100" si="32">G100*(1+H113/100)*H43-H60-H61+H62+H63+H64+H65+H66+H72</f>
        <v>83.548495148459892</v>
      </c>
      <c r="I100" s="110">
        <f t="shared" si="32"/>
        <v>83.502231597206048</v>
      </c>
      <c r="J100" s="110">
        <f t="shared" si="32"/>
        <v>82.98659064263623</v>
      </c>
      <c r="K100" s="110">
        <f t="shared" si="32"/>
        <v>81.778372305509691</v>
      </c>
      <c r="L100" s="110">
        <f t="shared" si="32"/>
        <v>80.326261757219726</v>
      </c>
      <c r="M100" s="110">
        <f t="shared" si="32"/>
        <v>79.019029468559978</v>
      </c>
      <c r="N100" s="110">
        <f t="shared" si="32"/>
        <v>77.393954423206026</v>
      </c>
      <c r="O100" s="110">
        <f t="shared" si="32"/>
        <v>75.432581597251783</v>
      </c>
      <c r="P100" s="110">
        <f t="shared" si="32"/>
        <v>73.061397142347715</v>
      </c>
      <c r="Q100" s="110">
        <f t="shared" si="32"/>
        <v>70.858347631335462</v>
      </c>
      <c r="R100" s="110">
        <f t="shared" si="32"/>
        <v>68.740752631122717</v>
      </c>
      <c r="S100" s="110">
        <f t="shared" si="32"/>
        <v>66.727930057235724</v>
      </c>
      <c r="T100" s="110">
        <f t="shared" si="32"/>
        <v>64.827643881229037</v>
      </c>
      <c r="U100" s="110">
        <f t="shared" si="32"/>
        <v>63.056378583906806</v>
      </c>
      <c r="V100" s="110">
        <f t="shared" si="32"/>
        <v>61.437089313936987</v>
      </c>
      <c r="W100" s="110">
        <f t="shared" si="32"/>
        <v>59.957219814155799</v>
      </c>
    </row>
    <row r="101" spans="2:23" x14ac:dyDescent="0.2">
      <c r="B101" s="26" t="s">
        <v>127</v>
      </c>
      <c r="C101" s="34"/>
      <c r="D101" s="253">
        <f>'Input data'!C66*$D$100</f>
        <v>59.051128502792025</v>
      </c>
      <c r="E101" s="34">
        <f t="shared" ref="E101:W101" si="33">IF(E100=0,0,IF(E95=1,D100*E43/((1+E24/100)*(1+E42/100))-E102-E103,IF(AND(E95=0,E96=1),(1-D106-E39*D107)*D100*E43/((1+E24/100)*(1+E42/100)),E100)))</f>
        <v>61.999403317237508</v>
      </c>
      <c r="F101" s="34">
        <f t="shared" si="33"/>
        <v>65.885197792321179</v>
      </c>
      <c r="G101" s="34">
        <f t="shared" si="33"/>
        <v>68.714053963417953</v>
      </c>
      <c r="H101" s="34">
        <f t="shared" si="33"/>
        <v>69.682392406462426</v>
      </c>
      <c r="I101" s="34">
        <f t="shared" si="33"/>
        <v>70.279962219520144</v>
      </c>
      <c r="J101" s="34">
        <f t="shared" si="33"/>
        <v>70.244397055795176</v>
      </c>
      <c r="K101" s="34">
        <f t="shared" si="33"/>
        <v>69.782365639126894</v>
      </c>
      <c r="L101" s="34">
        <f t="shared" si="33"/>
        <v>68.751255827224696</v>
      </c>
      <c r="M101" s="34">
        <f t="shared" si="33"/>
        <v>67.463557876193818</v>
      </c>
      <c r="N101" s="34">
        <f t="shared" si="33"/>
        <v>66.117934287460315</v>
      </c>
      <c r="O101" s="34">
        <f t="shared" si="33"/>
        <v>64.656679390896073</v>
      </c>
      <c r="P101" s="34">
        <f t="shared" si="33"/>
        <v>62.902443617775027</v>
      </c>
      <c r="Q101" s="34">
        <f t="shared" si="33"/>
        <v>61.085742370292699</v>
      </c>
      <c r="R101" s="34">
        <f t="shared" si="33"/>
        <v>59.258100726431906</v>
      </c>
      <c r="S101" s="34">
        <f t="shared" si="33"/>
        <v>57.501063310682795</v>
      </c>
      <c r="T101" s="34">
        <f t="shared" si="33"/>
        <v>55.830681870803652</v>
      </c>
      <c r="U101" s="34">
        <f t="shared" si="33"/>
        <v>54.253452800114445</v>
      </c>
      <c r="V101" s="34">
        <f t="shared" si="33"/>
        <v>52.783103352912562</v>
      </c>
      <c r="W101" s="34">
        <f t="shared" si="33"/>
        <v>51.438769511961638</v>
      </c>
    </row>
    <row r="102" spans="2:23" x14ac:dyDescent="0.2">
      <c r="B102" s="105" t="s">
        <v>128</v>
      </c>
      <c r="C102" s="34"/>
      <c r="D102" s="253">
        <f>'Input data'!C67*$D$100</f>
        <v>2.5660693694891989</v>
      </c>
      <c r="E102" s="34">
        <f t="shared" ref="E102:W102" si="34">IF(E100=0,0,IF(E95=1,E39*D100*D107*E43/((1+E24/100)*(1+E42/100)),IF(AND(E95=0,E96=1),(E39*D100*D107*E43/((1+E24/100)*(1+E42/100)))*(1-ABS(E100-D100*E43/((1+E24/100)*(1+E42/100)))/((E39*D100*D107*E43/((1+E24/100)*(1+E42/100)))+(D106*D100*E43/((1+E24/100)*(1+E42/100))))),0)))</f>
        <v>2.5449751617705147</v>
      </c>
      <c r="F102" s="34">
        <f t="shared" si="34"/>
        <v>2.1622470266405025</v>
      </c>
      <c r="G102" s="34">
        <f t="shared" si="34"/>
        <v>2.304586689764875</v>
      </c>
      <c r="H102" s="34">
        <f t="shared" si="34"/>
        <v>2.3873323754012765</v>
      </c>
      <c r="I102" s="34">
        <f t="shared" si="34"/>
        <v>2.458575924672366</v>
      </c>
      <c r="J102" s="34">
        <f t="shared" si="34"/>
        <v>2.5081476988808542</v>
      </c>
      <c r="K102" s="34">
        <f t="shared" si="34"/>
        <v>2.5422027111874494</v>
      </c>
      <c r="L102" s="34">
        <f t="shared" si="34"/>
        <v>2.5545139918715618</v>
      </c>
      <c r="M102" s="34">
        <f t="shared" si="34"/>
        <v>2.5556779106851608</v>
      </c>
      <c r="N102" s="34">
        <f t="shared" si="34"/>
        <v>2.5528018048811036</v>
      </c>
      <c r="O102" s="34">
        <f t="shared" si="34"/>
        <v>2.543485239146694</v>
      </c>
      <c r="P102" s="34">
        <f t="shared" si="34"/>
        <v>2.4744765483671807</v>
      </c>
      <c r="Q102" s="34">
        <f t="shared" si="34"/>
        <v>2.4030105706763858</v>
      </c>
      <c r="R102" s="34">
        <f t="shared" si="34"/>
        <v>2.3311142161558309</v>
      </c>
      <c r="S102" s="34">
        <f t="shared" si="34"/>
        <v>2.2619953134579669</v>
      </c>
      <c r="T102" s="34">
        <f t="shared" si="34"/>
        <v>2.1962853113962861</v>
      </c>
      <c r="U102" s="34">
        <f t="shared" si="34"/>
        <v>2.1342397671796136</v>
      </c>
      <c r="V102" s="34">
        <f t="shared" si="34"/>
        <v>2.0763986879504186</v>
      </c>
      <c r="W102" s="34">
        <f t="shared" si="34"/>
        <v>2.0235148511503263</v>
      </c>
    </row>
    <row r="103" spans="2:23" x14ac:dyDescent="0.2">
      <c r="B103" s="105" t="s">
        <v>129</v>
      </c>
      <c r="C103" s="34"/>
      <c r="D103" s="253">
        <f>'Input data'!C68*$D$100</f>
        <v>6.679115961728173</v>
      </c>
      <c r="E103" s="34">
        <f t="shared" ref="E103:W103" si="35">IF(E100=0,0,IF(E95=1,(1-D107)*D100*E43/((1+E24/100)*(1+E42/100)),IF(AND(E95=0,E96=1),(D106*D100*E43/((1+E24/100)*(1+E42/100)))*(1-ABS(E100-D100*E43/((1+E24/100)*(1+E42/100)))/((E39*D100*D107*E43/((1+E24/100)*(1+E42/100)))+(D106*D100*E43/((1+E24/100)*(1+E42/100))))),0)))</f>
        <v>6.9964135836832329</v>
      </c>
      <c r="F103" s="34">
        <f t="shared" si="35"/>
        <v>7.4338450593811274</v>
      </c>
      <c r="G103" s="34">
        <f t="shared" si="35"/>
        <v>7.8217689717274936</v>
      </c>
      <c r="H103" s="34">
        <f t="shared" si="35"/>
        <v>7.975126202576365</v>
      </c>
      <c r="I103" s="34">
        <f t="shared" si="35"/>
        <v>8.0817350626126085</v>
      </c>
      <c r="J103" s="34">
        <f t="shared" si="35"/>
        <v>8.1072332084366661</v>
      </c>
      <c r="K103" s="34">
        <f t="shared" si="35"/>
        <v>8.0779327173188911</v>
      </c>
      <c r="L103" s="34">
        <f t="shared" si="35"/>
        <v>7.9757457716500575</v>
      </c>
      <c r="M103" s="34">
        <f t="shared" si="35"/>
        <v>7.8405052134314781</v>
      </c>
      <c r="N103" s="34">
        <f t="shared" si="35"/>
        <v>7.6989648875992867</v>
      </c>
      <c r="O103" s="34">
        <f t="shared" si="35"/>
        <v>7.5423230870483176</v>
      </c>
      <c r="P103" s="34">
        <f t="shared" si="35"/>
        <v>7.343150860625081</v>
      </c>
      <c r="Q103" s="34">
        <f t="shared" si="35"/>
        <v>7.1337560042835024</v>
      </c>
      <c r="R103" s="34">
        <f t="shared" si="35"/>
        <v>6.9221659039864507</v>
      </c>
      <c r="S103" s="34">
        <f t="shared" si="35"/>
        <v>6.7187103069353391</v>
      </c>
      <c r="T103" s="34">
        <f t="shared" si="35"/>
        <v>6.525450533955989</v>
      </c>
      <c r="U103" s="34">
        <f t="shared" si="35"/>
        <v>6.3432399738684273</v>
      </c>
      <c r="V103" s="34">
        <f t="shared" si="35"/>
        <v>6.1738431563049332</v>
      </c>
      <c r="W103" s="34">
        <f t="shared" si="35"/>
        <v>6.0197056759092193</v>
      </c>
    </row>
    <row r="104" spans="2:23" x14ac:dyDescent="0.2">
      <c r="B104" s="105" t="s">
        <v>130</v>
      </c>
      <c r="C104" s="34"/>
      <c r="D104" s="253">
        <f>'Input data'!C69*$D$100</f>
        <v>4.7052606775120811</v>
      </c>
      <c r="E104" s="34">
        <f>IF(E100=0,0,IF(E95=1,'Input data'!$C$58*(E100-D100*E43/((1+E24/100)*(1+E42/100))),0))</f>
        <v>4.4868133712998963</v>
      </c>
      <c r="F104" s="34">
        <f>IF(F100=0,0,IF(F95=1,'Input data'!$C$58*(F100-E100*F43/((1+F24/100)*(1+F42/100))),0))</f>
        <v>5.3665604331444801</v>
      </c>
      <c r="G104" s="34">
        <f>IF(G100=0,0,IF(G95=1,'Input data'!$C$58*(G100-F100*G43/((1+G24/100)*(1+G42/100))),0))</f>
        <v>3.4344660452187568</v>
      </c>
      <c r="H104" s="34">
        <f>IF(H100=0,0,IF(H95=1,'Input data'!$C$58*(H100-G100*H43/((1+H24/100)*(1+H42/100))),0))</f>
        <v>3.1242229754723829</v>
      </c>
      <c r="I104" s="34">
        <f>IF(I100=0,0,IF(I95=1,'Input data'!$C$58*(I100-H100*I43/((1+I24/100)*(1+I42/100))),0))</f>
        <v>2.3915202658417303</v>
      </c>
      <c r="J104" s="34">
        <f>IF(J100=0,0,IF(J95=1,'Input data'!$C$58*(J100-I100*J43/((1+J24/100)*(1+J42/100))),0))</f>
        <v>1.8964931159760925</v>
      </c>
      <c r="K104" s="34">
        <f>IF(K100=0,0,IF(K95=1,'Input data'!$C$58*(K100-J100*K43/((1+K24/100)*(1+K42/100))),0))</f>
        <v>1.2268736011517394</v>
      </c>
      <c r="L104" s="34">
        <f>IF(L100=0,0,IF(L95=1,'Input data'!$C$58*(L100-K100*L43/((1+L24/100)*(1+L42/100))),0))</f>
        <v>0.93160715644366066</v>
      </c>
      <c r="M104" s="34">
        <f>IF(M100=0,0,IF(M95=1,'Input data'!$C$58*(M100-L100*M43/((1+M24/100)*(1+M42/100))),0))</f>
        <v>1.0337452943708287</v>
      </c>
      <c r="N104" s="34">
        <f>IF(N100=0,0,IF(N95=1,'Input data'!$C$58*(N100-M100*N43/((1+N24/100)*(1+N42/100))),0))</f>
        <v>0.91333365785775833</v>
      </c>
      <c r="O104" s="34">
        <f>IF(O100=0,0,IF(O95=1,'Input data'!$C$58*(O100-N100*O43/((1+O24/100)*(1+O42/100))),0))</f>
        <v>0.61536133656829561</v>
      </c>
      <c r="P104" s="34">
        <f>IF(P100=0,0,IF(P95=1,'Input data'!$C$58*(P100-O100*P43/((1+P24/100)*(1+P42/100))),0))</f>
        <v>0.30436278414804313</v>
      </c>
      <c r="Q104" s="34">
        <f>IF(Q100=0,0,IF(Q95=1,'Input data'!$C$58*(Q100-P100*Q43/((1+Q24/100)*(1+Q42/100))),0))</f>
        <v>0.21029893649929338</v>
      </c>
      <c r="R104" s="34">
        <f>IF(R100=0,0,IF(R95=1,'Input data'!$C$58*(R100-Q100*R43/((1+R24/100)*(1+R42/100))),0))</f>
        <v>0.20453235707288356</v>
      </c>
      <c r="S104" s="34">
        <f>IF(S100=0,0,IF(S95=1,'Input data'!$C$58*(S100-R100*S43/((1+S24/100)*(1+S42/100))),0))</f>
        <v>0.21950352547607876</v>
      </c>
      <c r="T104" s="34">
        <f>IF(T100=0,0,IF(T95=1,'Input data'!$C$58*(T100-S100*T43/((1+T24/100)*(1+T42/100))),0))</f>
        <v>0.24542101541099562</v>
      </c>
      <c r="U104" s="34">
        <f>IF(U100=0,0,IF(U95=1,'Input data'!$C$58*(U100-T100*U43/((1+U24/100)*(1+U42/100))),0))</f>
        <v>0.29020241680359454</v>
      </c>
      <c r="V104" s="34">
        <f>IF(V100=0,0,IF(V95=1,'Input data'!$C$58*(V100-U100*V43/((1+V24/100)*(1+V42/100))),0))</f>
        <v>0.36002133400856728</v>
      </c>
      <c r="W104" s="34">
        <f>IF(W100=0,0,IF(W95=1,'Input data'!$C$58*(W100-V100*W43/((1+W24/100)*(1+W42/100))),0))</f>
        <v>0.42376557452702945</v>
      </c>
    </row>
    <row r="105" spans="2:23" x14ac:dyDescent="0.2">
      <c r="B105" s="107" t="s">
        <v>131</v>
      </c>
      <c r="C105" s="49"/>
      <c r="D105" s="254">
        <f>'Input data'!C70*$D$100</f>
        <v>0.51003587344023849</v>
      </c>
      <c r="E105" s="49">
        <f>IF(E100=0,0,IF(E95=1,'Input data'!$C$57*(E100-D100*E43/((1+E24/100)*(1+E42/100))),0))</f>
        <v>0.54490094832997338</v>
      </c>
      <c r="F105" s="49">
        <f>IF(F100=0,0,IF(F95=1,'Input data'!$C$57*(F100-E100*F43/((1+F24/100)*(1+F42/100))),0))</f>
        <v>0.65174181034486456</v>
      </c>
      <c r="G105" s="49">
        <f>IF(G100=0,0,IF(G95=1,'Input data'!$C$57*(G100-F100*G43/((1+G24/100)*(1+G42/100))),0))</f>
        <v>0.41709865113123901</v>
      </c>
      <c r="H105" s="49">
        <f>IF(H100=0,0,IF(H95=1,'Input data'!$C$57*(H100-G100*H43/((1+H24/100)*(1+H42/100))),0))</f>
        <v>0.37942118854744883</v>
      </c>
      <c r="I105" s="49">
        <f>IF(I100=0,0,IF(I95=1,'Input data'!$C$57*(I100-H100*I43/((1+I24/100)*(1+I42/100))),0))</f>
        <v>0.2904381245592057</v>
      </c>
      <c r="J105" s="49">
        <f>IF(J100=0,0,IF(J95=1,'Input data'!$C$57*(J100-I100*J43/((1+J24/100)*(1+J42/100))),0))</f>
        <v>0.23031956354744645</v>
      </c>
      <c r="K105" s="49">
        <f>IF(K100=0,0,IF(K95=1,'Input data'!$C$57*(K100-J100*K43/((1+K24/100)*(1+K42/100))),0))</f>
        <v>0.1489976367247276</v>
      </c>
      <c r="L105" s="49">
        <f>IF(L100=0,0,IF(L95=1,'Input data'!$C$57*(L100-K100*L43/((1+L24/100)*(1+L42/100))),0))</f>
        <v>0.11313901002975561</v>
      </c>
      <c r="M105" s="49">
        <f>IF(M100=0,0,IF(M95=1,'Input data'!$C$57*(M100-L100*M43/((1+M24/100)*(1+M42/100))),0))</f>
        <v>0.12554317387868508</v>
      </c>
      <c r="N105" s="49">
        <f>IF(N100=0,0,IF(N95=1,'Input data'!$C$57*(N100-M100*N43/((1+N24/100)*(1+N42/100))),0))</f>
        <v>0.1109197854075646</v>
      </c>
      <c r="O105" s="49">
        <f>IF(O100=0,0,IF(O95=1,'Input data'!$C$57*(O100-N100*O43/((1+O24/100)*(1+O42/100))),0))</f>
        <v>7.4732543592407011E-2</v>
      </c>
      <c r="P105" s="49">
        <f>IF(P100=0,0,IF(P95=1,'Input data'!$C$57*(P100-O100*P43/((1+P24/100)*(1+P42/100))),0))</f>
        <v>3.6963331432386094E-2</v>
      </c>
      <c r="Q105" s="49">
        <f>IF(Q100=0,0,IF(Q95=1,'Input data'!$C$57*(Q100-P100*Q43/((1+Q24/100)*(1+Q42/100))),0))</f>
        <v>2.5539749583578238E-2</v>
      </c>
      <c r="R105" s="49">
        <f>IF(R100=0,0,IF(R95=1,'Input data'!$C$57*(R100-Q100*R43/((1+R24/100)*(1+R42/100))),0))</f>
        <v>2.4839427475649673E-2</v>
      </c>
      <c r="S105" s="49">
        <f>IF(S100=0,0,IF(S95=1,'Input data'!$C$57*(S100-R100*S43/((1+S24/100)*(1+S42/100))),0))</f>
        <v>2.6657600683541616E-2</v>
      </c>
      <c r="T105" s="49">
        <f>IF(T100=0,0,IF(T95=1,'Input data'!$C$57*(T100-S100*T43/((1+T24/100)*(1+T42/100))),0))</f>
        <v>2.9805149662111514E-2</v>
      </c>
      <c r="U105" s="49">
        <f>IF(U100=0,0,IF(U95=1,'Input data'!$C$57*(U100-T100*U43/((1+U24/100)*(1+U42/100))),0))</f>
        <v>3.5243625940723222E-2</v>
      </c>
      <c r="V105" s="49">
        <f>IF(V100=0,0,IF(V95=1,'Input data'!$C$57*(V100-U100*V43/((1+V24/100)*(1+V42/100))),0))</f>
        <v>4.3722782760508561E-2</v>
      </c>
      <c r="W105" s="49">
        <f>IF(W100=0,0,IF(W95=1,'Input data'!$C$57*(W100-V100*W43/((1+W24/100)*(1+W42/100))),0))</f>
        <v>5.1464200607585386E-2</v>
      </c>
    </row>
    <row r="106" spans="2:23" x14ac:dyDescent="0.2">
      <c r="B106" s="26" t="s">
        <v>73</v>
      </c>
      <c r="C106" s="36"/>
      <c r="D106" s="259">
        <f>'Baseline NFPC'!$D$93</f>
        <v>9.7796141283269952E-2</v>
      </c>
      <c r="E106" s="36">
        <f t="shared" ref="E106:W106" si="36">IF(E100&lt;&gt;0,(E103+E105)/(E101+E102+E103+E104+E105),0)</f>
        <v>9.8485930372449279E-2</v>
      </c>
      <c r="F106" s="36">
        <f t="shared" si="36"/>
        <v>9.9210151354365131E-2</v>
      </c>
      <c r="G106" s="36">
        <f t="shared" si="36"/>
        <v>9.9633219432523554E-2</v>
      </c>
      <c r="H106" s="36">
        <f t="shared" si="36"/>
        <v>9.9996383852017465E-2</v>
      </c>
      <c r="I106" s="36">
        <f t="shared" si="36"/>
        <v>0.10026286755493063</v>
      </c>
      <c r="J106" s="36">
        <f t="shared" si="36"/>
        <v>0.10046867460657562</v>
      </c>
      <c r="K106" s="36">
        <f t="shared" si="36"/>
        <v>0.1006003191566255</v>
      </c>
      <c r="L106" s="36">
        <f t="shared" si="36"/>
        <v>0.10070037624964893</v>
      </c>
      <c r="M106" s="36">
        <f t="shared" si="36"/>
        <v>0.10081177206156003</v>
      </c>
      <c r="N106" s="36">
        <f t="shared" si="36"/>
        <v>0.10091078471453725</v>
      </c>
      <c r="O106" s="36">
        <f t="shared" si="36"/>
        <v>0.10097832354869629</v>
      </c>
      <c r="P106" s="36">
        <f t="shared" si="36"/>
        <v>0.10101249744346619</v>
      </c>
      <c r="Q106" s="36">
        <f t="shared" si="36"/>
        <v>0.1010367302257137</v>
      </c>
      <c r="R106" s="36">
        <f t="shared" si="36"/>
        <v>0.10106094369872827</v>
      </c>
      <c r="S106" s="36">
        <f t="shared" si="36"/>
        <v>0.10108762405537017</v>
      </c>
      <c r="T106" s="36">
        <f t="shared" si="36"/>
        <v>0.10111821579738435</v>
      </c>
      <c r="U106" s="36">
        <f>IF(U100&lt;&gt;0,(U103+U105)/(U101+U102+U103+U104+U105),0)</f>
        <v>0.10115524778070686</v>
      </c>
      <c r="V106" s="36">
        <f t="shared" si="36"/>
        <v>0.10120215668574957</v>
      </c>
      <c r="W106" s="34">
        <f t="shared" si="36"/>
        <v>0.10125836213445327</v>
      </c>
    </row>
    <row r="107" spans="2:23" x14ac:dyDescent="0.2">
      <c r="B107" s="35" t="s">
        <v>74</v>
      </c>
      <c r="C107" s="108"/>
      <c r="D107" s="260">
        <f>'Baseline NFPC'!$D$94</f>
        <v>0.90220385626214106</v>
      </c>
      <c r="E107" s="108">
        <f t="shared" ref="E107:W107" si="37">IF(E100&lt;&gt;0,(E101+E102+E104)/(E101+E102+E103+E104+E105),1)</f>
        <v>0.90151406962755076</v>
      </c>
      <c r="F107" s="108">
        <f t="shared" si="37"/>
        <v>0.90078984864563494</v>
      </c>
      <c r="G107" s="108">
        <f t="shared" si="37"/>
        <v>0.90036678056747643</v>
      </c>
      <c r="H107" s="108">
        <f t="shared" si="37"/>
        <v>0.90000361614798252</v>
      </c>
      <c r="I107" s="108">
        <f t="shared" si="37"/>
        <v>0.89973713244506937</v>
      </c>
      <c r="J107" s="108">
        <f t="shared" si="37"/>
        <v>0.8995313253934244</v>
      </c>
      <c r="K107" s="108">
        <f t="shared" si="37"/>
        <v>0.89939968084337452</v>
      </c>
      <c r="L107" s="108">
        <f t="shared" si="37"/>
        <v>0.89929962375035111</v>
      </c>
      <c r="M107" s="108">
        <f t="shared" si="37"/>
        <v>0.89918822793843989</v>
      </c>
      <c r="N107" s="108">
        <f t="shared" si="37"/>
        <v>0.89908921528546282</v>
      </c>
      <c r="O107" s="108">
        <f t="shared" si="37"/>
        <v>0.89902167645130371</v>
      </c>
      <c r="P107" s="108">
        <f t="shared" si="37"/>
        <v>0.8989875025565337</v>
      </c>
      <c r="Q107" s="108">
        <f t="shared" si="37"/>
        <v>0.8989632697742862</v>
      </c>
      <c r="R107" s="108">
        <f t="shared" si="37"/>
        <v>0.8989390563012718</v>
      </c>
      <c r="S107" s="108">
        <f t="shared" si="37"/>
        <v>0.8989123759446298</v>
      </c>
      <c r="T107" s="108">
        <f t="shared" si="37"/>
        <v>0.89888178420261566</v>
      </c>
      <c r="U107" s="108">
        <f t="shared" si="37"/>
        <v>0.89884475221929316</v>
      </c>
      <c r="V107" s="108">
        <f t="shared" si="37"/>
        <v>0.89879784331425039</v>
      </c>
      <c r="W107" s="49">
        <f t="shared" si="37"/>
        <v>0.89874163786554673</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1.97588808697859</v>
      </c>
      <c r="I109" s="115">
        <f t="shared" ref="I109:V109" si="38">I111</f>
        <v>2.0532165057207568</v>
      </c>
      <c r="J109" s="115">
        <f t="shared" si="38"/>
        <v>2.1176253309361708</v>
      </c>
      <c r="K109" s="115">
        <f t="shared" si="38"/>
        <v>2.1739224647422284</v>
      </c>
      <c r="L109" s="115">
        <f t="shared" si="38"/>
        <v>2.2209299362645964</v>
      </c>
      <c r="M109" s="115">
        <f t="shared" si="38"/>
        <v>2.2639649049811101</v>
      </c>
      <c r="N109" s="115">
        <f t="shared" si="38"/>
        <v>2.3080631630627693</v>
      </c>
      <c r="O109" s="115">
        <f t="shared" si="38"/>
        <v>2.3504785247334463</v>
      </c>
      <c r="P109" s="115">
        <f t="shared" si="38"/>
        <v>2.3871045273177827</v>
      </c>
      <c r="Q109" s="115">
        <f t="shared" si="38"/>
        <v>2.4197767063567031</v>
      </c>
      <c r="R109" s="115">
        <f t="shared" si="38"/>
        <v>2.4512680291081321</v>
      </c>
      <c r="S109" s="115">
        <f t="shared" si="38"/>
        <v>2.4827378543889402</v>
      </c>
      <c r="T109" s="115">
        <f t="shared" si="38"/>
        <v>2.5144677650569105</v>
      </c>
      <c r="U109" s="115">
        <f t="shared" si="38"/>
        <v>2.5466123614036307</v>
      </c>
      <c r="V109" s="115">
        <f t="shared" si="38"/>
        <v>2.5794443970822978</v>
      </c>
      <c r="W109" s="115">
        <f>W111</f>
        <v>2.6133314080274297</v>
      </c>
    </row>
    <row r="110" spans="2:23" x14ac:dyDescent="0.2">
      <c r="B110" s="33" t="s">
        <v>133</v>
      </c>
      <c r="C110" s="34"/>
      <c r="D110" s="34"/>
      <c r="E110" s="265">
        <f>((E36*D100)-(E38*(D103+D105)))/(D101+D102+D104)</f>
        <v>1.3799500275570342</v>
      </c>
      <c r="F110" s="265">
        <f>((F36*E100)-(F38*(E103+E105)))/(E101+E102+E104)</f>
        <v>1.4547589474903004</v>
      </c>
      <c r="G110" s="265">
        <f>((G36*F100)-(G38*(F103+F105)))/(F101+F102+F104)</f>
        <v>1.787490181422742</v>
      </c>
      <c r="H110" s="34">
        <f t="shared" ref="H110:W110" si="39">IF(G100&gt;0,(G110*G101+H37*(G104+G102))/(G101+G102+G104),H37)</f>
        <v>1.8841299327838099</v>
      </c>
      <c r="I110" s="34">
        <f t="shared" si="39"/>
        <v>1.9709323403839389</v>
      </c>
      <c r="J110" s="34">
        <f t="shared" si="39"/>
        <v>2.0435325145506922</v>
      </c>
      <c r="K110" s="34">
        <f t="shared" si="39"/>
        <v>2.1072088930438682</v>
      </c>
      <c r="L110" s="34">
        <f t="shared" si="39"/>
        <v>2.1606394144614742</v>
      </c>
      <c r="M110" s="34">
        <f t="shared" si="39"/>
        <v>2.2096903306110209</v>
      </c>
      <c r="N110" s="34">
        <f t="shared" si="39"/>
        <v>2.2599311382972429</v>
      </c>
      <c r="O110" s="34">
        <f t="shared" si="39"/>
        <v>2.3083211413808953</v>
      </c>
      <c r="P110" s="34">
        <f t="shared" si="39"/>
        <v>2.3531073301509862</v>
      </c>
      <c r="Q110" s="34">
        <f t="shared" si="39"/>
        <v>2.3935171039739815</v>
      </c>
      <c r="R110" s="34">
        <f t="shared" si="39"/>
        <v>2.4326211611222233</v>
      </c>
      <c r="S110" s="34">
        <f t="shared" si="39"/>
        <v>2.4717053719364275</v>
      </c>
      <c r="T110" s="34">
        <f t="shared" si="39"/>
        <v>2.5110828848711244</v>
      </c>
      <c r="U110" s="34">
        <f t="shared" si="39"/>
        <v>2.5509264092242172</v>
      </c>
      <c r="V110" s="34">
        <f t="shared" si="39"/>
        <v>2.591540771373237</v>
      </c>
      <c r="W110" s="34">
        <f t="shared" si="39"/>
        <v>2.6333373938233069</v>
      </c>
    </row>
    <row r="111" spans="2:23" x14ac:dyDescent="0.2">
      <c r="B111" s="35" t="s">
        <v>63</v>
      </c>
      <c r="C111" s="49"/>
      <c r="D111" s="49"/>
      <c r="E111" s="49">
        <f t="shared" ref="E111:W111" si="40">(E110*(D101+D102+D104)+E38*(D103+D105))/D100</f>
        <v>1.5804370000000001</v>
      </c>
      <c r="F111" s="49">
        <f t="shared" si="40"/>
        <v>1.6625099999999997</v>
      </c>
      <c r="G111" s="49">
        <f t="shared" si="40"/>
        <v>1.8895660000000001</v>
      </c>
      <c r="H111" s="49">
        <f t="shared" si="40"/>
        <v>1.97588808697859</v>
      </c>
      <c r="I111" s="49">
        <f t="shared" si="40"/>
        <v>2.0532165057207568</v>
      </c>
      <c r="J111" s="49">
        <f t="shared" si="40"/>
        <v>2.1176253309361708</v>
      </c>
      <c r="K111" s="49">
        <f t="shared" si="40"/>
        <v>2.1739224647422284</v>
      </c>
      <c r="L111" s="49">
        <f t="shared" si="40"/>
        <v>2.2209299362645964</v>
      </c>
      <c r="M111" s="49">
        <f t="shared" si="40"/>
        <v>2.2639649049811101</v>
      </c>
      <c r="N111" s="49">
        <f t="shared" si="40"/>
        <v>2.3080631630627693</v>
      </c>
      <c r="O111" s="49">
        <f t="shared" si="40"/>
        <v>2.3504785247334463</v>
      </c>
      <c r="P111" s="49">
        <f t="shared" si="40"/>
        <v>2.3871045273177827</v>
      </c>
      <c r="Q111" s="49">
        <f t="shared" si="40"/>
        <v>2.4197767063567031</v>
      </c>
      <c r="R111" s="49">
        <f t="shared" si="40"/>
        <v>2.4512680291081321</v>
      </c>
      <c r="S111" s="49">
        <f t="shared" si="40"/>
        <v>2.4827378543889402</v>
      </c>
      <c r="T111" s="49">
        <f t="shared" si="40"/>
        <v>2.5144677650569105</v>
      </c>
      <c r="U111" s="49">
        <f t="shared" si="40"/>
        <v>2.5466123614036307</v>
      </c>
      <c r="V111" s="49">
        <f t="shared" si="40"/>
        <v>2.5794443970822978</v>
      </c>
      <c r="W111" s="49">
        <f t="shared" si="40"/>
        <v>2.6133314080274297</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1">((1+C109/100)/((1+C24/100)*(1+C42/100))-1)*100</f>
        <v>-4.3409713213587997</v>
      </c>
      <c r="D113" s="115">
        <f t="shared" si="41"/>
        <v>-5.5733961793317803</v>
      </c>
      <c r="E113" s="115">
        <f t="shared" si="41"/>
        <v>-1.0866936191633814</v>
      </c>
      <c r="F113" s="115">
        <f t="shared" si="41"/>
        <v>0.19460467612562038</v>
      </c>
      <c r="G113" s="115">
        <f t="shared" si="41"/>
        <v>-1.4449566328884833</v>
      </c>
      <c r="H113" s="115">
        <f t="shared" si="41"/>
        <v>-1.2885490650390685</v>
      </c>
      <c r="I113" s="115">
        <f t="shared" si="41"/>
        <v>-1.27926511459584</v>
      </c>
      <c r="J113" s="115">
        <f t="shared" si="41"/>
        <v>-1.1139181260382713</v>
      </c>
      <c r="K113" s="115">
        <f t="shared" si="41"/>
        <v>-1.0076345293904665</v>
      </c>
      <c r="L113" s="115">
        <f t="shared" si="41"/>
        <v>-0.90007881097753373</v>
      </c>
      <c r="M113" s="115">
        <f t="shared" si="41"/>
        <v>-0.87618112701453033</v>
      </c>
      <c r="N113" s="115">
        <f t="shared" si="41"/>
        <v>-1.1220937013822097</v>
      </c>
      <c r="O113" s="115">
        <f t="shared" si="41"/>
        <v>-1.1559825184548678</v>
      </c>
      <c r="P113" s="115">
        <f t="shared" si="41"/>
        <v>-1.2946745849825358</v>
      </c>
      <c r="Q113" s="115">
        <f t="shared" si="41"/>
        <v>-0.99913388567012262</v>
      </c>
      <c r="R113" s="115">
        <f t="shared" si="41"/>
        <v>-0.94211794669831761</v>
      </c>
      <c r="S113" s="115">
        <f t="shared" si="41"/>
        <v>-0.88508727827332212</v>
      </c>
      <c r="T113" s="115">
        <f t="shared" si="41"/>
        <v>-0.82778321696534984</v>
      </c>
      <c r="U113" s="115">
        <f t="shared" si="41"/>
        <v>-0.77003825476692489</v>
      </c>
      <c r="V113" s="115">
        <f t="shared" si="41"/>
        <v>-0.71160474764905279</v>
      </c>
      <c r="W113" s="115">
        <f t="shared" si="41"/>
        <v>-0.65211055989177202</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47" priority="2">
      <formula>AND(G10&gt;$C$5,G10&lt;=$C$6)</formula>
    </cfRule>
  </conditionalFormatting>
  <conditionalFormatting sqref="U10:W44 U46:W53 U55:W92 U94:W150">
    <cfRule type="expression" dxfId="44" priority="1">
      <formula>U$10&gt;$C$7</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 id="{B3C0358A-9B5D-4740-8E6E-7F4BA9D70D08}">
            <xm:f>OR('Criteria results'!#REF!=7,'Criteria results'!#REF!=10)</xm:f>
            <x14:dxf>
              <font>
                <color theme="0"/>
              </font>
            </x14:dxf>
          </x14:cfRule>
          <xm:sqref>K83:M83</xm:sqref>
        </x14:conditionalFormatting>
        <x14:conditionalFormatting xmlns:xm="http://schemas.microsoft.com/office/excel/2006/main">
          <x14:cfRule type="expression" priority="4" id="{66044EEC-F76A-4FBC-8F67-EB89B632B3A3}">
            <xm:f>'Criteria results'!#REF!=10</xm:f>
            <x14:dxf>
              <font>
                <color theme="0"/>
              </font>
            </x14:dxf>
          </x14:cfRule>
          <xm:sqref>N83:P83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D7045-226C-4746-A752-130CF920189C}">
  <sheetPr>
    <tabColor rgb="FFFFC000"/>
  </sheetPr>
  <dimension ref="A1:AY135"/>
  <sheetViews>
    <sheetView topLeftCell="B31" zoomScale="145" zoomScaleNormal="145" workbookViewId="0">
      <selection activeCell="D57" sqref="D57:J57"/>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1">
        <f>'Input data'!C13</f>
        <v>-2.1345519999999998</v>
      </c>
      <c r="D12" s="2">
        <f>'Input data'!D13</f>
        <v>0.29205680000000001</v>
      </c>
      <c r="E12" s="2">
        <f>'Input data'!E13</f>
        <v>-0.3391101166058319</v>
      </c>
      <c r="F12" s="2">
        <f>'Input data'!F13</f>
        <v>-0.3744433445451063</v>
      </c>
      <c r="G12" s="425">
        <f>F12+G13</f>
        <v>5.381498927108308E-2</v>
      </c>
      <c r="H12" s="425">
        <f t="shared" ref="H12:M12" si="0">G12+H13</f>
        <v>0.48207332308727247</v>
      </c>
      <c r="I12" s="425">
        <f t="shared" si="0"/>
        <v>0.91033165690346185</v>
      </c>
      <c r="J12" s="425">
        <f t="shared" si="0"/>
        <v>1.3385899907196512</v>
      </c>
      <c r="K12" s="425">
        <f t="shared" si="0"/>
        <v>1.7668483245358406</v>
      </c>
      <c r="L12" s="425">
        <f t="shared" si="0"/>
        <v>2.1951066583520298</v>
      </c>
      <c r="M12" s="425">
        <f t="shared" si="0"/>
        <v>2.6233649921682192</v>
      </c>
      <c r="N12" s="425">
        <f ca="1">M12+N13</f>
        <v>0</v>
      </c>
      <c r="O12" s="425">
        <f t="shared" ref="O12:W12" ca="1" si="1">N12+O13</f>
        <v>0</v>
      </c>
      <c r="P12" s="425">
        <f t="shared" ca="1" si="1"/>
        <v>0</v>
      </c>
      <c r="Q12" s="425">
        <f t="shared" ca="1" si="1"/>
        <v>0</v>
      </c>
      <c r="R12" s="425">
        <f t="shared" ca="1" si="1"/>
        <v>0</v>
      </c>
      <c r="S12" s="425">
        <f t="shared" ca="1" si="1"/>
        <v>0</v>
      </c>
      <c r="T12" s="425">
        <f t="shared" ca="1" si="1"/>
        <v>0</v>
      </c>
      <c r="U12" s="425">
        <f t="shared" ca="1" si="1"/>
        <v>0</v>
      </c>
      <c r="V12" s="425">
        <f t="shared" ca="1" si="1"/>
        <v>0</v>
      </c>
      <c r="W12" s="425">
        <f t="shared" ca="1" si="1"/>
        <v>0</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435">
        <v>0.42825833381618938</v>
      </c>
      <c r="H13" s="435">
        <v>0.42825833381618938</v>
      </c>
      <c r="I13" s="435">
        <v>0.42825833381618938</v>
      </c>
      <c r="J13" s="435">
        <v>0.42825833381618938</v>
      </c>
      <c r="K13" s="435">
        <v>0.42825833381618938</v>
      </c>
      <c r="L13" s="435">
        <v>0.42825833381618938</v>
      </c>
      <c r="M13" s="435">
        <v>0.42825833381618938</v>
      </c>
      <c r="N13" s="262">
        <f t="shared" ref="N13:W13" ca="1" si="2">N12-M12</f>
        <v>0</v>
      </c>
      <c r="O13" s="262">
        <f t="shared" ca="1" si="2"/>
        <v>0</v>
      </c>
      <c r="P13" s="262">
        <f t="shared" ca="1" si="2"/>
        <v>0</v>
      </c>
      <c r="Q13" s="262">
        <f t="shared" ca="1" si="2"/>
        <v>0</v>
      </c>
      <c r="R13" s="262">
        <f t="shared" ca="1" si="2"/>
        <v>0</v>
      </c>
      <c r="S13" s="262">
        <f t="shared" ca="1" si="2"/>
        <v>0</v>
      </c>
      <c r="T13" s="262">
        <f t="shared" ca="1" si="2"/>
        <v>0</v>
      </c>
      <c r="U13" s="262">
        <f t="shared" ca="1" si="2"/>
        <v>0</v>
      </c>
      <c r="V13" s="262">
        <f t="shared" ca="1" si="2"/>
        <v>0</v>
      </c>
      <c r="W13" s="262">
        <f t="shared" ca="1" si="2"/>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233.90234135528755</v>
      </c>
      <c r="H23" s="34">
        <f>IF(AND(H50&gt;1,G50&gt;1),IF(AND(H50&gt;0,G50&gt;0),H27*(H51/100+1),0)+IF(H50&gt;0,G23*(1+H52/100),0)-G23*(1+'Input data'!H30/100),IF(H50=1,H27,G23*(1+H52/100)))</f>
        <v>237.71808058101979</v>
      </c>
      <c r="I23" s="34">
        <f>IF(AND(I50&gt;1,H50&gt;1),IF(AND(I50&gt;0,H50&gt;0),I27*(I51/100+1),0)+IF(I50&gt;0,H23*(1+I52/100),0)-H23*(1+'Input data'!I30/100),IF(I50=1,I27,H23*(1+I52/100)))</f>
        <v>241.03158279148946</v>
      </c>
      <c r="J23" s="34">
        <f>IF(AND(J50&gt;1,I50&gt;1),IF(AND(J50&gt;0,I50&gt;0),J27*(J51/100+1),0)+IF(J50&gt;0,I23*(1+J52/100),0)-I23*(1+'Input data'!J30/100),IF(J50=1,J27,I23*(1+J52/100)))</f>
        <v>244.01583194416213</v>
      </c>
      <c r="K23" s="34">
        <f>IF(AND(K50&gt;1,J50&gt;1),IF(AND(K50&gt;0,J50&gt;0),K27*(K51/100+1),0)+IF(K50&gt;0,J23*(1+K52/100),0)-J23*(1+'Input data'!K30/100),IF(K50=1,K27,J23*(1+K52/100)))</f>
        <v>246.78673973875803</v>
      </c>
      <c r="L23" s="34">
        <f>IF(AND(L50&gt;1,K50&gt;1),IF(AND(L50&gt;0,K50&gt;0),L27*(L51/100+1),0)+IF(L50&gt;0,K23*(1+L52/100),0)-K23*(1+'Input data'!L30/100),IF(L50=1,L27,K23*(1+L52/100)))</f>
        <v>249.42199784714393</v>
      </c>
      <c r="M23" s="34">
        <f>IF(AND(M50&gt;1,L50&gt;1),IF(AND(M50&gt;0,L50&gt;0),M27*(M51/100+1),0)+IF(M50&gt;0,L23*(1+M52/100),0)-L23*(1+'Input data'!M30/100),IF(M50=1,M27,L23*(1+M52/100)))</f>
        <v>251.97370304500805</v>
      </c>
      <c r="N23" s="34">
        <f ca="1">IF(AND(N50&gt;1,M50&gt;1),IF(AND(N50&gt;0,M50&gt;0),N27*(N51/100+1),0)+IF(N50&gt;0,M23*(1+N52/100),0)-M23*(1+'Input data'!N30/100),IF(N50=1,N27,M23*(1+N52/100)))</f>
        <v>255.63065011072098</v>
      </c>
      <c r="O23" s="34">
        <f ca="1">IF(AND(O50&gt;1,N50&gt;1),IF(AND(O50&gt;0,N50&gt;0),O27*(O51/100+1),0)+IF(O50&gt;0,N23*(1+O52/100),0)-N23*(1+'Input data'!O30/100),IF(O50=1,O27,N23*(1+O52/100)))</f>
        <v>258.81235289201652</v>
      </c>
      <c r="P23" s="34">
        <f ca="1">IF(AND(P50&gt;1,O50&gt;1),IF(AND(P50&gt;0,O50&gt;0),P27*(P51/100+1),0)+IF(P50&gt;0,O23*(1+P52/100),0)-O23*(1+'Input data'!P30/100),IF(P50=1,P27,O23*(1+P52/100)))</f>
        <v>262.0312072276696</v>
      </c>
      <c r="Q23" s="34">
        <f ca="1">IF(AND(Q50&gt;1,P50&gt;1),IF(AND(Q50&gt;0,P50&gt;0),Q27*(Q51/100+1),0)+IF(Q50&gt;0,P23*(1+Q52/100),0)-P23*(1+'Input data'!Q30/100),IF(Q50=1,Q27,P23*(1+Q52/100)))</f>
        <v>264.48142035883194</v>
      </c>
      <c r="R23" s="34">
        <f ca="1">IF(AND(R50&gt;1,Q50&gt;1),IF(AND(R50&gt;0,Q50&gt;0),R27*(R51/100+1),0)+IF(R50&gt;0,Q23*(1+R52/100),0)-Q23*(1+'Input data'!R30/100),IF(R50=1,R27,Q23*(1+R52/100)))</f>
        <v>266.95455034214859</v>
      </c>
      <c r="S23" s="34">
        <f ca="1">IF(AND(S50&gt;1,R50&gt;1),IF(AND(S50&gt;0,R50&gt;0),S27*(S51/100+1),0)+IF(S50&gt;0,R23*(1+S52/100),0)-R23*(1+'Input data'!S30/100),IF(S50=1,S27,R23*(1+S52/100)))</f>
        <v>269.4507982207432</v>
      </c>
      <c r="T23" s="34">
        <f ca="1">IF(AND(T50&gt;1,S50&gt;1),IF(AND(T50&gt;0,S50&gt;0),T27*(T51/100+1),0)+IF(T50&gt;0,S23*(1+T52/100),0)-S23*(1+'Input data'!T30/100),IF(T50=1,T27,S23*(1+T52/100)))</f>
        <v>271.97040426772412</v>
      </c>
      <c r="U23" s="34">
        <f ca="1">IF(AND(U50&gt;1,T50&gt;1),IF(AND(U50&gt;0,T50&gt;0),U27*(U51/100+1),0)+IF(U50&gt;0,T23*(1+U52/100),0)-T23*(1+'Input data'!U30/100),IF(U50=1,U27,T23*(1+U52/100)))</f>
        <v>274.51356272647968</v>
      </c>
      <c r="V23" s="34">
        <f ca="1">IF(AND(V50&gt;1,U50&gt;1),IF(AND(V50&gt;0,U50&gt;0),V27*(V51/100+1),0)+IF(V50&gt;0,U23*(1+V52/100),0)-U23*(1+'Input data'!V30/100),IF(V50=1,V27,U23*(1+V52/100)))</f>
        <v>277.08051564162838</v>
      </c>
      <c r="W23" s="34">
        <f ca="1">IF(AND(W50&gt;1,V50&gt;1),IF(AND(W50&gt;0,V50&gt;0),W27*(W51/100+1),0)+IF(W50&gt;0,V23*(1+W52/100),0)-V23*(1+'Input data'!W30/100),IF(W50=1,W27,V23*(1+W52/100)))</f>
        <v>279.67146360216714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100">
        <f>'Baseline NFPC'!F23</f>
        <v>-0.22177088705733761</v>
      </c>
      <c r="G24" s="34">
        <f t="shared" ref="G24:S24" si="3">100*(G23/F23-1)</f>
        <v>1.514006249637867</v>
      </c>
      <c r="H24" s="34">
        <f t="shared" si="3"/>
        <v>1.6313386191959101</v>
      </c>
      <c r="I24" s="34">
        <f t="shared" si="3"/>
        <v>1.3938789184108069</v>
      </c>
      <c r="J24" s="34">
        <f t="shared" si="3"/>
        <v>1.238115403015172</v>
      </c>
      <c r="K24" s="34">
        <f t="shared" si="3"/>
        <v>1.1355442687956296</v>
      </c>
      <c r="L24" s="34">
        <f t="shared" si="3"/>
        <v>1.0678280815150432</v>
      </c>
      <c r="M24" s="34">
        <f t="shared" si="3"/>
        <v>1.0230473734830436</v>
      </c>
      <c r="N24" s="34">
        <f t="shared" ca="1" si="3"/>
        <v>1.2456006393440022</v>
      </c>
      <c r="O24" s="34">
        <f t="shared" ca="1" si="3"/>
        <v>1.2446483940472097</v>
      </c>
      <c r="P24" s="34">
        <f t="shared" ca="1" si="3"/>
        <v>1.2437019715964226</v>
      </c>
      <c r="Q24" s="34">
        <f t="shared" ca="1" si="3"/>
        <v>0.93508447222221402</v>
      </c>
      <c r="R24" s="34">
        <f t="shared" ca="1" si="3"/>
        <v>0.93508647222222407</v>
      </c>
      <c r="S24" s="34">
        <f t="shared" ca="1" si="3"/>
        <v>0.9350834722222201</v>
      </c>
      <c r="T24" s="34">
        <f ca="1">100*(T23/S23-1)</f>
        <v>0.93508947222222805</v>
      </c>
      <c r="U24" s="34">
        <f ca="1">100*(U23/T23-1)</f>
        <v>0.93508647222222407</v>
      </c>
      <c r="V24" s="34">
        <f ca="1">100*(V23/U23-1)</f>
        <v>0.93509147222221589</v>
      </c>
      <c r="W24" s="34">
        <f ca="1">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34">
        <f>+J27*(1+'Input data'!K33/100)</f>
        <v>250.11626204522659</v>
      </c>
      <c r="L27" s="34">
        <f>+K27*(1+'Input data'!L33/100)</f>
        <v>252.45509921161153</v>
      </c>
      <c r="M27" s="34">
        <f>+L27*(1+'Input data'!M33/100)</f>
        <v>254.81580684433933</v>
      </c>
      <c r="N27" s="34">
        <f>+M27*(1+'Input data'!N33/100)</f>
        <v>257.1985894541408</v>
      </c>
      <c r="O27" s="34">
        <f>+N27*(1+'Input data'!O33/100)</f>
        <v>259.60365346412652</v>
      </c>
      <c r="P27" s="34">
        <f>+O27*(1+'Input data'!P33/100)</f>
        <v>262.0312072276696</v>
      </c>
      <c r="Q27" s="34">
        <f>+P27*(1+'Input data'!Q33/100)</f>
        <v>264.48146104645554</v>
      </c>
      <c r="R27" s="34">
        <f>+Q27*(1+'Input data'!R33/100)</f>
        <v>266.95462718870095</v>
      </c>
      <c r="S27" s="34">
        <f>+R27*(1+'Input data'!S33/100)</f>
        <v>269.45091990754253</v>
      </c>
      <c r="T27" s="34">
        <f>+S27*(1+'Input data'!T33/100)</f>
        <v>271.97055545959796</v>
      </c>
      <c r="U27" s="34">
        <f>+T27*(1+'Input data'!U33/100)</f>
        <v>274.51375212370067</v>
      </c>
      <c r="V27" s="34">
        <f>+U27*(1+'Input data'!V33/100)</f>
        <v>277.08073021980942</v>
      </c>
      <c r="W27" s="34">
        <f>+V27*(1+'Input data'!W33/100)</f>
        <v>279.6717121280949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4">100*(D23/D27-1)</f>
        <v>-0.14622746557002575</v>
      </c>
      <c r="E30" s="100">
        <f t="shared" si="4"/>
        <v>-2.3697984129074534</v>
      </c>
      <c r="F30" s="100">
        <f t="shared" si="4"/>
        <v>-3.4887901007707112</v>
      </c>
      <c r="G30" s="34">
        <f t="shared" si="4"/>
        <v>-2.9352567652831119</v>
      </c>
      <c r="H30" s="34">
        <f t="shared" si="4"/>
        <v>-2.2657154183944317</v>
      </c>
      <c r="I30" s="34">
        <f t="shared" si="4"/>
        <v>-1.82148512217436</v>
      </c>
      <c r="J30" s="34">
        <f t="shared" si="4"/>
        <v>-1.5267452125380387</v>
      </c>
      <c r="K30" s="34">
        <f t="shared" si="4"/>
        <v>-1.3311898551668366</v>
      </c>
      <c r="L30" s="34">
        <f t="shared" si="4"/>
        <v>-1.2014419094483086</v>
      </c>
      <c r="M30" s="34">
        <f>100*(M23/M27-1)</f>
        <v>-1.1153561604078432</v>
      </c>
      <c r="N30" s="34">
        <f t="shared" ca="1" si="4"/>
        <v>-0.60962206159352883</v>
      </c>
      <c r="O30" s="34">
        <f t="shared" ca="1" si="4"/>
        <v>-0.30481103079673666</v>
      </c>
      <c r="P30" s="34">
        <f t="shared" ca="1" si="4"/>
        <v>0</v>
      </c>
      <c r="Q30" s="34">
        <f t="shared" ca="1" si="4"/>
        <v>-1.5383922724598875E-5</v>
      </c>
      <c r="R30" s="34">
        <f t="shared" ca="1" si="4"/>
        <v>-2.878637211933821E-5</v>
      </c>
      <c r="S30" s="34">
        <f t="shared" ca="1" si="4"/>
        <v>-4.5161025752360473E-5</v>
      </c>
      <c r="T30" s="34">
        <f t="shared" ca="1" si="4"/>
        <v>-5.5591265601950823E-5</v>
      </c>
      <c r="U30" s="34">
        <f t="shared" ca="1" si="4"/>
        <v>-6.8993709612108489E-5</v>
      </c>
      <c r="V30" s="34">
        <f t="shared" ca="1" si="4"/>
        <v>-7.7442477097733331E-5</v>
      </c>
      <c r="W30" s="34">
        <f t="shared" ca="1" si="4"/>
        <v>-8.8863448455267502E-5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5">100*((1+C24/100)*(1+C42/100)-1)</f>
        <v>5.3041963643644108</v>
      </c>
      <c r="D33" s="2">
        <f t="shared" si="5"/>
        <v>6.7911638456366497</v>
      </c>
      <c r="E33" s="2">
        <f t="shared" si="5"/>
        <v>2.6964325799547773</v>
      </c>
      <c r="F33" s="2">
        <f>100*((1+F24/100)*(1+F42/100)-1)</f>
        <v>1.4650542597770766</v>
      </c>
      <c r="G33" s="1">
        <f>100*((1+G24/100)*(1+G42/100)-1)</f>
        <v>3.6818130221572876</v>
      </c>
      <c r="H33" s="1">
        <f t="shared" si="5"/>
        <v>3.8543118405443222</v>
      </c>
      <c r="I33" s="1">
        <f t="shared" si="5"/>
        <v>3.6641960085743719</v>
      </c>
      <c r="J33" s="1">
        <f t="shared" si="5"/>
        <v>3.5574018759154891</v>
      </c>
      <c r="K33" s="1">
        <f t="shared" si="5"/>
        <v>3.5048848629690932</v>
      </c>
      <c r="L33" s="1">
        <f t="shared" si="5"/>
        <v>3.4879511216430847</v>
      </c>
      <c r="M33" s="1">
        <f t="shared" si="5"/>
        <v>3.4944437709535592</v>
      </c>
      <c r="N33" s="1">
        <f t="shared" ca="1" si="5"/>
        <v>3.7749024831550182</v>
      </c>
      <c r="O33" s="1">
        <f t="shared" ca="1" si="5"/>
        <v>3.8263869280954266</v>
      </c>
      <c r="P33" s="1">
        <f t="shared" ca="1" si="5"/>
        <v>3.7975743538299467</v>
      </c>
      <c r="Q33" s="1">
        <f t="shared" ca="1" si="5"/>
        <v>3.4534148298041689</v>
      </c>
      <c r="R33" s="1">
        <f t="shared" ca="1" si="5"/>
        <v>3.425659730924302</v>
      </c>
      <c r="S33" s="1">
        <f t="shared" ca="1" si="5"/>
        <v>3.3978995089444464</v>
      </c>
      <c r="T33" s="1">
        <f t="shared" ca="1" si="5"/>
        <v>3.3701485057395786</v>
      </c>
      <c r="U33" s="1">
        <f ca="1">100*((1+U24/100)*(1+U42/100)-1)</f>
        <v>3.3423882845847075</v>
      </c>
      <c r="V33" s="1">
        <f t="shared" ca="1" si="5"/>
        <v>3.3146362536798479</v>
      </c>
      <c r="W33" s="1">
        <f t="shared" ca="1" si="5"/>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6">H109</f>
        <v>1.9830095991865762</v>
      </c>
      <c r="I36" s="34">
        <f t="shared" si="6"/>
        <v>2.0673112081063882</v>
      </c>
      <c r="J36" s="34">
        <f t="shared" si="6"/>
        <v>2.1371582167205214</v>
      </c>
      <c r="K36" s="34">
        <f t="shared" si="6"/>
        <v>2.1978415582557393</v>
      </c>
      <c r="L36" s="34">
        <f t="shared" si="6"/>
        <v>2.248059579387208</v>
      </c>
      <c r="M36" s="34">
        <f t="shared" si="6"/>
        <v>2.2930139128899123</v>
      </c>
      <c r="N36" s="34">
        <f t="shared" si="6"/>
        <v>2.3375115695381763</v>
      </c>
      <c r="O36" s="34">
        <f t="shared" ca="1" si="6"/>
        <v>2.3623669113997496</v>
      </c>
      <c r="P36" s="34">
        <f t="shared" ca="1" si="6"/>
        <v>2.398516794418839</v>
      </c>
      <c r="Q36" s="34">
        <f t="shared" ca="1" si="6"/>
        <v>2.4305970154592065</v>
      </c>
      <c r="R36" s="34">
        <f t="shared" ca="1" si="6"/>
        <v>2.4604471887315262</v>
      </c>
      <c r="S36" s="34">
        <f t="shared" ca="1" si="6"/>
        <v>2.4884402819811799</v>
      </c>
      <c r="T36" s="34">
        <f t="shared" ca="1" si="6"/>
        <v>2.5157051002029531</v>
      </c>
      <c r="U36" s="34">
        <f t="shared" ca="1" si="6"/>
        <v>2.5425890604728933</v>
      </c>
      <c r="V36" s="34">
        <f t="shared" ca="1" si="6"/>
        <v>2.5694153436682572</v>
      </c>
      <c r="W36" s="34">
        <f t="shared" ca="1" si="6"/>
        <v>2.5964001741754692</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7">H37+($O$37-$G$37)/($O$10-$G$10)</f>
        <v>3.0683720000000001</v>
      </c>
      <c r="J37" s="1">
        <f t="shared" si="7"/>
        <v>3.0955400000000002</v>
      </c>
      <c r="K37" s="1">
        <f t="shared" si="7"/>
        <v>3.1227080000000003</v>
      </c>
      <c r="L37" s="1">
        <f t="shared" si="7"/>
        <v>3.1498760000000003</v>
      </c>
      <c r="M37" s="1">
        <f t="shared" si="7"/>
        <v>3.1770440000000004</v>
      </c>
      <c r="N37" s="1">
        <f t="shared" si="7"/>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8">H38+($O$38-$G$38)/($O$10-$G$10)</f>
        <v>2.7938037499999995</v>
      </c>
      <c r="J38" s="1">
        <f t="shared" si="8"/>
        <v>2.7825181249999993</v>
      </c>
      <c r="K38" s="1">
        <f t="shared" si="8"/>
        <v>2.7712324999999991</v>
      </c>
      <c r="L38" s="1">
        <f t="shared" si="8"/>
        <v>2.7599468749999989</v>
      </c>
      <c r="M38" s="1">
        <f t="shared" si="8"/>
        <v>2.7486612499999987</v>
      </c>
      <c r="N38" s="1">
        <f t="shared" si="8"/>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 ca="1">IF(AND(ABS((N12-M12)-('Input data'!N13-'Input data'!M13))&gt;0.0001,ABS(N12-M12)&gt;0.0001,N$10&gt;$C$5),4,IF(M50=4,3,IF(M50=3,2,IF(M50=2,1,0))))</f>
        <v>3</v>
      </c>
      <c r="O50" s="34">
        <f ca="1">IF(AND(ABS((O12-N12)-('Input data'!O13-'Input data'!N13))&gt;0.0001,ABS(O12-N12)&gt;0.0001,O$10&gt;$C$5),4,IF(N50=4,3,IF(N50=3,2,IF(N50=2,1,0))))</f>
        <v>2</v>
      </c>
      <c r="P50" s="34">
        <f ca="1">IF(AND(ABS((P12-O12)-('Input data'!P13-'Input data'!O13))&gt;0.0001,ABS(P12-O12)&gt;0.0001,P$10&gt;$C$5),4,IF(O50=4,3,IF(O50=3,2,IF(O50=2,1,0))))</f>
        <v>1</v>
      </c>
      <c r="Q50" s="34">
        <f ca="1">IF(AND(ABS((Q12-P12)-('Input data'!Q13-'Input data'!P13))&gt;0.0001,ABS(Q12-P12)&gt;0.0001,Q$10&gt;$C$5),4,IF(P50=4,3,IF(P50=3,2,IF(P50=2,1,0))))</f>
        <v>0</v>
      </c>
      <c r="R50" s="34">
        <f ca="1">IF(AND(ABS((R12-Q12)-('Input data'!R13-'Input data'!Q13))&gt;0.0001,ABS(R12-Q12)&gt;0.0001,R$10&gt;$C$5),4,IF(Q50=4,3,IF(Q50=3,2,IF(Q50=2,1,0))))</f>
        <v>0</v>
      </c>
      <c r="S50" s="34">
        <f ca="1">IF(AND(ABS((S12-R12)-('Input data'!S13-'Input data'!R13))&gt;0.0001,ABS(S12-R12)&gt;0.0001,S$10&gt;$C$5),4,IF(R50=4,3,IF(R50=3,2,IF(R50=2,1,0))))</f>
        <v>0</v>
      </c>
      <c r="T50" s="34">
        <f ca="1">IF(AND(ABS((T12-S12)-('Input data'!T13-'Input data'!S13))&gt;0.0001,ABS(T12-S12)&gt;0.0001,T$10&gt;$C$5),4,IF(S50=4,3,IF(S50=3,2,IF(S50=2,1,0))))</f>
        <v>0</v>
      </c>
      <c r="U50" s="34">
        <f ca="1">IF(AND(ABS((U12-T12)-('Input data'!U13-'Input data'!T13))&gt;0.0001,ABS(U12-T12)&gt;0.0001,U$10&gt;$C$5),4,IF(T50=4,3,IF(T50=3,2,IF(T50=2,1,0))))</f>
        <v>0</v>
      </c>
      <c r="V50" s="34">
        <f ca="1">IF(AND(ABS((V12-U12)-('Input data'!V13-'Input data'!U13))&gt;0.0001,ABS(V12-U12)&gt;0.0001,V$10&gt;$C$5),4,IF(U50=4,3,IF(U50=3,2,IF(U50=2,1,0))))</f>
        <v>0</v>
      </c>
      <c r="W50" s="34">
        <f ca="1">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9">IF(C50=4,2/3*C30,IF(C50=3,1/3*B30,0))</f>
        <v>0</v>
      </c>
      <c r="E51" s="34">
        <f t="shared" si="9"/>
        <v>0</v>
      </c>
      <c r="F51" s="34">
        <f t="shared" si="9"/>
        <v>0</v>
      </c>
      <c r="G51" s="34">
        <f t="shared" si="9"/>
        <v>0</v>
      </c>
      <c r="H51" s="34">
        <f t="shared" si="9"/>
        <v>-1.9568378435220746</v>
      </c>
      <c r="I51" s="34">
        <f t="shared" si="9"/>
        <v>-1.5104769455962876</v>
      </c>
      <c r="J51" s="34">
        <f t="shared" si="9"/>
        <v>-1.2143234147829065</v>
      </c>
      <c r="K51" s="34">
        <f t="shared" si="9"/>
        <v>-1.0178301416920257</v>
      </c>
      <c r="L51" s="34">
        <f t="shared" si="9"/>
        <v>-0.88745990344455772</v>
      </c>
      <c r="M51" s="34">
        <f t="shared" si="9"/>
        <v>-0.8009612729655391</v>
      </c>
      <c r="N51" s="34">
        <f t="shared" si="9"/>
        <v>-0.74357077360522883</v>
      </c>
      <c r="O51" s="34">
        <f t="shared" ca="1" si="9"/>
        <v>-0.30481103079676625</v>
      </c>
      <c r="P51" s="34">
        <f t="shared" ca="1" si="9"/>
        <v>0</v>
      </c>
      <c r="Q51" s="34">
        <f t="shared" ca="1" si="9"/>
        <v>0</v>
      </c>
      <c r="R51" s="34">
        <f t="shared" ca="1" si="9"/>
        <v>0</v>
      </c>
      <c r="S51" s="34">
        <f t="shared" ca="1" si="9"/>
        <v>0</v>
      </c>
      <c r="T51" s="34">
        <f t="shared" ca="1" si="9"/>
        <v>0</v>
      </c>
      <c r="U51" s="34">
        <f t="shared" ca="1" si="9"/>
        <v>0</v>
      </c>
      <c r="V51" s="34">
        <f t="shared" ca="1" si="9"/>
        <v>0</v>
      </c>
      <c r="W51" s="34">
        <f t="shared" ca="1" si="9"/>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1.5140062496378579</v>
      </c>
      <c r="H52" s="34">
        <f>'Input data'!H30-$C$47*((H12-G12))</f>
        <v>1.5140062496378504</v>
      </c>
      <c r="I52" s="34">
        <f>'Input data'!I30-$C$47*((I12-H12))</f>
        <v>1.5140062496378504</v>
      </c>
      <c r="J52" s="34">
        <f>'Input data'!J30-$C$47*((J12-I12))</f>
        <v>1.5140062496378504</v>
      </c>
      <c r="K52" s="34">
        <f>'Input data'!K30-$C$47*((K12-J12))</f>
        <v>0.61390624963786888</v>
      </c>
      <c r="L52" s="34">
        <f>'Input data'!L30-$C$47*((L12-K12))</f>
        <v>0.61389622186008319</v>
      </c>
      <c r="M52" s="34">
        <f>'Input data'!M30-$C$47*((M12-L12))</f>
        <v>0.613893221860079</v>
      </c>
      <c r="N52" s="34">
        <f ca="1">'Input data'!N30-$C$47*((N12-M12))</f>
        <v>0.93508687222221276</v>
      </c>
      <c r="O52" s="34">
        <f ca="1">'Input data'!O30-$C$47*((O12-N12))</f>
        <v>0.93508597222222711</v>
      </c>
      <c r="P52" s="34">
        <f ca="1">'Input data'!P30-$C$47*((P12-O12))</f>
        <v>0.93508937222221977</v>
      </c>
      <c r="Q52" s="34">
        <f ca="1">'Input data'!Q30-$C$47*((Q12-P12))</f>
        <v>0.93508447222221402</v>
      </c>
      <c r="R52" s="34">
        <f ca="1">'Input data'!R30-$C$47*((R12-Q12))</f>
        <v>0.93508647222222407</v>
      </c>
      <c r="S52" s="34">
        <f ca="1">'Input data'!S30-$C$47*((S12-R12))</f>
        <v>0.9350834722222201</v>
      </c>
      <c r="T52" s="34">
        <f ca="1">'Input data'!T30-$C$47*((T12-S12))</f>
        <v>0.93508947222222805</v>
      </c>
      <c r="U52" s="34">
        <f ca="1">'Input data'!U30-$C$47*((U12-T12))</f>
        <v>0.93508647222222407</v>
      </c>
      <c r="V52" s="34">
        <f ca="1">'Input data'!V30-$C$47*((V12-U12))</f>
        <v>0.93509147222221589</v>
      </c>
      <c r="W52" s="34">
        <f ca="1">'Input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+E57+F58</f>
        <v>81.669832373893243</v>
      </c>
      <c r="G57" s="45">
        <f>+F57+G58</f>
        <v>83.196076198835499</v>
      </c>
      <c r="H57" s="45">
        <f t="shared" ref="H57:S57" si="10">+G57+H58</f>
        <v>84.260440100610552</v>
      </c>
      <c r="I57" s="45">
        <f t="shared" si="10"/>
        <v>84.556656658705975</v>
      </c>
      <c r="J57" s="45">
        <f t="shared" si="10"/>
        <v>84.323799635142279</v>
      </c>
      <c r="K57" s="45">
        <f t="shared" si="10"/>
        <v>83.291037084150773</v>
      </c>
      <c r="L57" s="45">
        <f t="shared" si="10"/>
        <v>81.859642510889856</v>
      </c>
      <c r="M57" s="45">
        <f t="shared" si="10"/>
        <v>80.458116590050295</v>
      </c>
      <c r="N57" s="45">
        <f t="shared" ca="1" si="10"/>
        <v>76.68746322830556</v>
      </c>
      <c r="O57" s="45">
        <f t="shared" ca="1" si="10"/>
        <v>74.551155827693393</v>
      </c>
      <c r="P57" s="45">
        <f t="shared" ca="1" si="10"/>
        <v>72.15172431391953</v>
      </c>
      <c r="Q57" s="45">
        <f t="shared" ca="1" si="10"/>
        <v>69.873076378537448</v>
      </c>
      <c r="R57" s="45">
        <f t="shared" ca="1" si="10"/>
        <v>67.468992672489236</v>
      </c>
      <c r="S57" s="45">
        <f t="shared" ca="1" si="10"/>
        <v>64.917930929877031</v>
      </c>
      <c r="T57" s="45">
        <f ca="1">+S57+T58</f>
        <v>62.202337618946032</v>
      </c>
      <c r="U57" s="45">
        <f ca="1">+T57+U58</f>
        <v>59.306357839688928</v>
      </c>
      <c r="V57" s="45">
        <f ca="1">+U57+V58</f>
        <v>56.229449019670696</v>
      </c>
      <c r="W57" s="45">
        <f ca="1">+V57+W58</f>
        <v>52.986591695411889</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3.060895797359378</v>
      </c>
      <c r="F58" s="47">
        <f>-F59+F67+F72</f>
        <v>5.0973259915721227</v>
      </c>
      <c r="G58" s="47">
        <f>-G59+G67+G72</f>
        <v>1.526243824942253</v>
      </c>
      <c r="H58" s="47">
        <f t="shared" ref="H58:S58" si="11">-H59+H67+H72</f>
        <v>1.0643639017750588</v>
      </c>
      <c r="I58" s="47">
        <f t="shared" si="11"/>
        <v>0.29621655809542746</v>
      </c>
      <c r="J58" s="47">
        <f t="shared" si="11"/>
        <v>-0.23285702356369109</v>
      </c>
      <c r="K58" s="47">
        <f t="shared" si="11"/>
        <v>-1.0327625509914999</v>
      </c>
      <c r="L58" s="47">
        <f t="shared" si="11"/>
        <v>-1.4313945732609237</v>
      </c>
      <c r="M58" s="47">
        <f t="shared" si="11"/>
        <v>-1.4015259208395616</v>
      </c>
      <c r="N58" s="47">
        <f t="shared" ca="1" si="11"/>
        <v>-1.8152818943525464</v>
      </c>
      <c r="O58" s="47">
        <f t="shared" ca="1" si="11"/>
        <v>-2.1363074006121638</v>
      </c>
      <c r="P58" s="47">
        <f t="shared" ca="1" si="11"/>
        <v>-2.3994315137738638</v>
      </c>
      <c r="Q58" s="47">
        <f t="shared" ca="1" si="11"/>
        <v>-2.2786479353820766</v>
      </c>
      <c r="R58" s="47">
        <f t="shared" ca="1" si="11"/>
        <v>-2.4040837060482092</v>
      </c>
      <c r="S58" s="47">
        <f t="shared" ca="1" si="11"/>
        <v>-2.5510617426122089</v>
      </c>
      <c r="T58" s="47">
        <f ca="1">-T59+T67+T72</f>
        <v>-2.7155933109309984</v>
      </c>
      <c r="U58" s="47">
        <f ca="1">-U59+U67+U72</f>
        <v>-2.8959797792571025</v>
      </c>
      <c r="V58" s="47">
        <f ca="1">-V59+V67+V72</f>
        <v>-3.0769088200182346</v>
      </c>
      <c r="W58" s="47">
        <f ca="1">-W59+W67+W72</f>
        <v>-3.2428573242588072</v>
      </c>
    </row>
    <row r="59" spans="2:48" outlineLevel="1" x14ac:dyDescent="0.2">
      <c r="B59" s="84" t="s">
        <v>106</v>
      </c>
      <c r="C59" s="48"/>
      <c r="D59" s="48">
        <f>D60+D61-D62-D63-D64-D65-D66</f>
        <v>0.20695241503824502</v>
      </c>
      <c r="E59" s="48">
        <f>E60+E61-E62-E63-E64-E65-E66</f>
        <v>-1.7183327929179697</v>
      </c>
      <c r="F59" s="48">
        <f t="shared" ref="F59:R59" si="12">F60+F61-F62-F63-F64-F65-F66</f>
        <v>-2.4049191831936598</v>
      </c>
      <c r="G59" s="48">
        <f t="shared" si="12"/>
        <v>-1.6545044481236879</v>
      </c>
      <c r="H59" s="48">
        <f t="shared" si="12"/>
        <v>-0.83657305041828667</v>
      </c>
      <c r="I59" s="48">
        <f t="shared" si="12"/>
        <v>-0.1497726842020155</v>
      </c>
      <c r="J59" s="48">
        <f t="shared" si="12"/>
        <v>0.4500242770225128</v>
      </c>
      <c r="K59" s="48">
        <f t="shared" si="12"/>
        <v>0.9920958288287417</v>
      </c>
      <c r="L59" s="48">
        <f t="shared" si="12"/>
        <v>1.4958674670531142</v>
      </c>
      <c r="M59" s="48">
        <f t="shared" si="12"/>
        <v>1.9742277068108545</v>
      </c>
      <c r="N59" s="48">
        <f t="shared" ca="1" si="12"/>
        <v>2.241045952320786</v>
      </c>
      <c r="O59" s="48">
        <f t="shared" ca="1" si="12"/>
        <v>2.428485972244522</v>
      </c>
      <c r="P59" s="48">
        <f t="shared" ca="1" si="12"/>
        <v>2.6154859921682214</v>
      </c>
      <c r="Q59" s="48">
        <f t="shared" ca="1" si="12"/>
        <v>2.6335970387251981</v>
      </c>
      <c r="R59" s="48">
        <f t="shared" ca="1" si="12"/>
        <v>2.6676792384996455</v>
      </c>
      <c r="S59" s="48">
        <f ca="1">S60+S61-S62-S63-S64-S65-S66</f>
        <v>2.7206907084512308</v>
      </c>
      <c r="T59" s="48">
        <f ca="1">T60+T61-T62-T63-T64-T65-T66</f>
        <v>2.7894446380516387</v>
      </c>
      <c r="U59" s="48">
        <f ca="1">U60+U61-U62-U63-U64-U65-U66</f>
        <v>2.8724168378292236</v>
      </c>
      <c r="V59" s="48">
        <f ca="1">V60+V61-V62-V63-V64-V65-V66</f>
        <v>2.9543519206465496</v>
      </c>
      <c r="W59" s="48">
        <f ca="1">W60+W61-W62-W63-W64-W65-W66</f>
        <v>3.0195752736412187</v>
      </c>
    </row>
    <row r="60" spans="2:48" outlineLevel="1" x14ac:dyDescent="0.2">
      <c r="B60" s="79" t="s">
        <v>107</v>
      </c>
      <c r="C60" s="1"/>
      <c r="D60" s="1">
        <f>D12</f>
        <v>0.29205680000000001</v>
      </c>
      <c r="E60" s="1">
        <f>E12</f>
        <v>-0.3391101166058319</v>
      </c>
      <c r="F60" s="1">
        <f>F12</f>
        <v>-0.3744433445451063</v>
      </c>
      <c r="G60" s="1">
        <f>IF(G12="",F60,G12)</f>
        <v>5.381498927108308E-2</v>
      </c>
      <c r="H60" s="1">
        <f t="shared" ref="H60:W60" si="13">IF(H12="",G60,H12)</f>
        <v>0.48207332308727247</v>
      </c>
      <c r="I60" s="1">
        <f t="shared" si="13"/>
        <v>0.91033165690346185</v>
      </c>
      <c r="J60" s="1">
        <f t="shared" si="13"/>
        <v>1.3385899907196512</v>
      </c>
      <c r="K60" s="1">
        <f t="shared" si="13"/>
        <v>1.7668483245358406</v>
      </c>
      <c r="L60" s="1">
        <f t="shared" si="13"/>
        <v>2.1951066583520298</v>
      </c>
      <c r="M60" s="1">
        <f t="shared" si="13"/>
        <v>2.6233649921682192</v>
      </c>
      <c r="N60" s="1">
        <f t="shared" ca="1" si="13"/>
        <v>2.6233649921682192</v>
      </c>
      <c r="O60" s="1">
        <f t="shared" ca="1" si="13"/>
        <v>2.6233649921682192</v>
      </c>
      <c r="P60" s="1">
        <f t="shared" ca="1" si="13"/>
        <v>2.6233649921682192</v>
      </c>
      <c r="Q60" s="1">
        <f t="shared" ca="1" si="13"/>
        <v>2.6233649921682192</v>
      </c>
      <c r="R60" s="1">
        <f t="shared" ca="1" si="13"/>
        <v>2.6233649921682192</v>
      </c>
      <c r="S60" s="1">
        <f t="shared" ca="1" si="13"/>
        <v>2.6233649921682192</v>
      </c>
      <c r="T60" s="1">
        <f t="shared" ca="1" si="13"/>
        <v>2.6233649921682192</v>
      </c>
      <c r="U60" s="1">
        <f t="shared" ca="1" si="13"/>
        <v>2.6233649921682192</v>
      </c>
      <c r="V60" s="1">
        <f t="shared" ca="1" si="13"/>
        <v>2.6233649921682192</v>
      </c>
      <c r="W60" s="1">
        <f t="shared" ca="1" si="13"/>
        <v>2.6233649921682192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434">
        <f t="shared" ref="D62:W62" si="14">-$C$48*D30</f>
        <v>8.5104384961754986E-2</v>
      </c>
      <c r="E62" s="434">
        <f>-$C$48*E30</f>
        <v>1.3792226763121378</v>
      </c>
      <c r="F62" s="434">
        <f t="shared" si="14"/>
        <v>2.0304758386485537</v>
      </c>
      <c r="G62" s="434">
        <f t="shared" si="14"/>
        <v>1.708319437394771</v>
      </c>
      <c r="H62" s="434">
        <f t="shared" si="14"/>
        <v>1.3186463735055591</v>
      </c>
      <c r="I62" s="434">
        <f t="shared" si="14"/>
        <v>1.0601043411054774</v>
      </c>
      <c r="J62" s="434">
        <f t="shared" si="14"/>
        <v>0.88856571369713844</v>
      </c>
      <c r="K62" s="1">
        <f t="shared" si="14"/>
        <v>0.77475249570709892</v>
      </c>
      <c r="L62" s="1">
        <f t="shared" si="14"/>
        <v>0.69923919129891554</v>
      </c>
      <c r="M62" s="1">
        <f>-$C$48*M30</f>
        <v>0.6491372853573647</v>
      </c>
      <c r="N62" s="1">
        <f t="shared" ca="1" si="14"/>
        <v>0.35480003984743375</v>
      </c>
      <c r="O62" s="1">
        <f t="shared" ca="1" si="14"/>
        <v>0.17740001992370072</v>
      </c>
      <c r="P62" s="1">
        <f t="shared" ca="1" si="14"/>
        <v>0</v>
      </c>
      <c r="Q62" s="1">
        <f t="shared" ca="1" si="14"/>
        <v>8.9534430257165444E-6</v>
      </c>
      <c r="R62" s="1">
        <f t="shared" ca="1" si="14"/>
        <v>1.6753668573454839E-5</v>
      </c>
      <c r="S62" s="1">
        <f t="shared" ca="1" si="14"/>
        <v>2.6283716987873792E-5</v>
      </c>
      <c r="T62" s="1">
        <f t="shared" ca="1" si="14"/>
        <v>3.2354116580335374E-5</v>
      </c>
      <c r="U62" s="1">
        <f ca="1">-$C$48*U30</f>
        <v>4.0154338994247138E-5</v>
      </c>
      <c r="V62" s="1">
        <f t="shared" ca="1" si="14"/>
        <v>4.5071521670880799E-5</v>
      </c>
      <c r="W62" s="1">
        <f t="shared" ca="1" si="14"/>
        <v>5.1718527000965682E-5</v>
      </c>
    </row>
    <row r="63" spans="2:48" outlineLevel="1" x14ac:dyDescent="0.2">
      <c r="B63" s="79" t="s">
        <v>110</v>
      </c>
      <c r="C63" s="1"/>
      <c r="D63" s="1">
        <f t="shared" ref="D63:W63" si="15">-D14</f>
        <v>0</v>
      </c>
      <c r="E63" s="1">
        <f t="shared" si="15"/>
        <v>0</v>
      </c>
      <c r="F63" s="1">
        <f t="shared" si="15"/>
        <v>0</v>
      </c>
      <c r="G63" s="1">
        <f t="shared" si="15"/>
        <v>0</v>
      </c>
      <c r="H63" s="1">
        <f t="shared" si="15"/>
        <v>0</v>
      </c>
      <c r="I63" s="1">
        <f t="shared" si="15"/>
        <v>0</v>
      </c>
      <c r="J63" s="1">
        <f t="shared" si="15"/>
        <v>0</v>
      </c>
      <c r="K63" s="1">
        <f t="shared" si="15"/>
        <v>0</v>
      </c>
      <c r="L63" s="1">
        <f t="shared" si="15"/>
        <v>0</v>
      </c>
      <c r="M63" s="1">
        <f t="shared" si="15"/>
        <v>0</v>
      </c>
      <c r="N63" s="1">
        <f t="shared" si="15"/>
        <v>0</v>
      </c>
      <c r="O63" s="1">
        <f t="shared" si="15"/>
        <v>0</v>
      </c>
      <c r="P63" s="1">
        <f t="shared" si="15"/>
        <v>0</v>
      </c>
      <c r="Q63" s="1">
        <f t="shared" si="15"/>
        <v>0</v>
      </c>
      <c r="R63" s="1">
        <f t="shared" si="15"/>
        <v>0</v>
      </c>
      <c r="S63" s="1">
        <f t="shared" si="15"/>
        <v>0</v>
      </c>
      <c r="T63" s="1">
        <f t="shared" si="15"/>
        <v>0</v>
      </c>
      <c r="U63" s="1">
        <f t="shared" si="15"/>
        <v>0</v>
      </c>
      <c r="V63" s="1">
        <f t="shared" si="15"/>
        <v>0</v>
      </c>
      <c r="W63" s="1">
        <f t="shared" si="15"/>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6">SUM(D68:D71)</f>
        <v>-4.0426919999999997</v>
      </c>
      <c r="E67" s="48">
        <f t="shared" si="16"/>
        <v>-0.79948272499993989</v>
      </c>
      <c r="F67" s="48">
        <f t="shared" si="16"/>
        <v>0.14925019261305703</v>
      </c>
      <c r="G67" s="48">
        <f t="shared" si="16"/>
        <v>-1.4115967619926109</v>
      </c>
      <c r="H67" s="48">
        <f t="shared" si="16"/>
        <v>-1.4990711613600218</v>
      </c>
      <c r="I67" s="48">
        <f t="shared" si="16"/>
        <v>-1.2979815718271597</v>
      </c>
      <c r="J67" s="48">
        <f t="shared" si="16"/>
        <v>-1.159656898365871</v>
      </c>
      <c r="K67" s="48">
        <f t="shared" si="16"/>
        <v>-1.0648275961759353</v>
      </c>
      <c r="L67" s="48">
        <f t="shared" si="16"/>
        <v>-0.99791184680977418</v>
      </c>
      <c r="M67" s="48">
        <f t="shared" si="16"/>
        <v>-0.95027921402870708</v>
      </c>
      <c r="N67" s="48">
        <f t="shared" ca="1" si="16"/>
        <v>-1.1003709420317604</v>
      </c>
      <c r="O67" s="48">
        <f t="shared" ca="1" si="16"/>
        <v>-1.0813434283676417</v>
      </c>
      <c r="P67" s="48">
        <f t="shared" ref="P67:W67" ca="1" si="17">SUM(P68:P71)</f>
        <v>-1.0048535216056427</v>
      </c>
      <c r="Q67" s="48">
        <f t="shared" ca="1" si="17"/>
        <v>-0.71334589665687842</v>
      </c>
      <c r="R67" s="48">
        <f t="shared" ca="1" si="17"/>
        <v>-0.65208546754856411</v>
      </c>
      <c r="S67" s="48">
        <f t="shared" ca="1" si="17"/>
        <v>-0.59343853416097803</v>
      </c>
      <c r="T67" s="48">
        <f t="shared" ca="1" si="17"/>
        <v>-0.53660267287935981</v>
      </c>
      <c r="U67" s="48">
        <f t="shared" ca="1" si="17"/>
        <v>-0.48140344142787872</v>
      </c>
      <c r="V67" s="48">
        <f t="shared" ca="1" si="17"/>
        <v>-0.42778389937168482</v>
      </c>
      <c r="W67" s="48">
        <f t="shared" ca="1" si="17"/>
        <v>-0.37589555061758895</v>
      </c>
    </row>
    <row r="68" spans="2:23" outlineLevel="1" x14ac:dyDescent="0.2">
      <c r="B68" s="79" t="s">
        <v>115</v>
      </c>
      <c r="C68" s="34"/>
      <c r="D68" s="34">
        <f>C57*D36/100*(1/(1+D33/100))</f>
        <v>0.57044236264340553</v>
      </c>
      <c r="E68" s="34">
        <f>D57*E36/100*(1/(1+E33/100))</f>
        <v>1.1312999524848377</v>
      </c>
      <c r="F68" s="34">
        <f>E57*F36/100*(1/(1+F33/100))</f>
        <v>1.2546443552845774</v>
      </c>
      <c r="G68" s="36">
        <f>F57*G36/100*(1/(1+G33/100))</f>
        <v>1.488405092283918</v>
      </c>
      <c r="H68" s="34">
        <f t="shared" ref="H68:W68" si="18">G57*H36/100*(1/(1+H33/100))</f>
        <v>1.5885581907302344</v>
      </c>
      <c r="I68" s="34">
        <f t="shared" si="18"/>
        <v>1.6803540559515957</v>
      </c>
      <c r="J68" s="34">
        <f>I57*J36/100*(1/(1+J33/100))</f>
        <v>1.7450317435841127</v>
      </c>
      <c r="K68" s="34">
        <f t="shared" si="18"/>
        <v>1.7905469044625875</v>
      </c>
      <c r="L68" s="34">
        <f>K57*L36/100*(1/(1+L33/100))</f>
        <v>1.8093238078897571</v>
      </c>
      <c r="M68" s="34">
        <f t="shared" si="18"/>
        <v>1.8136751340688468</v>
      </c>
      <c r="N68" s="34">
        <f t="shared" ca="1" si="18"/>
        <v>1.7552348008511134</v>
      </c>
      <c r="O68" s="34">
        <f t="shared" ca="1" si="18"/>
        <v>1.7448736396384328</v>
      </c>
      <c r="P68" s="34">
        <f t="shared" ca="1" si="18"/>
        <v>1.7227011364111002</v>
      </c>
      <c r="Q68" s="34">
        <f t="shared" ca="1" si="18"/>
        <v>1.6951761917783015</v>
      </c>
      <c r="R68" s="34">
        <f t="shared" ca="1" si="18"/>
        <v>1.6622472101301167</v>
      </c>
      <c r="S68" s="34">
        <f t="shared" ca="1" si="18"/>
        <v>1.623752125993543</v>
      </c>
      <c r="T68" s="34">
        <f t="shared" ca="1" si="18"/>
        <v>1.5798987647371594</v>
      </c>
      <c r="U68" s="34">
        <f t="shared" ca="1" si="18"/>
        <v>1.5303979885799217</v>
      </c>
      <c r="V68" s="34">
        <f t="shared" ca="1" si="18"/>
        <v>1.4749378339407302</v>
      </c>
      <c r="W68" s="34">
        <f t="shared" ca="1" si="18"/>
        <v>1.413482107648752</v>
      </c>
    </row>
    <row r="69" spans="2:23" outlineLevel="1" x14ac:dyDescent="0.2">
      <c r="B69" s="79" t="s">
        <v>116</v>
      </c>
      <c r="C69" s="34"/>
      <c r="D69" s="34">
        <f t="shared" ref="D69:W69" si="19">-C57*(D24/100)*(1/(1+D33/100))</f>
        <v>-0.90770273794427436</v>
      </c>
      <c r="E69" s="34">
        <f t="shared" si="19"/>
        <v>0.82999130151990808</v>
      </c>
      <c r="F69" s="34">
        <f t="shared" si="19"/>
        <v>0.16736355968562128</v>
      </c>
      <c r="G69" s="34">
        <f t="shared" si="19"/>
        <v>-1.1925778785767092</v>
      </c>
      <c r="H69" s="34">
        <f t="shared" si="19"/>
        <v>-1.3068400306489834</v>
      </c>
      <c r="I69" s="34">
        <f t="shared" si="19"/>
        <v>-1.13297411868745</v>
      </c>
      <c r="J69" s="34">
        <f t="shared" si="19"/>
        <v>-1.0109455928804776</v>
      </c>
      <c r="K69" s="34">
        <f t="shared" si="19"/>
        <v>-0.92511003249291557</v>
      </c>
      <c r="L69" s="34">
        <f t="shared" si="19"/>
        <v>-0.85942863273448611</v>
      </c>
      <c r="M69" s="34">
        <f t="shared" si="19"/>
        <v>-0.80918636028778534</v>
      </c>
      <c r="N69" s="34">
        <f t="shared" ca="1" si="19"/>
        <v>-0.94226125175992881</v>
      </c>
      <c r="O69" s="34">
        <f t="shared" ca="1" si="19"/>
        <v>-0.91931281415742372</v>
      </c>
      <c r="P69" s="34">
        <f t="shared" ca="1" si="19"/>
        <v>-0.89327154381881968</v>
      </c>
      <c r="Q69" s="34">
        <f t="shared" ca="1" si="19"/>
        <v>-0.6521578544410418</v>
      </c>
      <c r="R69" s="34">
        <f t="shared" ca="1" si="19"/>
        <v>-0.63173267315001436</v>
      </c>
      <c r="S69" s="34">
        <f t="shared" ca="1" si="19"/>
        <v>-0.61015881594450794</v>
      </c>
      <c r="T69" s="34">
        <f t="shared" ca="1" si="19"/>
        <v>-0.58724955558719349</v>
      </c>
      <c r="U69" s="34">
        <f t="shared" ca="1" si="19"/>
        <v>-0.56283356146078378</v>
      </c>
      <c r="V69" s="34">
        <f t="shared" ca="1" si="19"/>
        <v>-0.53677650597619964</v>
      </c>
      <c r="W69" s="34">
        <f t="shared" ca="1" si="19"/>
        <v>-0.50906283157003784</v>
      </c>
    </row>
    <row r="70" spans="2:23" outlineLevel="1" x14ac:dyDescent="0.2">
      <c r="B70" s="79" t="s">
        <v>117</v>
      </c>
      <c r="C70" s="34"/>
      <c r="D70" s="34">
        <f t="shared" ref="D70:W70" si="20">-C57*D42/100*(1/(1+D42/100))</f>
        <v>-3.7081792093539843</v>
      </c>
      <c r="E70" s="34">
        <f t="shared" si="20"/>
        <v>-2.7601372355757476</v>
      </c>
      <c r="F70" s="34">
        <f t="shared" si="20"/>
        <v>-1.2729942369236147</v>
      </c>
      <c r="G70" s="34">
        <f>-F57*G42/100*(1/(1+G42/100))</f>
        <v>-1.7075744585293433</v>
      </c>
      <c r="H70" s="34">
        <f t="shared" si="20"/>
        <v>-1.7807893214412729</v>
      </c>
      <c r="I70" s="34">
        <f t="shared" si="20"/>
        <v>-1.8453615090913054</v>
      </c>
      <c r="J70" s="34">
        <f t="shared" si="20"/>
        <v>-1.8937430490695062</v>
      </c>
      <c r="K70" s="34">
        <f t="shared" si="20"/>
        <v>-1.9302644681456071</v>
      </c>
      <c r="L70" s="34">
        <f t="shared" si="20"/>
        <v>-1.9478070219650452</v>
      </c>
      <c r="M70" s="34">
        <f t="shared" si="20"/>
        <v>-1.9547679878097686</v>
      </c>
      <c r="N70" s="34">
        <f t="shared" si="20"/>
        <v>-1.9610026872712214</v>
      </c>
      <c r="O70" s="34">
        <f t="shared" ca="1" si="20"/>
        <v>-1.9069042538486509</v>
      </c>
      <c r="P70" s="34">
        <f t="shared" ca="1" si="20"/>
        <v>-1.8342831141979232</v>
      </c>
      <c r="Q70" s="34">
        <f t="shared" ca="1" si="20"/>
        <v>-1.7563642339941381</v>
      </c>
      <c r="R70" s="34">
        <f t="shared" ca="1" si="20"/>
        <v>-1.6826000045286664</v>
      </c>
      <c r="S70" s="34">
        <f t="shared" ca="1" si="20"/>
        <v>-1.6070318442100131</v>
      </c>
      <c r="T70" s="34">
        <f t="shared" ca="1" si="20"/>
        <v>-1.5292518820293257</v>
      </c>
      <c r="U70" s="34">
        <f t="shared" ca="1" si="20"/>
        <v>-1.4489678685470166</v>
      </c>
      <c r="V70" s="34">
        <f t="shared" ca="1" si="20"/>
        <v>-1.3659452273362154</v>
      </c>
      <c r="W70" s="34">
        <f t="shared" ca="1" si="20"/>
        <v>-1.2803148266963031</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1">D15</f>
        <v>5.1764349999999997</v>
      </c>
      <c r="E73" s="34">
        <f t="shared" si="21"/>
        <v>2.1420457294413482</v>
      </c>
      <c r="F73" s="34">
        <f t="shared" si="21"/>
        <v>2.543156615765406</v>
      </c>
      <c r="G73" s="34">
        <f t="shared" si="21"/>
        <v>1.2833361388111759</v>
      </c>
      <c r="H73" s="34">
        <f t="shared" si="21"/>
        <v>1.726862012716794</v>
      </c>
      <c r="I73" s="34">
        <f t="shared" si="21"/>
        <v>1.4444254457205716</v>
      </c>
      <c r="J73" s="34">
        <f t="shared" si="21"/>
        <v>1.3768241518246929</v>
      </c>
      <c r="K73" s="34">
        <f t="shared" si="21"/>
        <v>1.0241608740131771</v>
      </c>
      <c r="L73" s="34">
        <f t="shared" si="21"/>
        <v>1.0623847406019649</v>
      </c>
      <c r="M73" s="34">
        <f t="shared" si="21"/>
        <v>1.5229809999999999</v>
      </c>
      <c r="N73" s="34">
        <f t="shared" si="21"/>
        <v>1.526135</v>
      </c>
      <c r="O73" s="34">
        <f t="shared" si="21"/>
        <v>1.3735219999999999</v>
      </c>
      <c r="P73" s="34">
        <f t="shared" si="21"/>
        <v>1.2209080000000001</v>
      </c>
      <c r="Q73" s="34">
        <f t="shared" si="21"/>
        <v>1.068295</v>
      </c>
      <c r="R73" s="34">
        <f t="shared" si="21"/>
        <v>0.91568099999999997</v>
      </c>
      <c r="S73" s="34">
        <f t="shared" si="21"/>
        <v>0.76306750000000001</v>
      </c>
      <c r="T73" s="34">
        <f t="shared" si="21"/>
        <v>0.61045400000000005</v>
      </c>
      <c r="U73" s="34">
        <f t="shared" si="21"/>
        <v>0.45784049999999998</v>
      </c>
      <c r="V73" s="34">
        <f t="shared" si="21"/>
        <v>0.30522700000000003</v>
      </c>
      <c r="W73" s="34">
        <f t="shared" si="21"/>
        <v>0.15261350000000001</v>
      </c>
    </row>
    <row r="74" spans="2:23" outlineLevel="1" x14ac:dyDescent="0.2">
      <c r="B74" s="89" t="s">
        <v>121</v>
      </c>
      <c r="C74" s="49"/>
      <c r="D74" s="49">
        <f>+D72-D73</f>
        <v>0</v>
      </c>
      <c r="E74" s="49">
        <f t="shared" ref="E74:W74" si="22">+E72-E73</f>
        <v>0</v>
      </c>
      <c r="F74" s="49">
        <f t="shared" si="22"/>
        <v>0</v>
      </c>
      <c r="G74" s="49">
        <f t="shared" si="22"/>
        <v>0</v>
      </c>
      <c r="H74" s="49">
        <f t="shared" si="22"/>
        <v>0</v>
      </c>
      <c r="I74" s="49">
        <f t="shared" si="22"/>
        <v>0</v>
      </c>
      <c r="J74" s="49">
        <f t="shared" si="22"/>
        <v>0</v>
      </c>
      <c r="K74" s="49">
        <f t="shared" si="22"/>
        <v>0</v>
      </c>
      <c r="L74" s="49">
        <f t="shared" si="22"/>
        <v>0</v>
      </c>
      <c r="M74" s="49">
        <f t="shared" si="22"/>
        <v>0</v>
      </c>
      <c r="N74" s="49">
        <f t="shared" si="22"/>
        <v>0</v>
      </c>
      <c r="O74" s="49">
        <f t="shared" si="22"/>
        <v>0</v>
      </c>
      <c r="P74" s="49">
        <f t="shared" si="22"/>
        <v>0</v>
      </c>
      <c r="Q74" s="49">
        <f t="shared" si="22"/>
        <v>0</v>
      </c>
      <c r="R74" s="49">
        <f t="shared" si="22"/>
        <v>0</v>
      </c>
      <c r="S74" s="49">
        <f t="shared" si="22"/>
        <v>0</v>
      </c>
      <c r="T74" s="49">
        <f t="shared" si="22"/>
        <v>0</v>
      </c>
      <c r="U74" s="49">
        <f t="shared" si="22"/>
        <v>0</v>
      </c>
      <c r="V74" s="49">
        <f t="shared" si="22"/>
        <v>0</v>
      </c>
      <c r="W74" s="49">
        <f t="shared" si="22"/>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-0.36348994760516051</v>
      </c>
      <c r="E77" s="78">
        <f t="shared" ref="E77:W77" si="23">E59-E68</f>
        <v>-2.8496327454028076</v>
      </c>
      <c r="F77" s="78">
        <f t="shared" si="23"/>
        <v>-3.6595635384782375</v>
      </c>
      <c r="G77" s="78">
        <f>G59-G68</f>
        <v>-3.1429095404076062</v>
      </c>
      <c r="H77" s="78">
        <f t="shared" si="23"/>
        <v>-2.4251312411485211</v>
      </c>
      <c r="I77" s="78">
        <f t="shared" si="23"/>
        <v>-1.8301267401536112</v>
      </c>
      <c r="J77" s="78">
        <f t="shared" si="23"/>
        <v>-1.2950074665616</v>
      </c>
      <c r="K77" s="78">
        <f t="shared" si="23"/>
        <v>-0.79845107563384576</v>
      </c>
      <c r="L77" s="78">
        <f t="shared" si="23"/>
        <v>-0.31345634083664287</v>
      </c>
      <c r="M77" s="78">
        <f t="shared" si="23"/>
        <v>0.16055257274200763</v>
      </c>
      <c r="N77" s="78">
        <f t="shared" ca="1" si="23"/>
        <v>0.48581115146967258</v>
      </c>
      <c r="O77" s="78">
        <f t="shared" ca="1" si="23"/>
        <v>0.68361233260608922</v>
      </c>
      <c r="P77" s="78">
        <f t="shared" ca="1" si="23"/>
        <v>0.89278485575712119</v>
      </c>
      <c r="Q77" s="78">
        <f t="shared" ca="1" si="23"/>
        <v>0.93842084694689665</v>
      </c>
      <c r="R77" s="78">
        <f t="shared" ca="1" si="23"/>
        <v>1.0054320283695288</v>
      </c>
      <c r="S77" s="78">
        <f t="shared" ca="1" si="23"/>
        <v>1.0969385824576878</v>
      </c>
      <c r="T77" s="78">
        <f t="shared" ca="1" si="23"/>
        <v>1.2095458733144793</v>
      </c>
      <c r="U77" s="78">
        <f t="shared" ca="1" si="23"/>
        <v>1.3420188492493019</v>
      </c>
      <c r="V77" s="78">
        <f t="shared" ca="1" si="23"/>
        <v>1.4794140867058194</v>
      </c>
      <c r="W77" s="78">
        <f t="shared" ca="1" si="23"/>
        <v>1.6060931659924667</v>
      </c>
    </row>
    <row r="78" spans="2:23" ht="12" thickBot="1" x14ac:dyDescent="0.25">
      <c r="B78" s="26" t="s">
        <v>42</v>
      </c>
      <c r="D78" s="34">
        <f>D60-D68-D64-D65-D66</f>
        <v>-0.27838556264340553</v>
      </c>
      <c r="E78" s="34">
        <f t="shared" ref="E78:W78" si="24">E60-E68-E64-E65-E66</f>
        <v>-1.4704100690906696</v>
      </c>
      <c r="F78" s="34">
        <f t="shared" si="24"/>
        <v>-1.6290876998296837</v>
      </c>
      <c r="G78" s="34">
        <f t="shared" si="24"/>
        <v>-1.434590103012835</v>
      </c>
      <c r="H78" s="34">
        <f t="shared" si="24"/>
        <v>-1.1064848676429619</v>
      </c>
      <c r="I78" s="34">
        <f t="shared" si="24"/>
        <v>-0.77002239904813385</v>
      </c>
      <c r="J78" s="34">
        <f t="shared" si="24"/>
        <v>-0.40644175286446149</v>
      </c>
      <c r="K78" s="34">
        <f t="shared" si="24"/>
        <v>-2.3698579926746843E-2</v>
      </c>
      <c r="L78" s="34">
        <f t="shared" si="24"/>
        <v>0.38578285046227268</v>
      </c>
      <c r="M78" s="34">
        <f t="shared" si="24"/>
        <v>0.80968985809937233</v>
      </c>
      <c r="N78" s="34">
        <f t="shared" ca="1" si="24"/>
        <v>0.84061119131710638</v>
      </c>
      <c r="O78" s="34">
        <f t="shared" ca="1" si="24"/>
        <v>0.86101235252979014</v>
      </c>
      <c r="P78" s="34">
        <f t="shared" ca="1" si="24"/>
        <v>0.89278485575712119</v>
      </c>
      <c r="Q78" s="34">
        <f t="shared" ca="1" si="24"/>
        <v>0.9384298003899223</v>
      </c>
      <c r="R78" s="34">
        <f t="shared" ca="1" si="24"/>
        <v>1.0054487820381022</v>
      </c>
      <c r="S78" s="34">
        <f t="shared" ca="1" si="24"/>
        <v>1.0969648661746756</v>
      </c>
      <c r="T78" s="34">
        <f t="shared" ca="1" si="24"/>
        <v>1.2095782274310598</v>
      </c>
      <c r="U78" s="34">
        <f t="shared" ca="1" si="24"/>
        <v>1.3420590035882962</v>
      </c>
      <c r="V78" s="34">
        <f t="shared" ca="1" si="24"/>
        <v>1.4794591582274903</v>
      </c>
      <c r="W78" s="34">
        <f t="shared" ca="1" si="24"/>
        <v>1.6061448845194677</v>
      </c>
    </row>
    <row r="79" spans="2:23" ht="12" thickBot="1" x14ac:dyDescent="0.25">
      <c r="B79" s="35" t="s">
        <v>123</v>
      </c>
      <c r="C79" s="35"/>
      <c r="D79" s="281">
        <f>'Input data'!D45</f>
        <v>5.7681103325160432</v>
      </c>
      <c r="E79" s="281">
        <f>'Input data'!E45</f>
        <v>7.4830230810080138</v>
      </c>
      <c r="F79" s="281">
        <f>'Input data'!F45</f>
        <v>3.9912900392291735</v>
      </c>
      <c r="G79" s="431">
        <f>'Input data'!G33+G42-(G$12-F$12)/'Input data'!$C$64*100</f>
        <v>2.2942919913944246</v>
      </c>
      <c r="H79" s="432">
        <f>'Input data'!H33+H42-(H$12-G$12)/'Input data'!$C$64*100</f>
        <v>2.3461075489702363</v>
      </c>
      <c r="I79" s="432">
        <f>'Input data'!I33+I42-(I$12-H$12)/'Input data'!$C$64*100</f>
        <v>2.397923106546048</v>
      </c>
      <c r="J79" s="433">
        <f>'Input data'!J33+J42-(J$12-I$12)/'Input data'!$C$64*100</f>
        <v>2.4497386641218597</v>
      </c>
      <c r="K79" s="49">
        <f>'Input data'!K33+K42-(K$12-J$12)/'Input data'!$C$64*100</f>
        <v>2.5015542216976714</v>
      </c>
      <c r="L79" s="49">
        <f>'Input data'!L33+L42-(L$12-K$12)/'Input data'!$C$64*100</f>
        <v>2.5533697792734835</v>
      </c>
      <c r="M79" s="49">
        <f>'Input data'!M33+M42-(M$12-L$12)/'Input data'!$C$64*100</f>
        <v>2.6051853368492957</v>
      </c>
      <c r="N79" s="49">
        <f ca="1">'Input data'!N33+N42-(N$12-M$12)/'Input data'!$C$64*100</f>
        <v>3.4332844424241884</v>
      </c>
      <c r="O79" s="49">
        <f ca="1">'Input data'!O33+O42-(O$12-N$12)/'Input data'!$C$64*100</f>
        <v>3.4851000000000001</v>
      </c>
      <c r="P79" s="49">
        <f ca="1">'Input data'!P33+P42-(P$12-O$12)/'Input data'!$C$64*100</f>
        <v>3.4576000000000002</v>
      </c>
      <c r="Q79" s="49">
        <f ca="1">'Input data'!Q33+Q42-(Q$12-P$12)/'Input data'!$C$64*100</f>
        <v>3.4300999999999995</v>
      </c>
      <c r="R79" s="49">
        <f ca="1">'Input data'!R33+R42-(R$12-Q$12)/'Input data'!$C$64*100</f>
        <v>3.4025999999999996</v>
      </c>
      <c r="S79" s="49">
        <f ca="1">'Input data'!S33+S42-(S$12-R$12)/'Input data'!$C$64*100</f>
        <v>3.3750999999999998</v>
      </c>
      <c r="T79" s="49">
        <f ca="1">'Input data'!T33+T42-(T$12-S$12)/'Input data'!$C$64*100</f>
        <v>3.3475999999999999</v>
      </c>
      <c r="U79" s="49">
        <f ca="1">'Input data'!U33+U42-(U$12-T$12)/'Input data'!$C$64*100</f>
        <v>3.3201000000000001</v>
      </c>
      <c r="V79" s="49">
        <f ca="1">'Input data'!V33+V42-(V$12-U$12)/'Input data'!$C$64*100</f>
        <v>3.2926000000000002</v>
      </c>
      <c r="W79" s="49">
        <f ca="1">'Input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2.4497386641218597</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5">IF(K57&lt;J57,0,1)</f>
        <v>0</v>
      </c>
      <c r="L83" s="257">
        <f t="shared" si="25"/>
        <v>0</v>
      </c>
      <c r="M83" s="257">
        <f t="shared" si="25"/>
        <v>0</v>
      </c>
      <c r="N83" s="257">
        <f t="shared" ca="1" si="25"/>
        <v>0</v>
      </c>
      <c r="O83" s="257">
        <f t="shared" ca="1" si="25"/>
        <v>0</v>
      </c>
      <c r="P83" s="257">
        <f t="shared" ca="1" si="25"/>
        <v>0</v>
      </c>
      <c r="Q83" s="257">
        <f t="shared" ca="1" si="25"/>
        <v>0</v>
      </c>
      <c r="R83" s="257">
        <f t="shared" ca="1" si="25"/>
        <v>0</v>
      </c>
      <c r="S83" s="257">
        <f t="shared" ca="1" si="25"/>
        <v>0</v>
      </c>
      <c r="T83" s="257">
        <f t="shared" ca="1" si="25"/>
        <v>0</v>
      </c>
      <c r="U83" s="257">
        <f t="shared" ca="1" si="25"/>
        <v>0</v>
      </c>
      <c r="V83" s="257">
        <f t="shared" ca="1" si="25"/>
        <v>0</v>
      </c>
      <c r="W83" s="257">
        <f t="shared" ca="1" si="25"/>
        <v>0</v>
      </c>
    </row>
    <row r="84" spans="2:23" x14ac:dyDescent="0.2">
      <c r="B84" s="26" t="s">
        <v>261</v>
      </c>
      <c r="F84" s="29">
        <f t="shared" ref="F84:W84" si="26">IF(F57&gt;90,1,0)</f>
        <v>0</v>
      </c>
      <c r="G84" s="29">
        <f t="shared" si="26"/>
        <v>0</v>
      </c>
      <c r="H84" s="29">
        <f t="shared" si="26"/>
        <v>0</v>
      </c>
      <c r="I84" s="29">
        <f t="shared" si="26"/>
        <v>0</v>
      </c>
      <c r="J84" s="29">
        <f t="shared" si="26"/>
        <v>0</v>
      </c>
      <c r="K84" s="29">
        <f t="shared" si="26"/>
        <v>0</v>
      </c>
      <c r="L84" s="29">
        <f t="shared" si="26"/>
        <v>0</v>
      </c>
      <c r="M84" s="29">
        <f t="shared" si="26"/>
        <v>0</v>
      </c>
      <c r="N84" s="29">
        <f t="shared" ca="1" si="26"/>
        <v>0</v>
      </c>
      <c r="O84" s="29">
        <f t="shared" ca="1" si="26"/>
        <v>0</v>
      </c>
      <c r="P84" s="29">
        <f t="shared" ca="1" si="26"/>
        <v>0</v>
      </c>
      <c r="Q84" s="29">
        <f t="shared" ca="1" si="26"/>
        <v>0</v>
      </c>
      <c r="R84" s="29">
        <f t="shared" ca="1" si="26"/>
        <v>0</v>
      </c>
      <c r="S84" s="29">
        <f t="shared" ca="1" si="26"/>
        <v>0</v>
      </c>
      <c r="T84" s="29">
        <f t="shared" ca="1" si="26"/>
        <v>0</v>
      </c>
      <c r="U84" s="29">
        <f t="shared" ca="1" si="26"/>
        <v>0</v>
      </c>
      <c r="V84" s="29">
        <f t="shared" ca="1" si="26"/>
        <v>0</v>
      </c>
      <c r="W84" s="29">
        <f t="shared" ca="1" si="26"/>
        <v>0</v>
      </c>
    </row>
    <row r="85" spans="2:23" x14ac:dyDescent="0.2">
      <c r="B85" s="26" t="s">
        <v>262</v>
      </c>
      <c r="F85" s="29">
        <f t="shared" ref="F85:W85" si="27">IF(AND(F57&gt;60,F57&lt;=90),1,0)</f>
        <v>1</v>
      </c>
      <c r="G85" s="29">
        <f t="shared" si="27"/>
        <v>1</v>
      </c>
      <c r="H85" s="29">
        <f t="shared" si="27"/>
        <v>1</v>
      </c>
      <c r="I85" s="29">
        <f t="shared" si="27"/>
        <v>1</v>
      </c>
      <c r="J85" s="29">
        <f t="shared" si="27"/>
        <v>1</v>
      </c>
      <c r="K85" s="29">
        <f t="shared" si="27"/>
        <v>1</v>
      </c>
      <c r="L85" s="29">
        <f t="shared" si="27"/>
        <v>1</v>
      </c>
      <c r="M85" s="29">
        <f t="shared" si="27"/>
        <v>1</v>
      </c>
      <c r="N85" s="29">
        <f t="shared" ca="1" si="27"/>
        <v>1</v>
      </c>
      <c r="O85" s="29">
        <f t="shared" ca="1" si="27"/>
        <v>1</v>
      </c>
      <c r="P85" s="29">
        <f t="shared" ca="1" si="27"/>
        <v>1</v>
      </c>
      <c r="Q85" s="29">
        <f t="shared" ca="1" si="27"/>
        <v>1</v>
      </c>
      <c r="R85" s="29">
        <f t="shared" ca="1" si="27"/>
        <v>1</v>
      </c>
      <c r="S85" s="29">
        <f t="shared" ca="1" si="27"/>
        <v>1</v>
      </c>
      <c r="T85" s="29">
        <f t="shared" ca="1" si="27"/>
        <v>1</v>
      </c>
      <c r="U85" s="29">
        <f t="shared" ca="1" si="27"/>
        <v>0</v>
      </c>
      <c r="V85" s="29">
        <f t="shared" ca="1" si="27"/>
        <v>0</v>
      </c>
      <c r="W85" s="29">
        <f t="shared" ca="1" si="27"/>
        <v>0</v>
      </c>
    </row>
    <row r="86" spans="2:23" x14ac:dyDescent="0.2">
      <c r="B86" s="26" t="s">
        <v>263</v>
      </c>
      <c r="F86" s="29">
        <f t="shared" ref="F86:W86" si="28">IF(F57&gt;60,1,0)</f>
        <v>1</v>
      </c>
      <c r="G86" s="29">
        <f t="shared" si="28"/>
        <v>1</v>
      </c>
      <c r="H86" s="29">
        <f t="shared" si="28"/>
        <v>1</v>
      </c>
      <c r="I86" s="29">
        <f t="shared" si="28"/>
        <v>1</v>
      </c>
      <c r="J86" s="29">
        <f t="shared" si="28"/>
        <v>1</v>
      </c>
      <c r="K86" s="29">
        <f t="shared" si="28"/>
        <v>1</v>
      </c>
      <c r="L86" s="29">
        <f t="shared" si="28"/>
        <v>1</v>
      </c>
      <c r="M86" s="29">
        <f t="shared" si="28"/>
        <v>1</v>
      </c>
      <c r="N86" s="29">
        <f t="shared" ca="1" si="28"/>
        <v>1</v>
      </c>
      <c r="O86" s="29">
        <f t="shared" ca="1" si="28"/>
        <v>1</v>
      </c>
      <c r="P86" s="29">
        <f t="shared" ca="1" si="28"/>
        <v>1</v>
      </c>
      <c r="Q86" s="29">
        <f t="shared" ca="1" si="28"/>
        <v>1</v>
      </c>
      <c r="R86" s="29">
        <f t="shared" ca="1" si="28"/>
        <v>1</v>
      </c>
      <c r="S86" s="29">
        <f t="shared" ca="1" si="28"/>
        <v>1</v>
      </c>
      <c r="T86" s="29">
        <f t="shared" ca="1" si="28"/>
        <v>1</v>
      </c>
      <c r="U86" s="29">
        <f t="shared" ca="1" si="28"/>
        <v>0</v>
      </c>
      <c r="V86" s="29">
        <f t="shared" ca="1" si="28"/>
        <v>0</v>
      </c>
      <c r="W86" s="29">
        <f t="shared" ca="1" si="28"/>
        <v>0</v>
      </c>
    </row>
    <row r="87" spans="2:23" x14ac:dyDescent="0.2">
      <c r="B87" s="26" t="s">
        <v>264</v>
      </c>
      <c r="F87" s="360">
        <f>'Input data'!F17</f>
        <v>0</v>
      </c>
      <c r="G87" s="29">
        <f>IF(F87=0,0,IF(AND(E77&gt;-3.05,F77&gt;-3.05),0,1))</f>
        <v>0</v>
      </c>
      <c r="H87" s="29">
        <f t="shared" ref="H87:W87" si="29">IF(G87=0,0,IF(AND(F77&gt;-3.05,G77&gt;-3.05),0,1))</f>
        <v>0</v>
      </c>
      <c r="I87" s="29">
        <f t="shared" si="29"/>
        <v>0</v>
      </c>
      <c r="J87" s="29">
        <f t="shared" si="29"/>
        <v>0</v>
      </c>
      <c r="K87" s="29">
        <f t="shared" si="29"/>
        <v>0</v>
      </c>
      <c r="L87" s="29">
        <f t="shared" si="29"/>
        <v>0</v>
      </c>
      <c r="M87" s="29">
        <f t="shared" si="29"/>
        <v>0</v>
      </c>
      <c r="N87" s="29">
        <f t="shared" si="29"/>
        <v>0</v>
      </c>
      <c r="O87" s="29">
        <f t="shared" si="29"/>
        <v>0</v>
      </c>
      <c r="P87" s="29">
        <f t="shared" si="29"/>
        <v>0</v>
      </c>
      <c r="Q87" s="29">
        <f t="shared" si="29"/>
        <v>0</v>
      </c>
      <c r="R87" s="29">
        <f t="shared" si="29"/>
        <v>0</v>
      </c>
      <c r="S87" s="29">
        <f t="shared" si="29"/>
        <v>0</v>
      </c>
      <c r="T87" s="29">
        <f t="shared" si="29"/>
        <v>0</v>
      </c>
      <c r="U87" s="29">
        <f t="shared" si="29"/>
        <v>0</v>
      </c>
      <c r="V87" s="29">
        <f t="shared" si="29"/>
        <v>0</v>
      </c>
      <c r="W87" s="29">
        <f t="shared" si="29"/>
        <v>0</v>
      </c>
    </row>
    <row r="88" spans="2:23" x14ac:dyDescent="0.2">
      <c r="B88" s="26" t="s">
        <v>259</v>
      </c>
      <c r="F88" s="29">
        <f t="shared" ref="F88:W88" si="30">IF(F78&gt;=-1.55,1,0)</f>
        <v>0</v>
      </c>
      <c r="G88" s="29">
        <f t="shared" si="30"/>
        <v>1</v>
      </c>
      <c r="H88" s="29">
        <f t="shared" si="30"/>
        <v>1</v>
      </c>
      <c r="I88" s="29">
        <f t="shared" si="30"/>
        <v>1</v>
      </c>
      <c r="J88" s="29">
        <f t="shared" si="30"/>
        <v>1</v>
      </c>
      <c r="K88" s="29">
        <f t="shared" si="30"/>
        <v>1</v>
      </c>
      <c r="L88" s="29">
        <f t="shared" si="30"/>
        <v>1</v>
      </c>
      <c r="M88" s="29">
        <f t="shared" si="30"/>
        <v>1</v>
      </c>
      <c r="N88" s="29">
        <f t="shared" ca="1" si="30"/>
        <v>1</v>
      </c>
      <c r="O88" s="29">
        <f t="shared" ca="1" si="30"/>
        <v>1</v>
      </c>
      <c r="P88" s="29">
        <f t="shared" ca="1" si="30"/>
        <v>1</v>
      </c>
      <c r="Q88" s="29">
        <f t="shared" ca="1" si="30"/>
        <v>1</v>
      </c>
      <c r="R88" s="29">
        <f t="shared" ca="1" si="30"/>
        <v>1</v>
      </c>
      <c r="S88" s="29">
        <f t="shared" ca="1" si="30"/>
        <v>1</v>
      </c>
      <c r="T88" s="29">
        <f t="shared" ca="1" si="30"/>
        <v>1</v>
      </c>
      <c r="U88" s="29">
        <f t="shared" ca="1" si="30"/>
        <v>1</v>
      </c>
      <c r="V88" s="29">
        <f t="shared" ca="1" si="30"/>
        <v>1</v>
      </c>
      <c r="W88" s="29">
        <f t="shared" ca="1" si="30"/>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1.2546443552845774</v>
      </c>
      <c r="G90" s="34">
        <f>F57*G36/100*(1/((1+'Input data'!G30/100)*(1+G42/100)))</f>
        <v>1.4837105818037626</v>
      </c>
      <c r="H90" s="34">
        <f>G57*H36/100*(1/((1+'Input data'!H30/100)*(1+H42/100)))</f>
        <v>1.5853780951812504</v>
      </c>
      <c r="I90" s="34">
        <f>H57*I36/100*(1/((1+'Input data'!I30/100)*(1+I42/100)))</f>
        <v>1.6730719406375851</v>
      </c>
      <c r="J90" s="34">
        <f>I57*J36/100*(1/((1+'Input data'!J30/100)*(1+J42/100)))</f>
        <v>1.7348001971704599</v>
      </c>
      <c r="K90" s="34">
        <f>J57*K36/100*(1/((1+'Input data'!K30/100)*(1+K42/100)))</f>
        <v>1.7941027028420338</v>
      </c>
      <c r="L90" s="34">
        <f>K57*L36/100*(1/((1+'Input data'!L30/100)*(1+L42/100)))</f>
        <v>1.8117032204550392</v>
      </c>
      <c r="M90" s="34">
        <f>L57*M36/100*(1/((1+'Input data'!M30/100)*(1+M42/100)))</f>
        <v>1.8152556706031184</v>
      </c>
      <c r="N90" s="34">
        <f>M57*N36/100*(1/((1+'Input data'!N30/100)*(1+N42/100)))</f>
        <v>1.8178803586446293</v>
      </c>
      <c r="O90" s="34">
        <f ca="1">N57*O36/100*(1/((1+'Input data'!O30/100)*(1+O42/100)))</f>
        <v>1.7502250722395178</v>
      </c>
      <c r="P90" s="34">
        <f ca="1">O57*P36/100*(1/((1+'Input data'!P30/100)*(1+P42/100)))</f>
        <v>1.7279683559574379</v>
      </c>
      <c r="Q90" s="34">
        <f ca="1">P57*Q36/100*(1/((1+'Input data'!Q30/100)*(1+Q42/100)))</f>
        <v>1.6951761917783015</v>
      </c>
      <c r="R90" s="34">
        <f ca="1">Q57*R36/100*(1/((1+'Input data'!R30/100)*(1+R42/100)))</f>
        <v>1.6622472101301167</v>
      </c>
      <c r="S90" s="34">
        <f ca="1">R57*S36/100*(1/((1+'Input data'!S30/100)*(1+S42/100)))</f>
        <v>1.623752125993543</v>
      </c>
      <c r="T90" s="34">
        <f ca="1">S57*T36/100*(1/((1+'Input data'!T30/100)*(1+T42/100)))</f>
        <v>1.5798987647371594</v>
      </c>
      <c r="U90" s="34">
        <f ca="1">T57*U36/100*(1/((1+'Input data'!U30/100)*(1+U42/100)))</f>
        <v>1.5303979885799217</v>
      </c>
      <c r="V90" s="34">
        <f ca="1">U57*V36/100*(1/((1+'Input data'!V30/100)*(1+V42/100)))</f>
        <v>1.4749378339407302</v>
      </c>
      <c r="W90" s="34">
        <f ca="1">V57*W36/100*(1/((1+'Input data'!W30/100)*(1+W42/100)))</f>
        <v>1.413482107648752</v>
      </c>
    </row>
    <row r="91" spans="2:23" x14ac:dyDescent="0.2">
      <c r="B91" s="32" t="s">
        <v>260</v>
      </c>
      <c r="F91" s="34"/>
      <c r="G91" s="34">
        <f>G90-F90</f>
        <v>0.22906622651918518</v>
      </c>
      <c r="H91" s="34">
        <f t="shared" ref="H91:W91" si="31">H90-G90</f>
        <v>0.10166751337748781</v>
      </c>
      <c r="I91" s="34">
        <f t="shared" si="31"/>
        <v>8.769384545633474E-2</v>
      </c>
      <c r="J91" s="34">
        <f t="shared" si="31"/>
        <v>6.1728256532874726E-2</v>
      </c>
      <c r="K91" s="34">
        <f t="shared" si="31"/>
        <v>5.9302505671573913E-2</v>
      </c>
      <c r="L91" s="34">
        <f t="shared" si="31"/>
        <v>1.7600517613005406E-2</v>
      </c>
      <c r="M91" s="34">
        <f t="shared" si="31"/>
        <v>3.5524501480792559E-3</v>
      </c>
      <c r="N91" s="34">
        <f t="shared" si="31"/>
        <v>2.6246880415108365E-3</v>
      </c>
      <c r="O91" s="34">
        <f t="shared" ca="1" si="31"/>
        <v>-1.040948192914648E-2</v>
      </c>
      <c r="P91" s="34">
        <f t="shared" ca="1" si="31"/>
        <v>-2.2256716282079925E-2</v>
      </c>
      <c r="Q91" s="34">
        <f t="shared" ca="1" si="31"/>
        <v>-3.279216417913644E-2</v>
      </c>
      <c r="R91" s="34">
        <f t="shared" ca="1" si="31"/>
        <v>-3.2928981648184807E-2</v>
      </c>
      <c r="S91" s="34">
        <f t="shared" ca="1" si="31"/>
        <v>-3.8495084136573654E-2</v>
      </c>
      <c r="T91" s="34">
        <f t="shared" ca="1" si="31"/>
        <v>-4.3853361256383616E-2</v>
      </c>
      <c r="U91" s="34">
        <f t="shared" ca="1" si="31"/>
        <v>-4.9500776157237691E-2</v>
      </c>
      <c r="V91" s="34">
        <f t="shared" ca="1" si="31"/>
        <v>-5.5460154639191517E-2</v>
      </c>
      <c r="W91" s="34">
        <f t="shared" ca="1" si="31"/>
        <v>-6.1455726291978152E-2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2">IF((D100-C100*D43/((1+D24/100)*(1+D42/100)))&gt;0,1,0)</f>
        <v>1</v>
      </c>
      <c r="E95" s="29">
        <f t="shared" si="32"/>
        <v>1</v>
      </c>
      <c r="F95" s="29">
        <f t="shared" si="32"/>
        <v>1</v>
      </c>
      <c r="G95" s="29">
        <f t="shared" si="32"/>
        <v>1</v>
      </c>
      <c r="H95" s="29">
        <f t="shared" si="32"/>
        <v>1</v>
      </c>
      <c r="I95" s="29">
        <f t="shared" si="32"/>
        <v>1</v>
      </c>
      <c r="J95" s="29">
        <f t="shared" si="32"/>
        <v>1</v>
      </c>
      <c r="K95" s="29">
        <f t="shared" si="32"/>
        <v>1</v>
      </c>
      <c r="L95" s="29">
        <f t="shared" si="32"/>
        <v>1</v>
      </c>
      <c r="M95" s="29">
        <f t="shared" si="32"/>
        <v>1</v>
      </c>
      <c r="N95" s="29">
        <f t="shared" ca="1" si="32"/>
        <v>1</v>
      </c>
      <c r="O95" s="29">
        <f t="shared" ca="1" si="32"/>
        <v>1</v>
      </c>
      <c r="P95" s="29">
        <f t="shared" ca="1" si="32"/>
        <v>1</v>
      </c>
      <c r="Q95" s="29">
        <f t="shared" ca="1" si="32"/>
        <v>1</v>
      </c>
      <c r="R95" s="29">
        <f t="shared" ca="1" si="32"/>
        <v>0</v>
      </c>
      <c r="S95" s="29">
        <f t="shared" ca="1" si="32"/>
        <v>0</v>
      </c>
      <c r="T95" s="29">
        <f t="shared" ca="1" si="32"/>
        <v>0</v>
      </c>
      <c r="U95" s="29">
        <f t="shared" ca="1" si="32"/>
        <v>0</v>
      </c>
      <c r="V95" s="29">
        <f t="shared" ca="1" si="32"/>
        <v>0</v>
      </c>
      <c r="W95" s="29">
        <f t="shared" ca="1" si="32"/>
        <v>0</v>
      </c>
    </row>
    <row r="96" spans="2:23" x14ac:dyDescent="0.2">
      <c r="B96" s="26" t="s">
        <v>126</v>
      </c>
      <c r="D96" s="29">
        <f t="shared" ref="D96:W96" si="33">IF(AND(D95=0,ABS(D100-C100*D43/((1+D24/100)*(1+D42/100)))&lt;((C106*C100*D43/((1+D24/100)*(1+D42/100))+(D39*C100*C107*D43/((1+D24/100)*(1+D42/100)))))),1,0)</f>
        <v>0</v>
      </c>
      <c r="E96" s="29">
        <f t="shared" si="33"/>
        <v>0</v>
      </c>
      <c r="F96" s="29">
        <f t="shared" si="33"/>
        <v>0</v>
      </c>
      <c r="G96" s="29">
        <f t="shared" si="33"/>
        <v>0</v>
      </c>
      <c r="H96" s="29">
        <f t="shared" si="33"/>
        <v>0</v>
      </c>
      <c r="I96" s="29">
        <f t="shared" si="33"/>
        <v>0</v>
      </c>
      <c r="J96" s="29">
        <f t="shared" si="33"/>
        <v>0</v>
      </c>
      <c r="K96" s="29">
        <f t="shared" si="33"/>
        <v>0</v>
      </c>
      <c r="L96" s="29">
        <f t="shared" si="33"/>
        <v>0</v>
      </c>
      <c r="M96" s="29">
        <f t="shared" si="33"/>
        <v>0</v>
      </c>
      <c r="N96" s="29">
        <f t="shared" ca="1" si="33"/>
        <v>0</v>
      </c>
      <c r="O96" s="29">
        <f t="shared" ca="1" si="33"/>
        <v>0</v>
      </c>
      <c r="P96" s="29">
        <f t="shared" ca="1" si="33"/>
        <v>0</v>
      </c>
      <c r="Q96" s="29">
        <f t="shared" ca="1" si="33"/>
        <v>0</v>
      </c>
      <c r="R96" s="29">
        <f t="shared" ca="1" si="33"/>
        <v>1</v>
      </c>
      <c r="S96" s="29">
        <f t="shared" ca="1" si="33"/>
        <v>1</v>
      </c>
      <c r="T96" s="29">
        <f t="shared" ca="1" si="33"/>
        <v>1</v>
      </c>
      <c r="U96" s="29">
        <f t="shared" ca="1" si="33"/>
        <v>1</v>
      </c>
      <c r="V96" s="29">
        <f t="shared" ca="1" si="33"/>
        <v>1</v>
      </c>
      <c r="W96" s="29">
        <f t="shared" ca="1" si="33"/>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76.572506382321123</v>
      </c>
      <c r="F100" s="110">
        <f>F57</f>
        <v>81.669832373893243</v>
      </c>
      <c r="G100" s="110">
        <f>G57</f>
        <v>83.196076198835499</v>
      </c>
      <c r="H100" s="110">
        <f t="shared" ref="H100:W100" si="34">G100*(1+H113/100)*H43-H60-H61+H62+H63+H64+H65+H66+H72</f>
        <v>84.260440100610552</v>
      </c>
      <c r="I100" s="110">
        <f t="shared" si="34"/>
        <v>84.556656658705975</v>
      </c>
      <c r="J100" s="110">
        <f t="shared" si="34"/>
        <v>84.323799635142251</v>
      </c>
      <c r="K100" s="110">
        <f t="shared" si="34"/>
        <v>83.291037084150744</v>
      </c>
      <c r="L100" s="110">
        <f t="shared" si="34"/>
        <v>81.859642510889813</v>
      </c>
      <c r="M100" s="110">
        <f t="shared" si="34"/>
        <v>80.458116590050267</v>
      </c>
      <c r="N100" s="110">
        <f t="shared" ca="1" si="34"/>
        <v>76.687463228305575</v>
      </c>
      <c r="O100" s="110">
        <f t="shared" ca="1" si="34"/>
        <v>74.551155827693393</v>
      </c>
      <c r="P100" s="110">
        <f t="shared" ca="1" si="34"/>
        <v>72.151724313919516</v>
      </c>
      <c r="Q100" s="110">
        <f t="shared" ca="1" si="34"/>
        <v>69.873076378537434</v>
      </c>
      <c r="R100" s="110">
        <f t="shared" ca="1" si="34"/>
        <v>67.468992672489236</v>
      </c>
      <c r="S100" s="110">
        <f t="shared" ca="1" si="34"/>
        <v>64.917930929877031</v>
      </c>
      <c r="T100" s="110">
        <f t="shared" ca="1" si="34"/>
        <v>62.202337618946032</v>
      </c>
      <c r="U100" s="110">
        <f t="shared" ca="1" si="34"/>
        <v>59.306357839688943</v>
      </c>
      <c r="V100" s="110">
        <f t="shared" ca="1" si="34"/>
        <v>56.229449019670717</v>
      </c>
      <c r="W100" s="110">
        <f t="shared" ca="1" si="34"/>
        <v>52.986591695411903</v>
      </c>
    </row>
    <row r="101" spans="2:23" x14ac:dyDescent="0.2">
      <c r="B101" s="26" t="s">
        <v>127</v>
      </c>
      <c r="C101" s="34"/>
      <c r="D101" s="253">
        <f>'Input data'!C66*$D$100</f>
        <v>59.051128502792025</v>
      </c>
      <c r="E101" s="34">
        <f t="shared" ref="E101:W101" si="35">IF(E100=0,0,IF(E95=1,D100*E43/((1+E24/100)*(1+E42/100))-E102-E103,IF(AND(E95=0,E96=1),(1-D106-E39*D107)*D100*E43/((1+E24/100)*(1+E42/100)),E100)))</f>
        <v>61.999403317237508</v>
      </c>
      <c r="F101" s="34">
        <f t="shared" si="35"/>
        <v>65.885197792321179</v>
      </c>
      <c r="G101" s="34">
        <f t="shared" si="35"/>
        <v>68.657968356063535</v>
      </c>
      <c r="H101" s="34">
        <f t="shared" si="35"/>
        <v>69.731772165619745</v>
      </c>
      <c r="I101" s="34">
        <f t="shared" si="35"/>
        <v>70.67080316451181</v>
      </c>
      <c r="J101" s="34">
        <f t="shared" si="35"/>
        <v>70.917882241168869</v>
      </c>
      <c r="K101" s="34">
        <f t="shared" si="35"/>
        <v>70.689474286343739</v>
      </c>
      <c r="L101" s="34">
        <f t="shared" si="35"/>
        <v>69.773380458541752</v>
      </c>
      <c r="M101" s="34">
        <f t="shared" si="35"/>
        <v>68.512480195980714</v>
      </c>
      <c r="N101" s="34">
        <f t="shared" ca="1" si="35"/>
        <v>65.482391428604146</v>
      </c>
      <c r="O101" s="34">
        <f t="shared" ca="1" si="35"/>
        <v>63.884574461699884</v>
      </c>
      <c r="P101" s="34">
        <f t="shared" ca="1" si="35"/>
        <v>62.117527410403397</v>
      </c>
      <c r="Q101" s="34">
        <f t="shared" ca="1" si="35"/>
        <v>60.316078286146762</v>
      </c>
      <c r="R101" s="34">
        <f t="shared" ca="1" si="35"/>
        <v>58.426027710232198</v>
      </c>
      <c r="S101" s="34">
        <f t="shared" ca="1" si="35"/>
        <v>56.484992186409301</v>
      </c>
      <c r="T101" s="34">
        <f t="shared" ca="1" si="35"/>
        <v>54.564662392273462</v>
      </c>
      <c r="U101" s="34">
        <f t="shared" ca="1" si="35"/>
        <v>52.654530706670464</v>
      </c>
      <c r="V101" s="34">
        <f t="shared" ca="1" si="35"/>
        <v>50.738894640419588</v>
      </c>
      <c r="W101" s="34">
        <f t="shared" ca="1" si="35"/>
        <v>48.796668231099986</v>
      </c>
    </row>
    <row r="102" spans="2:23" x14ac:dyDescent="0.2">
      <c r="B102" s="105" t="s">
        <v>128</v>
      </c>
      <c r="C102" s="34"/>
      <c r="D102" s="253">
        <f>'Input data'!C67*$D$100</f>
        <v>2.5660693694891989</v>
      </c>
      <c r="E102" s="34">
        <f t="shared" ref="E102:W102" si="36">IF(E100=0,0,IF(E95=1,E39*D100*D107*E43/((1+E24/100)*(1+E42/100)),IF(AND(E95=0,E96=1),(E39*D100*D107*E43/((1+E24/100)*(1+E42/100)))*(1-ABS(E100-D100*E43/((1+E24/100)*(1+E42/100)))/((E39*D100*D107*E43/((1+E24/100)*(1+E42/100)))+(D106*D100*E43/((1+E24/100)*(1+E42/100))))),0)))</f>
        <v>2.5449751617705147</v>
      </c>
      <c r="F102" s="34">
        <f t="shared" si="36"/>
        <v>2.1622470266405025</v>
      </c>
      <c r="G102" s="34">
        <f t="shared" si="36"/>
        <v>2.3027056459792008</v>
      </c>
      <c r="H102" s="34">
        <f t="shared" si="36"/>
        <v>2.3890241355957058</v>
      </c>
      <c r="I102" s="34">
        <f t="shared" si="36"/>
        <v>2.4722485577726987</v>
      </c>
      <c r="J102" s="34">
        <f t="shared" si="36"/>
        <v>2.5321951729674161</v>
      </c>
      <c r="K102" s="34">
        <f t="shared" si="36"/>
        <v>2.575249083880256</v>
      </c>
      <c r="L102" s="34">
        <f t="shared" si="36"/>
        <v>2.5924919406482019</v>
      </c>
      <c r="M102" s="34">
        <f t="shared" si="36"/>
        <v>2.5954135500005888</v>
      </c>
      <c r="N102" s="34">
        <f t="shared" ca="1" si="36"/>
        <v>2.5282636069677569</v>
      </c>
      <c r="O102" s="34">
        <f t="shared" ca="1" si="36"/>
        <v>2.513111927232389</v>
      </c>
      <c r="P102" s="34">
        <f t="shared" ca="1" si="36"/>
        <v>2.4435992622735521</v>
      </c>
      <c r="Q102" s="34">
        <f t="shared" ca="1" si="36"/>
        <v>2.3727332775093291</v>
      </c>
      <c r="R102" s="34">
        <f t="shared" ca="1" si="36"/>
        <v>2.27579469835996</v>
      </c>
      <c r="S102" s="34">
        <f t="shared" ca="1" si="36"/>
        <v>2.1374022291058652</v>
      </c>
      <c r="T102" s="34">
        <f t="shared" ca="1" si="36"/>
        <v>1.9903602900000326</v>
      </c>
      <c r="U102" s="34">
        <f t="shared" ca="1" si="36"/>
        <v>1.8283162531078623</v>
      </c>
      <c r="V102" s="34">
        <f t="shared" ca="1" si="36"/>
        <v>1.64433278838755</v>
      </c>
      <c r="W102" s="34">
        <f t="shared" ca="1" si="36"/>
        <v>1.4251842369775576</v>
      </c>
    </row>
    <row r="103" spans="2:23" x14ac:dyDescent="0.2">
      <c r="B103" s="105" t="s">
        <v>129</v>
      </c>
      <c r="C103" s="34"/>
      <c r="D103" s="253">
        <f>'Input data'!C68*$D$100</f>
        <v>6.679115961728173</v>
      </c>
      <c r="E103" s="34">
        <f t="shared" ref="E103:W103" si="37">IF(E100=0,0,IF(E95=1,(1-D107)*D100*E43/((1+E24/100)*(1+E42/100)),IF(AND(E95=0,E96=1),(D106*D100*E43/((1+E24/100)*(1+E42/100)))*(1-ABS(E100-D100*E43/((1+E24/100)*(1+E42/100)))/((E39*D100*D107*E43/((1+E24/100)*(1+E42/100)))+(D106*D100*E43/((1+E24/100)*(1+E42/100))))),0)))</f>
        <v>6.9964135836832329</v>
      </c>
      <c r="F103" s="34">
        <f t="shared" si="37"/>
        <v>7.4338450593811274</v>
      </c>
      <c r="G103" s="34">
        <f t="shared" si="37"/>
        <v>7.8170405421082076</v>
      </c>
      <c r="H103" s="34">
        <f t="shared" si="37"/>
        <v>7.9876505455297906</v>
      </c>
      <c r="I103" s="34">
        <f t="shared" si="37"/>
        <v>8.1390527505472914</v>
      </c>
      <c r="J103" s="34">
        <f t="shared" si="37"/>
        <v>8.2018906026196952</v>
      </c>
      <c r="K103" s="34">
        <f t="shared" si="37"/>
        <v>8.203701764279721</v>
      </c>
      <c r="L103" s="34">
        <f t="shared" si="37"/>
        <v>8.1179290302612461</v>
      </c>
      <c r="M103" s="34">
        <f t="shared" si="37"/>
        <v>7.9877944168109742</v>
      </c>
      <c r="N103" s="34">
        <f t="shared" ca="1" si="37"/>
        <v>7.6364843442033532</v>
      </c>
      <c r="O103" s="34">
        <f t="shared" ca="1" si="37"/>
        <v>7.4635597713672173</v>
      </c>
      <c r="P103" s="34">
        <f t="shared" ca="1" si="37"/>
        <v>7.2624744969996993</v>
      </c>
      <c r="Q103" s="34">
        <f t="shared" ca="1" si="37"/>
        <v>7.0543906618282337</v>
      </c>
      <c r="R103" s="34">
        <f t="shared" ca="1" si="37"/>
        <v>6.7671702638970803</v>
      </c>
      <c r="S103" s="34">
        <f t="shared" ca="1" si="37"/>
        <v>6.2955365143618698</v>
      </c>
      <c r="T103" s="34">
        <f t="shared" ca="1" si="37"/>
        <v>5.6473149366725446</v>
      </c>
      <c r="U103" s="34">
        <f t="shared" ca="1" si="37"/>
        <v>4.8235108799106206</v>
      </c>
      <c r="V103" s="34">
        <f t="shared" ca="1" si="37"/>
        <v>3.8462215908635784</v>
      </c>
      <c r="W103" s="34">
        <f t="shared" ca="1" si="37"/>
        <v>2.7647392273343598</v>
      </c>
    </row>
    <row r="104" spans="2:23" x14ac:dyDescent="0.2">
      <c r="B104" s="105" t="s">
        <v>130</v>
      </c>
      <c r="C104" s="34"/>
      <c r="D104" s="253">
        <f>'Input data'!C69*$D$100</f>
        <v>4.7052606775120811</v>
      </c>
      <c r="E104" s="34">
        <f>IF(E100=0,0,IF(E95=1,'Input data'!$C$58*(E100-D100*E43/((1+E24/100)*(1+E42/100))),0))</f>
        <v>4.4868133712998963</v>
      </c>
      <c r="F104" s="34">
        <f>IF(F100=0,0,IF(F95=1,'Input data'!$C$58*(F100-E100*F43/((1+F24/100)*(1+F42/100))),0))</f>
        <v>5.5183648065170443</v>
      </c>
      <c r="G104" s="34">
        <f>IF(G100=0,0,IF(G95=1,'Input data'!$C$58*(G100-F100*G43/((1+G24/100)*(1+G42/100))),0))</f>
        <v>3.9398826905053084</v>
      </c>
      <c r="H104" s="34">
        <f>IF(H100=0,0,IF(H95=1,'Input data'!$C$58*(H100-G100*H43/((1+H24/100)*(1+H42/100))),0))</f>
        <v>3.702360202826501</v>
      </c>
      <c r="I104" s="34">
        <f>IF(I100=0,0,IF(I95=1,'Input data'!$C$58*(I100-H100*I43/((1+I24/100)*(1+I42/100))),0))</f>
        <v>2.9199401236436437</v>
      </c>
      <c r="J104" s="34">
        <f>IF(J100=0,0,IF(J95=1,'Input data'!$C$58*(J100-I100*J43/((1+J24/100)*(1+J42/100))),0))</f>
        <v>2.3824901553868747</v>
      </c>
      <c r="K104" s="34">
        <f>IF(K100=0,0,IF(K95=1,'Input data'!$C$58*(K100-J100*K43/((1+K24/100)*(1+K42/100))),0))</f>
        <v>1.6252352870003157</v>
      </c>
      <c r="L104" s="34">
        <f>IF(L100=0,0,IF(L95=1,'Input data'!$C$58*(L100-K100*L43/((1+L24/100)*(1+L42/100))),0))</f>
        <v>1.2268467104540526</v>
      </c>
      <c r="M104" s="34">
        <f>IF(M100=0,0,IF(M95=1,'Input data'!$C$58*(M100-L100*M43/((1+M24/100)*(1+M42/100))),0))</f>
        <v>1.2148865568564173</v>
      </c>
      <c r="N104" s="34">
        <f ca="1">IF(N100=0,0,IF(N95=1,'Input data'!$C$58*(N100-M100*N43/((1+N24/100)*(1+N42/100))),0))</f>
        <v>0.92766374590427192</v>
      </c>
      <c r="O104" s="34">
        <f ca="1">IF(O100=0,0,IF(O95=1,'Input data'!$C$58*(O100-N100*O43/((1+O24/100)*(1+O42/100))),0))</f>
        <v>0.61519707280991709</v>
      </c>
      <c r="P104" s="34">
        <f ca="1">IF(P100=0,0,IF(P95=1,'Input data'!$C$58*(P100-O100*P43/((1+P24/100)*(1+P42/100))),0))</f>
        <v>0.29258960614643026</v>
      </c>
      <c r="Q104" s="34">
        <f ca="1">IF(Q100=0,0,IF(Q95=1,'Input data'!$C$58*(Q100-P100*Q43/((1+Q24/100)*(1+Q42/100))),0))</f>
        <v>0.11580965243428265</v>
      </c>
      <c r="R104" s="34">
        <f ca="1">IF(R100=0,0,IF(R95=1,'Input data'!$C$58*(R100-Q100*R43/((1+R24/100)*(1+R42/100))),0))</f>
        <v>0</v>
      </c>
      <c r="S104" s="34">
        <f ca="1">IF(S100=0,0,IF(S95=1,'Input data'!$C$58*(S100-R100*S43/((1+S24/100)*(1+S42/100))),0))</f>
        <v>0</v>
      </c>
      <c r="T104" s="34">
        <f ca="1">IF(T100=0,0,IF(T95=1,'Input data'!$C$58*(T100-S100*T43/((1+T24/100)*(1+T42/100))),0))</f>
        <v>0</v>
      </c>
      <c r="U104" s="34">
        <f ca="1">IF(U100=0,0,IF(U95=1,'Input data'!$C$58*(U100-T100*U43/((1+U24/100)*(1+U42/100))),0))</f>
        <v>0</v>
      </c>
      <c r="V104" s="34">
        <f ca="1">IF(V100=0,0,IF(V95=1,'Input data'!$C$58*(V100-U100*V43/((1+V24/100)*(1+V42/100))),0))</f>
        <v>0</v>
      </c>
      <c r="W104" s="34">
        <f ca="1">IF(W100=0,0,IF(W95=1,'Input data'!$C$58*(W100-V100*W43/((1+W24/100)*(1+W42/100))),0))</f>
        <v>0</v>
      </c>
    </row>
    <row r="105" spans="2:23" x14ac:dyDescent="0.2">
      <c r="B105" s="107" t="s">
        <v>131</v>
      </c>
      <c r="C105" s="49"/>
      <c r="D105" s="254">
        <f>'Input data'!C70*$D$100</f>
        <v>0.51003587344023849</v>
      </c>
      <c r="E105" s="49">
        <f>IF(E100=0,0,IF(E95=1,'Input data'!$C$57*(E100-D100*E43/((1+E24/100)*(1+E42/100))),0))</f>
        <v>0.54490094832997338</v>
      </c>
      <c r="F105" s="49">
        <f>IF(F100=0,0,IF(F95=1,'Input data'!$C$57*(F100-E100*F43/((1+F24/100)*(1+F42/100))),0))</f>
        <v>0.67017768903339203</v>
      </c>
      <c r="G105" s="49">
        <f>IF(G100=0,0,IF(G95=1,'Input data'!$C$57*(G100-F100*G43/((1+G24/100)*(1+G42/100))),0))</f>
        <v>0.47847896417925145</v>
      </c>
      <c r="H105" s="49">
        <f>IF(H100=0,0,IF(H95=1,'Input data'!$C$57*(H100-G100*H43/((1+H24/100)*(1+H42/100))),0))</f>
        <v>0.44963305103881257</v>
      </c>
      <c r="I105" s="49">
        <f>IF(I100=0,0,IF(I95=1,'Input data'!$C$57*(I100-H100*I43/((1+I24/100)*(1+I42/100))),0))</f>
        <v>0.35461206223052738</v>
      </c>
      <c r="J105" s="49">
        <f>IF(J100=0,0,IF(J95=1,'Input data'!$C$57*(J100-I100*J43/((1+J24/100)*(1+J42/100))),0))</f>
        <v>0.28934146299938918</v>
      </c>
      <c r="K105" s="49">
        <f>IF(K100=0,0,IF(K95=1,'Input data'!$C$57*(K100-J100*K43/((1+K24/100)*(1+K42/100))),0))</f>
        <v>0.19737666264671028</v>
      </c>
      <c r="L105" s="49">
        <f>IF(L100=0,0,IF(L95=1,'Input data'!$C$57*(L100-K100*L43/((1+L24/100)*(1+L42/100))),0))</f>
        <v>0.14899437098455562</v>
      </c>
      <c r="M105" s="49">
        <f>IF(M100=0,0,IF(M95=1,'Input data'!$C$57*(M100-L100*M43/((1+M24/100)*(1+M42/100))),0))</f>
        <v>0.14754187040157829</v>
      </c>
      <c r="N105" s="49">
        <f ca="1">IF(N100=0,0,IF(N95=1,'Input data'!$C$57*(N100-M100*N43/((1+N24/100)*(1+N42/100))),0))</f>
        <v>0.11266010262604856</v>
      </c>
      <c r="O105" s="49">
        <f ca="1">IF(O100=0,0,IF(O95=1,'Input data'!$C$57*(O100-N100*O43/((1+O24/100)*(1+O42/100))),0))</f>
        <v>7.4712594583988434E-2</v>
      </c>
      <c r="P105" s="49">
        <f ca="1">IF(P100=0,0,IF(P95=1,'Input data'!$C$57*(P100-O100*P43/((1+P24/100)*(1+P42/100))),0))</f>
        <v>3.5533538096435988E-2</v>
      </c>
      <c r="Q105" s="49">
        <f ca="1">IF(Q100=0,0,IF(Q95=1,'Input data'!$C$57*(Q100-P100*Q43/((1+Q24/100)*(1+Q42/100))),0))</f>
        <v>1.4064500618826237E-2</v>
      </c>
      <c r="R105" s="49">
        <f ca="1">IF(R100=0,0,IF(R95=1,'Input data'!$C$57*(R100-Q100*R43/((1+R24/100)*(1+R42/100))),0))</f>
        <v>0</v>
      </c>
      <c r="S105" s="49">
        <f ca="1">IF(S100=0,0,IF(S95=1,'Input data'!$C$57*(S100-R100*S43/((1+S24/100)*(1+S42/100))),0))</f>
        <v>0</v>
      </c>
      <c r="T105" s="49">
        <f ca="1">IF(T100=0,0,IF(T95=1,'Input data'!$C$57*(T100-S100*T43/((1+T24/100)*(1+T42/100))),0))</f>
        <v>0</v>
      </c>
      <c r="U105" s="49">
        <f ca="1">IF(U100=0,0,IF(U95=1,'Input data'!$C$57*(U100-T100*U43/((1+U24/100)*(1+U42/100))),0))</f>
        <v>0</v>
      </c>
      <c r="V105" s="49">
        <f ca="1">IF(V100=0,0,IF(V95=1,'Input data'!$C$57*(V100-U100*V43/((1+V24/100)*(1+V42/100))),0))</f>
        <v>0</v>
      </c>
      <c r="W105" s="49">
        <f ca="1">IF(W100=0,0,IF(W95=1,'Input data'!$C$57*(W100-V100*W43/((1+W24/100)*(1+W42/100))),0))</f>
        <v>0</v>
      </c>
    </row>
    <row r="106" spans="2:23" x14ac:dyDescent="0.2">
      <c r="B106" s="26" t="s">
        <v>73</v>
      </c>
      <c r="C106" s="36"/>
      <c r="D106" s="259">
        <f>'Baseline NFPC'!$D$93</f>
        <v>9.7796141283269952E-2</v>
      </c>
      <c r="E106" s="36">
        <f t="shared" ref="E106:W106" si="38">IF(E100&lt;&gt;0,(E103+E105)/(E101+E102+E103+E104+E105),0)</f>
        <v>9.8485930372449279E-2</v>
      </c>
      <c r="F106" s="36">
        <f t="shared" si="38"/>
        <v>9.9229085120604091E-2</v>
      </c>
      <c r="G106" s="36">
        <f t="shared" si="38"/>
        <v>9.9710465749147575E-2</v>
      </c>
      <c r="H106" s="36">
        <f t="shared" si="38"/>
        <v>0.10013339102542222</v>
      </c>
      <c r="I106" s="36">
        <f t="shared" si="38"/>
        <v>0.10044939273155745</v>
      </c>
      <c r="J106" s="36">
        <f t="shared" si="38"/>
        <v>0.10069792991254549</v>
      </c>
      <c r="K106" s="36">
        <f t="shared" si="38"/>
        <v>0.10086413521827853</v>
      </c>
      <c r="L106" s="36">
        <f t="shared" si="38"/>
        <v>0.10098899955672357</v>
      </c>
      <c r="M106" s="36">
        <f t="shared" si="38"/>
        <v>0.10111268610305249</v>
      </c>
      <c r="N106" s="36">
        <f t="shared" ca="1" si="38"/>
        <v>0.10104838679771545</v>
      </c>
      <c r="O106" s="36">
        <f t="shared" ca="1" si="38"/>
        <v>0.10111543251420625</v>
      </c>
      <c r="P106" s="36">
        <f t="shared" ca="1" si="38"/>
        <v>0.10114807517757692</v>
      </c>
      <c r="Q106" s="36">
        <f t="shared" ca="1" si="38"/>
        <v>0.10116135611596232</v>
      </c>
      <c r="R106" s="36">
        <f t="shared" ca="1" si="38"/>
        <v>0.10030044907809069</v>
      </c>
      <c r="S106" s="36">
        <f t="shared" ca="1" si="38"/>
        <v>9.6976850989939509E-2</v>
      </c>
      <c r="T106" s="36">
        <f t="shared" ca="1" si="38"/>
        <v>9.0789432565512529E-2</v>
      </c>
      <c r="U106" s="36">
        <f ca="1">IF(U100&lt;&gt;0,(U103+U105)/(U101+U102+U103+U104+U105),0)</f>
        <v>8.13321042736945E-2</v>
      </c>
      <c r="V106" s="36">
        <f t="shared" ca="1" si="38"/>
        <v>6.840226354553211E-2</v>
      </c>
      <c r="W106" s="34">
        <f t="shared" ca="1" si="38"/>
        <v>5.217809145429065E-2</v>
      </c>
    </row>
    <row r="107" spans="2:23" x14ac:dyDescent="0.2">
      <c r="B107" s="35" t="s">
        <v>74</v>
      </c>
      <c r="C107" s="108"/>
      <c r="D107" s="260">
        <f>'Baseline NFPC'!$D$94</f>
        <v>0.90220385626214106</v>
      </c>
      <c r="E107" s="108">
        <f t="shared" ref="E107:W107" si="39">IF(E100&lt;&gt;0,(E101+E102+E104)/(E101+E102+E103+E104+E105),1)</f>
        <v>0.90151406962755076</v>
      </c>
      <c r="F107" s="108">
        <f t="shared" si="39"/>
        <v>0.90077091487939587</v>
      </c>
      <c r="G107" s="108">
        <f t="shared" si="39"/>
        <v>0.90028953425085256</v>
      </c>
      <c r="H107" s="108">
        <f t="shared" si="39"/>
        <v>0.89986660897457771</v>
      </c>
      <c r="I107" s="108">
        <f t="shared" si="39"/>
        <v>0.89955060726844249</v>
      </c>
      <c r="J107" s="108">
        <f t="shared" si="39"/>
        <v>0.89930207008745444</v>
      </c>
      <c r="K107" s="108">
        <f t="shared" si="39"/>
        <v>0.89913586478172147</v>
      </c>
      <c r="L107" s="108">
        <f t="shared" si="39"/>
        <v>0.89901100044327642</v>
      </c>
      <c r="M107" s="108">
        <f t="shared" si="39"/>
        <v>0.89888731389694754</v>
      </c>
      <c r="N107" s="108">
        <f t="shared" ca="1" si="39"/>
        <v>0.89895161320228456</v>
      </c>
      <c r="O107" s="108">
        <f t="shared" ca="1" si="39"/>
        <v>0.89888456748579382</v>
      </c>
      <c r="P107" s="108">
        <f t="shared" ca="1" si="39"/>
        <v>0.89885192482242315</v>
      </c>
      <c r="Q107" s="108">
        <f t="shared" ca="1" si="39"/>
        <v>0.89883864388403756</v>
      </c>
      <c r="R107" s="108">
        <f t="shared" ca="1" si="39"/>
        <v>0.89969955092190934</v>
      </c>
      <c r="S107" s="108">
        <f t="shared" ca="1" si="39"/>
        <v>0.90302314901006064</v>
      </c>
      <c r="T107" s="108">
        <f t="shared" ca="1" si="39"/>
        <v>0.90921056743448747</v>
      </c>
      <c r="U107" s="108">
        <f t="shared" ca="1" si="39"/>
        <v>0.91866789572630547</v>
      </c>
      <c r="V107" s="108">
        <f t="shared" ca="1" si="39"/>
        <v>0.93159773645446786</v>
      </c>
      <c r="W107" s="49">
        <f t="shared" ca="1" si="39"/>
        <v>0.94782190854570936</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1.9830095991865762</v>
      </c>
      <c r="I109" s="115">
        <f t="shared" ref="I109:V109" si="40">I111</f>
        <v>2.0673112081063882</v>
      </c>
      <c r="J109" s="115">
        <f t="shared" si="40"/>
        <v>2.1371582167205214</v>
      </c>
      <c r="K109" s="115">
        <f t="shared" si="40"/>
        <v>2.1978415582557393</v>
      </c>
      <c r="L109" s="115">
        <f t="shared" si="40"/>
        <v>2.248059579387208</v>
      </c>
      <c r="M109" s="115">
        <f t="shared" si="40"/>
        <v>2.2930139128899123</v>
      </c>
      <c r="N109" s="115">
        <f t="shared" si="40"/>
        <v>2.3375115695381763</v>
      </c>
      <c r="O109" s="115">
        <f t="shared" ca="1" si="40"/>
        <v>2.3623669113997496</v>
      </c>
      <c r="P109" s="115">
        <f t="shared" ca="1" si="40"/>
        <v>2.398516794418839</v>
      </c>
      <c r="Q109" s="115">
        <f t="shared" ca="1" si="40"/>
        <v>2.4305970154592065</v>
      </c>
      <c r="R109" s="115">
        <f t="shared" ca="1" si="40"/>
        <v>2.4604471887315262</v>
      </c>
      <c r="S109" s="115">
        <f t="shared" ca="1" si="40"/>
        <v>2.4884402819811799</v>
      </c>
      <c r="T109" s="115">
        <f t="shared" ca="1" si="40"/>
        <v>2.5157051002029531</v>
      </c>
      <c r="U109" s="115">
        <f t="shared" ca="1" si="40"/>
        <v>2.5425890604728933</v>
      </c>
      <c r="V109" s="115">
        <f t="shared" ca="1" si="40"/>
        <v>2.5694153436682572</v>
      </c>
      <c r="W109" s="115">
        <f ca="1">W111</f>
        <v>2.5964001741754692</v>
      </c>
    </row>
    <row r="110" spans="2:23" x14ac:dyDescent="0.2">
      <c r="B110" s="33" t="s">
        <v>133</v>
      </c>
      <c r="C110" s="34"/>
      <c r="D110" s="34"/>
      <c r="E110" s="265">
        <f>((E36*D100)-(E38*(D103+D105)))/(D101+D102+D104)</f>
        <v>1.3799500275570342</v>
      </c>
      <c r="F110" s="265">
        <f>((F36*E100)-(F38*(E103+E105)))/(E101+E102+E104)</f>
        <v>1.4547589474903004</v>
      </c>
      <c r="G110" s="265">
        <f>((G36*F100)-(G38*(F103+F105)))/(F101+F102+F104)</f>
        <v>1.7874685547645983</v>
      </c>
      <c r="H110" s="34">
        <f t="shared" ref="H110:W110" si="41">IF(G100&gt;0,(G110*G101+H37*(G104+G102))/(G101+G102+G104),H37)</f>
        <v>1.891961159533748</v>
      </c>
      <c r="I110" s="34">
        <f t="shared" si="41"/>
        <v>1.9864701578340791</v>
      </c>
      <c r="J110" s="34">
        <f t="shared" si="41"/>
        <v>2.0650933319256386</v>
      </c>
      <c r="K110" s="34">
        <f t="shared" si="41"/>
        <v>2.1336370125477142</v>
      </c>
      <c r="L110" s="34">
        <f t="shared" si="41"/>
        <v>2.1906365897995981</v>
      </c>
      <c r="M110" s="34">
        <f t="shared" si="41"/>
        <v>2.241829479437214</v>
      </c>
      <c r="N110" s="34">
        <f t="shared" si="41"/>
        <v>2.2925322622337685</v>
      </c>
      <c r="O110" s="34">
        <f t="shared" ca="1" si="41"/>
        <v>2.3214819173640726</v>
      </c>
      <c r="P110" s="34">
        <f t="shared" ca="1" si="41"/>
        <v>2.3657520076953671</v>
      </c>
      <c r="Q110" s="34">
        <f t="shared" ca="1" si="41"/>
        <v>2.4055158142049913</v>
      </c>
      <c r="R110" s="34">
        <f t="shared" ca="1" si="41"/>
        <v>2.4428078162157569</v>
      </c>
      <c r="S110" s="34">
        <f t="shared" ca="1" si="41"/>
        <v>2.478135794425476</v>
      </c>
      <c r="T110" s="34">
        <f t="shared" ca="1" si="41"/>
        <v>2.5126055288936251</v>
      </c>
      <c r="U110" s="34">
        <f t="shared" ca="1" si="41"/>
        <v>2.5460166972208214</v>
      </c>
      <c r="V110" s="34">
        <f t="shared" ca="1" si="41"/>
        <v>2.5780434564044108</v>
      </c>
      <c r="W110" s="34">
        <f t="shared" ca="1" si="41"/>
        <v>2.6082029102058653</v>
      </c>
    </row>
    <row r="111" spans="2:23" x14ac:dyDescent="0.2">
      <c r="B111" s="35" t="s">
        <v>63</v>
      </c>
      <c r="C111" s="49"/>
      <c r="D111" s="49"/>
      <c r="E111" s="49">
        <f t="shared" ref="E111:W111" si="42">(E110*(D101+D102+D104)+E38*(D103+D105))/D100</f>
        <v>1.5804370000000001</v>
      </c>
      <c r="F111" s="49">
        <f t="shared" si="42"/>
        <v>1.6625099999999997</v>
      </c>
      <c r="G111" s="49">
        <f t="shared" si="42"/>
        <v>1.8895660000000001</v>
      </c>
      <c r="H111" s="49">
        <f t="shared" si="42"/>
        <v>1.9830095991865762</v>
      </c>
      <c r="I111" s="49">
        <f t="shared" si="42"/>
        <v>2.0673112081063882</v>
      </c>
      <c r="J111" s="49">
        <f t="shared" si="42"/>
        <v>2.1371582167205214</v>
      </c>
      <c r="K111" s="49">
        <f t="shared" si="42"/>
        <v>2.1978415582557393</v>
      </c>
      <c r="L111" s="49">
        <f t="shared" si="42"/>
        <v>2.248059579387208</v>
      </c>
      <c r="M111" s="49">
        <f t="shared" si="42"/>
        <v>2.2930139128899123</v>
      </c>
      <c r="N111" s="49">
        <f t="shared" si="42"/>
        <v>2.3375115695381763</v>
      </c>
      <c r="O111" s="49">
        <f t="shared" ca="1" si="42"/>
        <v>2.3623669113997496</v>
      </c>
      <c r="P111" s="49">
        <f t="shared" ca="1" si="42"/>
        <v>2.398516794418839</v>
      </c>
      <c r="Q111" s="49">
        <f t="shared" ca="1" si="42"/>
        <v>2.4305970154592065</v>
      </c>
      <c r="R111" s="49">
        <f t="shared" ca="1" si="42"/>
        <v>2.4604471887315262</v>
      </c>
      <c r="S111" s="49">
        <f t="shared" ca="1" si="42"/>
        <v>2.4884402819811799</v>
      </c>
      <c r="T111" s="49">
        <f t="shared" ca="1" si="42"/>
        <v>2.5157051002029531</v>
      </c>
      <c r="U111" s="49">
        <f t="shared" ca="1" si="42"/>
        <v>2.5425890604728933</v>
      </c>
      <c r="V111" s="49">
        <f t="shared" ca="1" si="42"/>
        <v>2.5694153436682572</v>
      </c>
      <c r="W111" s="49">
        <f t="shared" ca="1" si="42"/>
        <v>2.5964001741754692</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3">((1+C109/100)/((1+C24/100)*(1+C42/100))-1)*100</f>
        <v>-4.3409713213587997</v>
      </c>
      <c r="D113" s="115">
        <f t="shared" si="43"/>
        <v>-5.5733961793317803</v>
      </c>
      <c r="E113" s="115">
        <f t="shared" si="43"/>
        <v>-1.0866936191633814</v>
      </c>
      <c r="F113" s="115">
        <f t="shared" si="43"/>
        <v>0.19460467612562038</v>
      </c>
      <c r="G113" s="115">
        <f t="shared" si="43"/>
        <v>-1.7286030885419246</v>
      </c>
      <c r="H113" s="115">
        <f t="shared" si="43"/>
        <v>-1.8018532001164322</v>
      </c>
      <c r="I113" s="115">
        <f t="shared" si="43"/>
        <v>-1.5404400573712951</v>
      </c>
      <c r="J113" s="115">
        <f t="shared" si="43"/>
        <v>-1.3714554763518905</v>
      </c>
      <c r="K113" s="115">
        <f t="shared" si="43"/>
        <v>-1.2627841733689804</v>
      </c>
      <c r="L113" s="115">
        <f t="shared" si="43"/>
        <v>-1.1981023189824969</v>
      </c>
      <c r="M113" s="115">
        <f t="shared" si="43"/>
        <v>-1.1608641143311615</v>
      </c>
      <c r="N113" s="115">
        <f t="shared" ca="1" si="43"/>
        <v>-1.4016974060110488</v>
      </c>
      <c r="O113" s="115">
        <f t="shared" ca="1" si="43"/>
        <v>-1.4100654563946047</v>
      </c>
      <c r="P113" s="115">
        <f t="shared" ca="1" si="43"/>
        <v>-1.3478711502851959</v>
      </c>
      <c r="Q113" s="115">
        <f t="shared" ca="1" si="43"/>
        <v>-0.9886747731117973</v>
      </c>
      <c r="R113" s="115">
        <f t="shared" ca="1" si="43"/>
        <v>-0.93324281875880599</v>
      </c>
      <c r="S113" s="115">
        <f t="shared" ca="1" si="43"/>
        <v>-0.87957224593773198</v>
      </c>
      <c r="T113" s="115">
        <f t="shared" ca="1" si="43"/>
        <v>-0.82658622231657208</v>
      </c>
      <c r="U113" s="115">
        <f t="shared" ca="1" si="43"/>
        <v>-0.77393143064328207</v>
      </c>
      <c r="V113" s="115">
        <f t="shared" ca="1" si="43"/>
        <v>-0.72131203964340695</v>
      </c>
      <c r="W113" s="115">
        <f t="shared" ca="1" si="43"/>
        <v>-0.66850299473164565</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W12">
    <cfRule type="expression" dxfId="43" priority="2">
      <formula>AND(G10&gt;$C$5,G10&lt;=$C$6)</formula>
    </cfRule>
  </conditionalFormatting>
  <conditionalFormatting sqref="U10:W11 U13:W44 U46:W53 U55:W92 U94:W150">
    <cfRule type="expression" dxfId="40" priority="1">
      <formula>U$10&gt;$C$7</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 id="{DADBF888-2241-4D24-883E-7940AC86AA5E}">
            <xm:f>OR('Criteria results'!#REF!=7,'Criteria results'!#REF!=10)</xm:f>
            <x14:dxf>
              <font>
                <color theme="0"/>
              </font>
            </x14:dxf>
          </x14:cfRule>
          <xm:sqref>K83:M83</xm:sqref>
        </x14:conditionalFormatting>
        <x14:conditionalFormatting xmlns:xm="http://schemas.microsoft.com/office/excel/2006/main">
          <x14:cfRule type="expression" priority="4" id="{849E3F76-D8A6-4A2E-9161-3CE2CEF7D84C}">
            <xm:f>'Criteria results'!#REF!=10</xm:f>
            <x14:dxf>
              <font>
                <color theme="0"/>
              </font>
            </x14:dxf>
          </x14:cfRule>
          <xm:sqref>N83:P83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5FAD3-D065-4B92-82B3-A81385F36968}">
  <sheetPr>
    <tabColor rgb="FFFFC000"/>
  </sheetPr>
  <dimension ref="A1:AY135"/>
  <sheetViews>
    <sheetView zoomScale="145" zoomScaleNormal="145" workbookViewId="0">
      <selection activeCell="G15" sqref="G15"/>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1">
        <f>'Input data'!C13</f>
        <v>-2.1345519999999998</v>
      </c>
      <c r="D12" s="2">
        <f>'Input data'!D13</f>
        <v>0.29205680000000001</v>
      </c>
      <c r="E12" s="2">
        <f>'Input data'!E13</f>
        <v>-0.3391101166058319</v>
      </c>
      <c r="F12" s="2">
        <f>'Input data'!F13</f>
        <v>-0.3744433445451063</v>
      </c>
      <c r="G12" s="425">
        <v>0.44336499216821834</v>
      </c>
      <c r="H12" s="426">
        <v>1.1033448931261973</v>
      </c>
      <c r="I12" s="426">
        <v>1.423330146090432</v>
      </c>
      <c r="J12" s="426">
        <v>1.7834653510414613</v>
      </c>
      <c r="K12" s="427">
        <v>2.0633649921682187</v>
      </c>
      <c r="L12" s="427">
        <v>2.3433649921682189</v>
      </c>
      <c r="M12" s="427">
        <v>2.6233649921682192</v>
      </c>
      <c r="N12" s="427">
        <v>2.6233649921682192</v>
      </c>
      <c r="O12" s="427">
        <v>2.6233649921682192</v>
      </c>
      <c r="P12" s="427">
        <v>2.6233649921682192</v>
      </c>
      <c r="Q12" s="427">
        <v>2.6233649921682192</v>
      </c>
      <c r="R12" s="427">
        <v>2.6233649921682192</v>
      </c>
      <c r="S12" s="427">
        <v>2.6233649921682192</v>
      </c>
      <c r="T12" s="427">
        <v>2.6233649921682192</v>
      </c>
      <c r="U12" s="427">
        <v>2.6233649921682192</v>
      </c>
      <c r="V12" s="427">
        <v>2.6233649921682192</v>
      </c>
      <c r="W12" s="428">
        <v>2.6233649921682192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262">
        <f>G12-F12</f>
        <v>0.81780833671332465</v>
      </c>
      <c r="H13" s="262">
        <f t="shared" ref="H13:W13" si="0">H12-G12</f>
        <v>0.65997990095797898</v>
      </c>
      <c r="I13" s="262">
        <f t="shared" si="0"/>
        <v>0.31998525296423463</v>
      </c>
      <c r="J13" s="262">
        <f t="shared" si="0"/>
        <v>0.36013520495102935</v>
      </c>
      <c r="K13" s="262">
        <f t="shared" si="0"/>
        <v>0.27989964112675736</v>
      </c>
      <c r="L13" s="262">
        <f t="shared" si="0"/>
        <v>0.28000000000000025</v>
      </c>
      <c r="M13" s="262">
        <f t="shared" si="0"/>
        <v>0.28000000000000025</v>
      </c>
      <c r="N13" s="262">
        <f t="shared" si="0"/>
        <v>0</v>
      </c>
      <c r="O13" s="262">
        <f t="shared" si="0"/>
        <v>0</v>
      </c>
      <c r="P13" s="262">
        <f t="shared" si="0"/>
        <v>0</v>
      </c>
      <c r="Q13" s="262">
        <f t="shared" si="0"/>
        <v>0</v>
      </c>
      <c r="R13" s="262">
        <f t="shared" si="0"/>
        <v>0</v>
      </c>
      <c r="S13" s="262">
        <f t="shared" si="0"/>
        <v>0</v>
      </c>
      <c r="T13" s="262">
        <f t="shared" si="0"/>
        <v>0</v>
      </c>
      <c r="U13" s="262">
        <f t="shared" si="0"/>
        <v>0</v>
      </c>
      <c r="V13" s="262">
        <f t="shared" si="0"/>
        <v>0</v>
      </c>
      <c r="W13" s="262">
        <f t="shared" si="0"/>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7.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233.2291584533499</v>
      </c>
      <c r="H23" s="34">
        <f>IF(AND(H50&gt;1,G50&gt;1),IF(AND(H50&gt;0,G50&gt;0),H27*(H51/100+1),0)+IF(H50&gt;0,G23*(1+H52/100),0)-G23*(1+'Input data'!H30/100),IF(H50=1,H27,G23*(1+H52/100)))</f>
        <v>236.86192588317715</v>
      </c>
      <c r="I23" s="34">
        <f>IF(AND(I50&gt;1,H50&gt;1),IF(AND(I50&gt;0,H50&gt;0),I27*(I51/100+1),0)+IF(I50&gt;0,H23*(1+I52/100),0)-H23*(1+'Input data'!I30/100),IF(I50=1,I27,H23*(1+I52/100)))</f>
        <v>240.6505689183135</v>
      </c>
      <c r="J23" s="34">
        <f>IF(AND(J50&gt;1,I50&gt;1),IF(AND(J50&gt;0,I50&gt;0),J27*(J51/100+1),0)+IF(J50&gt;0,I23*(1+J52/100),0)-I23*(1+'Input data'!J30/100),IF(J50=1,J27,I23*(1+J52/100)))</f>
        <v>243.88362527052561</v>
      </c>
      <c r="K23" s="34">
        <f>IF(AND(K50&gt;1,J50&gt;1),IF(AND(K50&gt;0,J50&gt;0),K27*(K51/100+1),0)+IF(K50&gt;0,J23*(1+K52/100),0)-J23*(1+'Input data'!K30/100),IF(K50=1,K27,J23*(1+K52/100)))</f>
        <v>246.96956933810475</v>
      </c>
      <c r="L23" s="34">
        <f>IF(AND(L50&gt;1,K50&gt;1),IF(AND(L50&gt;0,K50&gt;0),L27*(L51/100+1),0)+IF(L50&gt;0,K23*(1+L52/100),0)-K23*(1+'Input data'!L30/100),IF(L50=1,L27,K23*(1+L52/100)))</f>
        <v>249.81905149558409</v>
      </c>
      <c r="M23" s="34">
        <f>IF(AND(M50&gt;1,L50&gt;1),IF(AND(M50&gt;0,L50&gt;0),M27*(M51/100+1),0)+IF(M50&gt;0,L23*(1+M52/100),0)-L23*(1+'Input data'!M30/100),IF(M50=1,M27,L23*(1+M52/100)))</f>
        <v>252.51738857071862</v>
      </c>
      <c r="N23" s="34">
        <f>IF(AND(N50&gt;1,M50&gt;1),IF(AND(N50&gt;0,M50&gt;0),N27*(N51/100+1),0)+IF(N50&gt;0,M23*(1+N52/100),0)-M23*(1+'Input data'!N30/100),IF(N50=1,N27,M23*(1+N52/100)))</f>
        <v>255.65198226554256</v>
      </c>
      <c r="O23" s="34">
        <f>IF(AND(O50&gt;1,N50&gt;1),IF(AND(O50&gt;0,N50&gt;0),O27*(O51/100+1),0)+IF(O50&gt;0,N23*(1+O52/100),0)-N23*(1+'Input data'!O30/100),IF(O50=1,O27,N23*(1+O52/100)))</f>
        <v>258.8231187079171</v>
      </c>
      <c r="P23" s="34">
        <f>IF(AND(P50&gt;1,O50&gt;1),IF(AND(P50&gt;0,O50&gt;0),P27*(P51/100+1),0)+IF(P50&gt;0,O23*(1+P52/100),0)-O23*(1+'Input data'!P30/100),IF(P50=1,P27,O23*(1+P52/100)))</f>
        <v>262.0312072276696</v>
      </c>
      <c r="Q23" s="34">
        <f>IF(AND(Q50&gt;1,P50&gt;1),IF(AND(Q50&gt;0,P50&gt;0),Q27*(Q51/100+1),0)+IF(Q50&gt;0,P23*(1+Q52/100),0)-P23*(1+'Input data'!Q30/100),IF(Q50=1,Q27,P23*(1+Q52/100)))</f>
        <v>264.48142035883194</v>
      </c>
      <c r="R23" s="34">
        <f>IF(AND(R50&gt;1,Q50&gt;1),IF(AND(R50&gt;0,Q50&gt;0),R27*(R51/100+1),0)+IF(R50&gt;0,Q23*(1+R52/100),0)-Q23*(1+'Input data'!R30/100),IF(R50=1,R27,Q23*(1+R52/100)))</f>
        <v>266.95455034214859</v>
      </c>
      <c r="S23" s="34">
        <f>IF(AND(S50&gt;1,R50&gt;1),IF(AND(S50&gt;0,R50&gt;0),S27*(S51/100+1),0)+IF(S50&gt;0,R23*(1+S52/100),0)-R23*(1+'Input data'!S30/100),IF(S50=1,S27,R23*(1+S52/100)))</f>
        <v>269.4507982207432</v>
      </c>
      <c r="T23" s="34">
        <f>IF(AND(T50&gt;1,S50&gt;1),IF(AND(T50&gt;0,S50&gt;0),T27*(T51/100+1),0)+IF(T50&gt;0,S23*(1+T52/100),0)-S23*(1+'Input data'!T30/100),IF(T50=1,T27,S23*(1+T52/100)))</f>
        <v>271.97040426772412</v>
      </c>
      <c r="U23" s="34">
        <f>IF(AND(U50&gt;1,T50&gt;1),IF(AND(U50&gt;0,T50&gt;0),U27*(U51/100+1),0)+IF(U50&gt;0,T23*(1+U52/100),0)-T23*(1+'Input data'!U30/100),IF(U50=1,U27,T23*(1+U52/100)))</f>
        <v>274.51356272647968</v>
      </c>
      <c r="V23" s="34">
        <f>IF(AND(V50&gt;1,U50&gt;1),IF(AND(V50&gt;0,U50&gt;0),V27*(V51/100+1),0)+IF(V50&gt;0,U23*(1+V52/100),0)-U23*(1+'Input data'!V30/100),IF(V50=1,V27,U23*(1+V52/100)))</f>
        <v>277.08051564162838</v>
      </c>
      <c r="W23" s="34">
        <f>IF(AND(W50&gt;1,V50&gt;1),IF(AND(W50&gt;0,V50&gt;0),W27*(W51/100+1),0)+IF(W50&gt;0,V23*(1+W52/100),0)-V23*(1+'Input data'!W30/100),IF(W50=1,W27,V23*(1+W52/100)))</f>
        <v>279.67146360216714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100">
        <f>'Baseline NFPC'!F23</f>
        <v>-0.22177088705733761</v>
      </c>
      <c r="G24" s="34">
        <f t="shared" ref="G24:S24" si="1">100*(G23/F23-1)</f>
        <v>1.2218437474650123</v>
      </c>
      <c r="H24" s="34">
        <f t="shared" si="1"/>
        <v>1.5575957371358751</v>
      </c>
      <c r="I24" s="34">
        <f t="shared" si="1"/>
        <v>1.5995154227551822</v>
      </c>
      <c r="J24" s="34">
        <f t="shared" si="1"/>
        <v>1.3434650774956314</v>
      </c>
      <c r="K24" s="34">
        <f t="shared" si="1"/>
        <v>1.2653346710571833</v>
      </c>
      <c r="L24" s="34">
        <f t="shared" si="1"/>
        <v>1.1537786477565426</v>
      </c>
      <c r="M24" s="34">
        <f t="shared" si="1"/>
        <v>1.0801166119959626</v>
      </c>
      <c r="N24" s="34">
        <f t="shared" si="1"/>
        <v>1.2413377599721498</v>
      </c>
      <c r="O24" s="34">
        <f t="shared" si="1"/>
        <v>1.2404114430377255</v>
      </c>
      <c r="P24" s="34">
        <f t="shared" si="1"/>
        <v>1.239490713104674</v>
      </c>
      <c r="Q24" s="34">
        <f t="shared" si="1"/>
        <v>0.93508447222221402</v>
      </c>
      <c r="R24" s="34">
        <f t="shared" si="1"/>
        <v>0.93508647222222407</v>
      </c>
      <c r="S24" s="34">
        <f t="shared" si="1"/>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34">
        <f>+J27*(1+'Input data'!K33/100)</f>
        <v>250.11626204522659</v>
      </c>
      <c r="L27" s="34">
        <f>+K27*(1+'Input data'!L33/100)</f>
        <v>252.45509921161153</v>
      </c>
      <c r="M27" s="34">
        <f>+L27*(1+'Input data'!M33/100)</f>
        <v>254.81580684433933</v>
      </c>
      <c r="N27" s="34">
        <f>+M27*(1+'Input data'!N33/100)</f>
        <v>257.1985894541408</v>
      </c>
      <c r="O27" s="34">
        <f>+N27*(1+'Input data'!O33/100)</f>
        <v>259.60365346412652</v>
      </c>
      <c r="P27" s="34">
        <f>+O27*(1+'Input data'!P33/100)</f>
        <v>262.0312072276696</v>
      </c>
      <c r="Q27" s="34">
        <f>+P27*(1+'Input data'!Q33/100)</f>
        <v>264.48146104645554</v>
      </c>
      <c r="R27" s="34">
        <f>+Q27*(1+'Input data'!R33/100)</f>
        <v>266.95462718870095</v>
      </c>
      <c r="S27" s="34">
        <f>+R27*(1+'Input data'!S33/100)</f>
        <v>269.45091990754253</v>
      </c>
      <c r="T27" s="34">
        <f>+S27*(1+'Input data'!T33/100)</f>
        <v>271.97055545959796</v>
      </c>
      <c r="U27" s="34">
        <f>+T27*(1+'Input data'!U33/100)</f>
        <v>274.51375212370067</v>
      </c>
      <c r="V27" s="34">
        <f>+U27*(1+'Input data'!V33/100)</f>
        <v>277.08073021980942</v>
      </c>
      <c r="W27" s="34">
        <f>+V27*(1+'Input data'!W33/100)</f>
        <v>279.6717121280949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2">100*(D23/D27-1)</f>
        <v>-0.14622746557002575</v>
      </c>
      <c r="E30" s="100">
        <f t="shared" si="2"/>
        <v>-2.3697984129074534</v>
      </c>
      <c r="F30" s="100">
        <f t="shared" si="2"/>
        <v>-3.4887901007707112</v>
      </c>
      <c r="G30" s="34">
        <f t="shared" si="2"/>
        <v>-3.2146140609303986</v>
      </c>
      <c r="H30" s="34">
        <f t="shared" si="2"/>
        <v>-2.6177108016665618</v>
      </c>
      <c r="I30" s="34">
        <f t="shared" si="2"/>
        <v>-1.976682112473449</v>
      </c>
      <c r="J30" s="34">
        <f t="shared" si="2"/>
        <v>-1.5800975764149405</v>
      </c>
      <c r="K30" s="34">
        <f t="shared" si="2"/>
        <v>-1.2580920094483306</v>
      </c>
      <c r="L30" s="34">
        <f t="shared" si="2"/>
        <v>-1.0441649720126511</v>
      </c>
      <c r="M30" s="34">
        <f>100*(M23/M27-1)</f>
        <v>-0.90199203184626597</v>
      </c>
      <c r="N30" s="34">
        <f t="shared" si="2"/>
        <v>-0.60132802123085138</v>
      </c>
      <c r="O30" s="34">
        <f t="shared" si="2"/>
        <v>-0.30066401061542569</v>
      </c>
      <c r="P30" s="34">
        <f t="shared" si="2"/>
        <v>0</v>
      </c>
      <c r="Q30" s="34">
        <f t="shared" si="2"/>
        <v>-1.5383922724598875E-5</v>
      </c>
      <c r="R30" s="34">
        <f t="shared" si="2"/>
        <v>-2.878637211933821E-5</v>
      </c>
      <c r="S30" s="34">
        <f t="shared" si="2"/>
        <v>-4.5161025752360473E-5</v>
      </c>
      <c r="T30" s="34">
        <f t="shared" si="2"/>
        <v>-5.5591265601950823E-5</v>
      </c>
      <c r="U30" s="34">
        <f t="shared" si="2"/>
        <v>-6.8993709612108489E-5</v>
      </c>
      <c r="V30" s="34">
        <f t="shared" si="2"/>
        <v>-7.7442477097733331E-5</v>
      </c>
      <c r="W30" s="34">
        <f t="shared" si="2"/>
        <v>-8.8863448455267502E-5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3">100*((1+C24/100)*(1+C42/100)-1)</f>
        <v>5.3041963643644108</v>
      </c>
      <c r="D33" s="2">
        <f t="shared" si="3"/>
        <v>6.7911638456366497</v>
      </c>
      <c r="E33" s="2">
        <f t="shared" si="3"/>
        <v>2.6964325799547773</v>
      </c>
      <c r="F33" s="2">
        <f>100*((1+F24/100)*(1+F42/100)-1)</f>
        <v>1.4650542597770766</v>
      </c>
      <c r="G33" s="1">
        <f>100*((1+G24/100)*(1+G42/100)-1)</f>
        <v>3.3834114612152355</v>
      </c>
      <c r="H33" s="1">
        <f t="shared" si="3"/>
        <v>3.77895598699034</v>
      </c>
      <c r="I33" s="1">
        <f t="shared" si="3"/>
        <v>3.8744369335716788</v>
      </c>
      <c r="J33" s="1">
        <f t="shared" si="3"/>
        <v>3.6651650294890148</v>
      </c>
      <c r="K33" s="1">
        <f t="shared" si="3"/>
        <v>3.6377159140058568</v>
      </c>
      <c r="L33" s="1">
        <f t="shared" si="3"/>
        <v>3.5759598200283182</v>
      </c>
      <c r="M33" s="1">
        <f t="shared" si="3"/>
        <v>3.552909133560278</v>
      </c>
      <c r="N33" s="1">
        <f t="shared" si="3"/>
        <v>3.7705331091938854</v>
      </c>
      <c r="O33" s="1">
        <f t="shared" si="3"/>
        <v>3.8220419348351964</v>
      </c>
      <c r="P33" s="1">
        <f t="shared" si="3"/>
        <v>3.7932568663427535</v>
      </c>
      <c r="Q33" s="1">
        <f t="shared" si="3"/>
        <v>3.4534148298041689</v>
      </c>
      <c r="R33" s="1">
        <f t="shared" si="3"/>
        <v>3.425659730924302</v>
      </c>
      <c r="S33" s="1">
        <f t="shared" si="3"/>
        <v>3.3978995089444464</v>
      </c>
      <c r="T33" s="1">
        <f t="shared" si="3"/>
        <v>3.3701485057395786</v>
      </c>
      <c r="U33" s="1">
        <f>100*((1+U24/100)*(1+U42/100)-1)</f>
        <v>3.3423882845847075</v>
      </c>
      <c r="V33" s="1">
        <f t="shared" si="3"/>
        <v>3.3146362536798479</v>
      </c>
      <c r="W33" s="1">
        <f t="shared" si="3"/>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4">H109</f>
        <v>1.9847791852407068</v>
      </c>
      <c r="I36" s="34">
        <f t="shared" si="4"/>
        <v>2.0635189834377994</v>
      </c>
      <c r="J36" s="34">
        <f t="shared" si="4"/>
        <v>2.1317844350657991</v>
      </c>
      <c r="K36" s="34">
        <f t="shared" si="4"/>
        <v>2.1912834847052363</v>
      </c>
      <c r="L36" s="34">
        <f t="shared" si="4"/>
        <v>2.2440924445547692</v>
      </c>
      <c r="M36" s="34">
        <f t="shared" si="4"/>
        <v>2.2916586022560326</v>
      </c>
      <c r="N36" s="34">
        <f t="shared" si="4"/>
        <v>2.33494318770743</v>
      </c>
      <c r="O36" s="34">
        <f t="shared" si="4"/>
        <v>2.3765011399199443</v>
      </c>
      <c r="P36" s="34">
        <f t="shared" si="4"/>
        <v>2.4123087073768703</v>
      </c>
      <c r="Q36" s="34">
        <f t="shared" si="4"/>
        <v>2.4442416610634723</v>
      </c>
      <c r="R36" s="34">
        <f t="shared" si="4"/>
        <v>2.4740479788916989</v>
      </c>
      <c r="S36" s="34">
        <f t="shared" si="4"/>
        <v>2.5017400286729532</v>
      </c>
      <c r="T36" s="34">
        <f t="shared" si="4"/>
        <v>2.5287314209404013</v>
      </c>
      <c r="U36" s="34">
        <f t="shared" si="4"/>
        <v>2.5553792516751406</v>
      </c>
      <c r="V36" s="34">
        <f t="shared" si="4"/>
        <v>2.5820318000830964</v>
      </c>
      <c r="W36" s="34">
        <f t="shared" si="4"/>
        <v>2.6089619064059728</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5">H37+($O$37-$G$37)/($O$10-$G$10)</f>
        <v>3.0683720000000001</v>
      </c>
      <c r="J37" s="1">
        <f t="shared" si="5"/>
        <v>3.0955400000000002</v>
      </c>
      <c r="K37" s="1">
        <f t="shared" si="5"/>
        <v>3.1227080000000003</v>
      </c>
      <c r="L37" s="1">
        <f t="shared" si="5"/>
        <v>3.1498760000000003</v>
      </c>
      <c r="M37" s="1">
        <f t="shared" si="5"/>
        <v>3.1770440000000004</v>
      </c>
      <c r="N37" s="1">
        <f t="shared" si="5"/>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6">H38+($O$38-$G$38)/($O$10-$G$10)</f>
        <v>2.7938037499999995</v>
      </c>
      <c r="J38" s="1">
        <f t="shared" si="6"/>
        <v>2.7825181249999993</v>
      </c>
      <c r="K38" s="1">
        <f t="shared" si="6"/>
        <v>2.7712324999999991</v>
      </c>
      <c r="L38" s="1">
        <f t="shared" si="6"/>
        <v>2.7599468749999989</v>
      </c>
      <c r="M38" s="1">
        <f t="shared" si="6"/>
        <v>2.7486612499999987</v>
      </c>
      <c r="N38" s="1">
        <f t="shared" si="6"/>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7">IF(C50=4,2/3*C30,IF(C50=3,1/3*B30,0))</f>
        <v>0</v>
      </c>
      <c r="E51" s="34">
        <f t="shared" si="7"/>
        <v>0</v>
      </c>
      <c r="F51" s="34">
        <f t="shared" si="7"/>
        <v>0</v>
      </c>
      <c r="G51" s="34">
        <f t="shared" si="7"/>
        <v>0</v>
      </c>
      <c r="H51" s="34">
        <f t="shared" si="7"/>
        <v>-2.1430760406202656</v>
      </c>
      <c r="I51" s="34">
        <f t="shared" si="7"/>
        <v>-1.7451405344443744</v>
      </c>
      <c r="J51" s="34">
        <f t="shared" si="7"/>
        <v>-1.3177880749822992</v>
      </c>
      <c r="K51" s="34">
        <f t="shared" si="7"/>
        <v>-1.053398384276627</v>
      </c>
      <c r="L51" s="34">
        <f t="shared" si="7"/>
        <v>-0.838728006298887</v>
      </c>
      <c r="M51" s="34">
        <f t="shared" si="7"/>
        <v>-0.69610998134176738</v>
      </c>
      <c r="N51" s="34">
        <f t="shared" si="7"/>
        <v>-0.60132802123084395</v>
      </c>
      <c r="O51" s="34">
        <f t="shared" si="7"/>
        <v>-0.30066401061542197</v>
      </c>
      <c r="P51" s="34">
        <f t="shared" si="7"/>
        <v>0</v>
      </c>
      <c r="Q51" s="34">
        <f t="shared" si="7"/>
        <v>0</v>
      </c>
      <c r="R51" s="34">
        <f t="shared" si="7"/>
        <v>0</v>
      </c>
      <c r="S51" s="34">
        <f t="shared" si="7"/>
        <v>0</v>
      </c>
      <c r="T51" s="34">
        <f t="shared" si="7"/>
        <v>0</v>
      </c>
      <c r="U51" s="34">
        <f t="shared" si="7"/>
        <v>0</v>
      </c>
      <c r="V51" s="34">
        <f t="shared" si="7"/>
        <v>0</v>
      </c>
      <c r="W51" s="34">
        <f t="shared" si="7"/>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1.2218437474650066</v>
      </c>
      <c r="H52" s="34">
        <f>'Input data'!H30-$C$47*((H12-G12))</f>
        <v>1.3402150742815082</v>
      </c>
      <c r="I52" s="34">
        <f>'Input data'!I30-$C$47*((I12-H12))</f>
        <v>1.5952110602768164</v>
      </c>
      <c r="J52" s="34">
        <f>'Input data'!J30-$C$47*((J12-I12))</f>
        <v>1.5650985962867203</v>
      </c>
      <c r="K52" s="34">
        <f>'Input data'!K30-$C$47*((K12-J12))</f>
        <v>0.7251752691549429</v>
      </c>
      <c r="L52" s="34">
        <f>'Input data'!L30-$C$47*((L12-K12))</f>
        <v>0.72508997222222482</v>
      </c>
      <c r="M52" s="34">
        <f>'Input data'!M30-$C$47*((M12-L12))</f>
        <v>0.72508697222222085</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76.708982652879769</v>
      </c>
      <c r="F57" s="45">
        <f>+E57+F58</f>
        <v>81.880481617890794</v>
      </c>
      <c r="G57" s="45">
        <f>+F57+G58</f>
        <v>83.795046041834823</v>
      </c>
      <c r="H57" s="45">
        <f t="shared" ref="H57:S57" si="8">+G57+H58</f>
        <v>84.456795767087158</v>
      </c>
      <c r="I57" s="45">
        <f t="shared" si="8"/>
        <v>84.413713398448692</v>
      </c>
      <c r="J57" s="45">
        <f t="shared" si="8"/>
        <v>83.949293303100376</v>
      </c>
      <c r="K57" s="45">
        <f t="shared" si="8"/>
        <v>83.027836303922669</v>
      </c>
      <c r="L57" s="45">
        <f t="shared" si="8"/>
        <v>81.765336117549055</v>
      </c>
      <c r="M57" s="45">
        <f t="shared" si="8"/>
        <v>80.194028566967972</v>
      </c>
      <c r="N57" s="45">
        <f t="shared" si="8"/>
        <v>78.364864370321214</v>
      </c>
      <c r="O57" s="45">
        <f t="shared" si="8"/>
        <v>76.216392819689801</v>
      </c>
      <c r="P57" s="45">
        <f t="shared" si="8"/>
        <v>73.807771232349452</v>
      </c>
      <c r="Q57" s="45">
        <f t="shared" si="8"/>
        <v>71.522485010455668</v>
      </c>
      <c r="R57" s="45">
        <f t="shared" si="8"/>
        <v>69.112413742036779</v>
      </c>
      <c r="S57" s="45">
        <f t="shared" si="8"/>
        <v>66.555786636277034</v>
      </c>
      <c r="T57" s="45">
        <f>+S57+T58</f>
        <v>63.835042147838855</v>
      </c>
      <c r="U57" s="45">
        <f>+T57+U58</f>
        <v>60.934326911727489</v>
      </c>
      <c r="V57" s="45">
        <f>+U57+V58</f>
        <v>57.853116461951835</v>
      </c>
      <c r="W57" s="45">
        <f>+V57+W58</f>
        <v>54.606440958364551</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3.19737206791803</v>
      </c>
      <c r="F58" s="47">
        <f>-F59+F67+F72</f>
        <v>5.1714989650110255</v>
      </c>
      <c r="G58" s="47">
        <f>-G59+G67+G72</f>
        <v>1.9145644239440331</v>
      </c>
      <c r="H58" s="47">
        <f t="shared" ref="H58:S58" si="9">-H59+H67+H72</f>
        <v>0.66174972525233211</v>
      </c>
      <c r="I58" s="47">
        <f t="shared" si="9"/>
        <v>-4.3082368638460267E-2</v>
      </c>
      <c r="J58" s="47">
        <f t="shared" si="9"/>
        <v>-0.46442009534831619</v>
      </c>
      <c r="K58" s="47">
        <f t="shared" si="9"/>
        <v>-0.92145699917770507</v>
      </c>
      <c r="L58" s="47">
        <f t="shared" si="9"/>
        <v>-1.2625001863736212</v>
      </c>
      <c r="M58" s="47">
        <f t="shared" si="9"/>
        <v>-1.5713075505810823</v>
      </c>
      <c r="N58" s="47">
        <f t="shared" si="9"/>
        <v>-1.8291641966467536</v>
      </c>
      <c r="O58" s="47">
        <f t="shared" si="9"/>
        <v>-2.1484715506314096</v>
      </c>
      <c r="P58" s="47">
        <f t="shared" si="9"/>
        <v>-2.4086215873403471</v>
      </c>
      <c r="Q58" s="47">
        <f t="shared" si="9"/>
        <v>-2.2852862218937871</v>
      </c>
      <c r="R58" s="47">
        <f t="shared" si="9"/>
        <v>-2.4100712684188847</v>
      </c>
      <c r="S58" s="47">
        <f t="shared" si="9"/>
        <v>-2.5566271057597447</v>
      </c>
      <c r="T58" s="47">
        <f>-T59+T67+T72</f>
        <v>-2.7207444884381795</v>
      </c>
      <c r="U58" s="47">
        <f>-U59+U67+U72</f>
        <v>-2.9007152361113637</v>
      </c>
      <c r="V58" s="47">
        <f>-V59+V67+V72</f>
        <v>-3.0812104497756554</v>
      </c>
      <c r="W58" s="47">
        <f>-W59+W67+W72</f>
        <v>-3.2466755035872805</v>
      </c>
    </row>
    <row r="59" spans="2:48" outlineLevel="1" x14ac:dyDescent="0.2">
      <c r="B59" s="84" t="s">
        <v>106</v>
      </c>
      <c r="C59" s="48"/>
      <c r="D59" s="48">
        <f>D60+D61-D62-D63-D64-D65-D66</f>
        <v>0.20695241503824502</v>
      </c>
      <c r="E59" s="48">
        <f>E60+E61-E62-E63-E64-E65-E66</f>
        <v>-1.7183327929179697</v>
      </c>
      <c r="F59" s="48">
        <f t="shared" ref="F59:R59" si="10">F60+F61-F62-F63-F64-F65-F66</f>
        <v>-2.4049191831936598</v>
      </c>
      <c r="G59" s="48">
        <f t="shared" si="10"/>
        <v>-1.4275403912932736</v>
      </c>
      <c r="H59" s="48">
        <f t="shared" si="10"/>
        <v>-0.42016279344374152</v>
      </c>
      <c r="I59" s="48">
        <f t="shared" si="10"/>
        <v>0.27290115663088477</v>
      </c>
      <c r="J59" s="48">
        <f t="shared" si="10"/>
        <v>0.86384856156796597</v>
      </c>
      <c r="K59" s="48">
        <f t="shared" si="10"/>
        <v>1.3311554426692904</v>
      </c>
      <c r="L59" s="48">
        <f t="shared" si="10"/>
        <v>1.735660978456856</v>
      </c>
      <c r="M59" s="48">
        <f t="shared" si="10"/>
        <v>2.0984056296336924</v>
      </c>
      <c r="N59" s="48">
        <f t="shared" si="10"/>
        <v>2.2458730838118641</v>
      </c>
      <c r="O59" s="48">
        <f t="shared" si="10"/>
        <v>2.4308995379900451</v>
      </c>
      <c r="P59" s="48">
        <f t="shared" si="10"/>
        <v>2.6154859921682214</v>
      </c>
      <c r="Q59" s="48">
        <f t="shared" si="10"/>
        <v>2.6335970387251981</v>
      </c>
      <c r="R59" s="48">
        <f t="shared" si="10"/>
        <v>2.6676792384996455</v>
      </c>
      <c r="S59" s="48">
        <f>S60+S61-S62-S63-S64-S65-S66</f>
        <v>2.7206907084512308</v>
      </c>
      <c r="T59" s="48">
        <f>T60+T61-T62-T63-T64-T65-T66</f>
        <v>2.7894446380516387</v>
      </c>
      <c r="U59" s="48">
        <f>U60+U61-U62-U63-U64-U65-U66</f>
        <v>2.8724168378292236</v>
      </c>
      <c r="V59" s="48">
        <f>V60+V61-V62-V63-V64-V65-V66</f>
        <v>2.9543519206465496</v>
      </c>
      <c r="W59" s="48">
        <f>W60+W61-W62-W63-W64-W65-W66</f>
        <v>3.0195752736412187</v>
      </c>
    </row>
    <row r="60" spans="2:48" outlineLevel="1" x14ac:dyDescent="0.2">
      <c r="B60" s="79" t="s">
        <v>107</v>
      </c>
      <c r="C60" s="1"/>
      <c r="D60" s="1">
        <f>D12</f>
        <v>0.29205680000000001</v>
      </c>
      <c r="E60" s="1">
        <f>E12</f>
        <v>-0.3391101166058319</v>
      </c>
      <c r="F60" s="1">
        <f>F12</f>
        <v>-0.3744433445451063</v>
      </c>
      <c r="G60" s="1">
        <f t="shared" ref="G60:W60" si="11">IF(G12="",F60,G12)</f>
        <v>0.44336499216821834</v>
      </c>
      <c r="H60" s="1">
        <f t="shared" si="11"/>
        <v>1.1033448931261973</v>
      </c>
      <c r="I60" s="1">
        <f t="shared" si="11"/>
        <v>1.423330146090432</v>
      </c>
      <c r="J60" s="1">
        <f t="shared" si="11"/>
        <v>1.7834653510414613</v>
      </c>
      <c r="K60" s="1">
        <f t="shared" si="11"/>
        <v>2.0633649921682187</v>
      </c>
      <c r="L60" s="1">
        <f t="shared" si="11"/>
        <v>2.3433649921682189</v>
      </c>
      <c r="M60" s="1">
        <f t="shared" si="11"/>
        <v>2.6233649921682192</v>
      </c>
      <c r="N60" s="1">
        <f t="shared" si="11"/>
        <v>2.6233649921682192</v>
      </c>
      <c r="O60" s="1">
        <f t="shared" si="11"/>
        <v>2.6233649921682192</v>
      </c>
      <c r="P60" s="1">
        <f t="shared" si="11"/>
        <v>2.6233649921682192</v>
      </c>
      <c r="Q60" s="1">
        <f t="shared" si="11"/>
        <v>2.6233649921682192</v>
      </c>
      <c r="R60" s="1">
        <f t="shared" si="11"/>
        <v>2.6233649921682192</v>
      </c>
      <c r="S60" s="1">
        <f t="shared" si="11"/>
        <v>2.6233649921682192</v>
      </c>
      <c r="T60" s="1">
        <f t="shared" si="11"/>
        <v>2.6233649921682192</v>
      </c>
      <c r="U60" s="1">
        <f t="shared" si="11"/>
        <v>2.6233649921682192</v>
      </c>
      <c r="V60" s="1">
        <f t="shared" si="11"/>
        <v>2.6233649921682192</v>
      </c>
      <c r="W60" s="1">
        <f t="shared" si="11"/>
        <v>2.6233649921682192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2">-$C$48*D30</f>
        <v>8.5104384961754986E-2</v>
      </c>
      <c r="E62" s="1">
        <f>-$C$48*E30</f>
        <v>1.3792226763121378</v>
      </c>
      <c r="F62" s="1">
        <f t="shared" si="12"/>
        <v>2.0304758386485537</v>
      </c>
      <c r="G62" s="1">
        <f t="shared" si="12"/>
        <v>1.8709053834614919</v>
      </c>
      <c r="H62" s="1">
        <f t="shared" si="12"/>
        <v>1.5235076865699388</v>
      </c>
      <c r="I62" s="1">
        <f t="shared" si="12"/>
        <v>1.1504289894595472</v>
      </c>
      <c r="J62" s="1">
        <f t="shared" si="12"/>
        <v>0.91961678947349534</v>
      </c>
      <c r="K62" s="1">
        <f t="shared" si="12"/>
        <v>0.73220954949892836</v>
      </c>
      <c r="L62" s="1">
        <f t="shared" si="12"/>
        <v>0.60770401371136296</v>
      </c>
      <c r="M62" s="1">
        <f>-$C$48*M30</f>
        <v>0.5249593625345268</v>
      </c>
      <c r="N62" s="1">
        <f t="shared" si="12"/>
        <v>0.34997290835635547</v>
      </c>
      <c r="O62" s="1">
        <f t="shared" si="12"/>
        <v>0.17498645417817774</v>
      </c>
      <c r="P62" s="1">
        <f t="shared" si="12"/>
        <v>0</v>
      </c>
      <c r="Q62" s="1">
        <f t="shared" si="12"/>
        <v>8.9534430257165444E-6</v>
      </c>
      <c r="R62" s="1">
        <f t="shared" si="12"/>
        <v>1.6753668573454839E-5</v>
      </c>
      <c r="S62" s="1">
        <f t="shared" si="12"/>
        <v>2.6283716987873792E-5</v>
      </c>
      <c r="T62" s="1">
        <f t="shared" si="12"/>
        <v>3.2354116580335374E-5</v>
      </c>
      <c r="U62" s="1">
        <f>-$C$48*U30</f>
        <v>4.0154338994247138E-5</v>
      </c>
      <c r="V62" s="1">
        <f t="shared" si="12"/>
        <v>4.5071521670880799E-5</v>
      </c>
      <c r="W62" s="1">
        <f t="shared" si="12"/>
        <v>5.1718527000965682E-5</v>
      </c>
    </row>
    <row r="63" spans="2:48" outlineLevel="1" x14ac:dyDescent="0.2">
      <c r="B63" s="79" t="s">
        <v>110</v>
      </c>
      <c r="C63" s="1"/>
      <c r="D63" s="1">
        <f t="shared" ref="D63:W63" si="13">-D14</f>
        <v>0</v>
      </c>
      <c r="E63" s="1">
        <f t="shared" si="13"/>
        <v>0</v>
      </c>
      <c r="F63" s="1">
        <f t="shared" si="13"/>
        <v>0</v>
      </c>
      <c r="G63" s="1">
        <f t="shared" si="13"/>
        <v>0</v>
      </c>
      <c r="H63" s="1">
        <f t="shared" si="13"/>
        <v>0</v>
      </c>
      <c r="I63" s="1">
        <f t="shared" si="13"/>
        <v>0</v>
      </c>
      <c r="J63" s="1">
        <f t="shared" si="13"/>
        <v>0</v>
      </c>
      <c r="K63" s="1">
        <f t="shared" si="13"/>
        <v>0</v>
      </c>
      <c r="L63" s="1">
        <f t="shared" si="13"/>
        <v>0</v>
      </c>
      <c r="M63" s="1">
        <f t="shared" si="13"/>
        <v>0</v>
      </c>
      <c r="N63" s="1">
        <f t="shared" si="13"/>
        <v>0</v>
      </c>
      <c r="O63" s="1">
        <f t="shared" si="13"/>
        <v>0</v>
      </c>
      <c r="P63" s="1">
        <f t="shared" si="13"/>
        <v>0</v>
      </c>
      <c r="Q63" s="1">
        <f t="shared" si="13"/>
        <v>0</v>
      </c>
      <c r="R63" s="1">
        <f t="shared" si="13"/>
        <v>0</v>
      </c>
      <c r="S63" s="1">
        <f t="shared" si="13"/>
        <v>0</v>
      </c>
      <c r="T63" s="1">
        <f t="shared" si="13"/>
        <v>0</v>
      </c>
      <c r="U63" s="1">
        <f t="shared" si="13"/>
        <v>0</v>
      </c>
      <c r="V63" s="1">
        <f t="shared" si="13"/>
        <v>0</v>
      </c>
      <c r="W63" s="1">
        <f t="shared" si="13"/>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4">SUM(D68:D71)</f>
        <v>-4.0426919999999997</v>
      </c>
      <c r="E67" s="48">
        <f t="shared" si="14"/>
        <v>-0.79948272499993989</v>
      </c>
      <c r="F67" s="48">
        <f t="shared" si="14"/>
        <v>0.14951578181736588</v>
      </c>
      <c r="G67" s="48">
        <f t="shared" si="14"/>
        <v>-1.1829869673492404</v>
      </c>
      <c r="H67" s="48">
        <f t="shared" si="14"/>
        <v>-1.4486860681914093</v>
      </c>
      <c r="I67" s="48">
        <f t="shared" si="14"/>
        <v>-1.4723962120075755</v>
      </c>
      <c r="J67" s="48">
        <f t="shared" si="14"/>
        <v>-1.2486195337803501</v>
      </c>
      <c r="K67" s="48">
        <f t="shared" si="14"/>
        <v>-1.1716485565084147</v>
      </c>
      <c r="L67" s="48">
        <f t="shared" si="14"/>
        <v>-1.0676422079167653</v>
      </c>
      <c r="M67" s="48">
        <f t="shared" si="14"/>
        <v>-0.99588292094738995</v>
      </c>
      <c r="N67" s="48">
        <f t="shared" si="14"/>
        <v>-1.1094261128348897</v>
      </c>
      <c r="O67" s="48">
        <f t="shared" si="14"/>
        <v>-1.0910940126413644</v>
      </c>
      <c r="P67" s="48">
        <f t="shared" ref="P67:W67" si="15">SUM(P68:P71)</f>
        <v>-1.0140435951721258</v>
      </c>
      <c r="Q67" s="48">
        <f t="shared" si="15"/>
        <v>-0.71998418316858892</v>
      </c>
      <c r="R67" s="48">
        <f t="shared" si="15"/>
        <v>-0.65807302991923966</v>
      </c>
      <c r="S67" s="48">
        <f t="shared" si="15"/>
        <v>-0.59900389730851389</v>
      </c>
      <c r="T67" s="48">
        <f t="shared" si="15"/>
        <v>-0.54175385038654089</v>
      </c>
      <c r="U67" s="48">
        <f t="shared" si="15"/>
        <v>-0.48613889828213996</v>
      </c>
      <c r="V67" s="48">
        <f t="shared" si="15"/>
        <v>-0.43208552912910581</v>
      </c>
      <c r="W67" s="48">
        <f t="shared" si="15"/>
        <v>-0.3797137299460619</v>
      </c>
    </row>
    <row r="68" spans="2:23" outlineLevel="1" x14ac:dyDescent="0.2">
      <c r="B68" s="79" t="s">
        <v>115</v>
      </c>
      <c r="C68" s="34"/>
      <c r="D68" s="34">
        <f>C57*D36/100*(1/(1+D33/100))</f>
        <v>0.57044236264340553</v>
      </c>
      <c r="E68" s="34">
        <f>D57*E36/100*(1/(1+E33/100))</f>
        <v>1.1312999524848377</v>
      </c>
      <c r="F68" s="34">
        <f>E57*F36/100*(1/(1+F33/100))</f>
        <v>1.2568805258185778</v>
      </c>
      <c r="G68" s="36">
        <f>F57*G36/100*(1/(1+G33/100))</f>
        <v>1.4965512546162671</v>
      </c>
      <c r="H68" s="34">
        <f t="shared" ref="H68:W68" si="16">G57*H36/100*(1/(1+H33/100))</f>
        <v>1.602585626617496</v>
      </c>
      <c r="I68" s="34">
        <f t="shared" si="16"/>
        <v>1.6777775792629854</v>
      </c>
      <c r="J68" s="34">
        <f>I57*J36/100*(1/(1+J33/100))</f>
        <v>1.7358949872672116</v>
      </c>
      <c r="K68" s="34">
        <f t="shared" si="16"/>
        <v>1.7749976284733942</v>
      </c>
      <c r="L68" s="34">
        <f>K57*L36/100*(1/(1+L33/100))</f>
        <v>1.7988936859587199</v>
      </c>
      <c r="M68" s="34">
        <f t="shared" si="16"/>
        <v>1.8094927264521445</v>
      </c>
      <c r="N68" s="34">
        <f t="shared" si="16"/>
        <v>1.8044477086787465</v>
      </c>
      <c r="O68" s="34">
        <f t="shared" si="16"/>
        <v>1.7937827655386676</v>
      </c>
      <c r="P68" s="34">
        <f t="shared" si="16"/>
        <v>1.7713816253068508</v>
      </c>
      <c r="Q68" s="34">
        <f t="shared" si="16"/>
        <v>1.7438189899593097</v>
      </c>
      <c r="R68" s="34">
        <f t="shared" si="16"/>
        <v>1.7108912811945214</v>
      </c>
      <c r="S68" s="34">
        <f t="shared" si="16"/>
        <v>1.6721934658034641</v>
      </c>
      <c r="T68" s="34">
        <f t="shared" si="16"/>
        <v>1.6281461461111679</v>
      </c>
      <c r="U68" s="34">
        <f t="shared" si="16"/>
        <v>1.5784688639591666</v>
      </c>
      <c r="V68" s="34">
        <f t="shared" si="16"/>
        <v>1.5228662221335139</v>
      </c>
      <c r="W68" s="34">
        <f t="shared" si="16"/>
        <v>1.461333548000457</v>
      </c>
    </row>
    <row r="69" spans="2:23" outlineLevel="1" x14ac:dyDescent="0.2">
      <c r="B69" s="79" t="s">
        <v>116</v>
      </c>
      <c r="C69" s="34"/>
      <c r="D69" s="34">
        <f t="shared" ref="D69:W69" si="17">-C57*(D24/100)*(1/(1+D33/100))</f>
        <v>-0.90770273794427436</v>
      </c>
      <c r="E69" s="34">
        <f t="shared" si="17"/>
        <v>0.82999130151990808</v>
      </c>
      <c r="F69" s="34">
        <f t="shared" si="17"/>
        <v>0.1676618541457669</v>
      </c>
      <c r="G69" s="34">
        <f t="shared" si="17"/>
        <v>-0.96770993615137313</v>
      </c>
      <c r="H69" s="34">
        <f t="shared" si="17"/>
        <v>-1.2576615872318859</v>
      </c>
      <c r="I69" s="34">
        <f t="shared" si="17"/>
        <v>-1.3005119582244409</v>
      </c>
      <c r="J69" s="34">
        <f t="shared" si="17"/>
        <v>-1.0939728498023489</v>
      </c>
      <c r="K69" s="34">
        <f t="shared" si="17"/>
        <v>-1.0249545784596568</v>
      </c>
      <c r="L69" s="34">
        <f t="shared" si="17"/>
        <v>-0.9248839678951023</v>
      </c>
      <c r="M69" s="34">
        <f t="shared" si="17"/>
        <v>-0.85285964986353047</v>
      </c>
      <c r="N69" s="34">
        <f t="shared" si="17"/>
        <v>-0.95930774182023404</v>
      </c>
      <c r="O69" s="34">
        <f t="shared" si="17"/>
        <v>-0.93626240329637456</v>
      </c>
      <c r="P69" s="34">
        <f t="shared" si="17"/>
        <v>-0.91017002393512025</v>
      </c>
      <c r="Q69" s="34">
        <f t="shared" si="17"/>
        <v>-0.66712636718895679</v>
      </c>
      <c r="R69" s="34">
        <f t="shared" si="17"/>
        <v>-0.64664521712494183</v>
      </c>
      <c r="S69" s="34">
        <f t="shared" si="17"/>
        <v>-0.62502116699161725</v>
      </c>
      <c r="T69" s="34">
        <f t="shared" si="17"/>
        <v>-0.60206564756551462</v>
      </c>
      <c r="U69" s="34">
        <f t="shared" si="17"/>
        <v>-0.57760697577262787</v>
      </c>
      <c r="V69" s="34">
        <f t="shared" si="17"/>
        <v>-0.55151110749545496</v>
      </c>
      <c r="W69" s="34">
        <f t="shared" si="17"/>
        <v>-0.52376240199276347</v>
      </c>
    </row>
    <row r="70" spans="2:23" outlineLevel="1" x14ac:dyDescent="0.2">
      <c r="B70" s="79" t="s">
        <v>117</v>
      </c>
      <c r="C70" s="34"/>
      <c r="D70" s="34">
        <f t="shared" ref="D70:W70" si="18">-C57*D42/100*(1/(1+D42/100))</f>
        <v>-3.7081792093539843</v>
      </c>
      <c r="E70" s="34">
        <f t="shared" si="18"/>
        <v>-2.7601372355757476</v>
      </c>
      <c r="F70" s="34">
        <f t="shared" si="18"/>
        <v>-1.2752631127134517</v>
      </c>
      <c r="G70" s="34">
        <f>-F57*G42/100*(1/(1+G42/100))</f>
        <v>-1.7119787686436581</v>
      </c>
      <c r="H70" s="34">
        <f t="shared" si="18"/>
        <v>-1.7936101075770194</v>
      </c>
      <c r="I70" s="34">
        <f t="shared" si="18"/>
        <v>-1.8496618330461201</v>
      </c>
      <c r="J70" s="34">
        <f t="shared" si="18"/>
        <v>-1.8905416712452128</v>
      </c>
      <c r="K70" s="34">
        <f t="shared" si="18"/>
        <v>-1.9216916065221521</v>
      </c>
      <c r="L70" s="34">
        <f t="shared" si="18"/>
        <v>-1.9416519259803831</v>
      </c>
      <c r="M70" s="34">
        <f t="shared" si="18"/>
        <v>-1.952515997536004</v>
      </c>
      <c r="N70" s="34">
        <f t="shared" si="18"/>
        <v>-1.9545660796934021</v>
      </c>
      <c r="O70" s="34">
        <f t="shared" si="18"/>
        <v>-1.9486143748836575</v>
      </c>
      <c r="P70" s="34">
        <f t="shared" si="18"/>
        <v>-1.8752551965438564</v>
      </c>
      <c r="Q70" s="34">
        <f t="shared" si="18"/>
        <v>-1.796676805938942</v>
      </c>
      <c r="R70" s="34">
        <f t="shared" si="18"/>
        <v>-1.7223190939888193</v>
      </c>
      <c r="S70" s="34">
        <f t="shared" si="18"/>
        <v>-1.6461761961203607</v>
      </c>
      <c r="T70" s="34">
        <f t="shared" si="18"/>
        <v>-1.5678343489321942</v>
      </c>
      <c r="U70" s="34">
        <f t="shared" si="18"/>
        <v>-1.4870007864686787</v>
      </c>
      <c r="V70" s="34">
        <f t="shared" si="18"/>
        <v>-1.4034406437671647</v>
      </c>
      <c r="W70" s="34">
        <f t="shared" si="18"/>
        <v>-1.3172848759537554</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v>5.1764349999999997</v>
      </c>
      <c r="E72" s="50">
        <v>2.2785220000000002</v>
      </c>
      <c r="F72" s="50">
        <v>2.6170640000000001</v>
      </c>
      <c r="G72" s="50">
        <v>1.6700109999999999</v>
      </c>
      <c r="H72" s="50">
        <v>1.6902729999999999</v>
      </c>
      <c r="I72" s="50">
        <v>1.702215</v>
      </c>
      <c r="J72" s="50">
        <v>1.648048</v>
      </c>
      <c r="K72" s="50">
        <v>1.5813470000000001</v>
      </c>
      <c r="L72" s="50">
        <v>1.5408029999999999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19">D15</f>
        <v>5.1764349999999997</v>
      </c>
      <c r="E73" s="34">
        <f>E15</f>
        <v>2.1420457294413482</v>
      </c>
      <c r="F73" s="34">
        <f t="shared" si="19"/>
        <v>2.543156615765406</v>
      </c>
      <c r="G73" s="34">
        <f t="shared" si="19"/>
        <v>1.2833361388111759</v>
      </c>
      <c r="H73" s="34">
        <f t="shared" si="19"/>
        <v>1.726862012716794</v>
      </c>
      <c r="I73" s="34">
        <f t="shared" si="19"/>
        <v>1.4444254457205716</v>
      </c>
      <c r="J73" s="34">
        <f t="shared" si="19"/>
        <v>1.3768241518246929</v>
      </c>
      <c r="K73" s="34">
        <f t="shared" si="19"/>
        <v>1.0241608740131771</v>
      </c>
      <c r="L73" s="34">
        <f t="shared" si="19"/>
        <v>1.0623847406019649</v>
      </c>
      <c r="M73" s="34">
        <f t="shared" si="19"/>
        <v>1.5229809999999999</v>
      </c>
      <c r="N73" s="34">
        <f t="shared" si="19"/>
        <v>1.526135</v>
      </c>
      <c r="O73" s="34">
        <f t="shared" si="19"/>
        <v>1.3735219999999999</v>
      </c>
      <c r="P73" s="34">
        <f t="shared" si="19"/>
        <v>1.2209080000000001</v>
      </c>
      <c r="Q73" s="34">
        <f t="shared" si="19"/>
        <v>1.068295</v>
      </c>
      <c r="R73" s="34">
        <f t="shared" si="19"/>
        <v>0.91568099999999997</v>
      </c>
      <c r="S73" s="34">
        <f t="shared" si="19"/>
        <v>0.76306750000000001</v>
      </c>
      <c r="T73" s="34">
        <f t="shared" si="19"/>
        <v>0.61045400000000005</v>
      </c>
      <c r="U73" s="34">
        <f t="shared" si="19"/>
        <v>0.45784049999999998</v>
      </c>
      <c r="V73" s="34">
        <f t="shared" si="19"/>
        <v>0.30522700000000003</v>
      </c>
      <c r="W73" s="34">
        <f t="shared" si="19"/>
        <v>0.15261350000000001</v>
      </c>
    </row>
    <row r="74" spans="2:23" outlineLevel="1" x14ac:dyDescent="0.2">
      <c r="B74" s="89" t="s">
        <v>121</v>
      </c>
      <c r="C74" s="49"/>
      <c r="D74" s="49">
        <v>0</v>
      </c>
      <c r="E74" s="49">
        <v>0</v>
      </c>
      <c r="F74" s="49">
        <v>0</v>
      </c>
      <c r="G74" s="49">
        <v>0</v>
      </c>
      <c r="H74" s="49">
        <v>0</v>
      </c>
      <c r="I74" s="49">
        <v>0</v>
      </c>
      <c r="J74" s="49">
        <v>0</v>
      </c>
      <c r="K74" s="49">
        <v>0</v>
      </c>
      <c r="L74" s="49">
        <v>0</v>
      </c>
      <c r="M74" s="49">
        <v>0</v>
      </c>
      <c r="N74" s="49">
        <v>0</v>
      </c>
      <c r="O74" s="49">
        <v>0</v>
      </c>
      <c r="P74" s="49">
        <v>0</v>
      </c>
      <c r="Q74" s="49">
        <v>0</v>
      </c>
      <c r="R74" s="49">
        <v>0</v>
      </c>
      <c r="S74" s="49">
        <v>0</v>
      </c>
      <c r="T74" s="49">
        <v>0</v>
      </c>
      <c r="U74" s="49">
        <v>0</v>
      </c>
      <c r="V74" s="49">
        <v>0</v>
      </c>
      <c r="W74" s="49">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-0.36348994760516051</v>
      </c>
      <c r="E77" s="78">
        <f t="shared" ref="E77:W77" si="20">E59-E68</f>
        <v>-2.8496327454028076</v>
      </c>
      <c r="F77" s="78">
        <f t="shared" si="20"/>
        <v>-3.6617997090122376</v>
      </c>
      <c r="G77" s="78">
        <f>G59-G68</f>
        <v>-2.9240916459095407</v>
      </c>
      <c r="H77" s="78">
        <f t="shared" si="20"/>
        <v>-2.0227484200612373</v>
      </c>
      <c r="I77" s="78">
        <f t="shared" si="20"/>
        <v>-1.4048764226321007</v>
      </c>
      <c r="J77" s="78">
        <f t="shared" si="20"/>
        <v>-0.87204642569924562</v>
      </c>
      <c r="K77" s="78">
        <f t="shared" si="20"/>
        <v>-0.44384218580410373</v>
      </c>
      <c r="L77" s="78">
        <f t="shared" si="20"/>
        <v>-6.3232707501863938E-2</v>
      </c>
      <c r="M77" s="78">
        <f t="shared" si="20"/>
        <v>0.28891290318154783</v>
      </c>
      <c r="N77" s="78">
        <f t="shared" si="20"/>
        <v>0.44142537513311764</v>
      </c>
      <c r="O77" s="78">
        <f t="shared" si="20"/>
        <v>0.63711677245137754</v>
      </c>
      <c r="P77" s="78">
        <f t="shared" si="20"/>
        <v>0.84410436686137058</v>
      </c>
      <c r="Q77" s="78">
        <f t="shared" si="20"/>
        <v>0.8897780487658884</v>
      </c>
      <c r="R77" s="78">
        <f t="shared" si="20"/>
        <v>0.95678795730512411</v>
      </c>
      <c r="S77" s="78">
        <f t="shared" si="20"/>
        <v>1.0484972426477668</v>
      </c>
      <c r="T77" s="78">
        <f t="shared" si="20"/>
        <v>1.1612984919404707</v>
      </c>
      <c r="U77" s="78">
        <f t="shared" si="20"/>
        <v>1.293947973870057</v>
      </c>
      <c r="V77" s="78">
        <f t="shared" si="20"/>
        <v>1.4314856985130358</v>
      </c>
      <c r="W77" s="78">
        <f t="shared" si="20"/>
        <v>1.5582417256407617</v>
      </c>
    </row>
    <row r="78" spans="2:23" ht="12" thickBot="1" x14ac:dyDescent="0.25">
      <c r="B78" s="26" t="s">
        <v>42</v>
      </c>
      <c r="D78" s="34">
        <f>D60-D68-D64-D65-D66</f>
        <v>-0.27838556264340553</v>
      </c>
      <c r="E78" s="34">
        <f t="shared" ref="E78:W78" si="21">E60-E68-E64-E65-E66</f>
        <v>-1.4704100690906696</v>
      </c>
      <c r="F78" s="34">
        <f t="shared" si="21"/>
        <v>-1.6313238703636841</v>
      </c>
      <c r="G78" s="34">
        <f t="shared" si="21"/>
        <v>-1.0531862624480488</v>
      </c>
      <c r="H78" s="34">
        <f t="shared" si="21"/>
        <v>-0.49924073349129872</v>
      </c>
      <c r="I78" s="34">
        <f t="shared" si="21"/>
        <v>-0.25444743317255347</v>
      </c>
      <c r="J78" s="34">
        <f t="shared" si="21"/>
        <v>4.7570363774249724E-2</v>
      </c>
      <c r="K78" s="34">
        <f t="shared" si="21"/>
        <v>0.28836736369482452</v>
      </c>
      <c r="L78" s="34">
        <f t="shared" si="21"/>
        <v>0.54447130620949902</v>
      </c>
      <c r="M78" s="34">
        <f t="shared" si="21"/>
        <v>0.81387226571607463</v>
      </c>
      <c r="N78" s="34">
        <f t="shared" si="21"/>
        <v>0.79139828348947328</v>
      </c>
      <c r="O78" s="34">
        <f t="shared" si="21"/>
        <v>0.81210322662955536</v>
      </c>
      <c r="P78" s="34">
        <f t="shared" si="21"/>
        <v>0.84410436686137058</v>
      </c>
      <c r="Q78" s="34">
        <f t="shared" si="21"/>
        <v>0.88978700220891405</v>
      </c>
      <c r="R78" s="34">
        <f t="shared" si="21"/>
        <v>0.95680471097369746</v>
      </c>
      <c r="S78" s="34">
        <f t="shared" si="21"/>
        <v>1.0485235263647545</v>
      </c>
      <c r="T78" s="34">
        <f t="shared" si="21"/>
        <v>1.1613308460570513</v>
      </c>
      <c r="U78" s="34">
        <f t="shared" si="21"/>
        <v>1.2939881282090513</v>
      </c>
      <c r="V78" s="34">
        <f t="shared" si="21"/>
        <v>1.4315307700347066</v>
      </c>
      <c r="W78" s="34">
        <f t="shared" si="21"/>
        <v>1.5582934441677627</v>
      </c>
    </row>
    <row r="79" spans="2:23" ht="12" thickBot="1" x14ac:dyDescent="0.25">
      <c r="B79" s="35" t="s">
        <v>123</v>
      </c>
      <c r="C79" s="35"/>
      <c r="D79" s="281">
        <f>'Input data'!D45</f>
        <v>5.7681103325160432</v>
      </c>
      <c r="E79" s="281">
        <f>'Input data'!E45</f>
        <v>7.4830230810080138</v>
      </c>
      <c r="F79" s="281">
        <f>'Input data'!F45</f>
        <v>3.9912900392291735</v>
      </c>
      <c r="G79" s="431">
        <f>'Input data'!G33+G42-(G$12-F$12)/'Input data'!$C$64*100</f>
        <v>1.5881731969804143</v>
      </c>
      <c r="H79" s="432">
        <f>'Input data'!H33+H42-(H$12-G$12)/'Input data'!$C$64*100</f>
        <v>1.9260768663543977</v>
      </c>
      <c r="I79" s="432">
        <f>'Input data'!I33+I42-(I$12-H$12)/'Input data'!$C$64*100</f>
        <v>2.5941845793995375</v>
      </c>
      <c r="J79" s="433">
        <f>'Input data'!J33+J42-(J$12-I$12)/'Input data'!$C$64*100</f>
        <v>2.5732222253289665</v>
      </c>
      <c r="K79" s="49">
        <f>'Input data'!K33+K42-(K$12-J$12)/'Input data'!$C$64*100</f>
        <v>2.770476979863747</v>
      </c>
      <c r="L79" s="49">
        <f>'Input data'!L33+L42-(L$12-K$12)/'Input data'!$C$64*100</f>
        <v>2.8221106216750718</v>
      </c>
      <c r="M79" s="49">
        <f>'Input data'!M33+M42-(M$12-L$12)/'Input data'!$C$64*100</f>
        <v>2.8739261792508843</v>
      </c>
      <c r="N79" s="49">
        <f>'Input data'!N33+N42-(N$12-M$12)/'Input data'!$C$64*100</f>
        <v>3.4332844424241884</v>
      </c>
      <c r="O79" s="49">
        <f>'Input data'!O33+O42-(O$12-N$12)/'Input data'!$C$64*100</f>
        <v>3.4851000000000001</v>
      </c>
      <c r="P79" s="49">
        <f>'Input data'!P33+P42-(P$12-O$12)/'Input data'!$C$64*100</f>
        <v>3.4576000000000002</v>
      </c>
      <c r="Q79" s="49">
        <f>'Input data'!Q33+Q42-(Q$12-P$12)/'Input data'!$C$64*100</f>
        <v>3.4300999999999995</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2.4497386641218597</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2">IF(K57&lt;J57,0,1)</f>
        <v>0</v>
      </c>
      <c r="L83" s="257">
        <f t="shared" si="22"/>
        <v>0</v>
      </c>
      <c r="M83" s="257">
        <f t="shared" si="22"/>
        <v>0</v>
      </c>
      <c r="N83" s="257">
        <f t="shared" si="22"/>
        <v>0</v>
      </c>
      <c r="O83" s="257">
        <f t="shared" si="22"/>
        <v>0</v>
      </c>
      <c r="P83" s="257">
        <f t="shared" si="22"/>
        <v>0</v>
      </c>
      <c r="Q83" s="257">
        <f t="shared" si="22"/>
        <v>0</v>
      </c>
      <c r="R83" s="257">
        <f t="shared" si="22"/>
        <v>0</v>
      </c>
      <c r="S83" s="257">
        <f t="shared" si="22"/>
        <v>0</v>
      </c>
      <c r="T83" s="257">
        <f t="shared" si="22"/>
        <v>0</v>
      </c>
      <c r="U83" s="257">
        <f t="shared" si="22"/>
        <v>0</v>
      </c>
      <c r="V83" s="257">
        <f t="shared" si="22"/>
        <v>0</v>
      </c>
      <c r="W83" s="257">
        <f t="shared" si="22"/>
        <v>0</v>
      </c>
    </row>
    <row r="84" spans="2:23" x14ac:dyDescent="0.2">
      <c r="B84" s="26" t="s">
        <v>261</v>
      </c>
      <c r="F84" s="29">
        <f t="shared" ref="F84:W84" si="23">IF(F57&gt;90,1,0)</f>
        <v>0</v>
      </c>
      <c r="G84" s="29">
        <f t="shared" si="23"/>
        <v>0</v>
      </c>
      <c r="H84" s="29">
        <f t="shared" si="23"/>
        <v>0</v>
      </c>
      <c r="I84" s="29">
        <f t="shared" si="23"/>
        <v>0</v>
      </c>
      <c r="J84" s="29">
        <f t="shared" si="23"/>
        <v>0</v>
      </c>
      <c r="K84" s="29">
        <f t="shared" si="23"/>
        <v>0</v>
      </c>
      <c r="L84" s="29">
        <f t="shared" si="23"/>
        <v>0</v>
      </c>
      <c r="M84" s="29">
        <f t="shared" si="23"/>
        <v>0</v>
      </c>
      <c r="N84" s="29">
        <f t="shared" si="23"/>
        <v>0</v>
      </c>
      <c r="O84" s="29">
        <f t="shared" si="23"/>
        <v>0</v>
      </c>
      <c r="P84" s="29">
        <f t="shared" si="23"/>
        <v>0</v>
      </c>
      <c r="Q84" s="29">
        <f t="shared" si="23"/>
        <v>0</v>
      </c>
      <c r="R84" s="29">
        <f t="shared" si="23"/>
        <v>0</v>
      </c>
      <c r="S84" s="29">
        <f t="shared" si="23"/>
        <v>0</v>
      </c>
      <c r="T84" s="29">
        <f t="shared" si="23"/>
        <v>0</v>
      </c>
      <c r="U84" s="29">
        <f t="shared" si="23"/>
        <v>0</v>
      </c>
      <c r="V84" s="29">
        <f t="shared" si="23"/>
        <v>0</v>
      </c>
      <c r="W84" s="29">
        <f t="shared" si="23"/>
        <v>0</v>
      </c>
    </row>
    <row r="85" spans="2:23" x14ac:dyDescent="0.2">
      <c r="B85" s="26" t="s">
        <v>262</v>
      </c>
      <c r="F85" s="29">
        <f t="shared" ref="F85:W85" si="24">IF(AND(F57&gt;60,F57&lt;=90),1,0)</f>
        <v>1</v>
      </c>
      <c r="G85" s="29">
        <f t="shared" si="24"/>
        <v>1</v>
      </c>
      <c r="H85" s="29">
        <f t="shared" si="24"/>
        <v>1</v>
      </c>
      <c r="I85" s="29">
        <f t="shared" si="24"/>
        <v>1</v>
      </c>
      <c r="J85" s="29">
        <f t="shared" si="24"/>
        <v>1</v>
      </c>
      <c r="K85" s="29">
        <f t="shared" si="24"/>
        <v>1</v>
      </c>
      <c r="L85" s="29">
        <f t="shared" si="24"/>
        <v>1</v>
      </c>
      <c r="M85" s="29">
        <f t="shared" si="24"/>
        <v>1</v>
      </c>
      <c r="N85" s="29">
        <f t="shared" si="24"/>
        <v>1</v>
      </c>
      <c r="O85" s="29">
        <f t="shared" si="24"/>
        <v>1</v>
      </c>
      <c r="P85" s="29">
        <f t="shared" si="24"/>
        <v>1</v>
      </c>
      <c r="Q85" s="29">
        <f t="shared" si="24"/>
        <v>1</v>
      </c>
      <c r="R85" s="29">
        <f t="shared" si="24"/>
        <v>1</v>
      </c>
      <c r="S85" s="29">
        <f t="shared" si="24"/>
        <v>1</v>
      </c>
      <c r="T85" s="29">
        <f t="shared" si="24"/>
        <v>1</v>
      </c>
      <c r="U85" s="29">
        <f t="shared" si="24"/>
        <v>1</v>
      </c>
      <c r="V85" s="29">
        <f t="shared" si="24"/>
        <v>0</v>
      </c>
      <c r="W85" s="29">
        <f t="shared" si="24"/>
        <v>0</v>
      </c>
    </row>
    <row r="86" spans="2:23" x14ac:dyDescent="0.2">
      <c r="B86" s="26" t="s">
        <v>263</v>
      </c>
      <c r="F86" s="29">
        <f t="shared" ref="F86:W86" si="25">IF(F57&gt;60,1,0)</f>
        <v>1</v>
      </c>
      <c r="G86" s="29">
        <f t="shared" si="25"/>
        <v>1</v>
      </c>
      <c r="H86" s="29">
        <f t="shared" si="25"/>
        <v>1</v>
      </c>
      <c r="I86" s="29">
        <f t="shared" si="25"/>
        <v>1</v>
      </c>
      <c r="J86" s="29">
        <f t="shared" si="25"/>
        <v>1</v>
      </c>
      <c r="K86" s="29">
        <f t="shared" si="25"/>
        <v>1</v>
      </c>
      <c r="L86" s="29">
        <f t="shared" si="25"/>
        <v>1</v>
      </c>
      <c r="M86" s="29">
        <f t="shared" si="25"/>
        <v>1</v>
      </c>
      <c r="N86" s="29">
        <f t="shared" si="25"/>
        <v>1</v>
      </c>
      <c r="O86" s="29">
        <f t="shared" si="25"/>
        <v>1</v>
      </c>
      <c r="P86" s="29">
        <f t="shared" si="25"/>
        <v>1</v>
      </c>
      <c r="Q86" s="29">
        <f t="shared" si="25"/>
        <v>1</v>
      </c>
      <c r="R86" s="29">
        <f t="shared" si="25"/>
        <v>1</v>
      </c>
      <c r="S86" s="29">
        <f t="shared" si="25"/>
        <v>1</v>
      </c>
      <c r="T86" s="29">
        <f t="shared" si="25"/>
        <v>1</v>
      </c>
      <c r="U86" s="29">
        <f t="shared" si="25"/>
        <v>1</v>
      </c>
      <c r="V86" s="29">
        <f t="shared" si="25"/>
        <v>0</v>
      </c>
      <c r="W86" s="29">
        <f t="shared" si="25"/>
        <v>0</v>
      </c>
    </row>
    <row r="87" spans="2:23" x14ac:dyDescent="0.2">
      <c r="B87" s="26" t="s">
        <v>264</v>
      </c>
      <c r="F87" s="360">
        <f>'Input data'!F17</f>
        <v>0</v>
      </c>
      <c r="G87" s="29">
        <f>IF(F87=0,0,IF(AND(E77&gt;-3.05,F77&gt;-3.05),0,1))</f>
        <v>0</v>
      </c>
      <c r="H87" s="29">
        <f t="shared" ref="H87:W87" si="26">IF(G87=0,0,IF(AND(F77&gt;-3.05,G77&gt;-3.05),0,1))</f>
        <v>0</v>
      </c>
      <c r="I87" s="29">
        <f t="shared" si="26"/>
        <v>0</v>
      </c>
      <c r="J87" s="29">
        <f t="shared" si="26"/>
        <v>0</v>
      </c>
      <c r="K87" s="29">
        <f t="shared" si="26"/>
        <v>0</v>
      </c>
      <c r="L87" s="29">
        <f t="shared" si="26"/>
        <v>0</v>
      </c>
      <c r="M87" s="29">
        <f t="shared" si="26"/>
        <v>0</v>
      </c>
      <c r="N87" s="29">
        <f t="shared" si="26"/>
        <v>0</v>
      </c>
      <c r="O87" s="29">
        <f t="shared" si="26"/>
        <v>0</v>
      </c>
      <c r="P87" s="29">
        <f t="shared" si="26"/>
        <v>0</v>
      </c>
      <c r="Q87" s="29">
        <f t="shared" si="26"/>
        <v>0</v>
      </c>
      <c r="R87" s="29">
        <f t="shared" si="26"/>
        <v>0</v>
      </c>
      <c r="S87" s="29">
        <f t="shared" si="26"/>
        <v>0</v>
      </c>
      <c r="T87" s="29">
        <f t="shared" si="26"/>
        <v>0</v>
      </c>
      <c r="U87" s="29">
        <f t="shared" si="26"/>
        <v>0</v>
      </c>
      <c r="V87" s="29">
        <f t="shared" si="26"/>
        <v>0</v>
      </c>
      <c r="W87" s="29">
        <f t="shared" si="26"/>
        <v>0</v>
      </c>
    </row>
    <row r="88" spans="2:23" x14ac:dyDescent="0.2">
      <c r="B88" s="26" t="s">
        <v>259</v>
      </c>
      <c r="F88" s="29">
        <f t="shared" ref="F88:W88" si="27">IF(F78&gt;=-1.55,1,0)</f>
        <v>0</v>
      </c>
      <c r="G88" s="29">
        <f t="shared" si="27"/>
        <v>1</v>
      </c>
      <c r="H88" s="29">
        <f t="shared" si="27"/>
        <v>1</v>
      </c>
      <c r="I88" s="29">
        <f t="shared" si="27"/>
        <v>1</v>
      </c>
      <c r="J88" s="29">
        <f t="shared" si="27"/>
        <v>1</v>
      </c>
      <c r="K88" s="29">
        <f t="shared" si="27"/>
        <v>1</v>
      </c>
      <c r="L88" s="29">
        <f t="shared" si="27"/>
        <v>1</v>
      </c>
      <c r="M88" s="29">
        <f t="shared" si="27"/>
        <v>1</v>
      </c>
      <c r="N88" s="29">
        <f t="shared" si="27"/>
        <v>1</v>
      </c>
      <c r="O88" s="29">
        <f t="shared" si="27"/>
        <v>1</v>
      </c>
      <c r="P88" s="29">
        <f t="shared" si="27"/>
        <v>1</v>
      </c>
      <c r="Q88" s="29">
        <f t="shared" si="27"/>
        <v>1</v>
      </c>
      <c r="R88" s="29">
        <f t="shared" si="27"/>
        <v>1</v>
      </c>
      <c r="S88" s="29">
        <f t="shared" si="27"/>
        <v>1</v>
      </c>
      <c r="T88" s="29">
        <f t="shared" si="27"/>
        <v>1</v>
      </c>
      <c r="U88" s="29">
        <f t="shared" si="27"/>
        <v>1</v>
      </c>
      <c r="V88" s="29">
        <f t="shared" si="27"/>
        <v>1</v>
      </c>
      <c r="W88" s="29">
        <f t="shared" si="27"/>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1.2568805258185778</v>
      </c>
      <c r="G90" s="34">
        <f>F57*G36/100*(1/((1+'Input data'!G30/100)*(1+G42/100)))</f>
        <v>1.487537484630467</v>
      </c>
      <c r="H90" s="34">
        <f>G57*H36/100*(1/((1+'Input data'!H30/100)*(1+H42/100)))</f>
        <v>1.5982169544731513</v>
      </c>
      <c r="I90" s="34">
        <f>H57*I36/100*(1/((1+'Input data'!I30/100)*(1+I42/100)))</f>
        <v>1.6738945771234557</v>
      </c>
      <c r="J90" s="34">
        <f>I57*J36/100*(1/((1+'Input data'!J30/100)*(1+J42/100)))</f>
        <v>1.7275128150218628</v>
      </c>
      <c r="K90" s="34">
        <f>J57*K36/100*(1/((1+'Input data'!K30/100)*(1+K42/100)))</f>
        <v>1.7808049814949509</v>
      </c>
      <c r="L90" s="34">
        <f>K57*L36/100*(1/((1+'Input data'!L30/100)*(1+L42/100)))</f>
        <v>1.8027912173099836</v>
      </c>
      <c r="M90" s="34">
        <f>L57*M36/100*(1/((1+'Input data'!M30/100)*(1+M42/100)))</f>
        <v>1.8120927150801109</v>
      </c>
      <c r="N90" s="34">
        <f>M57*N36/100*(1/((1+'Input data'!N30/100)*(1+N42/100)))</f>
        <v>1.8099226503447774</v>
      </c>
      <c r="O90" s="34">
        <f>N57*O36/100*(1/((1+'Input data'!O30/100)*(1+O42/100)))</f>
        <v>1.7992089021704782</v>
      </c>
      <c r="P90" s="34">
        <f>O57*P36/100*(1/((1+'Input data'!P30/100)*(1+P42/100)))</f>
        <v>1.7767237807981835</v>
      </c>
      <c r="Q90" s="34">
        <f>P57*Q36/100*(1/((1+'Input data'!Q30/100)*(1+Q42/100)))</f>
        <v>1.7438189899593097</v>
      </c>
      <c r="R90" s="34">
        <f>Q57*R36/100*(1/((1+'Input data'!R30/100)*(1+R42/100)))</f>
        <v>1.7108912811945214</v>
      </c>
      <c r="S90" s="34">
        <f>R57*S36/100*(1/((1+'Input data'!S30/100)*(1+S42/100)))</f>
        <v>1.6721934658034641</v>
      </c>
      <c r="T90" s="34">
        <f>S57*T36/100*(1/((1+'Input data'!T30/100)*(1+T42/100)))</f>
        <v>1.6281461461111679</v>
      </c>
      <c r="U90" s="34">
        <f>T57*U36/100*(1/((1+'Input data'!U30/100)*(1+U42/100)))</f>
        <v>1.5784688639591666</v>
      </c>
      <c r="V90" s="34">
        <f>U57*V36/100*(1/((1+'Input data'!V30/100)*(1+V42/100)))</f>
        <v>1.5228662221335139</v>
      </c>
      <c r="W90" s="34">
        <f>V57*W36/100*(1/((1+'Input data'!W30/100)*(1+W42/100)))</f>
        <v>1.461333548000457</v>
      </c>
    </row>
    <row r="91" spans="2:23" x14ac:dyDescent="0.2">
      <c r="B91" s="32" t="s">
        <v>260</v>
      </c>
      <c r="F91" s="34"/>
      <c r="G91" s="34">
        <f>G90-F90</f>
        <v>0.23065695881188919</v>
      </c>
      <c r="H91" s="34">
        <f t="shared" ref="H91:W91" si="28">H90-G90</f>
        <v>0.11067946984268429</v>
      </c>
      <c r="I91" s="34">
        <f t="shared" si="28"/>
        <v>7.5677622650304421E-2</v>
      </c>
      <c r="J91" s="34">
        <f t="shared" si="28"/>
        <v>5.3618237898407139E-2</v>
      </c>
      <c r="K91" s="34">
        <f t="shared" si="28"/>
        <v>5.3292166473088098E-2</v>
      </c>
      <c r="L91" s="34">
        <f t="shared" si="28"/>
        <v>2.1986235815032673E-2</v>
      </c>
      <c r="M91" s="34">
        <f t="shared" si="28"/>
        <v>9.3014977701273427E-3</v>
      </c>
      <c r="N91" s="34">
        <f t="shared" si="28"/>
        <v>-2.1700647353335434E-3</v>
      </c>
      <c r="O91" s="34">
        <f t="shared" si="28"/>
        <v>-1.0713748174299154E-2</v>
      </c>
      <c r="P91" s="34">
        <f t="shared" si="28"/>
        <v>-2.2485121372294747E-2</v>
      </c>
      <c r="Q91" s="34">
        <f t="shared" si="28"/>
        <v>-3.2904790838873765E-2</v>
      </c>
      <c r="R91" s="34">
        <f t="shared" si="28"/>
        <v>-3.2927708764788344E-2</v>
      </c>
      <c r="S91" s="34">
        <f t="shared" si="28"/>
        <v>-3.8697815391057322E-2</v>
      </c>
      <c r="T91" s="34">
        <f t="shared" si="28"/>
        <v>-4.4047319692296139E-2</v>
      </c>
      <c r="U91" s="34">
        <f t="shared" si="28"/>
        <v>-4.967728215200129E-2</v>
      </c>
      <c r="V91" s="34">
        <f t="shared" si="28"/>
        <v>-5.5602641825652777E-2</v>
      </c>
      <c r="W91" s="34">
        <f t="shared" si="28"/>
        <v>-6.1532674133056853E-2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29">IF((D100-C100*D43/((1+D24/100)*(1+D42/100)))&gt;0,1,0)</f>
        <v>1</v>
      </c>
      <c r="E95" s="29">
        <f t="shared" si="29"/>
        <v>1</v>
      </c>
      <c r="F95" s="29">
        <f t="shared" si="29"/>
        <v>1</v>
      </c>
      <c r="G95" s="29">
        <f t="shared" si="29"/>
        <v>1</v>
      </c>
      <c r="H95" s="29">
        <f t="shared" si="29"/>
        <v>1</v>
      </c>
      <c r="I95" s="29">
        <f t="shared" si="29"/>
        <v>1</v>
      </c>
      <c r="J95" s="29">
        <f t="shared" si="29"/>
        <v>1</v>
      </c>
      <c r="K95" s="29">
        <f t="shared" si="29"/>
        <v>1</v>
      </c>
      <c r="L95" s="29">
        <f t="shared" si="29"/>
        <v>1</v>
      </c>
      <c r="M95" s="29">
        <f t="shared" si="29"/>
        <v>1</v>
      </c>
      <c r="N95" s="29">
        <f t="shared" si="29"/>
        <v>1</v>
      </c>
      <c r="O95" s="29">
        <f t="shared" si="29"/>
        <v>1</v>
      </c>
      <c r="P95" s="29">
        <f t="shared" si="29"/>
        <v>1</v>
      </c>
      <c r="Q95" s="29">
        <f t="shared" si="29"/>
        <v>1</v>
      </c>
      <c r="R95" s="29">
        <f t="shared" si="29"/>
        <v>0</v>
      </c>
      <c r="S95" s="29">
        <f t="shared" si="29"/>
        <v>0</v>
      </c>
      <c r="T95" s="29">
        <f t="shared" si="29"/>
        <v>0</v>
      </c>
      <c r="U95" s="29">
        <f t="shared" si="29"/>
        <v>0</v>
      </c>
      <c r="V95" s="29">
        <f t="shared" si="29"/>
        <v>0</v>
      </c>
      <c r="W95" s="29">
        <f t="shared" si="29"/>
        <v>0</v>
      </c>
    </row>
    <row r="96" spans="2:23" x14ac:dyDescent="0.2">
      <c r="B96" s="26" t="s">
        <v>126</v>
      </c>
      <c r="D96" s="29">
        <f t="shared" ref="D96:W96" si="30">IF(AND(D95=0,ABS(D100-C100*D43/((1+D24/100)*(1+D42/100)))&lt;((C106*C100*D43/((1+D24/100)*(1+D42/100))+(D39*C100*C107*D43/((1+D24/100)*(1+D42/100)))))),1,0)</f>
        <v>0</v>
      </c>
      <c r="E96" s="29">
        <f t="shared" si="30"/>
        <v>0</v>
      </c>
      <c r="F96" s="29">
        <f t="shared" si="30"/>
        <v>0</v>
      </c>
      <c r="G96" s="29">
        <f t="shared" si="30"/>
        <v>0</v>
      </c>
      <c r="H96" s="29">
        <f t="shared" si="30"/>
        <v>0</v>
      </c>
      <c r="I96" s="29">
        <f t="shared" si="30"/>
        <v>0</v>
      </c>
      <c r="J96" s="29">
        <f t="shared" si="30"/>
        <v>0</v>
      </c>
      <c r="K96" s="29">
        <f t="shared" si="30"/>
        <v>0</v>
      </c>
      <c r="L96" s="29">
        <f t="shared" si="30"/>
        <v>0</v>
      </c>
      <c r="M96" s="29">
        <f t="shared" si="30"/>
        <v>0</v>
      </c>
      <c r="N96" s="29">
        <f t="shared" si="30"/>
        <v>0</v>
      </c>
      <c r="O96" s="29">
        <f t="shared" si="30"/>
        <v>0</v>
      </c>
      <c r="P96" s="29">
        <f t="shared" si="30"/>
        <v>0</v>
      </c>
      <c r="Q96" s="29">
        <f t="shared" si="30"/>
        <v>0</v>
      </c>
      <c r="R96" s="29">
        <f t="shared" si="30"/>
        <v>1</v>
      </c>
      <c r="S96" s="29">
        <f t="shared" si="30"/>
        <v>1</v>
      </c>
      <c r="T96" s="29">
        <f t="shared" si="30"/>
        <v>1</v>
      </c>
      <c r="U96" s="29">
        <f t="shared" si="30"/>
        <v>1</v>
      </c>
      <c r="V96" s="29">
        <f t="shared" si="30"/>
        <v>1</v>
      </c>
      <c r="W96" s="29">
        <f t="shared" si="30"/>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73.511610584961744</v>
      </c>
      <c r="E100" s="110">
        <f>E57</f>
        <v>76.708982652879769</v>
      </c>
      <c r="F100" s="110">
        <f>F57</f>
        <v>81.880481617890794</v>
      </c>
      <c r="G100" s="110">
        <f>G57</f>
        <v>83.795046041834823</v>
      </c>
      <c r="H100" s="110">
        <f t="shared" ref="H100:W100" si="31">G100*(1+H113/100)*H43-H60-H61+H62+H63+H64+H65+H66+H72</f>
        <v>84.456795767087172</v>
      </c>
      <c r="I100" s="110">
        <f t="shared" si="31"/>
        <v>84.413713398448706</v>
      </c>
      <c r="J100" s="110">
        <f t="shared" si="31"/>
        <v>83.94929330310039</v>
      </c>
      <c r="K100" s="110">
        <f t="shared" si="31"/>
        <v>83.027836303922683</v>
      </c>
      <c r="L100" s="110">
        <f t="shared" si="31"/>
        <v>81.765336117549069</v>
      </c>
      <c r="M100" s="110">
        <f t="shared" si="31"/>
        <v>80.194028566968001</v>
      </c>
      <c r="N100" s="110">
        <f t="shared" si="31"/>
        <v>78.364864370321257</v>
      </c>
      <c r="O100" s="110">
        <f t="shared" si="31"/>
        <v>76.21639281968983</v>
      </c>
      <c r="P100" s="110">
        <f t="shared" si="31"/>
        <v>73.807771232349452</v>
      </c>
      <c r="Q100" s="110">
        <f t="shared" si="31"/>
        <v>71.522485010455668</v>
      </c>
      <c r="R100" s="110">
        <f t="shared" si="31"/>
        <v>69.112413742036779</v>
      </c>
      <c r="S100" s="110">
        <f t="shared" si="31"/>
        <v>66.555786636277048</v>
      </c>
      <c r="T100" s="110">
        <f t="shared" si="31"/>
        <v>63.835042147838877</v>
      </c>
      <c r="U100" s="110">
        <f t="shared" si="31"/>
        <v>60.934326911727531</v>
      </c>
      <c r="V100" s="110">
        <f t="shared" si="31"/>
        <v>57.853116461951878</v>
      </c>
      <c r="W100" s="110">
        <f t="shared" si="31"/>
        <v>54.606440958364594</v>
      </c>
    </row>
    <row r="101" spans="2:23" x14ac:dyDescent="0.2">
      <c r="B101" s="26" t="s">
        <v>127</v>
      </c>
      <c r="C101" s="34"/>
      <c r="D101" s="253">
        <f>'Input data'!C66*$D$100</f>
        <v>59.051128502792025</v>
      </c>
      <c r="E101" s="34">
        <f t="shared" ref="E101:W101" si="32">IF(E100=0,0,IF(E95=1,D100*E43/((1+E24/100)*(1+E42/100))-E102-E103,IF(AND(E95=0,E96=1),(1-D106-E39*D107)*D100*E43/((1+E24/100)*(1+E42/100)),E100)))</f>
        <v>61.999403317237508</v>
      </c>
      <c r="F101" s="34">
        <f t="shared" si="32"/>
        <v>66.001348446006844</v>
      </c>
      <c r="G101" s="34">
        <f t="shared" si="32"/>
        <v>69.031951878039109</v>
      </c>
      <c r="H101" s="34">
        <f t="shared" si="32"/>
        <v>70.281934511654541</v>
      </c>
      <c r="I101" s="34">
        <f t="shared" si="32"/>
        <v>70.69294124691416</v>
      </c>
      <c r="J101" s="34">
        <f t="shared" si="32"/>
        <v>70.726421017056182</v>
      </c>
      <c r="K101" s="34">
        <f t="shared" si="32"/>
        <v>70.288294005047533</v>
      </c>
      <c r="L101" s="34">
        <f t="shared" si="32"/>
        <v>69.49519021937607</v>
      </c>
      <c r="M101" s="34">
        <f t="shared" si="32"/>
        <v>68.394669925599686</v>
      </c>
      <c r="N101" s="34">
        <f t="shared" si="32"/>
        <v>66.88438508318869</v>
      </c>
      <c r="O101" s="34">
        <f t="shared" si="32"/>
        <v>65.273362204953614</v>
      </c>
      <c r="P101" s="34">
        <f t="shared" si="32"/>
        <v>63.496577316445254</v>
      </c>
      <c r="Q101" s="34">
        <f t="shared" si="32"/>
        <v>61.689465170461652</v>
      </c>
      <c r="R101" s="34">
        <f t="shared" si="32"/>
        <v>59.794276436537395</v>
      </c>
      <c r="S101" s="34">
        <f t="shared" si="32"/>
        <v>57.819681606602423</v>
      </c>
      <c r="T101" s="34">
        <f t="shared" si="32"/>
        <v>55.867620418614351</v>
      </c>
      <c r="U101" s="34">
        <f t="shared" si="32"/>
        <v>53.928384024335649</v>
      </c>
      <c r="V101" s="34">
        <f t="shared" si="32"/>
        <v>51.987560503604854</v>
      </c>
      <c r="W101" s="34">
        <f t="shared" si="32"/>
        <v>50.026296605525957</v>
      </c>
    </row>
    <row r="102" spans="2:23" x14ac:dyDescent="0.2">
      <c r="B102" s="105" t="s">
        <v>128</v>
      </c>
      <c r="C102" s="34"/>
      <c r="D102" s="253">
        <f>'Input data'!C67*$D$100</f>
        <v>2.5660693694891989</v>
      </c>
      <c r="E102" s="34">
        <f t="shared" ref="E102:W102" si="33">IF(E100=0,0,IF(E95=1,E39*D100*D107*E43/((1+E24/100)*(1+E42/100)),IF(AND(E95=0,E96=1),(E39*D100*D107*E43/((1+E24/100)*(1+E42/100)))*(1-ABS(E100-D100*E43/((1+E24/100)*(1+E42/100)))/((E39*D100*D107*E43/((1+E24/100)*(1+E42/100)))+(D106*D100*E43/((1+E24/100)*(1+E42/100))))),0)))</f>
        <v>2.5449751617705147</v>
      </c>
      <c r="F102" s="34">
        <f t="shared" si="33"/>
        <v>2.1660589056966417</v>
      </c>
      <c r="G102" s="34">
        <f t="shared" si="33"/>
        <v>2.3152486033106818</v>
      </c>
      <c r="H102" s="34">
        <f t="shared" si="33"/>
        <v>2.4078728050379699</v>
      </c>
      <c r="I102" s="34">
        <f t="shared" si="33"/>
        <v>2.473023005491422</v>
      </c>
      <c r="J102" s="34">
        <f t="shared" si="33"/>
        <v>2.5253588550714605</v>
      </c>
      <c r="K102" s="34">
        <f t="shared" si="33"/>
        <v>2.5606339072601276</v>
      </c>
      <c r="L102" s="34">
        <f t="shared" si="33"/>
        <v>2.582155535155672</v>
      </c>
      <c r="M102" s="34">
        <f t="shared" si="33"/>
        <v>2.5909506204554691</v>
      </c>
      <c r="N102" s="34">
        <f t="shared" si="33"/>
        <v>2.5823943351949104</v>
      </c>
      <c r="O102" s="34">
        <f t="shared" si="33"/>
        <v>2.5677445059319242</v>
      </c>
      <c r="P102" s="34">
        <f t="shared" si="33"/>
        <v>2.4978487708024102</v>
      </c>
      <c r="Q102" s="34">
        <f t="shared" si="33"/>
        <v>2.4267600122689932</v>
      </c>
      <c r="R102" s="34">
        <f t="shared" si="33"/>
        <v>2.3418752871375581</v>
      </c>
      <c r="S102" s="34">
        <f t="shared" si="33"/>
        <v>2.2025660468543893</v>
      </c>
      <c r="T102" s="34">
        <f t="shared" si="33"/>
        <v>2.055618869287676</v>
      </c>
      <c r="U102" s="34">
        <f t="shared" si="33"/>
        <v>1.8952661123732852</v>
      </c>
      <c r="V102" s="34">
        <f t="shared" si="33"/>
        <v>1.7156730880291562</v>
      </c>
      <c r="W102" s="34">
        <f t="shared" si="33"/>
        <v>1.5058202470266049</v>
      </c>
    </row>
    <row r="103" spans="2:23" x14ac:dyDescent="0.2">
      <c r="B103" s="105" t="s">
        <v>129</v>
      </c>
      <c r="C103" s="34"/>
      <c r="D103" s="253">
        <f>'Input data'!C68*$D$100</f>
        <v>6.679115961728173</v>
      </c>
      <c r="E103" s="34">
        <f t="shared" ref="E103:W103" si="34">IF(E100=0,0,IF(E95=1,(1-D107)*D100*E43/((1+E24/100)*(1+E42/100)),IF(AND(E95=0,E96=1),(D106*D100*E43/((1+E24/100)*(1+E42/100)))*(1-ABS(E100-D100*E43/((1+E24/100)*(1+E42/100)))/((E39*D100*D107*E43/((1+E24/100)*(1+E42/100)))+(D106*D100*E43/((1+E24/100)*(1+E42/100))))),0)))</f>
        <v>6.9964135836832329</v>
      </c>
      <c r="F103" s="34">
        <f t="shared" si="34"/>
        <v>7.448413906454916</v>
      </c>
      <c r="G103" s="34">
        <f t="shared" si="34"/>
        <v>7.8616709126231221</v>
      </c>
      <c r="H103" s="34">
        <f t="shared" si="34"/>
        <v>8.0539670303334088</v>
      </c>
      <c r="I103" s="34">
        <f t="shared" si="34"/>
        <v>8.1406577234110387</v>
      </c>
      <c r="J103" s="34">
        <f t="shared" si="34"/>
        <v>8.1774190052734923</v>
      </c>
      <c r="K103" s="34">
        <f t="shared" si="34"/>
        <v>8.1537192058109369</v>
      </c>
      <c r="L103" s="34">
        <f t="shared" si="34"/>
        <v>8.0839546555154485</v>
      </c>
      <c r="M103" s="34">
        <f t="shared" si="34"/>
        <v>7.9743399240943749</v>
      </c>
      <c r="N103" s="34">
        <f t="shared" si="34"/>
        <v>7.8133753270707791</v>
      </c>
      <c r="O103" s="34">
        <f t="shared" si="34"/>
        <v>7.6388808812556723</v>
      </c>
      <c r="P103" s="34">
        <f t="shared" si="34"/>
        <v>7.4365415119631857</v>
      </c>
      <c r="Q103" s="34">
        <f t="shared" si="34"/>
        <v>7.2277428764909022</v>
      </c>
      <c r="R103" s="34">
        <f t="shared" si="34"/>
        <v>6.9762620183618269</v>
      </c>
      <c r="S103" s="34">
        <f t="shared" si="34"/>
        <v>6.5335389828202395</v>
      </c>
      <c r="T103" s="34">
        <f t="shared" si="34"/>
        <v>5.9118028599368566</v>
      </c>
      <c r="U103" s="34">
        <f t="shared" si="34"/>
        <v>5.110676775018594</v>
      </c>
      <c r="V103" s="34">
        <f t="shared" si="34"/>
        <v>4.1498828703178683</v>
      </c>
      <c r="W103" s="34">
        <f t="shared" si="34"/>
        <v>3.0743241058120292</v>
      </c>
    </row>
    <row r="104" spans="2:23" x14ac:dyDescent="0.2">
      <c r="B104" s="105" t="s">
        <v>130</v>
      </c>
      <c r="C104" s="34"/>
      <c r="D104" s="253">
        <f>'Input data'!C69*$D$100</f>
        <v>4.7052606775120811</v>
      </c>
      <c r="E104" s="34">
        <f>IF(E100=0,0,IF(E95=1,'Input data'!$C$58*(E100-D100*E43/((1+E24/100)*(1+E42/100))),0))</f>
        <v>4.6085101761480534</v>
      </c>
      <c r="F104" s="34">
        <f>IF(F100=0,0,IF(F95=1,'Input data'!$C$58*(F100-E100*F43/((1+F24/100)*(1+F42/100))),0))</f>
        <v>5.5862396159977807</v>
      </c>
      <c r="G104" s="34">
        <f>IF(G100=0,0,IF(G95=1,'Input data'!$C$58*(G100-F100*G43/((1+G24/100)*(1+G42/100))),0))</f>
        <v>4.0895226608686057</v>
      </c>
      <c r="H104" s="34">
        <f>IF(H100=0,0,IF(H95=1,'Input data'!$C$58*(H100-G100*H43/((1+H24/100)*(1+H42/100))),0))</f>
        <v>3.3109260775121334</v>
      </c>
      <c r="I104" s="34">
        <f>IF(I100=0,0,IF(I95=1,'Input data'!$C$58*(I100-H100*I43/((1+I24/100)*(1+I42/100))),0))</f>
        <v>2.770614239073558</v>
      </c>
      <c r="J104" s="34">
        <f>IF(J100=0,0,IF(J95=1,'Input data'!$C$58*(J100-I100*J43/((1+J24/100)*(1+J42/100))),0))</f>
        <v>2.2471850840286782</v>
      </c>
      <c r="K104" s="34">
        <f>IF(K100=0,0,IF(K95=1,'Input data'!$C$58*(K100-J100*K43/((1+K24/100)*(1+K42/100))),0))</f>
        <v>1.8058747657490561</v>
      </c>
      <c r="L104" s="34">
        <f>IF(L100=0,0,IF(L95=1,'Input data'!$C$58*(L100-K100*L43/((1+L24/100)*(1+L42/100))),0))</f>
        <v>1.4303293874186529</v>
      </c>
      <c r="M104" s="34">
        <f>IF(M100=0,0,IF(M95=1,'Input data'!$C$58*(M100-L100*M43/((1+M24/100)*(1+M42/100))),0))</f>
        <v>1.1004267901892706</v>
      </c>
      <c r="N104" s="34">
        <f>IF(N100=0,0,IF(N95=1,'Input data'!$C$58*(N100-M100*N43/((1+N24/100)*(1+N42/100))),0))</f>
        <v>0.96724284004829153</v>
      </c>
      <c r="O104" s="34">
        <f>IF(O100=0,0,IF(O95=1,'Input data'!$C$58*(O100-N100*O43/((1+O24/100)*(1+O42/100))),0))</f>
        <v>0.65665747532012542</v>
      </c>
      <c r="P104" s="34">
        <f>IF(P100=0,0,IF(P95=1,'Input data'!$C$58*(P100-O100*P43/((1+P24/100)*(1+P42/100))),0))</f>
        <v>0.33599832425403797</v>
      </c>
      <c r="Q104" s="34">
        <f>IF(Q100=0,0,IF(Q95=1,'Input data'!$C$58*(Q100-P100*Q43/((1+Q24/100)*(1+Q42/100))),0))</f>
        <v>0.15918476147903413</v>
      </c>
      <c r="R104" s="34">
        <f>IF(R100=0,0,IF(R95=1,'Input data'!$C$58*(R100-Q100*R43/((1+R24/100)*(1+R42/100))),0))</f>
        <v>0</v>
      </c>
      <c r="S104" s="34">
        <f>IF(S100=0,0,IF(S95=1,'Input data'!$C$58*(S100-R100*S43/((1+S24/100)*(1+S42/100))),0))</f>
        <v>0</v>
      </c>
      <c r="T104" s="34">
        <f>IF(T100=0,0,IF(T95=1,'Input data'!$C$58*(T100-S100*T43/((1+T24/100)*(1+T42/100))),0))</f>
        <v>0</v>
      </c>
      <c r="U104" s="34">
        <f>IF(U100=0,0,IF(U95=1,'Input data'!$C$58*(U100-T100*U43/((1+U24/100)*(1+U42/100))),0))</f>
        <v>0</v>
      </c>
      <c r="V104" s="34">
        <f>IF(V100=0,0,IF(V95=1,'Input data'!$C$58*(V100-U100*V43/((1+V24/100)*(1+V42/100))),0))</f>
        <v>0</v>
      </c>
      <c r="W104" s="34">
        <f>IF(W100=0,0,IF(W95=1,'Input data'!$C$58*(W100-V100*W43/((1+W24/100)*(1+W42/100))),0))</f>
        <v>0</v>
      </c>
    </row>
    <row r="105" spans="2:23" x14ac:dyDescent="0.2">
      <c r="B105" s="107" t="s">
        <v>131</v>
      </c>
      <c r="C105" s="49"/>
      <c r="D105" s="254">
        <f>'Input data'!C70*$D$100</f>
        <v>0.51003587344023849</v>
      </c>
      <c r="E105" s="49">
        <f>IF(E100=0,0,IF(E95=1,'Input data'!$C$57*(E100-D100*E43/((1+E24/100)*(1+E42/100))),0))</f>
        <v>0.55968041404046198</v>
      </c>
      <c r="F105" s="49">
        <f>IF(F100=0,0,IF(F95=1,'Input data'!$C$57*(F100-E100*F43/((1+F24/100)*(1+F42/100))),0))</f>
        <v>0.67842074373460748</v>
      </c>
      <c r="G105" s="49">
        <f>IF(G100=0,0,IF(G95=1,'Input data'!$C$57*(G100-F100*G43/((1+G24/100)*(1+G42/100))),0))</f>
        <v>0.4966519869933041</v>
      </c>
      <c r="H105" s="49">
        <f>IF(H100=0,0,IF(H95=1,'Input data'!$C$57*(H100-G100*H43/((1+H24/100)*(1+H42/100))),0))</f>
        <v>0.40209534254911927</v>
      </c>
      <c r="I105" s="49">
        <f>IF(I100=0,0,IF(I95=1,'Input data'!$C$57*(I100-H100*I43/((1+I24/100)*(1+I42/100))),0))</f>
        <v>0.33647718355852274</v>
      </c>
      <c r="J105" s="49">
        <f>IF(J100=0,0,IF(J95=1,'Input data'!$C$57*(J100-I100*J43/((1+J24/100)*(1+J42/100))),0))</f>
        <v>0.27290934167057718</v>
      </c>
      <c r="K105" s="49">
        <f>IF(K100=0,0,IF(K95=1,'Input data'!$C$57*(K100-J100*K43/((1+K24/100)*(1+K42/100))),0))</f>
        <v>0.21931442005503859</v>
      </c>
      <c r="L105" s="49">
        <f>IF(L100=0,0,IF(L95=1,'Input data'!$C$57*(L100-K100*L43/((1+L24/100)*(1+L42/100))),0))</f>
        <v>0.17370632008321168</v>
      </c>
      <c r="M105" s="49">
        <f>IF(M100=0,0,IF(M95=1,'Input data'!$C$57*(M100-L100*M43/((1+M24/100)*(1+M42/100))),0))</f>
        <v>0.13364130662919069</v>
      </c>
      <c r="N105" s="49">
        <f>IF(N100=0,0,IF(N95=1,'Input data'!$C$57*(N100-M100*N43/((1+N24/100)*(1+N42/100))),0))</f>
        <v>0.11746678481859747</v>
      </c>
      <c r="O105" s="49">
        <f>IF(O100=0,0,IF(O95=1,'Input data'!$C$57*(O100-N100*O43/((1+O24/100)*(1+O42/100))),0))</f>
        <v>7.9747752228490523E-2</v>
      </c>
      <c r="P105" s="49">
        <f>IF(P100=0,0,IF(P95=1,'Input data'!$C$57*(P100-O100*P43/((1+P24/100)*(1+P42/100))),0))</f>
        <v>4.0805308884569118E-2</v>
      </c>
      <c r="Q105" s="49">
        <f>IF(Q100=0,0,IF(Q95=1,'Input data'!$C$57*(Q100-P100*Q43/((1+Q24/100)*(1+Q42/100))),0))</f>
        <v>1.9332189755081448E-2</v>
      </c>
      <c r="R105" s="49">
        <f>IF(R100=0,0,IF(R95=1,'Input data'!$C$57*(R100-Q100*R43/((1+R24/100)*(1+R42/100))),0))</f>
        <v>0</v>
      </c>
      <c r="S105" s="49">
        <f>IF(S100=0,0,IF(S95=1,'Input data'!$C$57*(S100-R100*S43/((1+S24/100)*(1+S42/100))),0))</f>
        <v>0</v>
      </c>
      <c r="T105" s="49">
        <f>IF(T100=0,0,IF(T95=1,'Input data'!$C$57*(T100-S100*T43/((1+T24/100)*(1+T42/100))),0))</f>
        <v>0</v>
      </c>
      <c r="U105" s="49">
        <f>IF(U100=0,0,IF(U95=1,'Input data'!$C$57*(U100-T100*U43/((1+U24/100)*(1+U42/100))),0))</f>
        <v>0</v>
      </c>
      <c r="V105" s="49">
        <f>IF(V100=0,0,IF(V95=1,'Input data'!$C$57*(V100-U100*V43/((1+V24/100)*(1+V42/100))),0))</f>
        <v>0</v>
      </c>
      <c r="W105" s="49">
        <f>IF(W100=0,0,IF(W95=1,'Input data'!$C$57*(W100-V100*W43/((1+W24/100)*(1+W42/100))),0))</f>
        <v>0</v>
      </c>
    </row>
    <row r="106" spans="2:23" x14ac:dyDescent="0.2">
      <c r="B106" s="26" t="s">
        <v>73</v>
      </c>
      <c r="C106" s="36"/>
      <c r="D106" s="259">
        <f>'Baseline NFPC'!$D$93</f>
        <v>9.7796141283269952E-2</v>
      </c>
      <c r="E106" s="36">
        <f t="shared" ref="E106:W106" si="35">IF(E100&lt;&gt;0,(E103+E105)/(E101+E102+E103+E104+E105),0)</f>
        <v>9.8503379088159856E-2</v>
      </c>
      <c r="F106" s="36">
        <f t="shared" si="35"/>
        <v>9.9252404109135328E-2</v>
      </c>
      <c r="G106" s="36">
        <f t="shared" si="35"/>
        <v>9.9747220085582622E-2</v>
      </c>
      <c r="H106" s="36">
        <f t="shared" si="35"/>
        <v>0.10012293618387375</v>
      </c>
      <c r="I106" s="36">
        <f t="shared" si="35"/>
        <v>0.10042367010862181</v>
      </c>
      <c r="J106" s="36">
        <f t="shared" si="35"/>
        <v>0.10065991045849559</v>
      </c>
      <c r="K106" s="36">
        <f t="shared" si="35"/>
        <v>0.10084610172444523</v>
      </c>
      <c r="L106" s="36">
        <f t="shared" si="35"/>
        <v>0.10099219752154046</v>
      </c>
      <c r="M106" s="36">
        <f t="shared" si="35"/>
        <v>0.10110455074535625</v>
      </c>
      <c r="N106" s="36">
        <f t="shared" si="35"/>
        <v>0.10120405586885678</v>
      </c>
      <c r="O106" s="36">
        <f t="shared" si="35"/>
        <v>0.10127255237261928</v>
      </c>
      <c r="P106" s="36">
        <f t="shared" si="35"/>
        <v>0.10130839471237799</v>
      </c>
      <c r="Q106" s="36">
        <f t="shared" si="35"/>
        <v>0.10132582872626077</v>
      </c>
      <c r="R106" s="36">
        <f t="shared" si="35"/>
        <v>0.10094079544668834</v>
      </c>
      <c r="S106" s="36">
        <f t="shared" si="35"/>
        <v>9.8166355068802599E-2</v>
      </c>
      <c r="T106" s="36">
        <f t="shared" si="35"/>
        <v>9.2610620452719464E-2</v>
      </c>
      <c r="U106" s="36">
        <f>IF(U100&lt;&gt;0,(U103+U105)/(U101+U102+U103+U104+U105),0)</f>
        <v>8.3871883616966375E-2</v>
      </c>
      <c r="V106" s="36">
        <f t="shared" si="35"/>
        <v>7.1731362528190026E-2</v>
      </c>
      <c r="W106" s="34">
        <f t="shared" si="35"/>
        <v>5.629966084323438E-2</v>
      </c>
    </row>
    <row r="107" spans="2:23" x14ac:dyDescent="0.2">
      <c r="B107" s="35" t="s">
        <v>74</v>
      </c>
      <c r="C107" s="108"/>
      <c r="D107" s="260">
        <f>'Baseline NFPC'!$D$94</f>
        <v>0.90220385626214106</v>
      </c>
      <c r="E107" s="108">
        <f t="shared" ref="E107:W107" si="36">IF(E100&lt;&gt;0,(E101+E102+E104)/(E101+E102+E103+E104+E105),1)</f>
        <v>0.90149662091184013</v>
      </c>
      <c r="F107" s="108">
        <f t="shared" si="36"/>
        <v>0.90074759589086473</v>
      </c>
      <c r="G107" s="108">
        <f t="shared" si="36"/>
        <v>0.90025277991441743</v>
      </c>
      <c r="H107" s="108">
        <f t="shared" si="36"/>
        <v>0.8998770638161262</v>
      </c>
      <c r="I107" s="108">
        <f t="shared" si="36"/>
        <v>0.89957632989137815</v>
      </c>
      <c r="J107" s="108">
        <f t="shared" si="36"/>
        <v>0.89934008954150435</v>
      </c>
      <c r="K107" s="108">
        <f t="shared" si="36"/>
        <v>0.89915389827555459</v>
      </c>
      <c r="L107" s="108">
        <f t="shared" si="36"/>
        <v>0.89900780247845946</v>
      </c>
      <c r="M107" s="108">
        <f t="shared" si="36"/>
        <v>0.89889544925464371</v>
      </c>
      <c r="N107" s="108">
        <f t="shared" si="36"/>
        <v>0.89879594413114328</v>
      </c>
      <c r="O107" s="108">
        <f t="shared" si="36"/>
        <v>0.89872744762738077</v>
      </c>
      <c r="P107" s="108">
        <f t="shared" si="36"/>
        <v>0.89869160528762204</v>
      </c>
      <c r="Q107" s="108">
        <f t="shared" si="36"/>
        <v>0.89867417127373928</v>
      </c>
      <c r="R107" s="108">
        <f t="shared" si="36"/>
        <v>0.89905920455331167</v>
      </c>
      <c r="S107" s="108">
        <f t="shared" si="36"/>
        <v>0.90183364493119744</v>
      </c>
      <c r="T107" s="108">
        <f t="shared" si="36"/>
        <v>0.90738937954728061</v>
      </c>
      <c r="U107" s="108">
        <f t="shared" si="36"/>
        <v>0.9161281163830336</v>
      </c>
      <c r="V107" s="108">
        <f t="shared" si="36"/>
        <v>0.92826863747180999</v>
      </c>
      <c r="W107" s="49">
        <f t="shared" si="36"/>
        <v>0.94370033915676554</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1.9847791852407068</v>
      </c>
      <c r="I109" s="115">
        <f t="shared" ref="I109:V109" si="37">I111</f>
        <v>2.0635189834377994</v>
      </c>
      <c r="J109" s="115">
        <f t="shared" si="37"/>
        <v>2.1317844350657991</v>
      </c>
      <c r="K109" s="115">
        <f t="shared" si="37"/>
        <v>2.1912834847052363</v>
      </c>
      <c r="L109" s="115">
        <f t="shared" si="37"/>
        <v>2.2440924445547692</v>
      </c>
      <c r="M109" s="115">
        <f t="shared" si="37"/>
        <v>2.2916586022560326</v>
      </c>
      <c r="N109" s="115">
        <f t="shared" si="37"/>
        <v>2.33494318770743</v>
      </c>
      <c r="O109" s="115">
        <f t="shared" si="37"/>
        <v>2.3765011399199443</v>
      </c>
      <c r="P109" s="115">
        <f t="shared" si="37"/>
        <v>2.4123087073768703</v>
      </c>
      <c r="Q109" s="115">
        <f t="shared" si="37"/>
        <v>2.4442416610634723</v>
      </c>
      <c r="R109" s="115">
        <f t="shared" si="37"/>
        <v>2.4740479788916989</v>
      </c>
      <c r="S109" s="115">
        <f t="shared" si="37"/>
        <v>2.5017400286729532</v>
      </c>
      <c r="T109" s="115">
        <f t="shared" si="37"/>
        <v>2.5287314209404013</v>
      </c>
      <c r="U109" s="115">
        <f t="shared" si="37"/>
        <v>2.5553792516751406</v>
      </c>
      <c r="V109" s="115">
        <f t="shared" si="37"/>
        <v>2.5820318000830964</v>
      </c>
      <c r="W109" s="115">
        <f>W111</f>
        <v>2.6089619064059728</v>
      </c>
    </row>
    <row r="110" spans="2:23" x14ac:dyDescent="0.2">
      <c r="B110" s="33" t="s">
        <v>133</v>
      </c>
      <c r="C110" s="34"/>
      <c r="D110" s="34"/>
      <c r="E110" s="265">
        <f>((E36*D100)-(E38*(D103+D105)))/(D101+D102+D104)</f>
        <v>1.3799500275570342</v>
      </c>
      <c r="F110" s="265">
        <f>((F36*E100)-(F38*(E103+E105)))/(E101+E102+E104)</f>
        <v>1.4547181185221498</v>
      </c>
      <c r="G110" s="265">
        <f>((G36*F100)-(G38*(F103+F105)))/(F101+F102+F104)</f>
        <v>1.7874419179379157</v>
      </c>
      <c r="H110" s="34">
        <f t="shared" ref="H110:W110" si="38">IF(G100&gt;0,(G110*G101+H37*(G104+G102))/(G101+G102+G104),H37)</f>
        <v>1.8938895341760973</v>
      </c>
      <c r="I110" s="34">
        <f t="shared" si="38"/>
        <v>1.9822653788970985</v>
      </c>
      <c r="J110" s="34">
        <f t="shared" si="38"/>
        <v>2.0591401654968022</v>
      </c>
      <c r="K110" s="34">
        <f t="shared" si="38"/>
        <v>2.1263718715914197</v>
      </c>
      <c r="L110" s="34">
        <f t="shared" si="38"/>
        <v>2.1862359324855274</v>
      </c>
      <c r="M110" s="34">
        <f t="shared" si="38"/>
        <v>2.2403201138229121</v>
      </c>
      <c r="N110" s="34">
        <f t="shared" si="38"/>
        <v>2.2896790239923264</v>
      </c>
      <c r="O110" s="34">
        <f t="shared" si="38"/>
        <v>2.3371375771917289</v>
      </c>
      <c r="P110" s="34">
        <f t="shared" si="38"/>
        <v>2.3810414048289199</v>
      </c>
      <c r="Q110" s="34">
        <f t="shared" si="38"/>
        <v>2.4206543688114719</v>
      </c>
      <c r="R110" s="34">
        <f t="shared" si="38"/>
        <v>2.4579101878220979</v>
      </c>
      <c r="S110" s="34">
        <f t="shared" si="38"/>
        <v>2.4928555813634068</v>
      </c>
      <c r="T110" s="34">
        <f t="shared" si="38"/>
        <v>2.5270076327799136</v>
      </c>
      <c r="U110" s="34">
        <f t="shared" si="38"/>
        <v>2.5601880640762933</v>
      </c>
      <c r="V110" s="34">
        <f t="shared" si="38"/>
        <v>2.5921090533065367</v>
      </c>
      <c r="W110" s="34">
        <f t="shared" si="38"/>
        <v>2.6223541635194594</v>
      </c>
    </row>
    <row r="111" spans="2:23" x14ac:dyDescent="0.2">
      <c r="B111" s="35" t="s">
        <v>63</v>
      </c>
      <c r="C111" s="49"/>
      <c r="D111" s="49"/>
      <c r="E111" s="49">
        <f t="shared" ref="E111:W111" si="39">(E110*(D101+D102+D104)+E38*(D103+D105))/D100</f>
        <v>1.5804370000000001</v>
      </c>
      <c r="F111" s="49">
        <f t="shared" si="39"/>
        <v>1.6625099999999999</v>
      </c>
      <c r="G111" s="49">
        <f t="shared" si="39"/>
        <v>1.8895659999999999</v>
      </c>
      <c r="H111" s="49">
        <f t="shared" si="39"/>
        <v>1.9847791852407068</v>
      </c>
      <c r="I111" s="49">
        <f t="shared" si="39"/>
        <v>2.0635189834377994</v>
      </c>
      <c r="J111" s="49">
        <f t="shared" si="39"/>
        <v>2.1317844350657991</v>
      </c>
      <c r="K111" s="49">
        <f t="shared" si="39"/>
        <v>2.1912834847052363</v>
      </c>
      <c r="L111" s="49">
        <f t="shared" si="39"/>
        <v>2.2440924445547692</v>
      </c>
      <c r="M111" s="49">
        <f t="shared" si="39"/>
        <v>2.2916586022560326</v>
      </c>
      <c r="N111" s="49">
        <f t="shared" si="39"/>
        <v>2.33494318770743</v>
      </c>
      <c r="O111" s="49">
        <f t="shared" si="39"/>
        <v>2.3765011399199443</v>
      </c>
      <c r="P111" s="49">
        <f t="shared" si="39"/>
        <v>2.4123087073768703</v>
      </c>
      <c r="Q111" s="49">
        <f t="shared" si="39"/>
        <v>2.4442416610634723</v>
      </c>
      <c r="R111" s="49">
        <f t="shared" si="39"/>
        <v>2.4740479788916989</v>
      </c>
      <c r="S111" s="49">
        <f t="shared" si="39"/>
        <v>2.5017400286729532</v>
      </c>
      <c r="T111" s="49">
        <f t="shared" si="39"/>
        <v>2.5287314209404013</v>
      </c>
      <c r="U111" s="49">
        <f t="shared" si="39"/>
        <v>2.5553792516751406</v>
      </c>
      <c r="V111" s="49">
        <f t="shared" si="39"/>
        <v>2.5820318000830964</v>
      </c>
      <c r="W111" s="49">
        <f t="shared" si="39"/>
        <v>2.6089619064059728</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0">((1+C109/100)/((1+C24/100)*(1+C42/100))-1)*100</f>
        <v>-4.3409713213587997</v>
      </c>
      <c r="D113" s="115">
        <f t="shared" si="40"/>
        <v>-5.5733961793317803</v>
      </c>
      <c r="E113" s="115">
        <f t="shared" si="40"/>
        <v>-1.0866936191633814</v>
      </c>
      <c r="F113" s="115">
        <f t="shared" si="40"/>
        <v>0.19460467612562038</v>
      </c>
      <c r="G113" s="115">
        <f t="shared" si="40"/>
        <v>-1.4449566328884833</v>
      </c>
      <c r="H113" s="115">
        <f t="shared" si="40"/>
        <v>-1.7288445279547204</v>
      </c>
      <c r="I113" s="115">
        <f t="shared" si="40"/>
        <v>-1.7433720976913425</v>
      </c>
      <c r="J113" s="115">
        <f t="shared" si="40"/>
        <v>-1.479166694025924</v>
      </c>
      <c r="K113" s="115">
        <f t="shared" si="40"/>
        <v>-1.3956622032280319</v>
      </c>
      <c r="L113" s="115">
        <f t="shared" si="40"/>
        <v>-1.2858846568139737</v>
      </c>
      <c r="M113" s="115">
        <f t="shared" si="40"/>
        <v>-1.2179769181351552</v>
      </c>
      <c r="N113" s="115">
        <f t="shared" si="40"/>
        <v>-1.3834273357503424</v>
      </c>
      <c r="O113" s="115">
        <f t="shared" si="40"/>
        <v>-1.392325529315408</v>
      </c>
      <c r="P113" s="115">
        <f t="shared" si="40"/>
        <v>-1.3304796483495696</v>
      </c>
      <c r="Q113" s="115">
        <f t="shared" si="40"/>
        <v>-0.9754856042218929</v>
      </c>
      <c r="R113" s="115">
        <f t="shared" si="40"/>
        <v>-0.92009251331666153</v>
      </c>
      <c r="S113" s="115">
        <f t="shared" si="40"/>
        <v>-0.8667095603755115</v>
      </c>
      <c r="T113" s="115">
        <f t="shared" si="40"/>
        <v>-0.81398459512945776</v>
      </c>
      <c r="U113" s="115">
        <f t="shared" si="40"/>
        <v>-0.76155491079061832</v>
      </c>
      <c r="V113" s="115">
        <f t="shared" si="40"/>
        <v>-0.70910035611789768</v>
      </c>
      <c r="W113" s="115">
        <f t="shared" si="40"/>
        <v>-0.65634101180321869</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39" priority="2">
      <formula>AND(G10&gt;$C$5,G10&lt;=$C$6)</formula>
    </cfRule>
  </conditionalFormatting>
  <conditionalFormatting sqref="U10:W44 U46:W53 U55:W73 U75:W92 U94:W150">
    <cfRule type="expression" dxfId="36" priority="1">
      <formula>U$10&gt;$C$7</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 id="{4247F211-DABA-4FFE-A4ED-4C8D6B339E13}">
            <xm:f>OR('Criteria results'!#REF!=7,'Criteria results'!#REF!=10)</xm:f>
            <x14:dxf>
              <font>
                <color theme="0"/>
              </font>
            </x14:dxf>
          </x14:cfRule>
          <xm:sqref>K83:M83</xm:sqref>
        </x14:conditionalFormatting>
        <x14:conditionalFormatting xmlns:xm="http://schemas.microsoft.com/office/excel/2006/main">
          <x14:cfRule type="expression" priority="4" id="{7B8F99C4-110F-49A6-B81B-AC85767CC4A8}">
            <xm:f>'Criteria results'!#REF!=10</xm:f>
            <x14:dxf>
              <font>
                <color theme="0"/>
              </font>
            </x14:dxf>
          </x14:cfRule>
          <xm:sqref>N83:P83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4A85-7C7E-4608-8D1B-2426A9A28C30}">
  <sheetPr>
    <tabColor rgb="FFFFC000"/>
  </sheetPr>
  <dimension ref="A1:AY135"/>
  <sheetViews>
    <sheetView topLeftCell="A30" zoomScale="145" zoomScaleNormal="145" workbookViewId="0">
      <selection activeCell="J57" sqref="D57:J57"/>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ht="12" thickBot="1" x14ac:dyDescent="0.25">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ht="12" thickBot="1" x14ac:dyDescent="0.25">
      <c r="B12" s="26" t="s">
        <v>48</v>
      </c>
      <c r="C12" s="1">
        <f>'Input data'!C13</f>
        <v>-2.1345519999999998</v>
      </c>
      <c r="D12" s="2">
        <f>'Input data'!D13</f>
        <v>0.29205680000000001</v>
      </c>
      <c r="E12" s="2">
        <f>'Input data'!E13</f>
        <v>-0.3391101166058319</v>
      </c>
      <c r="F12" s="2">
        <f>'Input data'!F13</f>
        <v>-0.3744433445451063</v>
      </c>
      <c r="G12" s="425">
        <v>0.44336499216821834</v>
      </c>
      <c r="H12" s="426">
        <v>1.1033448931261973</v>
      </c>
      <c r="I12" s="426">
        <v>1.423330146090432</v>
      </c>
      <c r="J12" s="426">
        <v>1.7834653510414613</v>
      </c>
      <c r="K12" s="427">
        <v>2.0633649921682187</v>
      </c>
      <c r="L12" s="427">
        <v>2.3433649921682189</v>
      </c>
      <c r="M12" s="427">
        <v>2.6233649921682192</v>
      </c>
      <c r="N12" s="427">
        <v>2.6233649921682192</v>
      </c>
      <c r="O12" s="427">
        <v>2.6233649921682192</v>
      </c>
      <c r="P12" s="427">
        <v>2.6233649921682192</v>
      </c>
      <c r="Q12" s="427">
        <v>2.6233649921682192</v>
      </c>
      <c r="R12" s="427">
        <v>2.6233649921682192</v>
      </c>
      <c r="S12" s="427">
        <v>2.6233649921682192</v>
      </c>
      <c r="T12" s="427">
        <v>2.6233649921682192</v>
      </c>
      <c r="U12" s="427">
        <v>2.6233649921682192</v>
      </c>
      <c r="V12" s="427">
        <v>2.6233649921682192</v>
      </c>
      <c r="W12" s="428">
        <v>2.6233649921682192</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262">
        <f>G12-F12</f>
        <v>0.81780833671332465</v>
      </c>
      <c r="H13" s="262">
        <f t="shared" ref="H13:W13" si="0">H12-G12</f>
        <v>0.65997990095797898</v>
      </c>
      <c r="I13" s="262">
        <f t="shared" si="0"/>
        <v>0.31998525296423463</v>
      </c>
      <c r="J13" s="262">
        <f t="shared" si="0"/>
        <v>0.36013520495102935</v>
      </c>
      <c r="K13" s="262">
        <f t="shared" si="0"/>
        <v>0.27989964112675736</v>
      </c>
      <c r="L13" s="262">
        <f t="shared" si="0"/>
        <v>0.28000000000000025</v>
      </c>
      <c r="M13" s="262">
        <f t="shared" si="0"/>
        <v>0.28000000000000025</v>
      </c>
      <c r="N13" s="262">
        <f t="shared" si="0"/>
        <v>0</v>
      </c>
      <c r="O13" s="262">
        <f t="shared" si="0"/>
        <v>0</v>
      </c>
      <c r="P13" s="262">
        <f t="shared" si="0"/>
        <v>0</v>
      </c>
      <c r="Q13" s="262">
        <f t="shared" si="0"/>
        <v>0</v>
      </c>
      <c r="R13" s="262">
        <f t="shared" si="0"/>
        <v>0</v>
      </c>
      <c r="S13" s="262">
        <f t="shared" si="0"/>
        <v>0</v>
      </c>
      <c r="T13" s="262">
        <f t="shared" si="0"/>
        <v>0</v>
      </c>
      <c r="U13" s="262">
        <f t="shared" si="0"/>
        <v>0</v>
      </c>
      <c r="V13" s="262">
        <f t="shared" si="0"/>
        <v>0</v>
      </c>
      <c r="W13" s="262">
        <f t="shared" si="0"/>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thickBot="1" x14ac:dyDescent="0.25">
      <c r="B22" s="30" t="s">
        <v>89</v>
      </c>
      <c r="C22" s="26" t="s">
        <v>411</v>
      </c>
    </row>
    <row r="23" spans="1:50" ht="12" thickBot="1" x14ac:dyDescent="0.25">
      <c r="B23" s="26" t="s">
        <v>61</v>
      </c>
      <c r="C23" s="445">
        <v>228.82</v>
      </c>
      <c r="D23" s="446">
        <v>232.13800000000001</v>
      </c>
      <c r="E23" s="446">
        <v>229.43600000000001</v>
      </c>
      <c r="F23" s="447">
        <v>228.7978</v>
      </c>
      <c r="G23" s="34">
        <f>IF(AND(G50&gt;1,F50&gt;1),IF(AND(G50&gt;0,F50&gt;0),G27*(G51/100+1),0)+IF(G50&gt;0,F23*(1+G52/100),0)-F23*(1+'Input data'!G30/100),IF(G50=1,G27,F23*(1+G52/100)))</f>
        <v>231.59335161363751</v>
      </c>
      <c r="H23" s="34">
        <f>IF(AND(H50&gt;1,G50&gt;1),IF(AND(H50&gt;0,G50&gt;0),H27*(H51/100+1),0)+IF(H50&gt;0,G23*(1+H52/100),0)-G23*(1+'Input data'!H30/100),IF(H50=1,H27,G23*(1+H52/100)))</f>
        <v>234.97422171688231</v>
      </c>
      <c r="I23" s="34">
        <f>IF(AND(I50&gt;1,H50&gt;1),IF(AND(I50&gt;0,H50&gt;0),I27*(I51/100+1),0)+IF(I50&gt;0,H23*(1+I52/100),0)-H23*(1+'Input data'!I30/100),IF(I50=1,I27,H23*(1+I52/100)))</f>
        <v>238.58236149807453</v>
      </c>
      <c r="J23" s="34">
        <f>IF(AND(J50&gt;1,I50&gt;1),IF(AND(J50&gt;0,I50&gt;0),J27*(J51/100+1),0)+IF(J50&gt;0,I23*(1+J52/100),0)-I23*(1+'Input data'!J30/100),IF(J50=1,J27,I23*(1+J52/100)))</f>
        <v>241.68750888603816</v>
      </c>
      <c r="K23" s="34">
        <f>IF(AND(K50&gt;1,J50&gt;1),IF(AND(K50&gt;0,J50&gt;0),K27*(K51/100+1),0)+IF(K50&gt;0,J23*(1+K52/100),0)-J23*(1+'Input data'!K30/100),IF(K50=1,K27,J23*(1+K52/100)))</f>
        <v>244.67883250845236</v>
      </c>
      <c r="L23" s="34">
        <f>IF(AND(L50&gt;1,K50&gt;1),IF(AND(L50&gt;0,K50&gt;0),L27*(L51/100+1),0)+IF(L50&gt;0,K23*(1+L52/100),0)-K23*(1+'Input data'!L30/100),IF(L50=1,L27,K23*(1+L52/100)))</f>
        <v>247.45719968148273</v>
      </c>
      <c r="M23" s="34">
        <f>IF(AND(M50&gt;1,L50&gt;1),IF(AND(M50&gt;0,L50&gt;0),M27*(M51/100+1),0)+IF(M50&gt;0,L23*(1+M52/100),0)-L23*(1+'Input data'!M30/100),IF(M50=1,M27,L23*(1+M52/100)))</f>
        <v>250.10011610781277</v>
      </c>
      <c r="N23" s="34">
        <f>IF(AND(N50&gt;1,M50&gt;1),IF(AND(N50&gt;0,M50&gt;0),N27*(N51/100+1),0)+IF(N50&gt;0,M23*(1+N52/100),0)-M23*(1+'Input data'!N30/100),IF(N50=1,N27,M23*(1+N52/100)))</f>
        <v>253.18466849389389</v>
      </c>
      <c r="O23" s="34">
        <f>IF(AND(O50&gt;1,N50&gt;1),IF(AND(O50&gt;0,N50&gt;0),O27*(O51/100+1),0)+IF(O50&gt;0,N23*(1+O52/100),0)-N23*(1+'Input data'!O30/100),IF(O50=1,O27,N23*(1+O52/100)))</f>
        <v>256.30503912417674</v>
      </c>
      <c r="P23" s="34">
        <f>IF(AND(P50&gt;1,O50&gt;1),IF(AND(P50&gt;0,O50&gt;0),P27*(P51/100+1),0)+IF(P50&gt;0,O23*(1+P52/100),0)-O23*(1+'Input data'!P30/100),IF(P50=1,P27,O23*(1+P52/100)))</f>
        <v>259.46162815449929</v>
      </c>
      <c r="Q23" s="34">
        <f>IF(AND(Q50&gt;1,P50&gt;1),IF(AND(Q50&gt;0,P50&gt;0),Q27*(Q51/100+1),0)+IF(Q50&gt;0,P23*(1+Q52/100),0)-P23*(1+'Input data'!Q30/100),IF(Q50=1,Q27,P23*(1+Q52/100)))</f>
        <v>261.88781355074696</v>
      </c>
      <c r="R23" s="34">
        <f>IF(AND(R50&gt;1,Q50&gt;1),IF(AND(R50&gt;0,Q50&gt;0),R27*(R51/100+1),0)+IF(R50&gt;0,Q23*(1+R52/100),0)-Q23*(1+'Input data'!R30/100),IF(R50=1,R27,Q23*(1+R52/100)))</f>
        <v>264.33669106765853</v>
      </c>
      <c r="S23" s="34">
        <f>IF(AND(S50&gt;1,R50&gt;1),IF(AND(S50&gt;0,R50&gt;0),S27*(S51/100+1),0)+IF(S50&gt;0,R23*(1+S52/100),0)-R23*(1+'Input data'!S30/100),IF(S50=1,S27,R23*(1+S52/100)))</f>
        <v>266.80845977685129</v>
      </c>
      <c r="T23" s="34">
        <f>IF(AND(T50&gt;1,S50&gt;1),IF(AND(T50&gt;0,S50&gt;0),T27*(T51/100+1),0)+IF(T50&gt;0,S23*(1+T52/100),0)-S23*(1+'Input data'!T30/100),IF(T50=1,T27,S23*(1+T52/100)))</f>
        <v>269.30335759522291</v>
      </c>
      <c r="U23" s="34">
        <f>IF(AND(U50&gt;1,T50&gt;1),IF(AND(U50&gt;0,T50&gt;0),U27*(U51/100+1),0)+IF(U50&gt;0,T23*(1+U52/100),0)-T23*(1+'Input data'!U30/100),IF(U50=1,U27,T23*(1+U52/100)))</f>
        <v>271.8215768613361</v>
      </c>
      <c r="V23" s="34">
        <f>IF(AND(V50&gt;1,U50&gt;1),IF(AND(V50&gt;0,U50&gt;0),V27*(V51/100+1),0)+IF(V50&gt;0,U23*(1+V52/100),0)-U23*(1+'Input data'!V30/100),IF(V50=1,V27,U23*(1+V52/100)))</f>
        <v>274.36335724622643</v>
      </c>
      <c r="W23" s="34">
        <f>IF(AND(W50&gt;1,V50&gt;1),IF(AND(W50&gt;0,V50&gt;0),W27*(W51/100+1),0)+IF(W50&gt;0,V23*(1+W52/100),0)-V23*(1+'Input data'!W30/100),IF(W50=1,W27,V23*(1+W52/100)))</f>
        <v>276.92889737183776</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34">
        <f>100*(D23/C23-1)</f>
        <v>1.4500480727209109</v>
      </c>
      <c r="E24" s="34">
        <f>100*(E23/D23-1)</f>
        <v>-1.163962815221975</v>
      </c>
      <c r="F24" s="36">
        <f>100*(F23/E23-1)</f>
        <v>-0.27816035844419051</v>
      </c>
      <c r="G24" s="34">
        <f>100*(G23/F23-1)</f>
        <v>1.2218437474650123</v>
      </c>
      <c r="H24" s="34">
        <f t="shared" ref="H24:S24" si="1">100*(H23/G23-1)</f>
        <v>1.4598303792783485</v>
      </c>
      <c r="I24" s="34">
        <f t="shared" si="1"/>
        <v>1.5355470718569464</v>
      </c>
      <c r="J24" s="34">
        <f t="shared" si="1"/>
        <v>1.3014991420431166</v>
      </c>
      <c r="K24" s="34">
        <f t="shared" si="1"/>
        <v>1.2376823428738692</v>
      </c>
      <c r="L24" s="34">
        <f t="shared" si="1"/>
        <v>1.1355159514807589</v>
      </c>
      <c r="M24" s="34">
        <f t="shared" si="1"/>
        <v>1.068029715737473</v>
      </c>
      <c r="N24" s="34">
        <f t="shared" si="1"/>
        <v>1.2333270508164906</v>
      </c>
      <c r="O24" s="34">
        <f t="shared" si="1"/>
        <v>1.2324484925745338</v>
      </c>
      <c r="P24" s="34">
        <f t="shared" si="1"/>
        <v>1.2315750954834837</v>
      </c>
      <c r="Q24" s="34">
        <f t="shared" si="1"/>
        <v>0.93508447222221402</v>
      </c>
      <c r="R24" s="34">
        <f t="shared" si="1"/>
        <v>0.93508647222222407</v>
      </c>
      <c r="S24" s="34">
        <f t="shared" si="1"/>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75" thickBot="1" x14ac:dyDescent="0.25">
      <c r="A26" s="223"/>
      <c r="B26" s="30" t="s">
        <v>90</v>
      </c>
      <c r="C26" s="26" t="s">
        <v>411</v>
      </c>
      <c r="D26" s="222"/>
      <c r="E26" s="222"/>
      <c r="F26" s="222"/>
    </row>
    <row r="27" spans="1:50" ht="12" thickBot="1" x14ac:dyDescent="0.25">
      <c r="B27" s="26" t="s">
        <v>61</v>
      </c>
      <c r="C27" s="445">
        <v>229.73429999999999</v>
      </c>
      <c r="D27" s="446">
        <v>232.75190000000001</v>
      </c>
      <c r="E27" s="446">
        <v>235.26079999999999</v>
      </c>
      <c r="F27" s="447">
        <v>236.40190000000001</v>
      </c>
      <c r="G27" s="34">
        <f>+F27*(1+'Input data'!G33/100)</f>
        <v>238.61249416690003</v>
      </c>
      <c r="H27" s="34">
        <f>+G27*(1+'Input data'!H33/100)</f>
        <v>240.84375959985474</v>
      </c>
      <c r="I27" s="34">
        <f>+H27*(1+'Input data'!I33/100)</f>
        <v>243.09588959587299</v>
      </c>
      <c r="J27" s="34">
        <f>+I27*(1+'Input data'!J33/100)</f>
        <v>245.36907925948401</v>
      </c>
      <c r="K27" s="34">
        <f>+J27*(1+'Input data'!K33/100)</f>
        <v>247.66352551963948</v>
      </c>
      <c r="L27" s="34">
        <f>+K27*(1+'Input data'!L33/100)</f>
        <v>249.97942714677365</v>
      </c>
      <c r="M27" s="34">
        <f>+L27*(1+'Input data'!M33/100)</f>
        <v>252.31698477002314</v>
      </c>
      <c r="N27" s="34">
        <f>+M27*(1+'Input data'!N33/100)</f>
        <v>254.67640089460767</v>
      </c>
      <c r="O27" s="34">
        <f>+N27*(1+'Input data'!O33/100)</f>
        <v>257.05787991937319</v>
      </c>
      <c r="P27" s="34">
        <f>+O27*(1+'Input data'!P33/100)</f>
        <v>259.46162815449929</v>
      </c>
      <c r="Q27" s="34">
        <f>+P27*(1+'Input data'!Q33/100)</f>
        <v>261.88785383937204</v>
      </c>
      <c r="R27" s="34">
        <f>+Q27*(1+'Input data'!R33/100)</f>
        <v>264.33676716062405</v>
      </c>
      <c r="S27" s="34">
        <f>+R27*(1+'Input data'!S33/100)</f>
        <v>266.8085802703431</v>
      </c>
      <c r="T27" s="34">
        <f>+S27*(1+'Input data'!T33/100)</f>
        <v>269.3035073044511</v>
      </c>
      <c r="U27" s="34">
        <f>+T27*(1+'Input data'!U33/100)</f>
        <v>271.82176440125505</v>
      </c>
      <c r="V27" s="34">
        <f>+U27*(1+'Input data'!V33/100)</f>
        <v>274.3635697201712</v>
      </c>
      <c r="W27" s="34">
        <f>+V27*(1+'Input data'!W33/100)</f>
        <v>276.92914346062457</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-0.39798149427403562</v>
      </c>
      <c r="D30" s="100">
        <f t="shared" ref="D30:W30" si="2">100*(D23/D27-1)</f>
        <v>-0.26375724537587297</v>
      </c>
      <c r="E30" s="100">
        <f t="shared" si="2"/>
        <v>-2.475890586106988</v>
      </c>
      <c r="F30" s="100">
        <f t="shared" si="2"/>
        <v>-3.2165985129561259</v>
      </c>
      <c r="G30" s="34">
        <f t="shared" si="2"/>
        <v>-2.9416492115257431</v>
      </c>
      <c r="H30" s="34">
        <f t="shared" si="2"/>
        <v>-2.4370728528421259</v>
      </c>
      <c r="I30" s="34">
        <f t="shared" si="2"/>
        <v>-1.8566863081485363</v>
      </c>
      <c r="J30" s="34">
        <f t="shared" si="2"/>
        <v>-1.5004214812056604</v>
      </c>
      <c r="K30" s="34">
        <f t="shared" si="2"/>
        <v>-1.2051403229138113</v>
      </c>
      <c r="L30" s="34">
        <f t="shared" si="2"/>
        <v>-1.0089740160137306</v>
      </c>
      <c r="M30" s="34">
        <f>100*(M23/M27-1)</f>
        <v>-0.87860461087506669</v>
      </c>
      <c r="N30" s="34">
        <f t="shared" si="2"/>
        <v>-0.58573640725003706</v>
      </c>
      <c r="O30" s="34">
        <f t="shared" si="2"/>
        <v>-0.29286820362502963</v>
      </c>
      <c r="P30" s="34">
        <f t="shared" si="2"/>
        <v>0</v>
      </c>
      <c r="Q30" s="34">
        <f t="shared" si="2"/>
        <v>-1.5383922735701105E-5</v>
      </c>
      <c r="R30" s="34">
        <f t="shared" si="2"/>
        <v>-2.8786372141542671E-5</v>
      </c>
      <c r="S30" s="34">
        <f t="shared" si="2"/>
        <v>-4.5161025807871624E-5</v>
      </c>
      <c r="T30" s="34">
        <f t="shared" si="2"/>
        <v>-5.5591265668564205E-5</v>
      </c>
      <c r="U30" s="34">
        <f t="shared" si="2"/>
        <v>-6.899370966761964E-5</v>
      </c>
      <c r="V30" s="34">
        <f t="shared" si="2"/>
        <v>-7.7442477142142252E-5</v>
      </c>
      <c r="W30" s="34">
        <f t="shared" si="2"/>
        <v>-8.8863448510778653E-5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3">100*((1+C24/100)*(1+C42/100)-1)</f>
        <v>5.3041963643644108</v>
      </c>
      <c r="D33" s="2">
        <f t="shared" si="3"/>
        <v>6.9119137318590873</v>
      </c>
      <c r="E33" s="2">
        <f t="shared" si="3"/>
        <v>2.691801786361725</v>
      </c>
      <c r="F33" s="2">
        <f>100*((1+F24/100)*(1+F42/100)-1)</f>
        <v>1.4077114824516679</v>
      </c>
      <c r="G33" s="1">
        <f>100*((1+G24/100)*(1+G42/100)-1)</f>
        <v>3.3834114612152355</v>
      </c>
      <c r="H33" s="1">
        <f t="shared" si="3"/>
        <v>3.6197616277865885</v>
      </c>
      <c r="I33" s="1">
        <f t="shared" si="3"/>
        <v>3.690366592431471</v>
      </c>
      <c r="J33" s="1">
        <f t="shared" si="3"/>
        <v>3.4446434964162886</v>
      </c>
      <c r="K33" s="1">
        <f t="shared" si="3"/>
        <v>3.3727726818095105</v>
      </c>
      <c r="L33" s="1">
        <f t="shared" si="3"/>
        <v>3.2617544780804808</v>
      </c>
      <c r="M33" s="1">
        <f t="shared" si="3"/>
        <v>3.1861567680417702</v>
      </c>
      <c r="N33" s="1">
        <f t="shared" si="3"/>
        <v>3.348214699281149</v>
      </c>
      <c r="O33" s="1">
        <f t="shared" si="3"/>
        <v>3.3406142324324151</v>
      </c>
      <c r="P33" s="1">
        <f t="shared" si="3"/>
        <v>3.3330191502290107</v>
      </c>
      <c r="Q33" s="1">
        <f t="shared" si="3"/>
        <v>3.0370576063562416</v>
      </c>
      <c r="R33" s="1">
        <f t="shared" si="3"/>
        <v>3.425659730924302</v>
      </c>
      <c r="S33" s="1">
        <f t="shared" si="3"/>
        <v>3.3978995089444464</v>
      </c>
      <c r="T33" s="1">
        <f t="shared" si="3"/>
        <v>3.3701485057395786</v>
      </c>
      <c r="U33" s="1">
        <f>100*((1+U24/100)*(1+U42/100)-1)</f>
        <v>3.3423882845847075</v>
      </c>
      <c r="V33" s="1">
        <f t="shared" si="3"/>
        <v>3.3146362536798479</v>
      </c>
      <c r="W33" s="1">
        <f t="shared" si="3"/>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ht="12" thickBot="1" x14ac:dyDescent="0.25">
      <c r="B35" s="28" t="s">
        <v>141</v>
      </c>
      <c r="E35" s="26" t="s">
        <v>410</v>
      </c>
      <c r="Q35" s="26" t="s">
        <v>408</v>
      </c>
    </row>
    <row r="36" spans="2:51" ht="12" thickBot="1" x14ac:dyDescent="0.25">
      <c r="B36" s="26" t="s">
        <v>63</v>
      </c>
      <c r="C36" s="34">
        <f>'Input data'!C37</f>
        <v>0.73297140000000005</v>
      </c>
      <c r="D36" s="100">
        <f>'Input data'!D37</f>
        <v>0.83926920000000005</v>
      </c>
      <c r="E36" s="442">
        <v>1.6145404999999999</v>
      </c>
      <c r="F36" s="443">
        <v>1.6598219000000001</v>
      </c>
      <c r="G36" s="444">
        <v>1.9277427</v>
      </c>
      <c r="H36" s="34">
        <f>H109</f>
        <v>2.0234358041395208</v>
      </c>
      <c r="I36" s="34">
        <f t="shared" ref="I36:W36" si="4">I109</f>
        <v>2.1138808071201276</v>
      </c>
      <c r="J36" s="34">
        <f t="shared" si="4"/>
        <v>2.1944387386174897</v>
      </c>
      <c r="K36" s="34">
        <f t="shared" si="4"/>
        <v>2.2693553494073893</v>
      </c>
      <c r="L36" s="34">
        <f t="shared" si="4"/>
        <v>2.3365209461495962</v>
      </c>
      <c r="M36" s="34">
        <f t="shared" si="4"/>
        <v>2.4015536652489278</v>
      </c>
      <c r="N36" s="34">
        <f t="shared" si="4"/>
        <v>2.4705627398611454</v>
      </c>
      <c r="O36" s="34">
        <f t="shared" si="4"/>
        <v>2.5400549662020193</v>
      </c>
      <c r="P36" s="34">
        <f t="shared" si="4"/>
        <v>2.6070345986710342</v>
      </c>
      <c r="Q36" s="34">
        <f t="shared" si="4"/>
        <v>2.6179155395777522</v>
      </c>
      <c r="R36" s="34">
        <f t="shared" si="4"/>
        <v>2.6004608656595969</v>
      </c>
      <c r="S36" s="34">
        <f t="shared" si="4"/>
        <v>2.6241952676620182</v>
      </c>
      <c r="T36" s="34">
        <f t="shared" si="4"/>
        <v>2.6472338187993221</v>
      </c>
      <c r="U36" s="34">
        <f t="shared" si="4"/>
        <v>2.6704483837081456</v>
      </c>
      <c r="V36" s="34">
        <f t="shared" si="4"/>
        <v>2.6942551361374747</v>
      </c>
      <c r="W36" s="34">
        <f t="shared" si="4"/>
        <v>2.719020044408738</v>
      </c>
    </row>
    <row r="37" spans="2:51" x14ac:dyDescent="0.2">
      <c r="B37" s="32" t="s">
        <v>94</v>
      </c>
      <c r="C37" s="1"/>
      <c r="D37" s="2">
        <f>'Input data'!D$39</f>
        <v>1.69</v>
      </c>
      <c r="E37" s="2">
        <f>'Input data'!E$39</f>
        <v>3.04</v>
      </c>
      <c r="F37" s="441">
        <v>2.645</v>
      </c>
      <c r="G37" s="441">
        <v>2.9613283579999998</v>
      </c>
      <c r="H37" s="263">
        <f>G37+($Q$37-$G$37)/($Q$10-$G$10)</f>
        <v>3.0508985221999998</v>
      </c>
      <c r="I37" s="263">
        <f t="shared" ref="I37:P37" si="5">H37+($Q$37-$G$37)/($Q$10-$G$10)</f>
        <v>3.1404686863999998</v>
      </c>
      <c r="J37" s="263">
        <f t="shared" si="5"/>
        <v>3.2300388505999997</v>
      </c>
      <c r="K37" s="263">
        <f t="shared" si="5"/>
        <v>3.3196090147999997</v>
      </c>
      <c r="L37" s="263">
        <f t="shared" si="5"/>
        <v>3.4091791789999997</v>
      </c>
      <c r="M37" s="263">
        <f t="shared" si="5"/>
        <v>3.4987493431999996</v>
      </c>
      <c r="N37" s="263">
        <f t="shared" si="5"/>
        <v>3.5883195073999996</v>
      </c>
      <c r="O37" s="263">
        <f t="shared" si="5"/>
        <v>3.6778896715999996</v>
      </c>
      <c r="P37" s="263">
        <f t="shared" si="5"/>
        <v>3.7674598357999995</v>
      </c>
      <c r="Q37" s="438">
        <v>3.85703</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ht="12" thickBot="1" x14ac:dyDescent="0.25">
      <c r="B38" s="32" t="s">
        <v>95</v>
      </c>
      <c r="C38" s="1"/>
      <c r="D38" s="2">
        <f>'Input data'!D$38</f>
        <v>0.35</v>
      </c>
      <c r="E38" s="2">
        <f>'Input data'!E$38</f>
        <v>3.43</v>
      </c>
      <c r="F38" s="440">
        <v>3.3140000000000001</v>
      </c>
      <c r="G38" s="440">
        <f>2.327522388+0.377059701</f>
        <v>2.7045820890000001</v>
      </c>
      <c r="H38" s="263">
        <f>G38+($Q$37-$G$37)/($Q$10-$G$10)</f>
        <v>2.7941522532</v>
      </c>
      <c r="I38" s="263">
        <f t="shared" ref="I38:P38" si="6">H38+($Q$37-$G$37)/($Q$10-$G$10)</f>
        <v>2.8837224174</v>
      </c>
      <c r="J38" s="263">
        <f t="shared" si="6"/>
        <v>2.9732925816</v>
      </c>
      <c r="K38" s="263">
        <f t="shared" si="6"/>
        <v>3.0628627458</v>
      </c>
      <c r="L38" s="263">
        <f t="shared" si="6"/>
        <v>3.1524329099999999</v>
      </c>
      <c r="M38" s="263">
        <f t="shared" si="6"/>
        <v>3.2420030741999999</v>
      </c>
      <c r="N38" s="263">
        <f t="shared" si="6"/>
        <v>3.3315732383999999</v>
      </c>
      <c r="O38" s="263">
        <f t="shared" si="6"/>
        <v>3.4211434025999998</v>
      </c>
      <c r="P38" s="263">
        <f t="shared" si="6"/>
        <v>3.5107135667999998</v>
      </c>
      <c r="Q38" s="439">
        <v>3.0817800000000002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26" t="s">
        <v>406</v>
      </c>
      <c r="G40" s="26" t="s">
        <v>409</v>
      </c>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ht="12" thickBot="1" x14ac:dyDescent="0.25">
      <c r="B41" s="28" t="s">
        <v>97</v>
      </c>
      <c r="C41" s="1"/>
      <c r="D41" s="1"/>
      <c r="E41" s="1"/>
      <c r="F41" s="1"/>
      <c r="G41" s="1"/>
      <c r="H41" s="1"/>
      <c r="I41" s="1"/>
      <c r="J41" s="1"/>
      <c r="K41" s="1"/>
      <c r="L41" s="1"/>
      <c r="M41" s="1"/>
      <c r="N41" s="1"/>
      <c r="O41" s="1"/>
      <c r="P41" s="1"/>
      <c r="Q41" s="1" t="s">
        <v>407</v>
      </c>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ht="12.75" thickBot="1" x14ac:dyDescent="0.25">
      <c r="B42" s="436" t="s">
        <v>142</v>
      </c>
      <c r="C42" s="1">
        <f>'Input data'!C42</f>
        <v>2.397958</v>
      </c>
      <c r="D42" s="2">
        <f>'Input data'!D42</f>
        <v>5.3837979999999996</v>
      </c>
      <c r="E42" s="2">
        <f>'Input data'!E42</f>
        <v>3.9011728023607306</v>
      </c>
      <c r="F42" s="2">
        <f>'Input data'!F42</f>
        <v>1.6905743485635893</v>
      </c>
      <c r="G42" s="2">
        <f>'Input data'!G42</f>
        <v>2.1354755393935054</v>
      </c>
      <c r="H42" s="434">
        <f>$G$42+($Q$42-$G$42)/($O$10-$G$10)*(H10-$G$10)</f>
        <v>2.1288535969693174</v>
      </c>
      <c r="I42" s="434">
        <f t="shared" ref="I42:O42" si="7">$G$42+($Q$42-$G$42)/($O$10-$G$10)*(I10-$G$10)</f>
        <v>2.122231654545129</v>
      </c>
      <c r="J42" s="434">
        <f t="shared" si="7"/>
        <v>2.115609712120941</v>
      </c>
      <c r="K42" s="434">
        <f t="shared" si="7"/>
        <v>2.1089877696967525</v>
      </c>
      <c r="L42" s="434">
        <f t="shared" si="7"/>
        <v>2.1023658272725645</v>
      </c>
      <c r="M42" s="434">
        <f t="shared" si="7"/>
        <v>2.0957438848483765</v>
      </c>
      <c r="N42" s="434">
        <f t="shared" si="7"/>
        <v>2.089121942424188</v>
      </c>
      <c r="O42" s="434">
        <f t="shared" si="7"/>
        <v>2.0825</v>
      </c>
      <c r="P42" s="434">
        <f>$G$42+($Q$42-$G$42)/($O$10-$G$10)*(P10-$G$10)</f>
        <v>2.075878057575812</v>
      </c>
      <c r="Q42" s="437">
        <v>2.0825</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8">IF(C50=4,2/3*C30,IF(C50=3,1/3*B30,0))</f>
        <v>0</v>
      </c>
      <c r="E51" s="34">
        <f t="shared" si="8"/>
        <v>0</v>
      </c>
      <c r="F51" s="34">
        <f t="shared" si="8"/>
        <v>0</v>
      </c>
      <c r="G51" s="34">
        <f t="shared" si="8"/>
        <v>0</v>
      </c>
      <c r="H51" s="34">
        <f t="shared" si="8"/>
        <v>-1.9610994743504953</v>
      </c>
      <c r="I51" s="34">
        <f t="shared" si="8"/>
        <v>-1.6247152352280838</v>
      </c>
      <c r="J51" s="34">
        <f t="shared" si="8"/>
        <v>-1.2377908720990241</v>
      </c>
      <c r="K51" s="34">
        <f t="shared" si="8"/>
        <v>-1.0002809874704401</v>
      </c>
      <c r="L51" s="34">
        <f t="shared" si="8"/>
        <v>-0.80342688194254086</v>
      </c>
      <c r="M51" s="34">
        <f t="shared" si="8"/>
        <v>-0.67264934400915366</v>
      </c>
      <c r="N51" s="34">
        <f t="shared" si="8"/>
        <v>-0.58573640725004439</v>
      </c>
      <c r="O51" s="34">
        <f t="shared" si="8"/>
        <v>-0.29286820362502219</v>
      </c>
      <c r="P51" s="34">
        <f t="shared" si="8"/>
        <v>0</v>
      </c>
      <c r="Q51" s="34">
        <f t="shared" si="8"/>
        <v>0</v>
      </c>
      <c r="R51" s="34">
        <f t="shared" si="8"/>
        <v>0</v>
      </c>
      <c r="S51" s="34">
        <f t="shared" si="8"/>
        <v>0</v>
      </c>
      <c r="T51" s="34">
        <f t="shared" si="8"/>
        <v>0</v>
      </c>
      <c r="U51" s="34">
        <f t="shared" si="8"/>
        <v>0</v>
      </c>
      <c r="V51" s="34">
        <f t="shared" si="8"/>
        <v>0</v>
      </c>
      <c r="W51" s="34">
        <f t="shared" si="8"/>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1.2218437474650066</v>
      </c>
      <c r="H52" s="34">
        <f>'Input data'!H30-$C$47*((H12-G12))</f>
        <v>1.3402150742815082</v>
      </c>
      <c r="I52" s="34">
        <f>'Input data'!I30-$C$47*((I12-H12))</f>
        <v>1.5952110602768164</v>
      </c>
      <c r="J52" s="34">
        <f>'Input data'!J30-$C$47*((J12-I12))</f>
        <v>1.5650985962867203</v>
      </c>
      <c r="K52" s="34">
        <f>'Input data'!K30-$C$47*((K12-J12))</f>
        <v>0.7251752691549429</v>
      </c>
      <c r="L52" s="34">
        <f>'Input data'!L30-$C$47*((L12-K12))</f>
        <v>0.72508997222222482</v>
      </c>
      <c r="M52" s="34">
        <f>'Input data'!M30-$C$47*((M12-L12))</f>
        <v>0.72508697222222085</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29" t="s">
        <v>405</v>
      </c>
      <c r="C55" s="430">
        <v>72.584691462205726</v>
      </c>
      <c r="D55" s="430">
        <v>73.511485804997406</v>
      </c>
      <c r="E55" s="430">
        <v>76.574029033332138</v>
      </c>
      <c r="F55" s="430">
        <v>81.669466764700388</v>
      </c>
      <c r="G55" s="430">
        <v>84.010384612205925</v>
      </c>
      <c r="H55" s="430">
        <v>84.819304453542799</v>
      </c>
      <c r="I55" s="430">
        <v>85.213563612419492</v>
      </c>
      <c r="J55" s="430">
        <v>85.99338085407301</v>
      </c>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73.502602251355071</v>
      </c>
      <c r="E57" s="45">
        <f>+D57+E58</f>
        <v>76.65302999481284</v>
      </c>
      <c r="F57" s="45">
        <f>+E57+F58</f>
        <v>81.633494435782467</v>
      </c>
      <c r="G57" s="45">
        <f>+F57+G58</f>
        <v>83.036232357270748</v>
      </c>
      <c r="H57" s="45">
        <f t="shared" ref="H57:S57" si="9">+G57+H58</f>
        <v>83.798901915222444</v>
      </c>
      <c r="I57" s="45">
        <f t="shared" si="9"/>
        <v>83.626528364266292</v>
      </c>
      <c r="J57" s="45">
        <f t="shared" si="9"/>
        <v>83.082444237103218</v>
      </c>
      <c r="K57" s="45">
        <f t="shared" si="9"/>
        <v>81.857796630863419</v>
      </c>
      <c r="L57" s="45">
        <f t="shared" si="9"/>
        <v>80.430586889129728</v>
      </c>
      <c r="M57" s="45">
        <f t="shared" si="9"/>
        <v>79.229975642805215</v>
      </c>
      <c r="N57" s="45">
        <f t="shared" si="9"/>
        <v>77.828327781685218</v>
      </c>
      <c r="O57" s="45">
        <f t="shared" si="9"/>
        <v>76.163492446834638</v>
      </c>
      <c r="P57" s="45">
        <f t="shared" si="9"/>
        <v>74.233814257615975</v>
      </c>
      <c r="Q57" s="45">
        <f t="shared" si="9"/>
        <v>72.366538200458919</v>
      </c>
      <c r="R57" s="45">
        <f t="shared" si="9"/>
        <v>70.037151474793575</v>
      </c>
      <c r="S57" s="45">
        <f t="shared" si="9"/>
        <v>67.555455326749438</v>
      </c>
      <c r="T57" s="45">
        <f>+S57+T58</f>
        <v>64.904018517877716</v>
      </c>
      <c r="U57" s="45">
        <f>+T57+U58</f>
        <v>62.067431420540082</v>
      </c>
      <c r="V57" s="45">
        <f>+U57+V58</f>
        <v>59.045605555826803</v>
      </c>
      <c r="W57" s="45">
        <f>+V57+W58</f>
        <v>55.854019763729866</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0.91778225135508151</v>
      </c>
      <c r="E58" s="47">
        <f>-E59+E67+E72</f>
        <v>3.150427743457771</v>
      </c>
      <c r="F58" s="47">
        <f>-F59+F67+F72</f>
        <v>4.9804644409696248</v>
      </c>
      <c r="G58" s="47">
        <f>-G59+G67+G72</f>
        <v>1.4027379214882869</v>
      </c>
      <c r="H58" s="47">
        <f t="shared" ref="H58:S58" si="10">-H59+H67+H72</f>
        <v>0.76266955795169733</v>
      </c>
      <c r="I58" s="47">
        <f t="shared" si="10"/>
        <v>-0.17237355095614793</v>
      </c>
      <c r="J58" s="47">
        <f t="shared" si="10"/>
        <v>-0.54408412716308074</v>
      </c>
      <c r="K58" s="47">
        <f t="shared" si="10"/>
        <v>-1.2246476062397966</v>
      </c>
      <c r="L58" s="47">
        <f t="shared" si="10"/>
        <v>-1.4272097417336949</v>
      </c>
      <c r="M58" s="47">
        <f t="shared" si="10"/>
        <v>-1.2006112463245147</v>
      </c>
      <c r="N58" s="47">
        <f t="shared" si="10"/>
        <v>-1.4016478611199918</v>
      </c>
      <c r="O58" s="47">
        <f t="shared" si="10"/>
        <v>-1.6648353348505776</v>
      </c>
      <c r="P58" s="47">
        <f t="shared" si="10"/>
        <v>-1.9296781892186594</v>
      </c>
      <c r="Q58" s="47">
        <f t="shared" si="10"/>
        <v>-1.867276057157063</v>
      </c>
      <c r="R58" s="47">
        <f t="shared" si="10"/>
        <v>-2.3293867256653442</v>
      </c>
      <c r="S58" s="47">
        <f t="shared" si="10"/>
        <v>-2.4816961480441333</v>
      </c>
      <c r="T58" s="47">
        <f>-T59+T67+T72</f>
        <v>-2.6514368088717246</v>
      </c>
      <c r="U58" s="47">
        <f>-U59+U67+U72</f>
        <v>-2.8365870973376373</v>
      </c>
      <c r="V58" s="47">
        <f>-V59+V67+V72</f>
        <v>-3.0218258647132772</v>
      </c>
      <c r="W58" s="47">
        <f>-W59+W67+W72</f>
        <v>-3.1915857920969399</v>
      </c>
    </row>
    <row r="59" spans="2:48" outlineLevel="1" x14ac:dyDescent="0.2">
      <c r="B59" s="84" t="s">
        <v>106</v>
      </c>
      <c r="C59" s="48"/>
      <c r="D59" s="48">
        <f>D60+D61-D62-D63-D64-D65-D66</f>
        <v>0.13855008319124196</v>
      </c>
      <c r="E59" s="48">
        <f>E60+E61-E62-E63-E64-E65-E66</f>
        <v>-1.7800784377200989</v>
      </c>
      <c r="F59" s="48">
        <f t="shared" ref="F59:R59" si="11">F60+F61-F62-F63-F64-F65-F66</f>
        <v>-2.2465036790855715</v>
      </c>
      <c r="G59" s="48">
        <f t="shared" si="11"/>
        <v>-1.2686748489397641</v>
      </c>
      <c r="H59" s="48">
        <f t="shared" si="11"/>
        <v>-0.31503150722791995</v>
      </c>
      <c r="I59" s="48">
        <f t="shared" si="11"/>
        <v>0.3427387147479839</v>
      </c>
      <c r="J59" s="48">
        <f t="shared" si="11"/>
        <v>0.91022004897976705</v>
      </c>
      <c r="K59" s="48">
        <f t="shared" si="11"/>
        <v>1.3619733242323804</v>
      </c>
      <c r="L59" s="48">
        <f t="shared" si="11"/>
        <v>1.7561421148482279</v>
      </c>
      <c r="M59" s="48">
        <f t="shared" si="11"/>
        <v>2.1120171086389306</v>
      </c>
      <c r="N59" s="48">
        <f t="shared" si="11"/>
        <v>2.2549474031486985</v>
      </c>
      <c r="O59" s="48">
        <f t="shared" si="11"/>
        <v>2.4354366976584556</v>
      </c>
      <c r="P59" s="48">
        <f t="shared" si="11"/>
        <v>2.6154859921682214</v>
      </c>
      <c r="Q59" s="48">
        <f t="shared" si="11"/>
        <v>2.6335970387251915</v>
      </c>
      <c r="R59" s="48">
        <f t="shared" si="11"/>
        <v>2.6676792384996326</v>
      </c>
      <c r="S59" s="48">
        <f>S60+S61-S62-S63-S64-S65-S66</f>
        <v>2.7206907084511984</v>
      </c>
      <c r="T59" s="48">
        <f>T60+T61-T62-T63-T64-T65-T66</f>
        <v>2.7894446380516</v>
      </c>
      <c r="U59" s="48">
        <f>U60+U61-U62-U63-U64-U65-U66</f>
        <v>2.8724168378291912</v>
      </c>
      <c r="V59" s="48">
        <f>V60+V61-V62-V63-V64-V65-V66</f>
        <v>2.9543519206465239</v>
      </c>
      <c r="W59" s="48">
        <f>W60+W61-W62-W63-W64-W65-W66</f>
        <v>3.0195752736411863</v>
      </c>
    </row>
    <row r="60" spans="2:48" outlineLevel="1" x14ac:dyDescent="0.2">
      <c r="B60" s="79" t="s">
        <v>107</v>
      </c>
      <c r="C60" s="1"/>
      <c r="D60" s="1">
        <f>D12</f>
        <v>0.29205680000000001</v>
      </c>
      <c r="E60" s="1">
        <f>E12</f>
        <v>-0.3391101166058319</v>
      </c>
      <c r="F60" s="1">
        <f>F12</f>
        <v>-0.3744433445451063</v>
      </c>
      <c r="G60" s="1">
        <f t="shared" ref="G60:W60" si="12">IF(G12="",F60,G12)</f>
        <v>0.44336499216821834</v>
      </c>
      <c r="H60" s="1">
        <f t="shared" si="12"/>
        <v>1.1033448931261973</v>
      </c>
      <c r="I60" s="1">
        <f t="shared" si="12"/>
        <v>1.423330146090432</v>
      </c>
      <c r="J60" s="1">
        <f t="shared" si="12"/>
        <v>1.7834653510414613</v>
      </c>
      <c r="K60" s="1">
        <f t="shared" si="12"/>
        <v>2.0633649921682187</v>
      </c>
      <c r="L60" s="1">
        <f t="shared" si="12"/>
        <v>2.3433649921682189</v>
      </c>
      <c r="M60" s="1">
        <f t="shared" si="12"/>
        <v>2.6233649921682192</v>
      </c>
      <c r="N60" s="1">
        <f t="shared" si="12"/>
        <v>2.6233649921682192</v>
      </c>
      <c r="O60" s="1">
        <f t="shared" si="12"/>
        <v>2.6233649921682192</v>
      </c>
      <c r="P60" s="1">
        <f t="shared" si="12"/>
        <v>2.6233649921682192</v>
      </c>
      <c r="Q60" s="1">
        <f t="shared" si="12"/>
        <v>2.6233649921682192</v>
      </c>
      <c r="R60" s="1">
        <f t="shared" si="12"/>
        <v>2.6233649921682192</v>
      </c>
      <c r="S60" s="1">
        <f t="shared" si="12"/>
        <v>2.6233649921682192</v>
      </c>
      <c r="T60" s="1">
        <f t="shared" si="12"/>
        <v>2.6233649921682192</v>
      </c>
      <c r="U60" s="1">
        <f t="shared" si="12"/>
        <v>2.6233649921682192</v>
      </c>
      <c r="V60" s="1">
        <f t="shared" si="12"/>
        <v>2.6233649921682192</v>
      </c>
      <c r="W60" s="1">
        <f t="shared" si="12"/>
        <v>2.6233649921682192</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434">
        <f t="shared" ref="D62:W62" si="13">-$C$48*D30</f>
        <v>0.15350671680875805</v>
      </c>
      <c r="E62" s="434">
        <f>-$C$48*E30</f>
        <v>1.440968321114267</v>
      </c>
      <c r="F62" s="434">
        <f t="shared" si="13"/>
        <v>1.8720603345404652</v>
      </c>
      <c r="G62" s="434">
        <f t="shared" si="13"/>
        <v>1.7120398411079825</v>
      </c>
      <c r="H62" s="434">
        <f t="shared" si="13"/>
        <v>1.4183764003541173</v>
      </c>
      <c r="I62" s="434">
        <f t="shared" si="13"/>
        <v>1.0805914313424481</v>
      </c>
      <c r="J62" s="434">
        <f t="shared" si="13"/>
        <v>0.87324530206169426</v>
      </c>
      <c r="K62" s="1">
        <f t="shared" si="13"/>
        <v>0.70139166793583818</v>
      </c>
      <c r="L62" s="1">
        <f t="shared" si="13"/>
        <v>0.58722287731999112</v>
      </c>
      <c r="M62" s="1">
        <f>-$C$48*M30</f>
        <v>0.51134788352928873</v>
      </c>
      <c r="N62" s="1">
        <f t="shared" si="13"/>
        <v>0.34089858901952153</v>
      </c>
      <c r="O62" s="1">
        <f t="shared" si="13"/>
        <v>0.17044929450976723</v>
      </c>
      <c r="P62" s="1">
        <f t="shared" si="13"/>
        <v>0</v>
      </c>
      <c r="Q62" s="1">
        <f t="shared" si="13"/>
        <v>8.953443032178042E-6</v>
      </c>
      <c r="R62" s="1">
        <f t="shared" si="13"/>
        <v>1.6753668586377834E-5</v>
      </c>
      <c r="S62" s="1">
        <f t="shared" si="13"/>
        <v>2.6283717020181282E-5</v>
      </c>
      <c r="T62" s="1">
        <f t="shared" si="13"/>
        <v>3.2354116619104363E-5</v>
      </c>
      <c r="U62" s="1">
        <f>-$C$48*U30</f>
        <v>4.0154339026554628E-5</v>
      </c>
      <c r="V62" s="1">
        <f t="shared" si="13"/>
        <v>4.5071521696726789E-5</v>
      </c>
      <c r="W62" s="1">
        <f t="shared" si="13"/>
        <v>5.1718527033273172E-5</v>
      </c>
    </row>
    <row r="63" spans="2:48" outlineLevel="1" x14ac:dyDescent="0.2">
      <c r="B63" s="79" t="s">
        <v>110</v>
      </c>
      <c r="C63" s="1"/>
      <c r="D63" s="1">
        <f t="shared" ref="D63:W63" si="14">-D14</f>
        <v>0</v>
      </c>
      <c r="E63" s="1">
        <f t="shared" si="14"/>
        <v>0</v>
      </c>
      <c r="F63" s="1">
        <f t="shared" si="14"/>
        <v>0</v>
      </c>
      <c r="G63" s="1">
        <f t="shared" si="14"/>
        <v>0</v>
      </c>
      <c r="H63" s="1">
        <f t="shared" si="14"/>
        <v>0</v>
      </c>
      <c r="I63" s="1">
        <f t="shared" si="14"/>
        <v>0</v>
      </c>
      <c r="J63" s="1">
        <f t="shared" si="14"/>
        <v>0</v>
      </c>
      <c r="K63" s="1">
        <f t="shared" si="14"/>
        <v>0</v>
      </c>
      <c r="L63" s="1">
        <f t="shared" si="14"/>
        <v>0</v>
      </c>
      <c r="M63" s="1">
        <f t="shared" si="14"/>
        <v>0</v>
      </c>
      <c r="N63" s="1">
        <f t="shared" si="14"/>
        <v>0</v>
      </c>
      <c r="O63" s="1">
        <f t="shared" si="14"/>
        <v>0</v>
      </c>
      <c r="P63" s="1">
        <f t="shared" si="14"/>
        <v>0</v>
      </c>
      <c r="Q63" s="1">
        <f t="shared" si="14"/>
        <v>0</v>
      </c>
      <c r="R63" s="1">
        <f t="shared" si="14"/>
        <v>0</v>
      </c>
      <c r="S63" s="1">
        <f t="shared" si="14"/>
        <v>0</v>
      </c>
      <c r="T63" s="1">
        <f t="shared" si="14"/>
        <v>0</v>
      </c>
      <c r="U63" s="1">
        <f t="shared" si="14"/>
        <v>0</v>
      </c>
      <c r="V63" s="1">
        <f t="shared" si="14"/>
        <v>0</v>
      </c>
      <c r="W63" s="1">
        <f t="shared" si="14"/>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263">
        <f>IF(G$56&lt;=$C$6,0,HLOOKUP(G$56,'Input data'!$C$9:$BB$26,12,FALSE)-HLOOKUP($C$6,'Input data'!$C$9:$BB$26,12,FALSE))</f>
        <v>0</v>
      </c>
      <c r="H64" s="263">
        <f>IF(H$56&lt;=$C$6,0,HLOOKUP(H$56,'Input data'!$C$9:$BB$26,12,FALSE)-HLOOKUP($C$6,'Input data'!$C$9:$BB$26,12,FALSE))</f>
        <v>0</v>
      </c>
      <c r="I64" s="263">
        <f>IF(I$56&lt;=$C$6,0,HLOOKUP(I$56,'Input data'!$C$9:$BB$26,12,FALSE)-HLOOKUP($C$6,'Input data'!$C$9:$BB$26,12,FALSE))</f>
        <v>0</v>
      </c>
      <c r="J64" s="263">
        <f>IF(J$56&lt;=$C$6,0,HLOOKUP(J$56,'Input data'!$C$9:$BB$26,12,FALSE)-HLOOKUP($C$6,'Input data'!$C$9:$BB$26,12,FALSE))</f>
        <v>0</v>
      </c>
      <c r="K64" s="263">
        <f>IF(K$56&lt;=$C$6,0,HLOOKUP(K$56,'Input data'!$C$9:$BB$26,12,FALSE)-HLOOKUP($C$6,'Input data'!$C$9:$BB$26,12,FALSE))</f>
        <v>0</v>
      </c>
      <c r="L64" s="263">
        <f>IF(L$56&lt;=$C$6,0,HLOOKUP(L$56,'Input data'!$C$9:$BB$26,12,FALSE)-HLOOKUP($C$6,'Input data'!$C$9:$BB$26,12,FALSE))</f>
        <v>0</v>
      </c>
      <c r="M64" s="263">
        <f>IF(M$56&lt;=$C$6,0,HLOOKUP(M$56,'Input data'!$C$9:$BB$26,12,FALSE)-HLOOKUP($C$6,'Input data'!$C$9:$BB$26,12,FALSE))</f>
        <v>0</v>
      </c>
      <c r="N64" s="263">
        <f>IF(N$56&lt;=$C$6,0,HLOOKUP(N$56,'Input data'!$C$9:$BB$26,12,FALSE)-HLOOKUP($C$6,'Input data'!$C$9:$BB$26,12,FALSE))</f>
        <v>3.416999999999959E-2</v>
      </c>
      <c r="O64" s="263">
        <f>IF(O$56&lt;=$C$6,0,HLOOKUP(O$56,'Input data'!$C$9:$BB$26,12,FALSE)-HLOOKUP($C$6,'Input data'!$C$9:$BB$26,12,FALSE))</f>
        <v>3.0779999999996477E-2</v>
      </c>
      <c r="P64" s="263">
        <f>IF(P$56&lt;=$C$6,0,HLOOKUP(P$56,'Input data'!$C$9:$BB$26,12,FALSE)-HLOOKUP($C$6,'Input data'!$C$9:$BB$26,12,FALSE))</f>
        <v>2.7829999999998023E-2</v>
      </c>
      <c r="Q64" s="263">
        <f>IF(Q$56&lt;=$C$6,0,HLOOKUP(Q$56,'Input data'!$C$9:$BB$26,12,FALSE)-HLOOKUP($C$6,'Input data'!$C$9:$BB$26,12,FALSE))</f>
        <v>1.6359999999995267E-2</v>
      </c>
      <c r="R64" s="263">
        <f>IF(R$56&lt;=$C$6,0,HLOOKUP(R$56,'Input data'!$C$9:$BB$26,12,FALSE)-HLOOKUP($C$6,'Input data'!$C$9:$BB$26,12,FALSE))</f>
        <v>-1.1079999999999757E-2</v>
      </c>
      <c r="S64" s="263">
        <f>IF(S$56&lt;=$C$6,0,HLOOKUP(S$56,'Input data'!$C$9:$BB$26,12,FALSE)-HLOOKUP($C$6,'Input data'!$C$9:$BB$26,12,FALSE))</f>
        <v>-5.7449999999999335E-2</v>
      </c>
      <c r="T64" s="263">
        <f>IF(T$56&lt;=$C$6,0,HLOOKUP(T$56,'Input data'!$C$9:$BB$26,12,FALSE)-HLOOKUP($C$6,'Input data'!$C$9:$BB$26,12,FALSE))</f>
        <v>-0.11955999999999989</v>
      </c>
      <c r="U64" s="263">
        <f>IF(U$56&lt;=$C$6,0,HLOOKUP(U$56,'Input data'!$C$9:$BB$26,12,FALSE)-HLOOKUP($C$6,'Input data'!$C$9:$BB$26,12,FALSE))</f>
        <v>-0.19588999999999857</v>
      </c>
      <c r="V64" s="263">
        <f>IF(V$56&lt;=$C$6,0,HLOOKUP(V$56,'Input data'!$C$9:$BB$26,12,FALSE)-HLOOKUP($C$6,'Input data'!$C$9:$BB$26,12,FALSE))</f>
        <v>-0.27118000000000109</v>
      </c>
      <c r="W64" s="263">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5">SUM(D68:D71)</f>
        <v>-4.1201026654536763</v>
      </c>
      <c r="E67" s="48">
        <f t="shared" si="15"/>
        <v>-0.77169642370367608</v>
      </c>
      <c r="F67" s="48">
        <f t="shared" si="15"/>
        <v>0.19080414611864702</v>
      </c>
      <c r="G67" s="48">
        <f t="shared" si="15"/>
        <v>-1.1492730662626531</v>
      </c>
      <c r="H67" s="48">
        <f t="shared" si="15"/>
        <v>-1.2792239619930166</v>
      </c>
      <c r="I67" s="48">
        <f t="shared" si="15"/>
        <v>-1.2740602819287357</v>
      </c>
      <c r="J67" s="48">
        <f t="shared" si="15"/>
        <v>-1.0106882300080064</v>
      </c>
      <c r="K67" s="48">
        <f t="shared" si="15"/>
        <v>-0.88683515602059315</v>
      </c>
      <c r="L67" s="48">
        <f t="shared" si="15"/>
        <v>-0.73345236748743181</v>
      </c>
      <c r="M67" s="48">
        <f t="shared" si="15"/>
        <v>-0.61157513768558402</v>
      </c>
      <c r="N67" s="48">
        <f t="shared" si="15"/>
        <v>-0.6728354579712934</v>
      </c>
      <c r="O67" s="48">
        <f t="shared" si="15"/>
        <v>-0.60292063719212174</v>
      </c>
      <c r="P67" s="48">
        <f t="shared" ref="P67:W67" si="16">SUM(P68:P71)</f>
        <v>-0.5351001970504381</v>
      </c>
      <c r="Q67" s="48">
        <f t="shared" si="16"/>
        <v>-0.30197401843187155</v>
      </c>
      <c r="R67" s="48">
        <f t="shared" si="16"/>
        <v>-0.57738848716571156</v>
      </c>
      <c r="S67" s="48">
        <f t="shared" si="16"/>
        <v>-0.52407293959293488</v>
      </c>
      <c r="T67" s="48">
        <f t="shared" si="16"/>
        <v>-0.47244617082012441</v>
      </c>
      <c r="U67" s="48">
        <f t="shared" si="16"/>
        <v>-0.42201075950844613</v>
      </c>
      <c r="V67" s="48">
        <f t="shared" si="16"/>
        <v>-0.37270094406675325</v>
      </c>
      <c r="W67" s="48">
        <f t="shared" si="16"/>
        <v>-0.32462401845575362</v>
      </c>
    </row>
    <row r="68" spans="2:23" outlineLevel="1" x14ac:dyDescent="0.2">
      <c r="B68" s="79" t="s">
        <v>115</v>
      </c>
      <c r="C68" s="34"/>
      <c r="D68" s="34">
        <f>C57*D36/100*(1/(1+D33/100))</f>
        <v>0.56979808598628368</v>
      </c>
      <c r="E68" s="34">
        <f>D57*E36/100*(1/(1+E33/100))</f>
        <v>1.1556222222791366</v>
      </c>
      <c r="F68" s="34">
        <f>E57*F36/100*(1/(1+F33/100))</f>
        <v>1.2546420388232913</v>
      </c>
      <c r="G68" s="36">
        <f>F57*G36/100*(1/(1+G33/100))</f>
        <v>1.5221820478724262</v>
      </c>
      <c r="H68" s="34">
        <f t="shared" ref="H68:W68" si="17">G57*H36/100*(1/(1+H33/100))</f>
        <v>1.6214907557507308</v>
      </c>
      <c r="I68" s="34">
        <f t="shared" si="17"/>
        <v>1.7083640094803234</v>
      </c>
      <c r="J68" s="34">
        <f>I57*J36/100*(1/(1+J33/100))</f>
        <v>1.7740241274551625</v>
      </c>
      <c r="K68" s="34">
        <f t="shared" si="17"/>
        <v>1.8239192427551987</v>
      </c>
      <c r="L68" s="34">
        <f>K57*L36/100*(1/(1+L33/100))</f>
        <v>1.8522100210321895</v>
      </c>
      <c r="M68" s="34">
        <f t="shared" si="17"/>
        <v>1.8719407408100672</v>
      </c>
      <c r="N68" s="34">
        <f t="shared" si="17"/>
        <v>1.89401071196813</v>
      </c>
      <c r="O68" s="34">
        <f t="shared" si="17"/>
        <v>1.9129771190292157</v>
      </c>
      <c r="P68" s="34">
        <f t="shared" si="17"/>
        <v>1.921562551809731</v>
      </c>
      <c r="Q68" s="34">
        <f t="shared" si="17"/>
        <v>1.8860967153156833</v>
      </c>
      <c r="R68" s="34">
        <f t="shared" si="17"/>
        <v>1.8195325131417646</v>
      </c>
      <c r="S68" s="34">
        <f t="shared" si="17"/>
        <v>1.7775134923778828</v>
      </c>
      <c r="T68" s="34">
        <f t="shared" si="17"/>
        <v>1.7300457488984664</v>
      </c>
      <c r="U68" s="34">
        <f t="shared" si="17"/>
        <v>1.6771707546561916</v>
      </c>
      <c r="V68" s="34">
        <f t="shared" si="17"/>
        <v>1.6186041199529886</v>
      </c>
      <c r="W68" s="34">
        <f t="shared" si="17"/>
        <v>1.5543715833585603</v>
      </c>
    </row>
    <row r="69" spans="2:23" outlineLevel="1" x14ac:dyDescent="0.2">
      <c r="B69" s="79" t="s">
        <v>116</v>
      </c>
      <c r="C69" s="34"/>
      <c r="D69" s="34">
        <f t="shared" ref="D69:W69" si="18">-C57*(D24/100)*(1/(1+D33/100))</f>
        <v>-0.98446912674082954</v>
      </c>
      <c r="E69" s="34">
        <f t="shared" si="18"/>
        <v>0.83311709751294483</v>
      </c>
      <c r="F69" s="34">
        <f t="shared" si="18"/>
        <v>0.21025850980652602</v>
      </c>
      <c r="G69" s="34">
        <f t="shared" si="18"/>
        <v>-0.96479090165736958</v>
      </c>
      <c r="H69" s="34">
        <f t="shared" si="18"/>
        <v>-1.1698426310937748</v>
      </c>
      <c r="I69" s="34">
        <f t="shared" si="18"/>
        <v>-1.2409750557303907</v>
      </c>
      <c r="J69" s="34">
        <f t="shared" si="18"/>
        <v>-1.0521555417406174</v>
      </c>
      <c r="K69" s="34">
        <f t="shared" si="18"/>
        <v>-0.9947462137983305</v>
      </c>
      <c r="L69" s="34">
        <f t="shared" si="18"/>
        <v>-0.9001477294010547</v>
      </c>
      <c r="M69" s="34">
        <f t="shared" si="18"/>
        <v>-0.83249788094056143</v>
      </c>
      <c r="N69" s="34">
        <f t="shared" si="18"/>
        <v>-0.94550711379132335</v>
      </c>
      <c r="O69" s="34">
        <f t="shared" si="18"/>
        <v>-0.92818690857008013</v>
      </c>
      <c r="P69" s="34">
        <f t="shared" si="18"/>
        <v>-0.90775495823067776</v>
      </c>
      <c r="Q69" s="34">
        <f t="shared" si="18"/>
        <v>-0.67368856058873494</v>
      </c>
      <c r="R69" s="34">
        <f t="shared" si="18"/>
        <v>-0.65427642510429074</v>
      </c>
      <c r="S69" s="34">
        <f t="shared" si="18"/>
        <v>-0.63338407353176729</v>
      </c>
      <c r="T69" s="34">
        <f t="shared" si="18"/>
        <v>-0.61110868060439072</v>
      </c>
      <c r="U69" s="34">
        <f t="shared" si="18"/>
        <v>-0.5872795347229387</v>
      </c>
      <c r="V69" s="34">
        <f t="shared" si="18"/>
        <v>-0.56176673440126479</v>
      </c>
      <c r="W69" s="34">
        <f t="shared" si="18"/>
        <v>-0.53455837964020625</v>
      </c>
    </row>
    <row r="70" spans="2:23" outlineLevel="1" x14ac:dyDescent="0.2">
      <c r="B70" s="79" t="s">
        <v>117</v>
      </c>
      <c r="C70" s="34"/>
      <c r="D70" s="34">
        <f t="shared" ref="D70:W70" si="19">-C57*D42/100*(1/(1+D42/100))</f>
        <v>-3.7081792093539843</v>
      </c>
      <c r="E70" s="34">
        <f t="shared" si="19"/>
        <v>-2.7597990000668196</v>
      </c>
      <c r="F70" s="34">
        <f t="shared" si="19"/>
        <v>-1.2743329170776432</v>
      </c>
      <c r="G70" s="34">
        <f>-F57*G42/100*(1/(1+G42/100))</f>
        <v>-1.7068146953072332</v>
      </c>
      <c r="H70" s="34">
        <f t="shared" si="19"/>
        <v>-1.7308720866499725</v>
      </c>
      <c r="I70" s="34">
        <f t="shared" si="19"/>
        <v>-1.7414492356786684</v>
      </c>
      <c r="J70" s="34">
        <f t="shared" si="19"/>
        <v>-1.7325568157225515</v>
      </c>
      <c r="K70" s="34">
        <f t="shared" si="19"/>
        <v>-1.7160081849774613</v>
      </c>
      <c r="L70" s="34">
        <f t="shared" si="19"/>
        <v>-1.6855146591185666</v>
      </c>
      <c r="M70" s="34">
        <f t="shared" si="19"/>
        <v>-1.6510179975550898</v>
      </c>
      <c r="N70" s="34">
        <f t="shared" si="19"/>
        <v>-1.6213390561481</v>
      </c>
      <c r="O70" s="34">
        <f t="shared" si="19"/>
        <v>-1.5877108476512574</v>
      </c>
      <c r="P70" s="34">
        <f t="shared" si="19"/>
        <v>-1.5489077906294915</v>
      </c>
      <c r="Q70" s="34">
        <f t="shared" si="19"/>
        <v>-1.5143821731588201</v>
      </c>
      <c r="R70" s="34">
        <f t="shared" si="19"/>
        <v>-1.7426445752031854</v>
      </c>
      <c r="S70" s="34">
        <f t="shared" si="19"/>
        <v>-1.6682023584390504</v>
      </c>
      <c r="T70" s="34">
        <f t="shared" si="19"/>
        <v>-1.5913832391142</v>
      </c>
      <c r="U70" s="34">
        <f t="shared" si="19"/>
        <v>-1.511901979441699</v>
      </c>
      <c r="V70" s="34">
        <f t="shared" si="19"/>
        <v>-1.4295383296184769</v>
      </c>
      <c r="W70" s="34">
        <f t="shared" si="19"/>
        <v>-1.3444372221741077</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D15</f>
        <v>5.1764349999999997</v>
      </c>
      <c r="E73" s="34">
        <f t="shared" ref="E73:W73" si="20">E15</f>
        <v>2.1420457294413482</v>
      </c>
      <c r="F73" s="34">
        <f t="shared" si="20"/>
        <v>2.543156615765406</v>
      </c>
      <c r="G73" s="34">
        <f t="shared" si="20"/>
        <v>1.2833361388111759</v>
      </c>
      <c r="H73" s="34">
        <f t="shared" si="20"/>
        <v>1.726862012716794</v>
      </c>
      <c r="I73" s="34">
        <f t="shared" si="20"/>
        <v>1.4444254457205716</v>
      </c>
      <c r="J73" s="34">
        <f t="shared" si="20"/>
        <v>1.3768241518246929</v>
      </c>
      <c r="K73" s="34">
        <f t="shared" si="20"/>
        <v>1.0241608740131771</v>
      </c>
      <c r="L73" s="34">
        <f t="shared" si="20"/>
        <v>1.0623847406019649</v>
      </c>
      <c r="M73" s="34">
        <f t="shared" si="20"/>
        <v>1.5229809999999999</v>
      </c>
      <c r="N73" s="34">
        <f t="shared" si="20"/>
        <v>1.526135</v>
      </c>
      <c r="O73" s="34">
        <f t="shared" si="20"/>
        <v>1.3735219999999999</v>
      </c>
      <c r="P73" s="34">
        <f t="shared" si="20"/>
        <v>1.2209080000000001</v>
      </c>
      <c r="Q73" s="34">
        <f t="shared" si="20"/>
        <v>1.068295</v>
      </c>
      <c r="R73" s="34">
        <f t="shared" si="20"/>
        <v>0.91568099999999997</v>
      </c>
      <c r="S73" s="34">
        <f t="shared" si="20"/>
        <v>0.76306750000000001</v>
      </c>
      <c r="T73" s="34">
        <f t="shared" si="20"/>
        <v>0.61045400000000005</v>
      </c>
      <c r="U73" s="34">
        <f t="shared" si="20"/>
        <v>0.45784049999999998</v>
      </c>
      <c r="V73" s="34">
        <f t="shared" si="20"/>
        <v>0.30522700000000003</v>
      </c>
      <c r="W73" s="34">
        <f t="shared" si="20"/>
        <v>0.15261350000000001</v>
      </c>
    </row>
    <row r="74" spans="2:23" outlineLevel="1" x14ac:dyDescent="0.2">
      <c r="B74" s="89" t="s">
        <v>121</v>
      </c>
      <c r="C74" s="49"/>
      <c r="D74" s="49">
        <f>+D72-D73</f>
        <v>0</v>
      </c>
      <c r="E74" s="49">
        <f t="shared" ref="E74:W74" si="21">+E72-E73</f>
        <v>0</v>
      </c>
      <c r="F74" s="49">
        <f t="shared" si="21"/>
        <v>0</v>
      </c>
      <c r="G74" s="49">
        <f t="shared" si="21"/>
        <v>0</v>
      </c>
      <c r="H74" s="49">
        <f t="shared" si="21"/>
        <v>0</v>
      </c>
      <c r="I74" s="49">
        <f t="shared" si="21"/>
        <v>0</v>
      </c>
      <c r="J74" s="49">
        <f t="shared" si="21"/>
        <v>0</v>
      </c>
      <c r="K74" s="49">
        <f t="shared" si="21"/>
        <v>0</v>
      </c>
      <c r="L74" s="49">
        <f t="shared" si="21"/>
        <v>0</v>
      </c>
      <c r="M74" s="49">
        <f t="shared" si="21"/>
        <v>0</v>
      </c>
      <c r="N74" s="49">
        <f t="shared" si="21"/>
        <v>0</v>
      </c>
      <c r="O74" s="49">
        <f t="shared" si="21"/>
        <v>0</v>
      </c>
      <c r="P74" s="49">
        <f t="shared" si="21"/>
        <v>0</v>
      </c>
      <c r="Q74" s="49">
        <f t="shared" si="21"/>
        <v>0</v>
      </c>
      <c r="R74" s="49">
        <f t="shared" si="21"/>
        <v>0</v>
      </c>
      <c r="S74" s="49">
        <f t="shared" si="21"/>
        <v>0</v>
      </c>
      <c r="T74" s="49">
        <f t="shared" si="21"/>
        <v>0</v>
      </c>
      <c r="U74" s="49">
        <f t="shared" si="21"/>
        <v>0</v>
      </c>
      <c r="V74" s="49">
        <f t="shared" si="21"/>
        <v>0</v>
      </c>
      <c r="W74" s="49">
        <f t="shared" si="21"/>
        <v>0</v>
      </c>
    </row>
    <row r="75" spans="2:23" ht="10.5" customHeight="1" outlineLevel="1" x14ac:dyDescent="0.2">
      <c r="D75" s="38"/>
      <c r="E75" s="38"/>
      <c r="F75" s="38"/>
    </row>
    <row r="76" spans="2:23" ht="10.5" customHeight="1" outlineLevel="1" x14ac:dyDescent="0.2">
      <c r="B76" s="91" t="s">
        <v>122</v>
      </c>
    </row>
    <row r="77" spans="2:23" x14ac:dyDescent="0.2">
      <c r="B77" s="77" t="s">
        <v>41</v>
      </c>
      <c r="C77" s="77"/>
      <c r="D77" s="78">
        <f>D59-D68</f>
        <v>-0.43124800279504172</v>
      </c>
      <c r="E77" s="78">
        <f t="shared" ref="E77:W77" si="22">E59-E68</f>
        <v>-2.9357006599992355</v>
      </c>
      <c r="F77" s="78">
        <f t="shared" si="22"/>
        <v>-3.5011457179088628</v>
      </c>
      <c r="G77" s="78">
        <f>G59-G68</f>
        <v>-2.7908568968121905</v>
      </c>
      <c r="H77" s="78">
        <f t="shared" si="22"/>
        <v>-1.9365222629786507</v>
      </c>
      <c r="I77" s="78">
        <f t="shared" si="22"/>
        <v>-1.3656252947323395</v>
      </c>
      <c r="J77" s="78">
        <f t="shared" si="22"/>
        <v>-0.86380407847539542</v>
      </c>
      <c r="K77" s="78">
        <f t="shared" si="22"/>
        <v>-0.4619459185228183</v>
      </c>
      <c r="L77" s="78">
        <f t="shared" si="22"/>
        <v>-9.6067906183961549E-2</v>
      </c>
      <c r="M77" s="78">
        <f t="shared" si="22"/>
        <v>0.24007636782886332</v>
      </c>
      <c r="N77" s="78">
        <f t="shared" si="22"/>
        <v>0.36093669118056848</v>
      </c>
      <c r="O77" s="78">
        <f t="shared" si="22"/>
        <v>0.52245957862923986</v>
      </c>
      <c r="P77" s="78">
        <f t="shared" si="22"/>
        <v>0.69392344035849041</v>
      </c>
      <c r="Q77" s="78">
        <f t="shared" si="22"/>
        <v>0.74750032340950812</v>
      </c>
      <c r="R77" s="78">
        <f t="shared" si="22"/>
        <v>0.84814672535786806</v>
      </c>
      <c r="S77" s="78">
        <f t="shared" si="22"/>
        <v>0.94317721607331562</v>
      </c>
      <c r="T77" s="78">
        <f t="shared" si="22"/>
        <v>1.0593988891531336</v>
      </c>
      <c r="U77" s="78">
        <f t="shared" si="22"/>
        <v>1.1952460831729996</v>
      </c>
      <c r="V77" s="78">
        <f t="shared" si="22"/>
        <v>1.3357478006935353</v>
      </c>
      <c r="W77" s="78">
        <f t="shared" si="22"/>
        <v>1.465203690282626</v>
      </c>
    </row>
    <row r="78" spans="2:23" ht="12" thickBot="1" x14ac:dyDescent="0.25">
      <c r="B78" s="26" t="s">
        <v>42</v>
      </c>
      <c r="D78" s="34">
        <f>D60-D68-D64-D65-D66</f>
        <v>-0.27774128598628367</v>
      </c>
      <c r="E78" s="34">
        <f t="shared" ref="E78:W78" si="23">E60-E68-E64-E65-E66</f>
        <v>-1.4947323388849685</v>
      </c>
      <c r="F78" s="34">
        <f t="shared" si="23"/>
        <v>-1.6290853833683976</v>
      </c>
      <c r="G78" s="34">
        <f t="shared" si="23"/>
        <v>-1.0788170557042078</v>
      </c>
      <c r="H78" s="34">
        <f t="shared" si="23"/>
        <v>-0.51814586262453344</v>
      </c>
      <c r="I78" s="34">
        <f t="shared" si="23"/>
        <v>-0.28503386338989145</v>
      </c>
      <c r="J78" s="34">
        <f t="shared" si="23"/>
        <v>9.4412235862988414E-3</v>
      </c>
      <c r="K78" s="34">
        <f t="shared" si="23"/>
        <v>0.23944574941301999</v>
      </c>
      <c r="L78" s="34">
        <f t="shared" si="23"/>
        <v>0.49115497113602946</v>
      </c>
      <c r="M78" s="34">
        <f t="shared" si="23"/>
        <v>0.75142425135815194</v>
      </c>
      <c r="N78" s="34">
        <f t="shared" si="23"/>
        <v>0.70183528020008978</v>
      </c>
      <c r="O78" s="34">
        <f t="shared" si="23"/>
        <v>0.69290887313900718</v>
      </c>
      <c r="P78" s="34">
        <f t="shared" si="23"/>
        <v>0.69392344035849041</v>
      </c>
      <c r="Q78" s="34">
        <f t="shared" si="23"/>
        <v>0.74750927685254043</v>
      </c>
      <c r="R78" s="34">
        <f t="shared" si="23"/>
        <v>0.84816347902645428</v>
      </c>
      <c r="S78" s="34">
        <f t="shared" si="23"/>
        <v>0.9432034997903358</v>
      </c>
      <c r="T78" s="34">
        <f t="shared" si="23"/>
        <v>1.0594312432697528</v>
      </c>
      <c r="U78" s="34">
        <f t="shared" si="23"/>
        <v>1.1952862375120263</v>
      </c>
      <c r="V78" s="34">
        <f t="shared" si="23"/>
        <v>1.3357928722152319</v>
      </c>
      <c r="W78" s="34">
        <f t="shared" si="23"/>
        <v>1.4652554088096594</v>
      </c>
    </row>
    <row r="79" spans="2:23" ht="12" thickBot="1" x14ac:dyDescent="0.25">
      <c r="B79" s="35" t="s">
        <v>123</v>
      </c>
      <c r="C79" s="35"/>
      <c r="D79" s="281">
        <f>'Input data'!D45</f>
        <v>5.7681103325160432</v>
      </c>
      <c r="E79" s="281">
        <f>'Input data'!E45</f>
        <v>7.4830230810080138</v>
      </c>
      <c r="F79" s="281">
        <f>'Input data'!F45</f>
        <v>3.9912900392291735</v>
      </c>
      <c r="G79" s="431">
        <f>'Input data'!G33+G42-(G$12-F$12)/'Input data'!$C$64*100</f>
        <v>1.5881731969804143</v>
      </c>
      <c r="H79" s="432">
        <f>'Input data'!H33+H42-(H$12-G$12)/'Input data'!$C$64*100</f>
        <v>1.8676393663543975</v>
      </c>
      <c r="I79" s="432">
        <f>'Input data'!I33+I42-(I$12-H$12)/'Input data'!$C$64*100</f>
        <v>2.4773095793995372</v>
      </c>
      <c r="J79" s="433">
        <f>'Input data'!J33+J42-(J$12-I$12)/'Input data'!$C$64*100</f>
        <v>2.397909725328967</v>
      </c>
      <c r="K79" s="49">
        <f>'Input data'!K33+K42-(K$12-J$12)/'Input data'!$C$64*100</f>
        <v>2.5367269798637473</v>
      </c>
      <c r="L79" s="49">
        <f>'Input data'!L33+L42-(L$12-K$12)/'Input data'!$C$64*100</f>
        <v>2.5299231216750719</v>
      </c>
      <c r="M79" s="49">
        <f>'Input data'!M33+M42-(M$12-L$12)/'Input data'!$C$64*100</f>
        <v>2.5233011792508844</v>
      </c>
      <c r="N79" s="49">
        <f>'Input data'!N33+N42-(N$12-M$12)/'Input data'!$C$64*100</f>
        <v>3.0242219424241883</v>
      </c>
      <c r="O79" s="49">
        <f>'Input data'!O33+O42-(O$12-N$12)/'Input data'!$C$64*100</f>
        <v>3.0175999999999998</v>
      </c>
      <c r="P79" s="49">
        <f>'Input data'!P33+P42-(P$12-O$12)/'Input data'!$C$64*100</f>
        <v>3.0109780575758123</v>
      </c>
      <c r="Q79" s="49">
        <f>'Input data'!Q33+Q42-(Q$12-P$12)/'Input data'!$C$64*100</f>
        <v>3.0175999999999998</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2.2744261641218602</v>
      </c>
      <c r="E81" s="34"/>
      <c r="F81" s="34"/>
      <c r="G81" s="353"/>
      <c r="H81" s="353"/>
      <c r="I81" s="353"/>
      <c r="J81" s="353"/>
      <c r="K81" s="353"/>
      <c r="L81" s="353"/>
      <c r="M81" s="353"/>
      <c r="N81" s="353"/>
      <c r="O81" s="353"/>
      <c r="P81" s="353"/>
      <c r="Q81" s="353"/>
      <c r="R81" s="353"/>
      <c r="S81" s="353"/>
      <c r="T81" s="353"/>
      <c r="U81" s="34"/>
      <c r="V81" s="34"/>
      <c r="W81" s="34"/>
    </row>
    <row r="82" spans="2:23" x14ac:dyDescent="0.2">
      <c r="B82" s="77"/>
      <c r="C82" s="77"/>
      <c r="D82" s="78"/>
      <c r="E82" s="34"/>
      <c r="F82" s="34"/>
      <c r="G82" s="34"/>
      <c r="H82" s="34"/>
      <c r="I82" s="34"/>
      <c r="J82" s="34"/>
      <c r="K82" s="34"/>
      <c r="L82" s="34"/>
      <c r="M82" s="34"/>
      <c r="N82" s="34"/>
      <c r="O82" s="34"/>
      <c r="P82" s="34"/>
      <c r="Q82" s="34"/>
      <c r="R82" s="34"/>
      <c r="S82" s="34"/>
      <c r="T82" s="34"/>
      <c r="U82" s="34"/>
      <c r="V82" s="34"/>
      <c r="W82" s="34"/>
    </row>
    <row r="83" spans="2:23" x14ac:dyDescent="0.2">
      <c r="B83" s="51" t="s">
        <v>187</v>
      </c>
      <c r="C83" s="51"/>
      <c r="D83" s="51"/>
      <c r="E83" s="51"/>
      <c r="F83" s="51"/>
      <c r="G83" s="257"/>
      <c r="H83" s="257"/>
      <c r="I83" s="257"/>
      <c r="J83" s="257"/>
      <c r="K83" s="257">
        <f t="shared" ref="K83:W83" si="24">IF(K57&lt;J57,0,1)</f>
        <v>0</v>
      </c>
      <c r="L83" s="257">
        <f t="shared" si="24"/>
        <v>0</v>
      </c>
      <c r="M83" s="257">
        <f t="shared" si="24"/>
        <v>0</v>
      </c>
      <c r="N83" s="257">
        <f t="shared" si="24"/>
        <v>0</v>
      </c>
      <c r="O83" s="257">
        <f t="shared" si="24"/>
        <v>0</v>
      </c>
      <c r="P83" s="257">
        <f t="shared" si="24"/>
        <v>0</v>
      </c>
      <c r="Q83" s="257">
        <f t="shared" si="24"/>
        <v>0</v>
      </c>
      <c r="R83" s="257">
        <f t="shared" si="24"/>
        <v>0</v>
      </c>
      <c r="S83" s="257">
        <f t="shared" si="24"/>
        <v>0</v>
      </c>
      <c r="T83" s="257">
        <f t="shared" si="24"/>
        <v>0</v>
      </c>
      <c r="U83" s="257">
        <f t="shared" si="24"/>
        <v>0</v>
      </c>
      <c r="V83" s="257">
        <f t="shared" si="24"/>
        <v>0</v>
      </c>
      <c r="W83" s="257">
        <f t="shared" si="24"/>
        <v>0</v>
      </c>
    </row>
    <row r="84" spans="2:23" x14ac:dyDescent="0.2">
      <c r="B84" s="26" t="s">
        <v>261</v>
      </c>
      <c r="F84" s="29">
        <f t="shared" ref="F84:W84" si="25">IF(F57&gt;90,1,0)</f>
        <v>0</v>
      </c>
      <c r="G84" s="29">
        <f t="shared" si="25"/>
        <v>0</v>
      </c>
      <c r="H84" s="29">
        <f t="shared" si="25"/>
        <v>0</v>
      </c>
      <c r="I84" s="29">
        <f t="shared" si="25"/>
        <v>0</v>
      </c>
      <c r="J84" s="29">
        <f t="shared" si="25"/>
        <v>0</v>
      </c>
      <c r="K84" s="29">
        <f t="shared" si="25"/>
        <v>0</v>
      </c>
      <c r="L84" s="29">
        <f t="shared" si="25"/>
        <v>0</v>
      </c>
      <c r="M84" s="29">
        <f t="shared" si="25"/>
        <v>0</v>
      </c>
      <c r="N84" s="29">
        <f t="shared" si="25"/>
        <v>0</v>
      </c>
      <c r="O84" s="29">
        <f t="shared" si="25"/>
        <v>0</v>
      </c>
      <c r="P84" s="29">
        <f t="shared" si="25"/>
        <v>0</v>
      </c>
      <c r="Q84" s="29">
        <f t="shared" si="25"/>
        <v>0</v>
      </c>
      <c r="R84" s="29">
        <f t="shared" si="25"/>
        <v>0</v>
      </c>
      <c r="S84" s="29">
        <f t="shared" si="25"/>
        <v>0</v>
      </c>
      <c r="T84" s="29">
        <f t="shared" si="25"/>
        <v>0</v>
      </c>
      <c r="U84" s="29">
        <f t="shared" si="25"/>
        <v>0</v>
      </c>
      <c r="V84" s="29">
        <f t="shared" si="25"/>
        <v>0</v>
      </c>
      <c r="W84" s="29">
        <f t="shared" si="25"/>
        <v>0</v>
      </c>
    </row>
    <row r="85" spans="2:23" x14ac:dyDescent="0.2">
      <c r="B85" s="26" t="s">
        <v>262</v>
      </c>
      <c r="F85" s="29">
        <f t="shared" ref="F85:W85" si="26">IF(AND(F57&gt;60,F57&lt;=90),1,0)</f>
        <v>1</v>
      </c>
      <c r="G85" s="29">
        <f t="shared" si="26"/>
        <v>1</v>
      </c>
      <c r="H85" s="29">
        <f t="shared" si="26"/>
        <v>1</v>
      </c>
      <c r="I85" s="29">
        <f t="shared" si="26"/>
        <v>1</v>
      </c>
      <c r="J85" s="29">
        <f t="shared" si="26"/>
        <v>1</v>
      </c>
      <c r="K85" s="29">
        <f t="shared" si="26"/>
        <v>1</v>
      </c>
      <c r="L85" s="29">
        <f t="shared" si="26"/>
        <v>1</v>
      </c>
      <c r="M85" s="29">
        <f t="shared" si="26"/>
        <v>1</v>
      </c>
      <c r="N85" s="29">
        <f t="shared" si="26"/>
        <v>1</v>
      </c>
      <c r="O85" s="29">
        <f t="shared" si="26"/>
        <v>1</v>
      </c>
      <c r="P85" s="29">
        <f t="shared" si="26"/>
        <v>1</v>
      </c>
      <c r="Q85" s="29">
        <f t="shared" si="26"/>
        <v>1</v>
      </c>
      <c r="R85" s="29">
        <f t="shared" si="26"/>
        <v>1</v>
      </c>
      <c r="S85" s="29">
        <f t="shared" si="26"/>
        <v>1</v>
      </c>
      <c r="T85" s="29">
        <f t="shared" si="26"/>
        <v>1</v>
      </c>
      <c r="U85" s="29">
        <f t="shared" si="26"/>
        <v>1</v>
      </c>
      <c r="V85" s="29">
        <f t="shared" si="26"/>
        <v>0</v>
      </c>
      <c r="W85" s="29">
        <f t="shared" si="26"/>
        <v>0</v>
      </c>
    </row>
    <row r="86" spans="2:23" x14ac:dyDescent="0.2">
      <c r="B86" s="26" t="s">
        <v>263</v>
      </c>
      <c r="F86" s="29">
        <f t="shared" ref="F86:W86" si="27">IF(F57&gt;60,1,0)</f>
        <v>1</v>
      </c>
      <c r="G86" s="29">
        <f t="shared" si="27"/>
        <v>1</v>
      </c>
      <c r="H86" s="29">
        <f t="shared" si="27"/>
        <v>1</v>
      </c>
      <c r="I86" s="29">
        <f t="shared" si="27"/>
        <v>1</v>
      </c>
      <c r="J86" s="29">
        <f t="shared" si="27"/>
        <v>1</v>
      </c>
      <c r="K86" s="29">
        <f t="shared" si="27"/>
        <v>1</v>
      </c>
      <c r="L86" s="29">
        <f t="shared" si="27"/>
        <v>1</v>
      </c>
      <c r="M86" s="29">
        <f t="shared" si="27"/>
        <v>1</v>
      </c>
      <c r="N86" s="29">
        <f t="shared" si="27"/>
        <v>1</v>
      </c>
      <c r="O86" s="29">
        <f t="shared" si="27"/>
        <v>1</v>
      </c>
      <c r="P86" s="29">
        <f t="shared" si="27"/>
        <v>1</v>
      </c>
      <c r="Q86" s="29">
        <f t="shared" si="27"/>
        <v>1</v>
      </c>
      <c r="R86" s="29">
        <f t="shared" si="27"/>
        <v>1</v>
      </c>
      <c r="S86" s="29">
        <f t="shared" si="27"/>
        <v>1</v>
      </c>
      <c r="T86" s="29">
        <f t="shared" si="27"/>
        <v>1</v>
      </c>
      <c r="U86" s="29">
        <f t="shared" si="27"/>
        <v>1</v>
      </c>
      <c r="V86" s="29">
        <f t="shared" si="27"/>
        <v>0</v>
      </c>
      <c r="W86" s="29">
        <f t="shared" si="27"/>
        <v>0</v>
      </c>
    </row>
    <row r="87" spans="2:23" x14ac:dyDescent="0.2">
      <c r="B87" s="26" t="s">
        <v>264</v>
      </c>
      <c r="F87" s="360">
        <f>'Input data'!F17</f>
        <v>0</v>
      </c>
      <c r="G87" s="29">
        <f>IF(F87=0,0,IF(AND(E77&gt;-3.05,F77&gt;-3.05),0,1))</f>
        <v>0</v>
      </c>
      <c r="H87" s="29">
        <f t="shared" ref="H87:W87" si="28">IF(G87=0,0,IF(AND(F77&gt;-3.05,G77&gt;-3.05),0,1))</f>
        <v>0</v>
      </c>
      <c r="I87" s="29">
        <f t="shared" si="28"/>
        <v>0</v>
      </c>
      <c r="J87" s="29">
        <f t="shared" si="28"/>
        <v>0</v>
      </c>
      <c r="K87" s="29">
        <f t="shared" si="28"/>
        <v>0</v>
      </c>
      <c r="L87" s="29">
        <f t="shared" si="28"/>
        <v>0</v>
      </c>
      <c r="M87" s="29">
        <f t="shared" si="28"/>
        <v>0</v>
      </c>
      <c r="N87" s="29">
        <f t="shared" si="28"/>
        <v>0</v>
      </c>
      <c r="O87" s="29">
        <f t="shared" si="28"/>
        <v>0</v>
      </c>
      <c r="P87" s="29">
        <f t="shared" si="28"/>
        <v>0</v>
      </c>
      <c r="Q87" s="29">
        <f t="shared" si="28"/>
        <v>0</v>
      </c>
      <c r="R87" s="29">
        <f t="shared" si="28"/>
        <v>0</v>
      </c>
      <c r="S87" s="29">
        <f t="shared" si="28"/>
        <v>0</v>
      </c>
      <c r="T87" s="29">
        <f t="shared" si="28"/>
        <v>0</v>
      </c>
      <c r="U87" s="29">
        <f t="shared" si="28"/>
        <v>0</v>
      </c>
      <c r="V87" s="29">
        <f t="shared" si="28"/>
        <v>0</v>
      </c>
      <c r="W87" s="29">
        <f t="shared" si="28"/>
        <v>0</v>
      </c>
    </row>
    <row r="88" spans="2:23" x14ac:dyDescent="0.2">
      <c r="B88" s="26" t="s">
        <v>259</v>
      </c>
      <c r="F88" s="29">
        <f t="shared" ref="F88:W88" si="29">IF(F78&gt;=-1.55,1,0)</f>
        <v>0</v>
      </c>
      <c r="G88" s="29">
        <f t="shared" si="29"/>
        <v>1</v>
      </c>
      <c r="H88" s="29">
        <f t="shared" si="29"/>
        <v>1</v>
      </c>
      <c r="I88" s="29">
        <f t="shared" si="29"/>
        <v>1</v>
      </c>
      <c r="J88" s="29">
        <f t="shared" si="29"/>
        <v>1</v>
      </c>
      <c r="K88" s="29">
        <f t="shared" si="29"/>
        <v>1</v>
      </c>
      <c r="L88" s="29">
        <f t="shared" si="29"/>
        <v>1</v>
      </c>
      <c r="M88" s="29">
        <f t="shared" si="29"/>
        <v>1</v>
      </c>
      <c r="N88" s="29">
        <f t="shared" si="29"/>
        <v>1</v>
      </c>
      <c r="O88" s="29">
        <f t="shared" si="29"/>
        <v>1</v>
      </c>
      <c r="P88" s="29">
        <f t="shared" si="29"/>
        <v>1</v>
      </c>
      <c r="Q88" s="29">
        <f t="shared" si="29"/>
        <v>1</v>
      </c>
      <c r="R88" s="29">
        <f t="shared" si="29"/>
        <v>1</v>
      </c>
      <c r="S88" s="29">
        <f t="shared" si="29"/>
        <v>1</v>
      </c>
      <c r="T88" s="29">
        <f t="shared" si="29"/>
        <v>1</v>
      </c>
      <c r="U88" s="29">
        <f t="shared" si="29"/>
        <v>1</v>
      </c>
      <c r="V88" s="29">
        <f t="shared" si="29"/>
        <v>1</v>
      </c>
      <c r="W88" s="29">
        <f t="shared" si="29"/>
        <v>1</v>
      </c>
    </row>
    <row r="89" spans="2:23" x14ac:dyDescent="0.2">
      <c r="F89" s="29"/>
      <c r="G89" s="29"/>
      <c r="H89" s="29"/>
      <c r="I89" s="29"/>
      <c r="J89" s="29"/>
      <c r="K89" s="29"/>
      <c r="L89" s="29"/>
      <c r="M89" s="29"/>
      <c r="N89" s="29"/>
      <c r="O89" s="29"/>
      <c r="P89" s="29"/>
      <c r="Q89" s="29"/>
      <c r="R89" s="29"/>
      <c r="S89" s="29"/>
      <c r="T89" s="29"/>
      <c r="U89" s="29"/>
      <c r="V89" s="29"/>
      <c r="W89" s="29"/>
    </row>
    <row r="90" spans="2:23" x14ac:dyDescent="0.2">
      <c r="B90" s="26" t="s">
        <v>144</v>
      </c>
      <c r="F90" s="34">
        <f>E57*F36/100*(1/((1+'Input data'!F30/100)*(1+F42/100)))</f>
        <v>1.253932980324479</v>
      </c>
      <c r="G90" s="34">
        <f>F57*G36/100*(1/((1+'Input data'!G30/100)*(1+G42/100)))</f>
        <v>1.5130139029033089</v>
      </c>
      <c r="H90" s="34">
        <f>G57*H36/100*(1/((1+'Input data'!H30/100)*(1+H42/100)))</f>
        <v>1.6155138600408994</v>
      </c>
      <c r="I90" s="34">
        <f>H57*I36/100*(1/((1+'Input data'!I30/100)*(1+I42/100)))</f>
        <v>1.7033371005355289</v>
      </c>
      <c r="J90" s="34">
        <f>I57*J36/100*(1/((1+'Input data'!J30/100)*(1+J42/100)))</f>
        <v>1.7647267705603062</v>
      </c>
      <c r="K90" s="34">
        <f>J57*K36/100*(1/((1+'Input data'!K30/100)*(1+K42/100)))</f>
        <v>1.82938697159963</v>
      </c>
      <c r="L90" s="34">
        <f>K57*L36/100*(1/((1+'Input data'!L30/100)*(1+L42/100)))</f>
        <v>1.8558879392602308</v>
      </c>
      <c r="M90" s="34">
        <f>L57*M36/100*(1/((1+'Input data'!M30/100)*(1+M42/100)))</f>
        <v>1.8744062951108205</v>
      </c>
      <c r="N90" s="34">
        <f>M57*N36/100*(1/((1+'Input data'!N30/100)*(1+N42/100)))</f>
        <v>1.8996070819768265</v>
      </c>
      <c r="O90" s="34">
        <f>N57*O36/100*(1/((1+'Input data'!O30/100)*(1+O42/100)))</f>
        <v>1.9186128966382761</v>
      </c>
      <c r="P90" s="34">
        <f>O57*P36/100*(1/((1+'Input data'!P30/100)*(1+P42/100)))</f>
        <v>1.9272069304545463</v>
      </c>
      <c r="Q90" s="34">
        <f>P57*Q36/100*(1/((1+'Input data'!Q30/100)*(1+Q42/100)))</f>
        <v>1.8860967153156833</v>
      </c>
      <c r="R90" s="34">
        <f>Q57*R36/100*(1/((1+'Input data'!R30/100)*(1+R42/100)))</f>
        <v>1.8195325131417646</v>
      </c>
      <c r="S90" s="34">
        <f>R57*S36/100*(1/((1+'Input data'!S30/100)*(1+S42/100)))</f>
        <v>1.7775134923778828</v>
      </c>
      <c r="T90" s="34">
        <f>S57*T36/100*(1/((1+'Input data'!T30/100)*(1+T42/100)))</f>
        <v>1.7300457488984664</v>
      </c>
      <c r="U90" s="34">
        <f>T57*U36/100*(1/((1+'Input data'!U30/100)*(1+U42/100)))</f>
        <v>1.6771707546561916</v>
      </c>
      <c r="V90" s="34">
        <f>U57*V36/100*(1/((1+'Input data'!V30/100)*(1+V42/100)))</f>
        <v>1.6186041199529886</v>
      </c>
      <c r="W90" s="34">
        <f>V57*W36/100*(1/((1+'Input data'!W30/100)*(1+W42/100)))</f>
        <v>1.5543715833585603</v>
      </c>
    </row>
    <row r="91" spans="2:23" x14ac:dyDescent="0.2">
      <c r="B91" s="32" t="s">
        <v>260</v>
      </c>
      <c r="F91" s="34"/>
      <c r="G91" s="34">
        <f>G90-F90</f>
        <v>0.25908092257882998</v>
      </c>
      <c r="H91" s="34">
        <f t="shared" ref="H91:W91" si="30">H90-G90</f>
        <v>0.10249995713759041</v>
      </c>
      <c r="I91" s="34">
        <f t="shared" si="30"/>
        <v>8.7823240494629529E-2</v>
      </c>
      <c r="J91" s="34">
        <f t="shared" si="30"/>
        <v>6.1389670024777354E-2</v>
      </c>
      <c r="K91" s="34">
        <f t="shared" si="30"/>
        <v>6.4660201039323795E-2</v>
      </c>
      <c r="L91" s="34">
        <f t="shared" si="30"/>
        <v>2.6500967660600727E-2</v>
      </c>
      <c r="M91" s="34">
        <f t="shared" si="30"/>
        <v>1.8518355850589696E-2</v>
      </c>
      <c r="N91" s="34">
        <f t="shared" si="30"/>
        <v>2.520078686600602E-2</v>
      </c>
      <c r="O91" s="34">
        <f t="shared" si="30"/>
        <v>1.9005814661449572E-2</v>
      </c>
      <c r="P91" s="34">
        <f t="shared" si="30"/>
        <v>8.594033816270219E-3</v>
      </c>
      <c r="Q91" s="34">
        <f t="shared" si="30"/>
        <v>-4.1110215138862927E-2</v>
      </c>
      <c r="R91" s="34">
        <f t="shared" si="30"/>
        <v>-6.6564202173918785E-2</v>
      </c>
      <c r="S91" s="34">
        <f t="shared" si="30"/>
        <v>-4.2019020763881754E-2</v>
      </c>
      <c r="T91" s="34">
        <f t="shared" si="30"/>
        <v>-4.7467743479416402E-2</v>
      </c>
      <c r="U91" s="34">
        <f t="shared" si="30"/>
        <v>-5.287499424227482E-2</v>
      </c>
      <c r="V91" s="34">
        <f t="shared" si="30"/>
        <v>-5.8566634703203002E-2</v>
      </c>
      <c r="W91" s="34">
        <f t="shared" si="30"/>
        <v>-6.4232536594428291E-2</v>
      </c>
    </row>
    <row r="92" spans="2:23" x14ac:dyDescent="0.2">
      <c r="D92" s="53"/>
    </row>
    <row r="93" spans="2:23" s="93" customFormat="1" ht="12.75" outlineLevel="1" x14ac:dyDescent="0.2">
      <c r="B93" s="94" t="s">
        <v>124</v>
      </c>
      <c r="C93" s="95"/>
      <c r="E93" s="96"/>
      <c r="F93" s="95"/>
    </row>
    <row r="94" spans="2:23" x14ac:dyDescent="0.2">
      <c r="C94" s="34"/>
      <c r="D94" s="34"/>
      <c r="E94" s="34"/>
      <c r="F94" s="34"/>
      <c r="G94" s="34"/>
      <c r="H94" s="34"/>
      <c r="I94" s="34"/>
      <c r="J94" s="34"/>
      <c r="K94" s="34"/>
      <c r="L94" s="34"/>
      <c r="M94" s="34"/>
      <c r="N94" s="34"/>
      <c r="O94" s="34"/>
      <c r="P94" s="34"/>
      <c r="Q94" s="34"/>
      <c r="R94" s="34"/>
      <c r="S94" s="34"/>
      <c r="T94" s="34"/>
      <c r="U94" s="34"/>
      <c r="V94" s="34"/>
      <c r="W94" s="34"/>
    </row>
    <row r="95" spans="2:23" x14ac:dyDescent="0.2">
      <c r="B95" s="26" t="s">
        <v>125</v>
      </c>
      <c r="D95" s="29">
        <f t="shared" ref="D95:W95" si="31">IF((D100-C100*D43/((1+D24/100)*(1+D42/100)))&gt;0,1,0)</f>
        <v>1</v>
      </c>
      <c r="E95" s="29">
        <f t="shared" si="31"/>
        <v>1</v>
      </c>
      <c r="F95" s="29">
        <f t="shared" si="31"/>
        <v>1</v>
      </c>
      <c r="G95" s="29">
        <f t="shared" si="31"/>
        <v>1</v>
      </c>
      <c r="H95" s="29">
        <f t="shared" si="31"/>
        <v>1</v>
      </c>
      <c r="I95" s="29">
        <f t="shared" si="31"/>
        <v>1</v>
      </c>
      <c r="J95" s="29">
        <f t="shared" si="31"/>
        <v>1</v>
      </c>
      <c r="K95" s="29">
        <f t="shared" si="31"/>
        <v>1</v>
      </c>
      <c r="L95" s="29">
        <f t="shared" si="31"/>
        <v>1</v>
      </c>
      <c r="M95" s="29">
        <f t="shared" si="31"/>
        <v>1</v>
      </c>
      <c r="N95" s="29">
        <f t="shared" si="31"/>
        <v>1</v>
      </c>
      <c r="O95" s="29">
        <f t="shared" si="31"/>
        <v>1</v>
      </c>
      <c r="P95" s="29">
        <f t="shared" si="31"/>
        <v>1</v>
      </c>
      <c r="Q95" s="29">
        <f t="shared" si="31"/>
        <v>1</v>
      </c>
      <c r="R95" s="29">
        <f t="shared" si="31"/>
        <v>1</v>
      </c>
      <c r="S95" s="29">
        <f t="shared" si="31"/>
        <v>0</v>
      </c>
      <c r="T95" s="29">
        <f t="shared" si="31"/>
        <v>0</v>
      </c>
      <c r="U95" s="29">
        <f t="shared" si="31"/>
        <v>0</v>
      </c>
      <c r="V95" s="29">
        <f t="shared" si="31"/>
        <v>0</v>
      </c>
      <c r="W95" s="29">
        <f t="shared" si="31"/>
        <v>0</v>
      </c>
    </row>
    <row r="96" spans="2:23" x14ac:dyDescent="0.2">
      <c r="B96" s="26" t="s">
        <v>126</v>
      </c>
      <c r="D96" s="29">
        <f t="shared" ref="D96:W96" si="32">IF(AND(D95=0,ABS(D100-C100*D43/((1+D24/100)*(1+D42/100)))&lt;((C106*C100*D43/((1+D24/100)*(1+D42/100))+(D39*C100*C107*D43/((1+D24/100)*(1+D42/100)))))),1,0)</f>
        <v>0</v>
      </c>
      <c r="E96" s="29">
        <f t="shared" si="32"/>
        <v>0</v>
      </c>
      <c r="F96" s="29">
        <f t="shared" si="32"/>
        <v>0</v>
      </c>
      <c r="G96" s="29">
        <f t="shared" si="32"/>
        <v>0</v>
      </c>
      <c r="H96" s="29">
        <f t="shared" si="32"/>
        <v>0</v>
      </c>
      <c r="I96" s="29">
        <f t="shared" si="32"/>
        <v>0</v>
      </c>
      <c r="J96" s="29">
        <f t="shared" si="32"/>
        <v>0</v>
      </c>
      <c r="K96" s="29">
        <f t="shared" si="32"/>
        <v>0</v>
      </c>
      <c r="L96" s="29">
        <f t="shared" si="32"/>
        <v>0</v>
      </c>
      <c r="M96" s="29">
        <f t="shared" si="32"/>
        <v>0</v>
      </c>
      <c r="N96" s="29">
        <f t="shared" si="32"/>
        <v>0</v>
      </c>
      <c r="O96" s="29">
        <f t="shared" si="32"/>
        <v>0</v>
      </c>
      <c r="P96" s="29">
        <f t="shared" si="32"/>
        <v>0</v>
      </c>
      <c r="Q96" s="29">
        <f t="shared" si="32"/>
        <v>0</v>
      </c>
      <c r="R96" s="29">
        <f t="shared" si="32"/>
        <v>0</v>
      </c>
      <c r="S96" s="29">
        <f t="shared" si="32"/>
        <v>1</v>
      </c>
      <c r="T96" s="29">
        <f t="shared" si="32"/>
        <v>1</v>
      </c>
      <c r="U96" s="29">
        <f t="shared" si="32"/>
        <v>1</v>
      </c>
      <c r="V96" s="29">
        <f t="shared" si="32"/>
        <v>1</v>
      </c>
      <c r="W96" s="29">
        <f t="shared" si="32"/>
        <v>1</v>
      </c>
    </row>
    <row r="98" spans="2:23" x14ac:dyDescent="0.2">
      <c r="H98" s="38"/>
      <c r="I98" s="38"/>
      <c r="J98" s="38"/>
      <c r="K98" s="38"/>
      <c r="L98" s="38"/>
      <c r="M98" s="38"/>
      <c r="N98" s="38"/>
      <c r="O98" s="38"/>
      <c r="P98" s="38"/>
      <c r="Q98" s="38"/>
      <c r="R98" s="38"/>
      <c r="S98" s="38"/>
      <c r="T98" s="38"/>
    </row>
    <row r="99" spans="2:23" x14ac:dyDescent="0.2">
      <c r="B99" s="51"/>
      <c r="C99" s="86">
        <v>2021</v>
      </c>
      <c r="D99" s="86">
        <v>2022</v>
      </c>
      <c r="E99" s="86">
        <v>2023</v>
      </c>
      <c r="F99" s="86">
        <v>2024</v>
      </c>
      <c r="G99" s="86">
        <v>2025</v>
      </c>
      <c r="H99" s="86">
        <v>2026</v>
      </c>
      <c r="I99" s="86">
        <v>2027</v>
      </c>
      <c r="J99" s="86">
        <v>2028</v>
      </c>
      <c r="K99" s="86">
        <v>2029</v>
      </c>
      <c r="L99" s="86">
        <v>2030</v>
      </c>
      <c r="M99" s="86">
        <v>2031</v>
      </c>
      <c r="N99" s="86">
        <v>2032</v>
      </c>
      <c r="O99" s="86">
        <v>2033</v>
      </c>
      <c r="P99" s="86">
        <v>2034</v>
      </c>
      <c r="Q99" s="86">
        <v>2035</v>
      </c>
      <c r="R99" s="86">
        <v>2036</v>
      </c>
      <c r="S99" s="86">
        <v>2037</v>
      </c>
      <c r="T99" s="86">
        <v>2038</v>
      </c>
      <c r="U99" s="86">
        <v>2039</v>
      </c>
      <c r="V99" s="86">
        <v>2040</v>
      </c>
      <c r="W99" s="86">
        <v>2041</v>
      </c>
    </row>
    <row r="100" spans="2:23" x14ac:dyDescent="0.2">
      <c r="B100" s="106" t="s">
        <v>104</v>
      </c>
      <c r="C100" s="110">
        <f>C57</f>
        <v>72.584819999999993</v>
      </c>
      <c r="D100" s="110">
        <f>D57</f>
        <v>73.502602251355071</v>
      </c>
      <c r="E100" s="110">
        <f>E57</f>
        <v>76.65302999481284</v>
      </c>
      <c r="F100" s="110">
        <f>F57</f>
        <v>81.633494435782467</v>
      </c>
      <c r="G100" s="110">
        <f>G57</f>
        <v>83.036232357270748</v>
      </c>
      <c r="H100" s="110">
        <f t="shared" ref="H100:W100" si="33">G100*(1+H113/100)*H43-H60-H61+H62+H63+H64+H65+H66+H72</f>
        <v>83.798901915222459</v>
      </c>
      <c r="I100" s="110">
        <f t="shared" si="33"/>
        <v>83.626528364266292</v>
      </c>
      <c r="J100" s="110">
        <f t="shared" si="33"/>
        <v>83.082444237103218</v>
      </c>
      <c r="K100" s="110">
        <f t="shared" si="33"/>
        <v>81.857796630863447</v>
      </c>
      <c r="L100" s="110">
        <f t="shared" si="33"/>
        <v>80.430586889129756</v>
      </c>
      <c r="M100" s="110">
        <f t="shared" si="33"/>
        <v>79.229975642805243</v>
      </c>
      <c r="N100" s="110">
        <f t="shared" si="33"/>
        <v>77.828327781685232</v>
      </c>
      <c r="O100" s="110">
        <f t="shared" si="33"/>
        <v>76.163492446834638</v>
      </c>
      <c r="P100" s="110">
        <f t="shared" si="33"/>
        <v>74.233814257615975</v>
      </c>
      <c r="Q100" s="110">
        <f t="shared" si="33"/>
        <v>72.366538200458919</v>
      </c>
      <c r="R100" s="110">
        <f t="shared" si="33"/>
        <v>70.037151474793575</v>
      </c>
      <c r="S100" s="110">
        <f t="shared" si="33"/>
        <v>67.555455326749438</v>
      </c>
      <c r="T100" s="110">
        <f t="shared" si="33"/>
        <v>64.904018517877702</v>
      </c>
      <c r="U100" s="110">
        <f t="shared" si="33"/>
        <v>62.067431420540075</v>
      </c>
      <c r="V100" s="110">
        <f t="shared" si="33"/>
        <v>59.045605555826803</v>
      </c>
      <c r="W100" s="110">
        <f t="shared" si="33"/>
        <v>55.854019763729852</v>
      </c>
    </row>
    <row r="101" spans="2:23" x14ac:dyDescent="0.2">
      <c r="B101" s="26" t="s">
        <v>127</v>
      </c>
      <c r="C101" s="34"/>
      <c r="D101" s="253">
        <f>'Input data'!C66*$D$100</f>
        <v>59.043892200102277</v>
      </c>
      <c r="E101" s="34">
        <f t="shared" ref="E101:W101" si="34">IF(E100=0,0,IF(E95=1,D100*E43/((1+E24/100)*(1+E42/100))-E102-E103,IF(AND(E95=0,E96=1),(1-D106-E39*D107)*D100*E43/((1+E24/100)*(1+E42/100)),E100)))</f>
        <v>61.994601188306802</v>
      </c>
      <c r="F101" s="34">
        <f t="shared" si="34"/>
        <v>65.990968052989558</v>
      </c>
      <c r="G101" s="34">
        <f t="shared" si="34"/>
        <v>68.826149590369894</v>
      </c>
      <c r="H101" s="34">
        <f t="shared" si="34"/>
        <v>69.758865740364769</v>
      </c>
      <c r="I101" s="34">
        <f t="shared" si="34"/>
        <v>70.273090619114498</v>
      </c>
      <c r="J101" s="34">
        <f t="shared" si="34"/>
        <v>70.224382422216379</v>
      </c>
      <c r="K101" s="34">
        <f t="shared" si="34"/>
        <v>69.750525646666262</v>
      </c>
      <c r="L101" s="34">
        <f t="shared" si="34"/>
        <v>68.737390873311327</v>
      </c>
      <c r="M101" s="34">
        <f t="shared" si="34"/>
        <v>67.532871306013476</v>
      </c>
      <c r="N101" s="34">
        <f t="shared" si="34"/>
        <v>66.36497512297457</v>
      </c>
      <c r="O101" s="34">
        <f t="shared" si="34"/>
        <v>65.142004282238219</v>
      </c>
      <c r="P101" s="34">
        <f t="shared" si="34"/>
        <v>63.747463355308724</v>
      </c>
      <c r="Q101" s="34">
        <f t="shared" si="34"/>
        <v>62.307284862524305</v>
      </c>
      <c r="R101" s="34">
        <f t="shared" si="34"/>
        <v>60.509657651221382</v>
      </c>
      <c r="S101" s="34">
        <f t="shared" si="34"/>
        <v>58.577204551367771</v>
      </c>
      <c r="T101" s="34">
        <f t="shared" si="34"/>
        <v>56.625247564144352</v>
      </c>
      <c r="U101" s="34">
        <f t="shared" si="34"/>
        <v>54.687145187883637</v>
      </c>
      <c r="V101" s="34">
        <f t="shared" si="34"/>
        <v>52.750627717638487</v>
      </c>
      <c r="W101" s="34">
        <f t="shared" si="34"/>
        <v>50.800023448060216</v>
      </c>
    </row>
    <row r="102" spans="2:23" x14ac:dyDescent="0.2">
      <c r="B102" s="105" t="s">
        <v>128</v>
      </c>
      <c r="C102" s="34"/>
      <c r="D102" s="253">
        <f>'Input data'!C67*$D$100</f>
        <v>2.565754915639606</v>
      </c>
      <c r="E102" s="34">
        <f t="shared" ref="E102:W102" si="35">IF(E100=0,0,IF(E95=1,E39*D100*D107*E43/((1+E24/100)*(1+E42/100)),IF(AND(E95=0,E96=1),(E39*D100*D107*E43/((1+E24/100)*(1+E42/100)))*(1-ABS(E100-D100*E43/((1+E24/100)*(1+E42/100)))/((E39*D100*D107*E43/((1+E24/100)*(1+E42/100)))+(D106*D100*E43/((1+E24/100)*(1+E42/100))))),0)))</f>
        <v>2.5447780421500283</v>
      </c>
      <c r="F102" s="34">
        <f t="shared" si="35"/>
        <v>2.1657182377668329</v>
      </c>
      <c r="G102" s="34">
        <f t="shared" si="35"/>
        <v>2.3083462422138075</v>
      </c>
      <c r="H102" s="34">
        <f t="shared" si="35"/>
        <v>2.3899523667588505</v>
      </c>
      <c r="I102" s="34">
        <f t="shared" si="35"/>
        <v>2.4583355382124465</v>
      </c>
      <c r="J102" s="34">
        <f t="shared" si="35"/>
        <v>2.5074330560159614</v>
      </c>
      <c r="K102" s="34">
        <f t="shared" si="35"/>
        <v>2.5410427660578132</v>
      </c>
      <c r="L102" s="34">
        <f t="shared" si="35"/>
        <v>2.5539988271906817</v>
      </c>
      <c r="M102" s="34">
        <f t="shared" si="35"/>
        <v>2.5583036660867502</v>
      </c>
      <c r="N102" s="34">
        <f t="shared" si="35"/>
        <v>2.5623400080566334</v>
      </c>
      <c r="O102" s="34">
        <f t="shared" si="35"/>
        <v>2.5625771057403419</v>
      </c>
      <c r="P102" s="34">
        <f t="shared" si="35"/>
        <v>2.5077182064518864</v>
      </c>
      <c r="Q102" s="34">
        <f t="shared" si="35"/>
        <v>2.4510640019266612</v>
      </c>
      <c r="R102" s="34">
        <f t="shared" si="35"/>
        <v>2.3803483648028472</v>
      </c>
      <c r="S102" s="34">
        <f t="shared" si="35"/>
        <v>2.2590116194027274</v>
      </c>
      <c r="T102" s="34">
        <f t="shared" si="35"/>
        <v>2.1129596712252541</v>
      </c>
      <c r="U102" s="34">
        <f t="shared" si="35"/>
        <v>1.9558778290752485</v>
      </c>
      <c r="V102" s="34">
        <f t="shared" si="35"/>
        <v>1.7832017041922485</v>
      </c>
      <c r="W102" s="34">
        <f t="shared" si="35"/>
        <v>1.5863828798772159</v>
      </c>
    </row>
    <row r="103" spans="2:23" x14ac:dyDescent="0.2">
      <c r="B103" s="105" t="s">
        <v>129</v>
      </c>
      <c r="C103" s="34"/>
      <c r="D103" s="253">
        <f>'Input data'!C68*$D$100</f>
        <v>6.6782974827926402</v>
      </c>
      <c r="E103" s="34">
        <f t="shared" ref="E103:W103" si="36">IF(E100=0,0,IF(E95=1,(1-D107)*D100*E43/((1+E24/100)*(1+E42/100)),IF(AND(E95=0,E96=1),(D106*D100*E43/((1+E24/100)*(1+E42/100)))*(1-ABS(E100-D100*E43/((1+E24/100)*(1+E42/100)))/((E39*D100*D107*E43/((1+E24/100)*(1+E42/100)))+(D106*D100*E43/((1+E24/100)*(1+E42/100))))),0)))</f>
        <v>6.9958716804021721</v>
      </c>
      <c r="F103" s="34">
        <f t="shared" si="36"/>
        <v>7.4467067873025625</v>
      </c>
      <c r="G103" s="34">
        <f t="shared" si="36"/>
        <v>7.8354471188957406</v>
      </c>
      <c r="H103" s="34">
        <f t="shared" si="36"/>
        <v>7.9866995324033798</v>
      </c>
      <c r="I103" s="34">
        <f t="shared" si="36"/>
        <v>8.0850514664864424</v>
      </c>
      <c r="J103" s="34">
        <f t="shared" si="36"/>
        <v>8.1100005285707937</v>
      </c>
      <c r="K103" s="34">
        <f t="shared" si="36"/>
        <v>8.0801214256033642</v>
      </c>
      <c r="L103" s="34">
        <f t="shared" si="36"/>
        <v>7.980744541841819</v>
      </c>
      <c r="M103" s="34">
        <f t="shared" si="36"/>
        <v>7.8558960385339018</v>
      </c>
      <c r="N103" s="34">
        <f t="shared" si="36"/>
        <v>7.7358143418345975</v>
      </c>
      <c r="O103" s="34">
        <f t="shared" si="36"/>
        <v>7.607848637485322</v>
      </c>
      <c r="P103" s="34">
        <f t="shared" si="36"/>
        <v>7.4516481362138611</v>
      </c>
      <c r="Q103" s="34">
        <f t="shared" si="36"/>
        <v>7.2873946594174521</v>
      </c>
      <c r="R103" s="34">
        <f t="shared" si="36"/>
        <v>7.0796111841272227</v>
      </c>
      <c r="S103" s="34">
        <f t="shared" si="36"/>
        <v>6.7192391559789373</v>
      </c>
      <c r="T103" s="34">
        <f t="shared" si="36"/>
        <v>6.1658112825080931</v>
      </c>
      <c r="U103" s="34">
        <f t="shared" si="36"/>
        <v>5.4244084035811948</v>
      </c>
      <c r="V103" s="34">
        <f t="shared" si="36"/>
        <v>4.5117761339960598</v>
      </c>
      <c r="W103" s="34">
        <f t="shared" si="36"/>
        <v>3.4676134357924155</v>
      </c>
    </row>
    <row r="104" spans="2:23" x14ac:dyDescent="0.2">
      <c r="B104" s="105" t="s">
        <v>130</v>
      </c>
      <c r="C104" s="34"/>
      <c r="D104" s="253">
        <f>'Input data'!C69*$D$100</f>
        <v>4.7046840807329859</v>
      </c>
      <c r="E104" s="34">
        <f>IF(E100=0,0,IF(E95=1,'Input data'!$C$58*(E100-D100*E43/((1+E24/100)*(1+E42/100))),0))</f>
        <v>4.5635578982814966</v>
      </c>
      <c r="F104" s="34">
        <f>IF(F100=0,0,IF(F95=1,'Input data'!$C$58*(F100-E100*F43/((1+F24/100)*(1+F42/100))),0))</f>
        <v>5.3770817823611496</v>
      </c>
      <c r="G104" s="34">
        <f>IF(G100=0,0,IF(G95=1,'Input data'!$C$58*(G100-F100*G43/((1+G24/100)*(1+G42/100))),0))</f>
        <v>3.6259375072831292</v>
      </c>
      <c r="H104" s="34">
        <f>IF(H100=0,0,IF(H95=1,'Input data'!$C$58*(H100-G100*H43/((1+H24/100)*(1+H42/100))),0))</f>
        <v>3.2666643033122917</v>
      </c>
      <c r="I104" s="34">
        <f>IF(I100=0,0,IF(I95=1,'Input data'!$C$58*(I100-H100*I43/((1+I24/100)*(1+I42/100))),0))</f>
        <v>2.5057410726018063</v>
      </c>
      <c r="J104" s="34">
        <f>IF(J100=0,0,IF(J95=1,'Input data'!$C$58*(J100-I100*J43/((1+J24/100)*(1+J42/100))),0))</f>
        <v>1.9979832051677326</v>
      </c>
      <c r="K104" s="34">
        <f>IF(K100=0,0,IF(K95=1,'Input data'!$C$58*(K100-J100*K43/((1+K24/100)*(1+K42/100))),0))</f>
        <v>1.3251713838198667</v>
      </c>
      <c r="L104" s="34">
        <f>IF(L100=0,0,IF(L95=1,'Input data'!$C$58*(L100-K100*L43/((1+L24/100)*(1+L42/100))),0))</f>
        <v>1.032999986771749</v>
      </c>
      <c r="M104" s="34">
        <f>IF(M100=0,0,IF(M95=1,'Input data'!$C$58*(M100-L100*M43/((1+M24/100)*(1+M42/100))),0))</f>
        <v>1.1439746559680273</v>
      </c>
      <c r="N104" s="34">
        <f>IF(N100=0,0,IF(N95=1,'Input data'!$C$58*(N100-M100*N43/((1+N24/100)*(1+N42/100))),0))</f>
        <v>1.0390151388029523</v>
      </c>
      <c r="O104" s="34">
        <f>IF(O100=0,0,IF(O95=1,'Input data'!$C$58*(O100-N100*O43/((1+O24/100)*(1+O42/100))),0))</f>
        <v>0.75889806325452613</v>
      </c>
      <c r="P104" s="34">
        <f>IF(P100=0,0,IF(P95=1,'Input data'!$C$58*(P100-O100*P43/((1+P24/100)*(1+P42/100))),0))</f>
        <v>0.46991566262887979</v>
      </c>
      <c r="Q104" s="34">
        <f>IF(Q100=0,0,IF(Q95=1,'Input data'!$C$58*(Q100-P100*Q43/((1+Q24/100)*(1+Q42/100))),0))</f>
        <v>0.28605476244007755</v>
      </c>
      <c r="R104" s="34">
        <f>IF(R100=0,0,IF(R95=1,'Input data'!$C$58*(R100-Q100*R43/((1+R24/100)*(1+R42/100))),0))</f>
        <v>6.0220765178025562E-2</v>
      </c>
      <c r="S104" s="34">
        <f>IF(S100=0,0,IF(S95=1,'Input data'!$C$58*(S100-R100*S43/((1+S24/100)*(1+S42/100))),0))</f>
        <v>0</v>
      </c>
      <c r="T104" s="34">
        <f>IF(T100=0,0,IF(T95=1,'Input data'!$C$58*(T100-S100*T43/((1+T24/100)*(1+T42/100))),0))</f>
        <v>0</v>
      </c>
      <c r="U104" s="34">
        <f>IF(U100=0,0,IF(U95=1,'Input data'!$C$58*(U100-T100*U43/((1+U24/100)*(1+U42/100))),0))</f>
        <v>0</v>
      </c>
      <c r="V104" s="34">
        <f>IF(V100=0,0,IF(V95=1,'Input data'!$C$58*(V100-U100*V43/((1+V24/100)*(1+V42/100))),0))</f>
        <v>0</v>
      </c>
      <c r="W104" s="34">
        <f>IF(W100=0,0,IF(W95=1,'Input data'!$C$58*(W100-V100*W43/((1+W24/100)*(1+W42/100))),0))</f>
        <v>0</v>
      </c>
    </row>
    <row r="105" spans="2:23" x14ac:dyDescent="0.2">
      <c r="B105" s="107" t="s">
        <v>131</v>
      </c>
      <c r="C105" s="49"/>
      <c r="D105" s="254">
        <f>'Input data'!C70*$D$100</f>
        <v>0.50997337211204341</v>
      </c>
      <c r="E105" s="49">
        <f>IF(E100=0,0,IF(E95=1,'Input data'!$C$57*(E100-D100*E43/((1+E24/100)*(1+E42/100))),0))</f>
        <v>0.5542211856723378</v>
      </c>
      <c r="F105" s="49">
        <f>IF(F100=0,0,IF(F95=1,'Input data'!$C$57*(F100-E100*F43/((1+F24/100)*(1+F42/100))),0))</f>
        <v>0.65301957536235933</v>
      </c>
      <c r="G105" s="49">
        <f>IF(G100=0,0,IF(G95=1,'Input data'!$C$57*(G100-F100*G43/((1+G24/100)*(1+G42/100))),0))</f>
        <v>0.44035189850817996</v>
      </c>
      <c r="H105" s="49">
        <f>IF(H100=0,0,IF(H95=1,'Input data'!$C$57*(H100-G100*H43/((1+H24/100)*(1+H42/100))),0))</f>
        <v>0.39671997238317153</v>
      </c>
      <c r="I105" s="49">
        <f>IF(I100=0,0,IF(I95=1,'Input data'!$C$57*(I100-H100*I43/((1+I24/100)*(1+I42/100))),0))</f>
        <v>0.30430966785108737</v>
      </c>
      <c r="J105" s="49">
        <f>IF(J100=0,0,IF(J95=1,'Input data'!$C$57*(J100-I100*J43/((1+J24/100)*(1+J42/100))),0))</f>
        <v>0.24264502513235664</v>
      </c>
      <c r="K105" s="49">
        <f>IF(K100=0,0,IF(K95=1,'Input data'!$C$57*(K100-J100*K43/((1+K24/100)*(1+K42/100))),0))</f>
        <v>0.16093540871613946</v>
      </c>
      <c r="L105" s="49">
        <f>IF(L100=0,0,IF(L95=1,'Input data'!$C$57*(L100-K100*L43/((1+L24/100)*(1+L42/100))),0))</f>
        <v>0.12545266001418295</v>
      </c>
      <c r="M105" s="49">
        <f>IF(M100=0,0,IF(M95=1,'Input data'!$C$57*(M100-L100*M43/((1+M24/100)*(1+M42/100))),0))</f>
        <v>0.13892997620309724</v>
      </c>
      <c r="N105" s="49">
        <f>IF(N100=0,0,IF(N95=1,'Input data'!$C$57*(N100-M100*N43/((1+N24/100)*(1+N42/100))),0))</f>
        <v>0.12618317001647486</v>
      </c>
      <c r="O105" s="49">
        <f>IF(O100=0,0,IF(O95=1,'Input data'!$C$57*(O100-N100*O43/((1+O24/100)*(1+O42/100))),0))</f>
        <v>9.2164358116229667E-2</v>
      </c>
      <c r="P105" s="49">
        <f>IF(P100=0,0,IF(P95=1,'Input data'!$C$57*(P100-O100*P43/((1+P24/100)*(1+P42/100))),0))</f>
        <v>5.7068897012625422E-2</v>
      </c>
      <c r="Q105" s="49">
        <f>IF(Q100=0,0,IF(Q95=1,'Input data'!$C$57*(Q100-P100*Q43/((1+Q24/100)*(1+Q42/100))),0))</f>
        <v>3.4739914150417446E-2</v>
      </c>
      <c r="R105" s="49">
        <f>IF(R100=0,0,IF(R95=1,'Input data'!$C$57*(R100-Q100*R43/((1+R24/100)*(1+R42/100))),0))</f>
        <v>7.3135094641023505E-3</v>
      </c>
      <c r="S105" s="49">
        <f>IF(S100=0,0,IF(S95=1,'Input data'!$C$57*(S100-R100*S43/((1+S24/100)*(1+S42/100))),0))</f>
        <v>0</v>
      </c>
      <c r="T105" s="49">
        <f>IF(T100=0,0,IF(T95=1,'Input data'!$C$57*(T100-S100*T43/((1+T24/100)*(1+T42/100))),0))</f>
        <v>0</v>
      </c>
      <c r="U105" s="49">
        <f>IF(U100=0,0,IF(U95=1,'Input data'!$C$57*(U100-T100*U43/((1+U24/100)*(1+U42/100))),0))</f>
        <v>0</v>
      </c>
      <c r="V105" s="49">
        <f>IF(V100=0,0,IF(V95=1,'Input data'!$C$57*(V100-U100*V43/((1+V24/100)*(1+V42/100))),0))</f>
        <v>0</v>
      </c>
      <c r="W105" s="49">
        <f>IF(W100=0,0,IF(W95=1,'Input data'!$C$57*(W100-V100*W43/((1+W24/100)*(1+W42/100))),0))</f>
        <v>0</v>
      </c>
    </row>
    <row r="106" spans="2:23" x14ac:dyDescent="0.2">
      <c r="B106" s="26" t="s">
        <v>73</v>
      </c>
      <c r="C106" s="36"/>
      <c r="D106" s="259">
        <f>'Baseline NFPC'!$D$93</f>
        <v>9.7796141283269952E-2</v>
      </c>
      <c r="E106" s="36">
        <f t="shared" ref="E106:W106" si="37">IF(E100&lt;&gt;0,(E103+E105)/(E101+E102+E103+E104+E105),0)</f>
        <v>9.8496991789958327E-2</v>
      </c>
      <c r="F106" s="36">
        <f t="shared" si="37"/>
        <v>9.9220625291700906E-2</v>
      </c>
      <c r="G106" s="36">
        <f t="shared" si="37"/>
        <v>9.9664914730193468E-2</v>
      </c>
      <c r="H106" s="36">
        <f t="shared" si="37"/>
        <v>0.10004211646195409</v>
      </c>
      <c r="I106" s="36">
        <f t="shared" si="37"/>
        <v>0.10031937590180191</v>
      </c>
      <c r="J106" s="36">
        <f t="shared" si="37"/>
        <v>0.10053442252933863</v>
      </c>
      <c r="K106" s="36">
        <f t="shared" si="37"/>
        <v>0.10067528291144252</v>
      </c>
      <c r="L106" s="36">
        <f t="shared" si="37"/>
        <v>0.10078500624432918</v>
      </c>
      <c r="M106" s="36">
        <f t="shared" si="37"/>
        <v>0.10090658175613106</v>
      </c>
      <c r="N106" s="36">
        <f t="shared" si="37"/>
        <v>0.1010171712015272</v>
      </c>
      <c r="O106" s="36">
        <f t="shared" si="37"/>
        <v>0.1010984757687745</v>
      </c>
      <c r="P106" s="36">
        <f t="shared" si="37"/>
        <v>0.10114955170117955</v>
      </c>
      <c r="Q106" s="36">
        <f t="shared" si="37"/>
        <v>0.10118121932660634</v>
      </c>
      <c r="R106" s="36">
        <f t="shared" si="37"/>
        <v>0.10118807724700103</v>
      </c>
      <c r="S106" s="36">
        <f t="shared" si="37"/>
        <v>9.94625692844434E-2</v>
      </c>
      <c r="T106" s="36">
        <f t="shared" si="37"/>
        <v>9.49989141398037E-2</v>
      </c>
      <c r="U106" s="36">
        <f>IF(U100&lt;&gt;0,(U103+U105)/(U101+U102+U103+U104+U105),0)</f>
        <v>8.7395406567220793E-2</v>
      </c>
      <c r="V106" s="36">
        <f t="shared" si="37"/>
        <v>7.6411717544843175E-2</v>
      </c>
      <c r="W106" s="34">
        <f t="shared" si="37"/>
        <v>6.2083507157781936E-2</v>
      </c>
    </row>
    <row r="107" spans="2:23" x14ac:dyDescent="0.2">
      <c r="B107" s="35" t="s">
        <v>74</v>
      </c>
      <c r="C107" s="108"/>
      <c r="D107" s="260">
        <f>'Baseline NFPC'!$D$94</f>
        <v>0.90220385626214106</v>
      </c>
      <c r="E107" s="108">
        <f t="shared" ref="E107:W107" si="38">IF(E100&lt;&gt;0,(E101+E102+E104)/(E101+E102+E103+E104+E105),1)</f>
        <v>0.9015030082100417</v>
      </c>
      <c r="F107" s="108">
        <f t="shared" si="38"/>
        <v>0.90077937470829905</v>
      </c>
      <c r="G107" s="108">
        <f t="shared" si="38"/>
        <v>0.90033508526980643</v>
      </c>
      <c r="H107" s="108">
        <f t="shared" si="38"/>
        <v>0.89995788353804596</v>
      </c>
      <c r="I107" s="108">
        <f t="shared" si="38"/>
        <v>0.89968062409819805</v>
      </c>
      <c r="J107" s="108">
        <f t="shared" si="38"/>
        <v>0.89946557747066136</v>
      </c>
      <c r="K107" s="108">
        <f t="shared" si="38"/>
        <v>0.89932471708855743</v>
      </c>
      <c r="L107" s="108">
        <f t="shared" si="38"/>
        <v>0.89921499375567115</v>
      </c>
      <c r="M107" s="108">
        <f t="shared" si="38"/>
        <v>0.8990934182438689</v>
      </c>
      <c r="N107" s="108">
        <f t="shared" si="38"/>
        <v>0.8989828287984728</v>
      </c>
      <c r="O107" s="108">
        <f t="shared" si="38"/>
        <v>0.89890152423122549</v>
      </c>
      <c r="P107" s="108">
        <f t="shared" si="38"/>
        <v>0.89885044829882044</v>
      </c>
      <c r="Q107" s="108">
        <f t="shared" si="38"/>
        <v>0.89881878067339349</v>
      </c>
      <c r="R107" s="108">
        <f t="shared" si="38"/>
        <v>0.89881192275299904</v>
      </c>
      <c r="S107" s="108">
        <f t="shared" si="38"/>
        <v>0.90053743071555659</v>
      </c>
      <c r="T107" s="108">
        <f t="shared" si="38"/>
        <v>0.90500108586019623</v>
      </c>
      <c r="U107" s="108">
        <f t="shared" si="38"/>
        <v>0.91260459343277922</v>
      </c>
      <c r="V107" s="108">
        <f t="shared" si="38"/>
        <v>0.92358828245515689</v>
      </c>
      <c r="W107" s="49">
        <f t="shared" si="38"/>
        <v>0.93791649284221812</v>
      </c>
    </row>
    <row r="108" spans="2:23" x14ac:dyDescent="0.2">
      <c r="C108" s="38"/>
      <c r="D108" s="38"/>
      <c r="E108" s="38"/>
      <c r="F108" s="38"/>
      <c r="G108" s="38"/>
      <c r="H108" s="38"/>
      <c r="I108" s="38"/>
      <c r="J108" s="38"/>
      <c r="K108" s="38"/>
      <c r="L108" s="38"/>
      <c r="M108" s="38"/>
      <c r="N108" s="38"/>
      <c r="O108" s="38"/>
      <c r="P108" s="38"/>
      <c r="Q108" s="38"/>
      <c r="R108" s="38"/>
      <c r="S108" s="38"/>
      <c r="T108" s="38"/>
      <c r="U108" s="38"/>
      <c r="V108" s="38"/>
      <c r="W108" s="38"/>
    </row>
    <row r="109" spans="2:23" x14ac:dyDescent="0.2">
      <c r="B109" s="113" t="s">
        <v>132</v>
      </c>
      <c r="C109" s="115">
        <f>'Baseline NFPC'!C96</f>
        <v>0.73297140000000005</v>
      </c>
      <c r="D109" s="115">
        <f>'Baseline NFPC'!D96</f>
        <v>0.83926920000000005</v>
      </c>
      <c r="E109" s="115">
        <f>'Baseline NFPC'!E96</f>
        <v>1.5804370000000001</v>
      </c>
      <c r="F109" s="115">
        <f>'Baseline NFPC'!F96</f>
        <v>1.6625099999999999</v>
      </c>
      <c r="G109" s="115">
        <f>'Baseline NFPC'!G96</f>
        <v>1.8895660000000001</v>
      </c>
      <c r="H109" s="115">
        <f>H111</f>
        <v>2.0234358041395208</v>
      </c>
      <c r="I109" s="115">
        <f t="shared" ref="I109:V109" si="39">I111</f>
        <v>2.1138808071201276</v>
      </c>
      <c r="J109" s="115">
        <f t="shared" si="39"/>
        <v>2.1944387386174897</v>
      </c>
      <c r="K109" s="115">
        <f t="shared" si="39"/>
        <v>2.2693553494073893</v>
      </c>
      <c r="L109" s="115">
        <f t="shared" si="39"/>
        <v>2.3365209461495962</v>
      </c>
      <c r="M109" s="115">
        <f t="shared" si="39"/>
        <v>2.4015536652489278</v>
      </c>
      <c r="N109" s="115">
        <f t="shared" si="39"/>
        <v>2.4705627398611454</v>
      </c>
      <c r="O109" s="115">
        <f t="shared" si="39"/>
        <v>2.5400549662020193</v>
      </c>
      <c r="P109" s="115">
        <f t="shared" si="39"/>
        <v>2.6070345986710342</v>
      </c>
      <c r="Q109" s="115">
        <f t="shared" si="39"/>
        <v>2.6179155395777522</v>
      </c>
      <c r="R109" s="115">
        <f t="shared" si="39"/>
        <v>2.6004608656595969</v>
      </c>
      <c r="S109" s="115">
        <f t="shared" si="39"/>
        <v>2.6241952676620182</v>
      </c>
      <c r="T109" s="115">
        <f t="shared" si="39"/>
        <v>2.6472338187993221</v>
      </c>
      <c r="U109" s="115">
        <f t="shared" si="39"/>
        <v>2.6704483837081456</v>
      </c>
      <c r="V109" s="115">
        <f t="shared" si="39"/>
        <v>2.6942551361374747</v>
      </c>
      <c r="W109" s="115">
        <f>W111</f>
        <v>2.719020044408738</v>
      </c>
    </row>
    <row r="110" spans="2:23" x14ac:dyDescent="0.2">
      <c r="B110" s="33" t="s">
        <v>133</v>
      </c>
      <c r="C110" s="34"/>
      <c r="D110" s="34"/>
      <c r="E110" s="265">
        <f>((E36*D100)-(E38*(D103+D105)))/(D101+D102+D104)</f>
        <v>1.4177502428446209</v>
      </c>
      <c r="F110" s="265">
        <f>((F36*E100)-(F38*(E103+E105)))/(E101+E102+E104)</f>
        <v>1.4790886520230091</v>
      </c>
      <c r="G110" s="265">
        <f>((G36*F100)-(G38*(F103+F105)))/(F101+F102+F104)</f>
        <v>1.8421740334741226</v>
      </c>
      <c r="H110" s="34">
        <f t="shared" ref="H110:W110" si="40">IF(G100&gt;0,(G110*G101+H37*(G104+G102))/(G101+G102+G104),H37)</f>
        <v>1.938119358703263</v>
      </c>
      <c r="I110" s="34">
        <f t="shared" si="40"/>
        <v>2.0283028201480056</v>
      </c>
      <c r="J110" s="34">
        <f t="shared" si="40"/>
        <v>2.1075922184703608</v>
      </c>
      <c r="K110" s="34">
        <f t="shared" si="40"/>
        <v>2.1806640088299987</v>
      </c>
      <c r="L110" s="34">
        <f t="shared" si="40"/>
        <v>2.2451833389086939</v>
      </c>
      <c r="M110" s="34">
        <f t="shared" si="40"/>
        <v>2.3073551704313555</v>
      </c>
      <c r="N110" s="34">
        <f t="shared" si="40"/>
        <v>2.3739302604093471</v>
      </c>
      <c r="O110" s="34">
        <f t="shared" si="40"/>
        <v>2.441048557434168</v>
      </c>
      <c r="P110" s="34">
        <f t="shared" si="40"/>
        <v>2.5053988089884296</v>
      </c>
      <c r="Q110" s="34">
        <f t="shared" si="40"/>
        <v>2.5657158857748077</v>
      </c>
      <c r="R110" s="34">
        <f t="shared" si="40"/>
        <v>2.5985791645862033</v>
      </c>
      <c r="S110" s="34">
        <f t="shared" si="40"/>
        <v>2.6290725929887104</v>
      </c>
      <c r="T110" s="34">
        <f t="shared" si="40"/>
        <v>2.6585731096477239</v>
      </c>
      <c r="U110" s="34">
        <f t="shared" si="40"/>
        <v>2.6874731537137819</v>
      </c>
      <c r="V110" s="34">
        <f t="shared" si="40"/>
        <v>2.715543331521943</v>
      </c>
      <c r="W110" s="34">
        <f t="shared" si="40"/>
        <v>2.7424639171369649</v>
      </c>
    </row>
    <row r="111" spans="2:23" x14ac:dyDescent="0.2">
      <c r="B111" s="35" t="s">
        <v>63</v>
      </c>
      <c r="C111" s="49"/>
      <c r="D111" s="49"/>
      <c r="E111" s="49">
        <f t="shared" ref="E111:W111" si="41">(E110*(D101+D102+D104)+E38*(D103+D105))/D100</f>
        <v>1.6145404999999999</v>
      </c>
      <c r="F111" s="49">
        <f t="shared" si="41"/>
        <v>1.6598219000000001</v>
      </c>
      <c r="G111" s="49">
        <f t="shared" si="41"/>
        <v>1.9277427</v>
      </c>
      <c r="H111" s="49">
        <f t="shared" si="41"/>
        <v>2.0234358041395208</v>
      </c>
      <c r="I111" s="49">
        <f t="shared" si="41"/>
        <v>2.1138808071201276</v>
      </c>
      <c r="J111" s="49">
        <f t="shared" si="41"/>
        <v>2.1944387386174897</v>
      </c>
      <c r="K111" s="49">
        <f t="shared" si="41"/>
        <v>2.2693553494073893</v>
      </c>
      <c r="L111" s="49">
        <f t="shared" si="41"/>
        <v>2.3365209461495962</v>
      </c>
      <c r="M111" s="49">
        <f t="shared" si="41"/>
        <v>2.4015536652489278</v>
      </c>
      <c r="N111" s="49">
        <f t="shared" si="41"/>
        <v>2.4705627398611454</v>
      </c>
      <c r="O111" s="49">
        <f t="shared" si="41"/>
        <v>2.5400549662020193</v>
      </c>
      <c r="P111" s="49">
        <f t="shared" si="41"/>
        <v>2.6070345986710342</v>
      </c>
      <c r="Q111" s="49">
        <f t="shared" si="41"/>
        <v>2.6179155395777522</v>
      </c>
      <c r="R111" s="49">
        <f t="shared" si="41"/>
        <v>2.6004608656595969</v>
      </c>
      <c r="S111" s="49">
        <f t="shared" si="41"/>
        <v>2.6241952676620182</v>
      </c>
      <c r="T111" s="49">
        <f t="shared" si="41"/>
        <v>2.6472338187993221</v>
      </c>
      <c r="U111" s="49">
        <f t="shared" si="41"/>
        <v>2.6704483837081456</v>
      </c>
      <c r="V111" s="49">
        <f t="shared" si="41"/>
        <v>2.6942551361374747</v>
      </c>
      <c r="W111" s="49">
        <f t="shared" si="41"/>
        <v>2.719020044408738</v>
      </c>
    </row>
    <row r="112" spans="2:23" x14ac:dyDescent="0.2">
      <c r="C112" s="38"/>
      <c r="D112" s="38"/>
      <c r="E112" s="38"/>
      <c r="F112" s="38"/>
      <c r="G112" s="34"/>
      <c r="H112" s="34"/>
      <c r="I112" s="34"/>
      <c r="J112" s="34"/>
      <c r="K112" s="34"/>
      <c r="L112" s="34"/>
      <c r="M112" s="34"/>
      <c r="N112" s="34"/>
      <c r="O112" s="34"/>
      <c r="P112" s="34"/>
      <c r="Q112" s="34"/>
      <c r="R112" s="34"/>
      <c r="S112" s="34"/>
      <c r="T112" s="34"/>
      <c r="U112" s="34"/>
      <c r="V112" s="34"/>
      <c r="W112" s="34"/>
    </row>
    <row r="113" spans="2:25" x14ac:dyDescent="0.2">
      <c r="B113" s="113" t="s">
        <v>186</v>
      </c>
      <c r="C113" s="115">
        <f t="shared" ref="C113:W113" si="42">((1+C109/100)/((1+C24/100)*(1+C42/100))-1)*100</f>
        <v>-4.3409713213587997</v>
      </c>
      <c r="D113" s="115">
        <f t="shared" si="42"/>
        <v>-5.6800447395316649</v>
      </c>
      <c r="E113" s="115">
        <f t="shared" si="42"/>
        <v>-1.0822332133910706</v>
      </c>
      <c r="F113" s="115">
        <f t="shared" si="42"/>
        <v>0.2512614808316771</v>
      </c>
      <c r="G113" s="115">
        <f t="shared" si="42"/>
        <v>-1.4449566328884833</v>
      </c>
      <c r="H113" s="115">
        <f t="shared" si="42"/>
        <v>-1.5405611811588948</v>
      </c>
      <c r="I113" s="115">
        <f t="shared" si="42"/>
        <v>-1.5203782541419075</v>
      </c>
      <c r="J113" s="115">
        <f t="shared" si="42"/>
        <v>-1.2085737023610266</v>
      </c>
      <c r="K113" s="115">
        <f t="shared" si="42"/>
        <v>-1.0674158231186559</v>
      </c>
      <c r="L113" s="115">
        <f t="shared" si="42"/>
        <v>-0.89600795241889797</v>
      </c>
      <c r="M113" s="115">
        <f t="shared" si="42"/>
        <v>-0.76037632117319509</v>
      </c>
      <c r="N113" s="115">
        <f t="shared" si="42"/>
        <v>-0.84921830722839431</v>
      </c>
      <c r="O113" s="115">
        <f t="shared" si="42"/>
        <v>-0.7746801895620492</v>
      </c>
      <c r="P113" s="115">
        <f t="shared" si="42"/>
        <v>-0.70256783120069555</v>
      </c>
      <c r="Q113" s="115">
        <f t="shared" si="42"/>
        <v>-0.40678769028884565</v>
      </c>
      <c r="R113" s="115">
        <f t="shared" si="42"/>
        <v>-0.79786666810883755</v>
      </c>
      <c r="S113" s="115">
        <f t="shared" si="42"/>
        <v>-0.74827849014040826</v>
      </c>
      <c r="T113" s="115">
        <f t="shared" si="42"/>
        <v>-0.69934569833777216</v>
      </c>
      <c r="U113" s="115">
        <f t="shared" si="42"/>
        <v>-0.65020744346083736</v>
      </c>
      <c r="V113" s="115">
        <f t="shared" si="42"/>
        <v>-0.60047747351021918</v>
      </c>
      <c r="W113" s="115">
        <f t="shared" si="42"/>
        <v>-0.54978523024687975</v>
      </c>
    </row>
    <row r="114" spans="2:25" x14ac:dyDescent="0.2">
      <c r="F114" s="34"/>
      <c r="G114" s="34"/>
      <c r="H114" s="34"/>
      <c r="I114" s="34"/>
      <c r="J114" s="34"/>
      <c r="K114" s="34"/>
      <c r="L114" s="34"/>
      <c r="M114" s="34"/>
      <c r="N114" s="34"/>
      <c r="O114" s="34"/>
      <c r="P114" s="34"/>
      <c r="Q114" s="34"/>
      <c r="R114" s="34"/>
      <c r="S114" s="34"/>
      <c r="T114" s="34"/>
      <c r="U114" s="34"/>
      <c r="V114" s="34"/>
      <c r="W114" s="34"/>
    </row>
    <row r="115" spans="2:25" x14ac:dyDescent="0.2">
      <c r="F115" s="34"/>
      <c r="G115" s="34"/>
      <c r="H115" s="252"/>
      <c r="I115" s="252"/>
      <c r="J115" s="252"/>
      <c r="K115" s="252"/>
      <c r="L115" s="252"/>
      <c r="M115" s="252"/>
      <c r="N115" s="252"/>
      <c r="O115" s="252"/>
      <c r="P115" s="252"/>
      <c r="Q115" s="252"/>
      <c r="R115" s="252"/>
      <c r="S115" s="252"/>
      <c r="T115" s="252"/>
      <c r="U115" s="34"/>
      <c r="V115" s="34"/>
      <c r="W115" s="34"/>
    </row>
    <row r="116" spans="2:25" x14ac:dyDescent="0.2">
      <c r="T116" s="62"/>
      <c r="U116" s="62"/>
      <c r="V116" s="62"/>
      <c r="W116" s="62"/>
      <c r="X116" s="62"/>
      <c r="Y116" s="62"/>
    </row>
    <row r="117" spans="2:25" x14ac:dyDescent="0.2">
      <c r="T117" s="62"/>
      <c r="U117" s="116"/>
      <c r="V117" s="116"/>
      <c r="W117" s="116"/>
      <c r="X117" s="116"/>
      <c r="Y117" s="62"/>
    </row>
    <row r="118" spans="2:25" x14ac:dyDescent="0.2">
      <c r="H118" s="121"/>
      <c r="I118" s="121"/>
      <c r="J118" s="121"/>
      <c r="K118" s="121"/>
      <c r="L118" s="121"/>
      <c r="M118" s="121"/>
      <c r="N118" s="121"/>
      <c r="O118" s="121"/>
      <c r="P118" s="121"/>
      <c r="Q118" s="121"/>
      <c r="R118" s="121"/>
      <c r="S118" s="121"/>
      <c r="T118" s="121"/>
      <c r="U118" s="121"/>
      <c r="V118" s="121"/>
      <c r="W118" s="121"/>
    </row>
    <row r="119" spans="2:25"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2:25" x14ac:dyDescent="0.2">
      <c r="E120" s="34"/>
      <c r="F120" s="34"/>
      <c r="G120" s="121"/>
      <c r="H120" s="121"/>
      <c r="I120" s="121"/>
      <c r="J120" s="121"/>
      <c r="K120" s="121"/>
      <c r="L120" s="121"/>
      <c r="M120" s="121"/>
      <c r="N120" s="121"/>
      <c r="O120" s="121"/>
      <c r="P120" s="121"/>
      <c r="Q120" s="121"/>
      <c r="R120" s="121"/>
      <c r="S120" s="121"/>
      <c r="T120" s="121"/>
      <c r="U120" s="121"/>
      <c r="V120" s="121"/>
      <c r="W120" s="121"/>
    </row>
    <row r="123" spans="2:25"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2:25" x14ac:dyDescent="0.2">
      <c r="E124" s="34"/>
      <c r="F124" s="34"/>
      <c r="G124" s="121"/>
      <c r="H124" s="121"/>
      <c r="I124" s="121"/>
      <c r="J124" s="121"/>
      <c r="K124" s="121"/>
      <c r="L124" s="121"/>
      <c r="M124" s="121"/>
      <c r="N124" s="121"/>
      <c r="O124" s="121"/>
      <c r="P124" s="121"/>
      <c r="Q124" s="121"/>
      <c r="R124" s="121"/>
      <c r="S124" s="121"/>
      <c r="T124" s="121"/>
      <c r="U124" s="121"/>
      <c r="V124" s="121"/>
      <c r="W124" s="121"/>
      <c r="X124" s="53"/>
    </row>
    <row r="125" spans="2:25" x14ac:dyDescent="0.2">
      <c r="G125" s="53"/>
      <c r="H125" s="53"/>
      <c r="I125" s="53"/>
      <c r="J125" s="53"/>
      <c r="K125" s="53"/>
      <c r="L125" s="53"/>
      <c r="M125" s="53"/>
      <c r="N125" s="53"/>
      <c r="O125" s="53"/>
      <c r="P125" s="53"/>
      <c r="Q125" s="53"/>
      <c r="R125" s="53"/>
      <c r="S125" s="53"/>
      <c r="T125" s="53"/>
      <c r="U125" s="53"/>
      <c r="V125" s="53"/>
      <c r="W125" s="53"/>
      <c r="X125" s="53"/>
    </row>
    <row r="126" spans="2:25" x14ac:dyDescent="0.2">
      <c r="E126" s="34"/>
      <c r="F126" s="34"/>
      <c r="G126" s="121"/>
      <c r="H126" s="121"/>
      <c r="I126" s="121"/>
      <c r="J126" s="121"/>
      <c r="K126" s="121"/>
      <c r="L126" s="121"/>
      <c r="M126" s="121"/>
      <c r="N126" s="121"/>
      <c r="O126" s="121"/>
      <c r="P126" s="121"/>
      <c r="Q126" s="121"/>
      <c r="R126" s="121"/>
      <c r="S126" s="121"/>
      <c r="T126" s="121"/>
      <c r="U126" s="121"/>
      <c r="V126" s="121"/>
      <c r="W126" s="121"/>
      <c r="X126" s="53"/>
    </row>
    <row r="127" spans="2:25" x14ac:dyDescent="0.2">
      <c r="E127" s="34"/>
      <c r="F127" s="34"/>
      <c r="G127" s="121"/>
      <c r="H127" s="121"/>
      <c r="I127" s="121"/>
      <c r="J127" s="121"/>
      <c r="K127" s="121"/>
      <c r="L127" s="121"/>
      <c r="M127" s="121"/>
      <c r="N127" s="121"/>
      <c r="O127" s="121"/>
      <c r="P127" s="121"/>
      <c r="Q127" s="121"/>
      <c r="R127" s="121"/>
      <c r="S127" s="121"/>
      <c r="T127" s="121"/>
      <c r="U127" s="121"/>
      <c r="V127" s="121"/>
      <c r="W127" s="121"/>
      <c r="X127" s="53"/>
    </row>
    <row r="128" spans="2:25" x14ac:dyDescent="0.2">
      <c r="G128" s="53"/>
      <c r="H128" s="53"/>
      <c r="I128" s="53"/>
      <c r="J128" s="53"/>
      <c r="K128" s="53"/>
      <c r="L128" s="53"/>
      <c r="M128" s="53"/>
      <c r="N128" s="53"/>
      <c r="O128" s="53"/>
      <c r="P128" s="53"/>
      <c r="Q128" s="53"/>
      <c r="R128" s="53"/>
      <c r="S128" s="53"/>
      <c r="T128" s="53"/>
      <c r="U128" s="53"/>
      <c r="V128" s="53"/>
      <c r="W128" s="53"/>
      <c r="X128" s="53"/>
    </row>
    <row r="129" spans="5:24" x14ac:dyDescent="0.2">
      <c r="E129" s="34"/>
      <c r="F129" s="34"/>
      <c r="G129" s="121"/>
      <c r="H129" s="121"/>
      <c r="I129" s="121"/>
      <c r="J129" s="121"/>
      <c r="K129" s="121"/>
      <c r="L129" s="121"/>
      <c r="M129" s="121"/>
      <c r="N129" s="121"/>
      <c r="O129" s="121"/>
      <c r="P129" s="121"/>
      <c r="Q129" s="121"/>
      <c r="R129" s="121"/>
      <c r="S129" s="121"/>
      <c r="T129" s="121"/>
      <c r="U129" s="121"/>
      <c r="V129" s="121"/>
      <c r="W129" s="121"/>
      <c r="X129" s="121"/>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121"/>
    </row>
    <row r="131" spans="5:24" x14ac:dyDescent="0.2">
      <c r="G131" s="121"/>
      <c r="H131" s="121"/>
      <c r="I131" s="121"/>
      <c r="J131" s="121"/>
      <c r="K131" s="121"/>
      <c r="L131" s="121"/>
      <c r="M131" s="121"/>
      <c r="N131" s="121"/>
      <c r="O131" s="121"/>
      <c r="P131" s="121"/>
      <c r="Q131" s="121"/>
      <c r="R131" s="121"/>
      <c r="S131" s="121"/>
      <c r="T131" s="121"/>
      <c r="U131" s="121"/>
      <c r="V131" s="121"/>
      <c r="W131" s="121"/>
      <c r="X131" s="121"/>
    </row>
    <row r="132" spans="5:24" x14ac:dyDescent="0.2">
      <c r="E132" s="34"/>
      <c r="F132" s="34"/>
      <c r="G132" s="121"/>
      <c r="H132" s="121"/>
      <c r="I132" s="121"/>
      <c r="J132" s="121"/>
      <c r="K132" s="121"/>
      <c r="L132" s="121"/>
      <c r="M132" s="121"/>
      <c r="N132" s="121"/>
      <c r="O132" s="121"/>
      <c r="P132" s="121"/>
      <c r="Q132" s="121"/>
      <c r="R132" s="121"/>
      <c r="S132" s="121"/>
      <c r="T132" s="121"/>
      <c r="U132" s="121"/>
      <c r="V132" s="121"/>
      <c r="W132" s="121"/>
      <c r="X132" s="121"/>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sheetData>
  <conditionalFormatting sqref="G12:M12">
    <cfRule type="expression" dxfId="35" priority="2">
      <formula>AND(G10&gt;$C$5,G10&lt;=$C$6)</formula>
    </cfRule>
  </conditionalFormatting>
  <conditionalFormatting sqref="U10:W44 U46:W53 U55:W92 U94:W150">
    <cfRule type="expression" dxfId="32" priority="1">
      <formula>U$10&gt;$C$7</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 id="{14AA157E-0F27-4015-AC6A-E66078E6E481}">
            <xm:f>OR('Criteria results'!#REF!=7,'Criteria results'!#REF!=10)</xm:f>
            <x14:dxf>
              <font>
                <color theme="0"/>
              </font>
            </x14:dxf>
          </x14:cfRule>
          <xm:sqref>K83:M83</xm:sqref>
        </x14:conditionalFormatting>
        <x14:conditionalFormatting xmlns:xm="http://schemas.microsoft.com/office/excel/2006/main">
          <x14:cfRule type="expression" priority="4" id="{C4D2E904-6C68-49F4-82F8-ABE4736356C2}">
            <xm:f>'Criteria results'!#REF!=10</xm:f>
            <x14:dxf>
              <font>
                <color theme="0"/>
              </font>
            </x14:dxf>
          </x14:cfRule>
          <xm:sqref>N83:P83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BD62-F475-4E99-9E07-BEAA4AE832C8}">
  <sheetPr codeName="Sheet18">
    <tabColor rgb="FF92D050"/>
  </sheetPr>
  <dimension ref="A1:AY139"/>
  <sheetViews>
    <sheetView topLeftCell="A18" zoomScaleNormal="100" workbookViewId="0">
      <selection activeCell="J57" sqref="J57"/>
    </sheetView>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J5" s="53"/>
      <c r="M5" s="38"/>
    </row>
    <row r="6" spans="1:51" x14ac:dyDescent="0.2">
      <c r="A6" s="29"/>
      <c r="B6" s="65" t="s">
        <v>44</v>
      </c>
      <c r="C6" s="23">
        <f>+C5+'Criteria results'!$F$5</f>
        <v>2031</v>
      </c>
      <c r="E6" s="43"/>
      <c r="F6" s="29"/>
    </row>
    <row r="7" spans="1:51" x14ac:dyDescent="0.2">
      <c r="A7" s="29"/>
      <c r="B7" s="24" t="s">
        <v>39</v>
      </c>
      <c r="C7" s="66">
        <f>C5+'Criteria results'!$F$5+10</f>
        <v>2041</v>
      </c>
      <c r="E7" s="43"/>
      <c r="F7" s="29"/>
      <c r="G7" s="53"/>
      <c r="H7" s="53"/>
      <c r="I7" s="53"/>
      <c r="J7" s="53"/>
      <c r="K7" s="53"/>
      <c r="L7" s="53"/>
      <c r="M7" s="53"/>
    </row>
    <row r="8" spans="1:51" x14ac:dyDescent="0.2">
      <c r="A8" s="29"/>
      <c r="C8" s="29"/>
      <c r="E8" s="43"/>
      <c r="F8" s="29"/>
      <c r="G8" s="29"/>
      <c r="H8" s="29"/>
      <c r="I8" s="29"/>
      <c r="J8" s="29"/>
      <c r="K8" s="29"/>
      <c r="L8" s="29"/>
      <c r="M8" s="29"/>
      <c r="N8" s="29"/>
      <c r="O8" s="29"/>
      <c r="P8" s="29"/>
      <c r="Q8" s="29"/>
      <c r="R8" s="29"/>
      <c r="S8" s="29"/>
      <c r="T8" s="29"/>
      <c r="U8" s="29"/>
      <c r="V8" s="29"/>
      <c r="W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62"/>
      <c r="G11" s="262"/>
      <c r="H11" s="262"/>
      <c r="I11" s="262"/>
      <c r="J11" s="262"/>
      <c r="K11" s="262"/>
      <c r="L11" s="262"/>
      <c r="M11" s="262"/>
      <c r="N11" s="262"/>
      <c r="O11" s="262"/>
      <c r="P11" s="262"/>
      <c r="Q11" s="262"/>
      <c r="R11" s="262"/>
      <c r="S11" s="262"/>
      <c r="T11" s="262"/>
      <c r="U11" s="262"/>
      <c r="V11" s="262"/>
      <c r="W11" s="262"/>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-0.3391101166058319</v>
      </c>
      <c r="F12" s="2">
        <f>'Input data'!F13</f>
        <v>-0.3744433445451063</v>
      </c>
      <c r="G12" s="3">
        <f>IF(G10&lt;=$C$6,F12+'Criteria results'!$F$6,F12)</f>
        <v>-0.27444334454510633</v>
      </c>
      <c r="H12" s="3">
        <f>IF(H10&lt;=$C$6,G12+'Criteria results'!$F$6,G12)</f>
        <v>-0.17444334454510632</v>
      </c>
      <c r="I12" s="3">
        <f>IF(I10&lt;=$C$6,H12+'Criteria results'!$F$6,H12)</f>
        <v>-7.4443344545106316E-2</v>
      </c>
      <c r="J12" s="3">
        <f>IF(J10&lt;=$C$6,I12+'Criteria results'!$F$6,I12)</f>
        <v>2.555665545489369E-2</v>
      </c>
      <c r="K12" s="119">
        <f>IF(K10&lt;=$C$6,J12+'Criteria results'!$F$6,J12)</f>
        <v>0.1255566554548937</v>
      </c>
      <c r="L12" s="119">
        <f>IF(L10&lt;=$C$6,K12+'Criteria results'!$F$6,K12)</f>
        <v>0.2255566554548937</v>
      </c>
      <c r="M12" s="119">
        <f>IF(M10&lt;=$C$6,L12+'Criteria results'!$F$6,L12)</f>
        <v>0.32555665545489371</v>
      </c>
      <c r="N12" s="119">
        <f>M12</f>
        <v>0.32555665545489371</v>
      </c>
      <c r="O12" s="119">
        <f t="shared" ref="O12:W12" si="0">N12</f>
        <v>0.32555665545489371</v>
      </c>
      <c r="P12" s="119">
        <f t="shared" si="0"/>
        <v>0.32555665545489371</v>
      </c>
      <c r="Q12" s="119">
        <f t="shared" si="0"/>
        <v>0.32555665545489371</v>
      </c>
      <c r="R12" s="119">
        <f t="shared" si="0"/>
        <v>0.32555665545489371</v>
      </c>
      <c r="S12" s="119">
        <f t="shared" si="0"/>
        <v>0.32555665545489371</v>
      </c>
      <c r="T12" s="119">
        <f t="shared" si="0"/>
        <v>0.32555665545489371</v>
      </c>
      <c r="U12" s="119">
        <f t="shared" si="0"/>
        <v>0.32555665545489371</v>
      </c>
      <c r="V12" s="119">
        <f t="shared" si="0"/>
        <v>0.32555665545489371</v>
      </c>
      <c r="W12" s="119">
        <f t="shared" si="0"/>
        <v>0.32555665545489371</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301" t="s">
        <v>192</v>
      </c>
      <c r="C13" s="29"/>
      <c r="D13" s="29"/>
      <c r="E13" s="29"/>
      <c r="F13" s="262"/>
      <c r="G13" s="262">
        <f>G12-F12</f>
        <v>9.9999999999999978E-2</v>
      </c>
      <c r="H13" s="262">
        <f t="shared" ref="H13:W13" si="1">H12-G12</f>
        <v>0.1</v>
      </c>
      <c r="I13" s="262">
        <f t="shared" si="1"/>
        <v>0.1</v>
      </c>
      <c r="J13" s="262">
        <f t="shared" si="1"/>
        <v>0.1</v>
      </c>
      <c r="K13" s="262">
        <f t="shared" si="1"/>
        <v>0.1</v>
      </c>
      <c r="L13" s="262">
        <f t="shared" si="1"/>
        <v>0.1</v>
      </c>
      <c r="M13" s="262">
        <f t="shared" si="1"/>
        <v>0.1</v>
      </c>
      <c r="N13" s="262">
        <f t="shared" si="1"/>
        <v>0</v>
      </c>
      <c r="O13" s="262">
        <f t="shared" si="1"/>
        <v>0</v>
      </c>
      <c r="P13" s="262">
        <f t="shared" si="1"/>
        <v>0</v>
      </c>
      <c r="Q13" s="262">
        <f t="shared" si="1"/>
        <v>0</v>
      </c>
      <c r="R13" s="262">
        <f t="shared" si="1"/>
        <v>0</v>
      </c>
      <c r="S13" s="262">
        <f t="shared" si="1"/>
        <v>0</v>
      </c>
      <c r="T13" s="262">
        <f t="shared" si="1"/>
        <v>0</v>
      </c>
      <c r="U13" s="262">
        <f t="shared" si="1"/>
        <v>0</v>
      </c>
      <c r="V13" s="262">
        <f t="shared" si="1"/>
        <v>0</v>
      </c>
      <c r="W13" s="262">
        <f t="shared" si="1"/>
        <v>0</v>
      </c>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1" x14ac:dyDescent="0.2">
      <c r="B14" s="26" t="s">
        <v>49</v>
      </c>
      <c r="C14" s="1">
        <f>'Input data'!C14</f>
        <v>0</v>
      </c>
      <c r="D14" s="2">
        <f>'Input data'!D14</f>
        <v>0</v>
      </c>
      <c r="E14" s="2">
        <f>'Input data'!E14</f>
        <v>0</v>
      </c>
      <c r="F14" s="2">
        <f>'Input data'!F14</f>
        <v>0</v>
      </c>
      <c r="G14" s="2">
        <f>'Input data'!G14</f>
        <v>0</v>
      </c>
      <c r="H14" s="2">
        <f>0</f>
        <v>0</v>
      </c>
      <c r="I14" s="2">
        <f>0</f>
        <v>0</v>
      </c>
      <c r="J14" s="2">
        <f>0</f>
        <v>0</v>
      </c>
      <c r="K14" s="2">
        <f>0</f>
        <v>0</v>
      </c>
      <c r="L14" s="2">
        <f>0</f>
        <v>0</v>
      </c>
      <c r="M14" s="2">
        <f>0</f>
        <v>0</v>
      </c>
      <c r="N14" s="2">
        <f>0</f>
        <v>0</v>
      </c>
      <c r="O14" s="2">
        <f>0</f>
        <v>0</v>
      </c>
      <c r="P14" s="2">
        <f>0</f>
        <v>0</v>
      </c>
      <c r="Q14" s="2">
        <f>0</f>
        <v>0</v>
      </c>
      <c r="R14" s="2">
        <f>0</f>
        <v>0</v>
      </c>
      <c r="S14" s="2">
        <f>0</f>
        <v>0</v>
      </c>
      <c r="T14" s="2">
        <f>0</f>
        <v>0</v>
      </c>
      <c r="U14" s="2">
        <f>0</f>
        <v>0</v>
      </c>
      <c r="V14" s="2">
        <f>0</f>
        <v>0</v>
      </c>
      <c r="W14" s="2">
        <f>0</f>
        <v>0</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x14ac:dyDescent="0.2">
      <c r="B15" s="26" t="s">
        <v>87</v>
      </c>
      <c r="C15" s="1">
        <f>'Input data'!C15</f>
        <v>-1.1351690000000001</v>
      </c>
      <c r="D15" s="2">
        <f>'Input data'!D15</f>
        <v>5.1764349999999997</v>
      </c>
      <c r="E15" s="2">
        <f>'Input data'!E15</f>
        <v>2.1420457294413482</v>
      </c>
      <c r="F15" s="2">
        <f>'Input data'!F15</f>
        <v>2.543156615765406</v>
      </c>
      <c r="G15" s="2">
        <f>'Input data'!G15</f>
        <v>1.2833361388111759</v>
      </c>
      <c r="H15" s="2">
        <f>'Input data'!H15</f>
        <v>1.726862012716794</v>
      </c>
      <c r="I15" s="2">
        <f>'Input data'!I15</f>
        <v>1.4444254457205716</v>
      </c>
      <c r="J15" s="2">
        <f>'Input data'!J15</f>
        <v>1.3768241518246929</v>
      </c>
      <c r="K15" s="2">
        <f>'Input data'!K15</f>
        <v>1.0241608740131771</v>
      </c>
      <c r="L15" s="2">
        <f>'Input data'!L15</f>
        <v>1.0623847406019649</v>
      </c>
      <c r="M15" s="2">
        <f>'Input data'!M15</f>
        <v>1.5229809999999999</v>
      </c>
      <c r="N15" s="2">
        <f>'Input data'!N15</f>
        <v>1.526135</v>
      </c>
      <c r="O15" s="2">
        <f>'Input data'!O15</f>
        <v>1.3735219999999999</v>
      </c>
      <c r="P15" s="2">
        <f>'Input data'!P15</f>
        <v>1.2209080000000001</v>
      </c>
      <c r="Q15" s="2">
        <f>'Input data'!Q15</f>
        <v>1.068295</v>
      </c>
      <c r="R15" s="2">
        <f>'Input data'!R15</f>
        <v>0.91568099999999997</v>
      </c>
      <c r="S15" s="2">
        <f>'Input data'!S15</f>
        <v>0.76306750000000001</v>
      </c>
      <c r="T15" s="2">
        <f>'Input data'!T15</f>
        <v>0.61045400000000005</v>
      </c>
      <c r="U15" s="2">
        <f>'Input data'!U15</f>
        <v>0.45784049999999998</v>
      </c>
      <c r="V15" s="2">
        <f>'Input data'!V15</f>
        <v>0.30522700000000003</v>
      </c>
      <c r="W15" s="2">
        <f>'Input data'!W15</f>
        <v>0.15261350000000001</v>
      </c>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60"/>
    </row>
    <row r="16" spans="1:51" ht="5.65" customHeight="1" x14ac:dyDescent="0.2">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ht="11.25" customHeight="1" x14ac:dyDescent="0.2">
      <c r="B17" s="30" t="str">
        <f>'Input data'!B19</f>
        <v>Cost of ageing and selected public revenue (based on the Commission-Council 2024 Ageing Report ("AR 2024"))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52</v>
      </c>
      <c r="C18" s="1">
        <f>'Input data'!C20</f>
        <v>0</v>
      </c>
      <c r="D18" s="101">
        <f>'Input data'!D20</f>
        <v>23.655849999999997</v>
      </c>
      <c r="E18" s="101">
        <f>'Input data'!E20</f>
        <v>23.83699</v>
      </c>
      <c r="F18" s="101">
        <f>'Input data'!F20</f>
        <v>23.96105</v>
      </c>
      <c r="G18" s="101">
        <f>'Input data'!G20</f>
        <v>23.911249999999999</v>
      </c>
      <c r="H18" s="101">
        <f>'Input data'!H20</f>
        <v>23.909049999999997</v>
      </c>
      <c r="I18" s="101">
        <f>'Input data'!I20</f>
        <v>23.948919999999998</v>
      </c>
      <c r="J18" s="101">
        <f>'Input data'!J20</f>
        <v>24.046380000000003</v>
      </c>
      <c r="K18" s="101">
        <f>'Input data'!K20</f>
        <v>24.15964</v>
      </c>
      <c r="L18" s="101">
        <f>'Input data'!L20</f>
        <v>24.232299999999999</v>
      </c>
      <c r="M18" s="101">
        <f>'Input data'!M20</f>
        <v>24.288240000000002</v>
      </c>
      <c r="N18" s="101">
        <f>'Input data'!N20</f>
        <v>24.322410000000001</v>
      </c>
      <c r="O18" s="101">
        <f>'Input data'!O20</f>
        <v>24.319019999999998</v>
      </c>
      <c r="P18" s="101">
        <f>'Input data'!P20</f>
        <v>24.31607</v>
      </c>
      <c r="Q18" s="101">
        <f>'Input data'!Q20</f>
        <v>24.304599999999997</v>
      </c>
      <c r="R18" s="101">
        <f>'Input data'!R20</f>
        <v>24.277160000000002</v>
      </c>
      <c r="S18" s="101">
        <f>'Input data'!S20</f>
        <v>24.230790000000002</v>
      </c>
      <c r="T18" s="101">
        <f>'Input data'!T20</f>
        <v>24.168680000000002</v>
      </c>
      <c r="U18" s="101">
        <f>'Input data'!U20</f>
        <v>24.092350000000003</v>
      </c>
      <c r="V18" s="101">
        <f>'Input data'!V20</f>
        <v>24.017060000000001</v>
      </c>
      <c r="W18" s="101">
        <f>'Input data'!W20</f>
        <v>23.958480000000002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0" x14ac:dyDescent="0.2">
      <c r="A19" s="61"/>
      <c r="B19" s="26" t="s">
        <v>58</v>
      </c>
      <c r="C19" s="1">
        <f>'Input data'!C26</f>
        <v>2.0641180000000001</v>
      </c>
      <c r="D19" s="101">
        <f>'Input data'!D26</f>
        <v>2.1110479999999998</v>
      </c>
      <c r="E19" s="101">
        <f>'Input data'!E26</f>
        <v>2.1176979999999999</v>
      </c>
      <c r="F19" s="101">
        <f>'Input data'!F26</f>
        <v>2.1243479999999999</v>
      </c>
      <c r="G19" s="101">
        <f>'Input data'!G26</f>
        <v>2.1309979999999999</v>
      </c>
      <c r="H19" s="101">
        <f>'Input data'!H26</f>
        <v>2.137648</v>
      </c>
      <c r="I19" s="101">
        <f>'Input data'!I26</f>
        <v>2.1442990000000002</v>
      </c>
      <c r="J19" s="101">
        <f>'Input data'!J26</f>
        <v>2.1509490000000002</v>
      </c>
      <c r="K19" s="101">
        <f>'Input data'!K26</f>
        <v>2.1575989999999998</v>
      </c>
      <c r="L19" s="101">
        <f>'Input data'!L26</f>
        <v>2.1642489999999999</v>
      </c>
      <c r="M19" s="101">
        <f>'Input data'!M26</f>
        <v>2.1708989999999999</v>
      </c>
      <c r="N19" s="101">
        <f>'Input data'!N26</f>
        <v>2.1775500000000001</v>
      </c>
      <c r="O19" s="101">
        <f>'Input data'!O26</f>
        <v>2.1842000000000001</v>
      </c>
      <c r="P19" s="101">
        <f>'Input data'!P26</f>
        <v>2.1908500000000002</v>
      </c>
      <c r="Q19" s="101">
        <f>'Input data'!Q26</f>
        <v>2.1974999999999998</v>
      </c>
      <c r="R19" s="101">
        <f>'Input data'!R26</f>
        <v>2.2041499999999998</v>
      </c>
      <c r="S19" s="101">
        <f>'Input data'!S26</f>
        <v>2.210801</v>
      </c>
      <c r="T19" s="101">
        <f>'Input data'!T26</f>
        <v>2.2174510000000001</v>
      </c>
      <c r="U19" s="101">
        <f>'Input data'!U26</f>
        <v>2.2241010000000001</v>
      </c>
      <c r="V19" s="101">
        <f>'Input data'!V26</f>
        <v>2.2307510000000002</v>
      </c>
      <c r="W19" s="101">
        <f>'Input data'!W26</f>
        <v>2.2374010000000002</v>
      </c>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row>
    <row r="21" spans="1:50" x14ac:dyDescent="0.2">
      <c r="B21" s="28" t="s">
        <v>88</v>
      </c>
    </row>
    <row r="22" spans="1:50" ht="10.5" customHeight="1" x14ac:dyDescent="0.2">
      <c r="B22" s="30" t="s">
        <v>89</v>
      </c>
    </row>
    <row r="23" spans="1:50" x14ac:dyDescent="0.2">
      <c r="B23" s="26" t="s">
        <v>61</v>
      </c>
      <c r="C23" s="34">
        <f>'Input data'!C31</f>
        <v>230.55600000000001</v>
      </c>
      <c r="D23" s="100">
        <f>'Baseline NFPC'!D22</f>
        <v>233.63499929652002</v>
      </c>
      <c r="E23" s="100">
        <f>'Baseline NFPC'!E22</f>
        <v>230.925987709618</v>
      </c>
      <c r="F23" s="100">
        <f>'Baseline NFPC'!F22</f>
        <v>230.41386109822847</v>
      </c>
      <c r="G23" s="34">
        <f>IF(AND(G50&gt;1,F50&gt;1),IF(AND(G50&gt;0,F50&gt;0),G27*(G51/100+1),0)+IF(G50&gt;0,F23*(1+G52/100),0)-F23*(1+'Input data'!G30/100),IF(G50=1,G27,F23*(1+G52/100)))</f>
        <v>234.46960588127945</v>
      </c>
      <c r="H23" s="34">
        <f>IF(AND(H50&gt;1,G50&gt;1),IF(AND(H50&gt;0,G50&gt;0),H27*(H51/100+1),0)+IF(H50&gt;0,G23*(1+H52/100),0)-G23*(1+'Input data'!H30/100),IF(H50=1,H27,G23*(1+H52/100)))</f>
        <v>238.67522075670908</v>
      </c>
      <c r="I23" s="34">
        <f>IF(AND(I50&gt;1,H50&gt;1),IF(AND(I50&gt;0,H50&gt;0),I27*(I51/100+1),0)+IF(I50&gt;0,H23*(1+I52/100),0)-H23*(1+'Input data'!I30/100),IF(I50=1,I27,H23*(1+I52/100)))</f>
        <v>242.26017225654377</v>
      </c>
      <c r="J23" s="34">
        <f>IF(AND(J50&gt;1,I50&gt;1),IF(AND(J50&gt;0,I50&gt;0),J27*(J51/100+1),0)+IF(J50&gt;0,I23*(1+J52/100),0)-I23*(1+'Input data'!J30/100),IF(J50=1,J27,I23*(1+J52/100)))</f>
        <v>245.43503386538961</v>
      </c>
      <c r="K23" s="34">
        <f>IF(AND(K50&gt;1,J50&gt;1),IF(AND(K50&gt;0,J50&gt;0),K27*(K51/100+1),0)+IF(K50&gt;0,J23*(1+K52/100),0)-J23*(1+'Input data'!K30/100),IF(K50=1,K27,J23*(1+K52/100)))</f>
        <v>248.34140898438642</v>
      </c>
      <c r="L23" s="34">
        <f>IF(AND(L50&gt;1,K50&gt;1),IF(AND(L50&gt;0,K50&gt;0),L27*(L51/100+1),0)+IF(L50&gt;0,K23*(1+L52/100),0)-K23*(1+'Input data'!L30/100),IF(L50=1,L27,K23*(1+L52/100)))</f>
        <v>251.07454334699847</v>
      </c>
      <c r="M23" s="34">
        <f>IF(AND(M50&gt;1,L50&gt;1),IF(AND(M50&gt;0,L50&gt;0),M27*(M51/100+1),0)+IF(M50&gt;0,L23*(1+M52/100),0)-L23*(1+'Input data'!M30/100),IF(M50=1,M27,L23*(1+M52/100)))</f>
        <v>253.69852397516036</v>
      </c>
      <c r="N23" s="34">
        <f>IF(AND(N50&gt;1,M50&gt;1),IF(AND(N50&gt;0,M50&gt;0),N27*(N51/100+1),0)+IF(N50&gt;0,M23*(1+N52/100),0)-M23*(1+'Input data'!N30/100),IF(N50=1,N27,M23*(1+N52/100)))</f>
        <v>256.44676906661505</v>
      </c>
      <c r="O23" s="34">
        <f>IF(AND(O50&gt;1,N50&gt;1),IF(AND(O50&gt;0,N50&gt;0),O27*(O51/100+1),0)+IF(O50&gt;0,N23*(1+O52/100),0)-N23*(1+'Input data'!O30/100),IF(O50=1,O27,N23*(1+O52/100)))</f>
        <v>259.22422813414181</v>
      </c>
      <c r="P23" s="34">
        <f>IF(AND(P50&gt;1,O50&gt;1),IF(AND(P50&gt;0,O50&gt;0),P27*(P51/100+1),0)+IF(P50&gt;0,O23*(1+P52/100),0)-O23*(1+'Input data'!P30/100),IF(P50=1,P27,O23*(1+P52/100)))</f>
        <v>262.0312072276696</v>
      </c>
      <c r="Q23" s="34">
        <f>IF(AND(Q50&gt;1,P50&gt;1),IF(AND(Q50&gt;0,P50&gt;0),Q27*(Q51/100+1),0)+IF(Q50&gt;0,P23*(1+Q52/100),0)-P23*(1+'Input data'!Q30/100),IF(Q50=1,Q27,P23*(1+Q52/100)))</f>
        <v>264.48142035883194</v>
      </c>
      <c r="R23" s="34">
        <f>IF(AND(R50&gt;1,Q50&gt;1),IF(AND(R50&gt;0,Q50&gt;0),R27*(R51/100+1),0)+IF(R50&gt;0,Q23*(1+R52/100),0)-Q23*(1+'Input data'!R30/100),IF(R50=1,R27,Q23*(1+R52/100)))</f>
        <v>266.95455034214859</v>
      </c>
      <c r="S23" s="34">
        <f>IF(AND(S50&gt;1,R50&gt;1),IF(AND(S50&gt;0,R50&gt;0),S27*(S51/100+1),0)+IF(S50&gt;0,R23*(1+S52/100),0)-R23*(1+'Input data'!S30/100),IF(S50=1,S27,R23*(1+S52/100)))</f>
        <v>269.4507982207432</v>
      </c>
      <c r="T23" s="34">
        <f>IF(AND(T50&gt;1,S50&gt;1),IF(AND(T50&gt;0,S50&gt;0),T27*(T51/100+1),0)+IF(T50&gt;0,S23*(1+T52/100),0)-S23*(1+'Input data'!T30/100),IF(T50=1,T27,S23*(1+T52/100)))</f>
        <v>271.97040426772412</v>
      </c>
      <c r="U23" s="34">
        <f>IF(AND(U50&gt;1,T50&gt;1),IF(AND(U50&gt;0,T50&gt;0),U27*(U51/100+1),0)+IF(U50&gt;0,T23*(1+U52/100),0)-T23*(1+'Input data'!U30/100),IF(U50=1,U27,T23*(1+U52/100)))</f>
        <v>274.51356272647968</v>
      </c>
      <c r="V23" s="34">
        <f>IF(AND(V50&gt;1,U50&gt;1),IF(AND(V50&gt;0,U50&gt;0),V27*(V51/100+1),0)+IF(V50&gt;0,U23*(1+V52/100),0)-U23*(1+'Input data'!V30/100),IF(V50=1,V27,U23*(1+V52/100)))</f>
        <v>277.08051564162838</v>
      </c>
      <c r="W23" s="34">
        <f>IF(AND(W50&gt;1,V50&gt;1),IF(AND(W50&gt;0,V50&gt;0),W27*(W51/100+1),0)+IF(W50&gt;0,V23*(1+W52/100),0)-V23*(1+'Input data'!W30/100),IF(W50=1,W27,V23*(1+W52/100)))</f>
        <v>279.67146360216714</v>
      </c>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row>
    <row r="24" spans="1:50" x14ac:dyDescent="0.2">
      <c r="A24" s="61"/>
      <c r="B24" s="62" t="s">
        <v>60</v>
      </c>
      <c r="C24" s="34">
        <f>+'Input data'!C30</f>
        <v>2.8381799999999999</v>
      </c>
      <c r="D24" s="100">
        <f>'Baseline NFPC'!D23</f>
        <v>1.335467</v>
      </c>
      <c r="E24" s="100">
        <f>'Baseline NFPC'!E23</f>
        <v>-1.1595058938339342</v>
      </c>
      <c r="F24" s="100">
        <f>'Baseline NFPC'!F23</f>
        <v>-0.22177088705733761</v>
      </c>
      <c r="G24" s="34">
        <f t="shared" ref="G24:S24" si="2">100*(G23/F23-1)</f>
        <v>1.7601999999999896</v>
      </c>
      <c r="H24" s="34">
        <f t="shared" si="2"/>
        <v>1.7936716614600723</v>
      </c>
      <c r="I24" s="34">
        <f t="shared" si="2"/>
        <v>1.5020208166012239</v>
      </c>
      <c r="J24" s="34">
        <f t="shared" si="2"/>
        <v>1.3105173579600171</v>
      </c>
      <c r="K24" s="34">
        <f t="shared" si="2"/>
        <v>1.184172884051593</v>
      </c>
      <c r="L24" s="34">
        <f t="shared" si="2"/>
        <v>1.1005552291055487</v>
      </c>
      <c r="M24" s="34">
        <f t="shared" si="2"/>
        <v>1.0451002292715117</v>
      </c>
      <c r="N24" s="34">
        <f t="shared" si="2"/>
        <v>1.0832720066293211</v>
      </c>
      <c r="O24" s="34">
        <f t="shared" si="2"/>
        <v>1.0830548100238646</v>
      </c>
      <c r="P24" s="34">
        <f t="shared" si="2"/>
        <v>1.0828382492377386</v>
      </c>
      <c r="Q24" s="34">
        <f t="shared" si="2"/>
        <v>0.93508447222221402</v>
      </c>
      <c r="R24" s="34">
        <f t="shared" si="2"/>
        <v>0.93508647222222407</v>
      </c>
      <c r="S24" s="34">
        <f t="shared" si="2"/>
        <v>0.9350834722222201</v>
      </c>
      <c r="T24" s="34">
        <f>100*(T23/S23-1)</f>
        <v>0.93508947222222805</v>
      </c>
      <c r="U24" s="34">
        <f>100*(U23/T23-1)</f>
        <v>0.93508647222222407</v>
      </c>
      <c r="V24" s="34">
        <f>100*(V23/U23-1)</f>
        <v>0.93509147222221589</v>
      </c>
      <c r="W24" s="34">
        <f>100*(W23/V23-1)</f>
        <v>0.93508847222221192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row>
    <row r="25" spans="1:50" ht="5.25" customHeight="1" x14ac:dyDescent="0.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row>
    <row r="26" spans="1:50" ht="15" x14ac:dyDescent="0.2">
      <c r="A26" s="223"/>
      <c r="B26" s="30" t="s">
        <v>90</v>
      </c>
      <c r="C26" s="222"/>
      <c r="D26" s="222"/>
      <c r="E26" s="222"/>
      <c r="F26" s="222"/>
    </row>
    <row r="27" spans="1:50"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34">
        <f>+J27*(1+'Input data'!K33/100)</f>
        <v>250.11626204522659</v>
      </c>
      <c r="L27" s="34">
        <f>+K27*(1+'Input data'!L33/100)</f>
        <v>252.45509921161153</v>
      </c>
      <c r="M27" s="34">
        <f>+L27*(1+'Input data'!M33/100)</f>
        <v>254.81580684433933</v>
      </c>
      <c r="N27" s="34">
        <f>+M27*(1+'Input data'!N33/100)</f>
        <v>257.1985894541408</v>
      </c>
      <c r="O27" s="34">
        <f>+N27*(1+'Input data'!O33/100)</f>
        <v>259.60365346412652</v>
      </c>
      <c r="P27" s="34">
        <f>+O27*(1+'Input data'!P33/100)</f>
        <v>262.0312072276696</v>
      </c>
      <c r="Q27" s="34">
        <f>+P27*(1+'Input data'!Q33/100)</f>
        <v>264.48146104645554</v>
      </c>
      <c r="R27" s="34">
        <f>+Q27*(1+'Input data'!R33/100)</f>
        <v>266.95462718870095</v>
      </c>
      <c r="S27" s="34">
        <f>+R27*(1+'Input data'!S33/100)</f>
        <v>269.45091990754253</v>
      </c>
      <c r="T27" s="34">
        <f>+S27*(1+'Input data'!T33/100)</f>
        <v>271.97055545959796</v>
      </c>
      <c r="U27" s="34">
        <f>+T27*(1+'Input data'!U33/100)</f>
        <v>274.51375212370067</v>
      </c>
      <c r="V27" s="34">
        <f>+U27*(1+'Input data'!V33/100)</f>
        <v>277.08073021980942</v>
      </c>
      <c r="W27" s="34">
        <f>+V27*(1+'Input data'!W33/100)</f>
        <v>279.6717121280949</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x14ac:dyDescent="0.2">
      <c r="B30" s="26" t="s">
        <v>91</v>
      </c>
      <c r="C30" s="34">
        <f>100*(C23/C27-1)</f>
        <v>-0.25736434510962303</v>
      </c>
      <c r="D30" s="100">
        <f t="shared" ref="D30:W30" si="3">100*(D23/D27-1)</f>
        <v>-0.14622746557002575</v>
      </c>
      <c r="E30" s="100">
        <f t="shared" si="3"/>
        <v>-2.3697984129074534</v>
      </c>
      <c r="F30" s="100">
        <f t="shared" si="3"/>
        <v>-3.4887901007707112</v>
      </c>
      <c r="G30" s="34">
        <f t="shared" si="3"/>
        <v>-2.6998534544717345</v>
      </c>
      <c r="H30" s="34">
        <f t="shared" si="3"/>
        <v>-1.8722013445525709</v>
      </c>
      <c r="I30" s="34">
        <f t="shared" si="3"/>
        <v>-1.3210482595997108</v>
      </c>
      <c r="J30" s="34">
        <f t="shared" si="3"/>
        <v>-0.95402240488074996</v>
      </c>
      <c r="K30" s="34">
        <f t="shared" si="3"/>
        <v>-0.70961122092862983</v>
      </c>
      <c r="L30" s="34">
        <f t="shared" si="3"/>
        <v>-0.54685204177866709</v>
      </c>
      <c r="M30" s="34">
        <f>100*(M23/M27-1)</f>
        <v>-0.43846686083390818</v>
      </c>
      <c r="N30" s="34">
        <f t="shared" si="3"/>
        <v>-0.29231124055593138</v>
      </c>
      <c r="O30" s="34">
        <f t="shared" si="3"/>
        <v>-0.14615562027795459</v>
      </c>
      <c r="P30" s="34">
        <f t="shared" si="3"/>
        <v>0</v>
      </c>
      <c r="Q30" s="34">
        <f t="shared" si="3"/>
        <v>-1.5383922724598875E-5</v>
      </c>
      <c r="R30" s="34">
        <f t="shared" si="3"/>
        <v>-2.878637211933821E-5</v>
      </c>
      <c r="S30" s="34">
        <f t="shared" si="3"/>
        <v>-4.5161025752360473E-5</v>
      </c>
      <c r="T30" s="34">
        <f t="shared" si="3"/>
        <v>-5.5591265601950823E-5</v>
      </c>
      <c r="U30" s="34">
        <f t="shared" si="3"/>
        <v>-6.8993709612108489E-5</v>
      </c>
      <c r="V30" s="34">
        <f t="shared" si="3"/>
        <v>-7.7442477097733331E-5</v>
      </c>
      <c r="W30" s="34">
        <f t="shared" si="3"/>
        <v>-8.8863448455267502E-5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ht="4.9000000000000004"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4">100*((1+C24/100)*(1+C42/100)-1)</f>
        <v>5.3041963643644108</v>
      </c>
      <c r="D33" s="2">
        <f t="shared" si="4"/>
        <v>6.7911638456366497</v>
      </c>
      <c r="E33" s="2">
        <f t="shared" si="4"/>
        <v>2.6964325799547773</v>
      </c>
      <c r="F33" s="2">
        <f>100*((1+F24/100)*(1+F42/100)-1)</f>
        <v>1.4650542597770766</v>
      </c>
      <c r="G33" s="1">
        <f>100*((1+G24/100)*(1+G42/100)-1)</f>
        <v>3.9332641798379031</v>
      </c>
      <c r="H33" s="1">
        <f t="shared" si="4"/>
        <v>4.0201955789893606</v>
      </c>
      <c r="I33" s="1">
        <f t="shared" si="4"/>
        <v>3.7747593192035245</v>
      </c>
      <c r="J33" s="1">
        <f t="shared" si="4"/>
        <v>3.6314625033281756</v>
      </c>
      <c r="K33" s="1">
        <f t="shared" si="4"/>
        <v>3.5546527191615329</v>
      </c>
      <c r="L33" s="1">
        <f t="shared" si="4"/>
        <v>3.5214619382351264</v>
      </c>
      <c r="M33" s="1">
        <f t="shared" si="4"/>
        <v>3.5170361209442502</v>
      </c>
      <c r="N33" s="1">
        <f t="shared" si="4"/>
        <v>3.6085185817922527</v>
      </c>
      <c r="O33" s="1">
        <f t="shared" si="4"/>
        <v>3.6606727076794909</v>
      </c>
      <c r="P33" s="1">
        <f t="shared" si="4"/>
        <v>3.6326528440747685</v>
      </c>
      <c r="Q33" s="1">
        <f t="shared" si="4"/>
        <v>3.4534148298041689</v>
      </c>
      <c r="R33" s="1">
        <f t="shared" si="4"/>
        <v>3.425659730924302</v>
      </c>
      <c r="S33" s="1">
        <f t="shared" si="4"/>
        <v>3.3978995089444464</v>
      </c>
      <c r="T33" s="1">
        <f t="shared" si="4"/>
        <v>3.3701485057395786</v>
      </c>
      <c r="U33" s="1">
        <f>100*((1+U24/100)*(1+U42/100)-1)</f>
        <v>3.3423882845847075</v>
      </c>
      <c r="V33" s="1">
        <f t="shared" si="4"/>
        <v>3.3146362536798479</v>
      </c>
      <c r="W33" s="1">
        <f t="shared" si="4"/>
        <v>3.286876033625008</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141</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5">H101</f>
        <v>1.9854717385163656</v>
      </c>
      <c r="I36" s="34">
        <f t="shared" si="5"/>
        <v>2.0745438140806316</v>
      </c>
      <c r="J36" s="34">
        <f t="shared" si="5"/>
        <v>2.1513437547152869</v>
      </c>
      <c r="K36" s="34">
        <f t="shared" si="5"/>
        <v>2.221061078171136</v>
      </c>
      <c r="L36" s="34">
        <f t="shared" si="5"/>
        <v>2.2825617644185887</v>
      </c>
      <c r="M36" s="34">
        <f t="shared" si="5"/>
        <v>2.3409157047574327</v>
      </c>
      <c r="N36" s="34">
        <f t="shared" si="5"/>
        <v>2.4003298177013139</v>
      </c>
      <c r="O36" s="34">
        <f t="shared" si="5"/>
        <v>2.4574559766088915</v>
      </c>
      <c r="P36" s="34">
        <f t="shared" si="5"/>
        <v>2.5090863471564124</v>
      </c>
      <c r="Q36" s="34">
        <f t="shared" si="5"/>
        <v>2.557563482111489</v>
      </c>
      <c r="R36" s="34">
        <f t="shared" si="5"/>
        <v>2.6037622045018916</v>
      </c>
      <c r="S36" s="34">
        <f t="shared" si="5"/>
        <v>2.6477604452969841</v>
      </c>
      <c r="T36" s="34">
        <f t="shared" si="5"/>
        <v>2.6896020032023693</v>
      </c>
      <c r="U36" s="34">
        <f t="shared" si="5"/>
        <v>2.7293402664360746</v>
      </c>
      <c r="V36" s="34">
        <f t="shared" si="5"/>
        <v>2.7670199356705982</v>
      </c>
      <c r="W36" s="34">
        <f t="shared" si="5"/>
        <v>2.8027723080079183</v>
      </c>
    </row>
    <row r="37" spans="2:51" x14ac:dyDescent="0.2">
      <c r="B37" s="32" t="s">
        <v>94</v>
      </c>
      <c r="C37" s="1"/>
      <c r="D37" s="2">
        <f>'Input data'!D$39</f>
        <v>1.69</v>
      </c>
      <c r="E37" s="2">
        <f>'Input data'!E$39</f>
        <v>3.04</v>
      </c>
      <c r="F37" s="165">
        <f>'Input data'!F$39</f>
        <v>2.9418000000000002</v>
      </c>
      <c r="G37" s="165">
        <f>'Input data'!G$39</f>
        <v>3.0140359999999999</v>
      </c>
      <c r="H37" s="1">
        <f>G37+($O$37-$G$37)/($O$10-$G$10)</f>
        <v>3.041204</v>
      </c>
      <c r="I37" s="1">
        <f t="shared" ref="I37:N37" si="6">H37+($O$37-$G$37)/($O$10-$G$10)</f>
        <v>3.0683720000000001</v>
      </c>
      <c r="J37" s="1">
        <f t="shared" si="6"/>
        <v>3.0955400000000002</v>
      </c>
      <c r="K37" s="1">
        <f t="shared" si="6"/>
        <v>3.1227080000000003</v>
      </c>
      <c r="L37" s="1">
        <f t="shared" si="6"/>
        <v>3.1498760000000003</v>
      </c>
      <c r="M37" s="1">
        <f t="shared" si="6"/>
        <v>3.1770440000000004</v>
      </c>
      <c r="N37" s="1">
        <f t="shared" si="6"/>
        <v>3.2042120000000005</v>
      </c>
      <c r="O37" s="251">
        <f>'Input data'!$C$52</f>
        <v>3.2313800000000001</v>
      </c>
      <c r="P37" s="1">
        <f>'Baseline NFPC'!P36</f>
        <v>3.2698110000000002</v>
      </c>
      <c r="Q37" s="1">
        <f>'Baseline NFPC'!Q36</f>
        <v>3.3082419999999999</v>
      </c>
      <c r="R37" s="1">
        <f>'Baseline NFPC'!R36</f>
        <v>3.346673</v>
      </c>
      <c r="S37" s="1">
        <f>'Baseline NFPC'!S36</f>
        <v>3.3851040000000001</v>
      </c>
      <c r="T37" s="1">
        <f>'Baseline NFPC'!T36</f>
        <v>3.4235350000000002</v>
      </c>
      <c r="U37" s="1">
        <f>'Baseline NFPC'!U36</f>
        <v>3.4619660000000003</v>
      </c>
      <c r="V37" s="1">
        <f>'Baseline NFPC'!V36</f>
        <v>3.500397</v>
      </c>
      <c r="W37" s="1">
        <f>'Baseline NFPC'!W36</f>
        <v>3.5388280000000001</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G38+($O$38-$G$38)/($O$10-$G$10)</f>
        <v>2.8050893749999997</v>
      </c>
      <c r="I38" s="1">
        <f t="shared" ref="I38:N38" si="7">H38+($O$38-$G$38)/($O$10-$G$10)</f>
        <v>2.7938037499999995</v>
      </c>
      <c r="J38" s="1">
        <f t="shared" si="7"/>
        <v>2.7825181249999993</v>
      </c>
      <c r="K38" s="1">
        <f t="shared" si="7"/>
        <v>2.7712324999999991</v>
      </c>
      <c r="L38" s="1">
        <f t="shared" si="7"/>
        <v>2.7599468749999989</v>
      </c>
      <c r="M38" s="1">
        <f t="shared" si="7"/>
        <v>2.7486612499999987</v>
      </c>
      <c r="N38" s="1">
        <f t="shared" si="7"/>
        <v>2.7373756249999985</v>
      </c>
      <c r="O38" s="251">
        <f>'Input data'!$C$53</f>
        <v>2.7260900000000001</v>
      </c>
      <c r="P38" s="1">
        <f>'Baseline NFPC'!P37</f>
        <v>2.6897855000000002</v>
      </c>
      <c r="Q38" s="1">
        <f>'Baseline NFPC'!Q37</f>
        <v>2.6534810000000002</v>
      </c>
      <c r="R38" s="1">
        <f>'Baseline NFPC'!R37</f>
        <v>2.6171765000000002</v>
      </c>
      <c r="S38" s="1">
        <f>'Baseline NFPC'!S37</f>
        <v>2.5808720000000003</v>
      </c>
      <c r="T38" s="1">
        <f>'Baseline NFPC'!T37</f>
        <v>2.5445675000000003</v>
      </c>
      <c r="U38" s="1">
        <f>'Baseline NFPC'!U37</f>
        <v>2.5082629999999999</v>
      </c>
      <c r="V38" s="1">
        <f>'Baseline NFPC'!V37</f>
        <v>2.4719584999999999</v>
      </c>
      <c r="W38" s="1">
        <f>'Baseline NFPC'!W37</f>
        <v>2.435654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04"/>
      <c r="F40" s="104"/>
      <c r="G40" s="104"/>
      <c r="H40" s="104"/>
      <c r="I40" s="104"/>
      <c r="J40" s="104"/>
      <c r="K40" s="104"/>
      <c r="L40" s="104"/>
      <c r="M40" s="104"/>
      <c r="N40" s="104"/>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1"/>
      <c r="D44" s="1"/>
      <c r="E44" s="1"/>
      <c r="F44" s="1"/>
      <c r="G44" s="1"/>
      <c r="H44" s="1"/>
      <c r="I44" s="1"/>
      <c r="J44" s="1"/>
      <c r="K44" s="1"/>
      <c r="L44" s="1"/>
      <c r="M44" s="1"/>
      <c r="N44" s="1"/>
      <c r="O44" s="1"/>
      <c r="P44" s="1"/>
      <c r="Q44" s="1"/>
      <c r="R44" s="1"/>
      <c r="S44" s="1"/>
      <c r="T44" s="1"/>
      <c r="U44" s="1"/>
      <c r="V44" s="1"/>
      <c r="W44" s="1"/>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8">IF(C50=4,2/3*C30,IF(C50=3,1/3*B30,0))</f>
        <v>0</v>
      </c>
      <c r="E51" s="34">
        <f t="shared" si="8"/>
        <v>0</v>
      </c>
      <c r="F51" s="34">
        <f t="shared" si="8"/>
        <v>0</v>
      </c>
      <c r="G51" s="34">
        <f t="shared" si="8"/>
        <v>0</v>
      </c>
      <c r="H51" s="34">
        <f t="shared" si="8"/>
        <v>-1.7999023029811563</v>
      </c>
      <c r="I51" s="34">
        <f t="shared" si="8"/>
        <v>-1.2481342297017139</v>
      </c>
      <c r="J51" s="34">
        <f t="shared" si="8"/>
        <v>-0.88069883973314056</v>
      </c>
      <c r="K51" s="34">
        <f t="shared" si="8"/>
        <v>-0.63601493658716657</v>
      </c>
      <c r="L51" s="34">
        <f t="shared" si="8"/>
        <v>-0.4730741472857532</v>
      </c>
      <c r="M51" s="34">
        <f t="shared" si="8"/>
        <v>-0.36456802785244469</v>
      </c>
      <c r="N51" s="34">
        <f t="shared" si="8"/>
        <v>-0.29231124055593877</v>
      </c>
      <c r="O51" s="34">
        <f t="shared" si="8"/>
        <v>-0.14615562027796938</v>
      </c>
      <c r="P51" s="34">
        <f t="shared" si="8"/>
        <v>0</v>
      </c>
      <c r="Q51" s="34">
        <f t="shared" si="8"/>
        <v>0</v>
      </c>
      <c r="R51" s="34">
        <f t="shared" si="8"/>
        <v>0</v>
      </c>
      <c r="S51" s="34">
        <f t="shared" si="8"/>
        <v>0</v>
      </c>
      <c r="T51" s="34">
        <f t="shared" si="8"/>
        <v>0</v>
      </c>
      <c r="U51" s="34">
        <f t="shared" si="8"/>
        <v>0</v>
      </c>
      <c r="V51" s="34">
        <f t="shared" si="8"/>
        <v>0</v>
      </c>
      <c r="W51" s="34">
        <f t="shared" si="8"/>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1.7602</v>
      </c>
      <c r="H52" s="34">
        <f>'Input data'!H30-$C$47*((H12-G12))</f>
        <v>1.7601999999999924</v>
      </c>
      <c r="I52" s="34">
        <f>'Input data'!I30-$C$47*((I12-H12))</f>
        <v>1.7601999999999924</v>
      </c>
      <c r="J52" s="34">
        <f>'Input data'!J30-$C$47*((J12-I12))</f>
        <v>1.7601999999999924</v>
      </c>
      <c r="K52" s="34">
        <f>'Input data'!K30-$C$47*((K12-J12))</f>
        <v>0.86010000000001097</v>
      </c>
      <c r="L52" s="34">
        <f>'Input data'!L30-$C$47*((L12-K12))</f>
        <v>0.86008997222222505</v>
      </c>
      <c r="M52" s="34">
        <f>'Input data'!M30-$C$47*((M12-L12))</f>
        <v>0.86008697222222108</v>
      </c>
      <c r="N52" s="34">
        <f>'Input data'!N30-$C$47*((N12-M12))</f>
        <v>0.93508687222221276</v>
      </c>
      <c r="O52" s="34">
        <f>'Input data'!O30-$C$47*((O12-N12))</f>
        <v>0.93508597222222711</v>
      </c>
      <c r="P52" s="34">
        <f>'Input data'!P30-$C$47*((P12-O12))</f>
        <v>0.93508937222221977</v>
      </c>
      <c r="Q52" s="34">
        <f>'Input data'!Q30-$C$47*((Q12-P12))</f>
        <v>0.93508447222221402</v>
      </c>
      <c r="R52" s="34">
        <f>'Input data'!R30-$C$47*((R12-Q12))</f>
        <v>0.93508647222222407</v>
      </c>
      <c r="S52" s="34">
        <f>'Input data'!S30-$C$47*((S12-R12))</f>
        <v>0.9350834722222201</v>
      </c>
      <c r="T52" s="34">
        <f>'Input data'!T30-$C$47*((T12-S12))</f>
        <v>0.93508947222222805</v>
      </c>
      <c r="U52" s="34">
        <f>'Input data'!U30-$C$47*((U12-T12))</f>
        <v>0.93508647222222407</v>
      </c>
      <c r="V52" s="34">
        <f>'Input data'!V30-$C$47*((V12-U12))</f>
        <v>0.93509147222221589</v>
      </c>
      <c r="W52" s="34">
        <f>'Input data'!W30-$C$47*((W12-V12))</f>
        <v>0.93508847222221192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+E57+F58</f>
        <v>81.669832373893243</v>
      </c>
      <c r="G57" s="45">
        <f>+F57+G58</f>
        <v>83.193157241487697</v>
      </c>
      <c r="H57" s="45">
        <f t="shared" ref="H57:S57" si="9">+G57+H58</f>
        <v>84.556754593314608</v>
      </c>
      <c r="I57" s="45">
        <f t="shared" si="9"/>
        <v>85.459120171217933</v>
      </c>
      <c r="J57" s="45">
        <f t="shared" si="9"/>
        <v>86.145056856268312</v>
      </c>
      <c r="K57" s="45">
        <f t="shared" si="9"/>
        <v>86.34726643202589</v>
      </c>
      <c r="L57" s="45">
        <f t="shared" si="9"/>
        <v>86.468995590643061</v>
      </c>
      <c r="M57" s="45">
        <f t="shared" si="9"/>
        <v>86.939180456571577</v>
      </c>
      <c r="N57" s="45">
        <f t="shared" si="9"/>
        <v>87.323596912258168</v>
      </c>
      <c r="O57" s="45">
        <f t="shared" si="9"/>
        <v>87.460515838477733</v>
      </c>
      <c r="P57" s="45">
        <f t="shared" si="9"/>
        <v>87.415515073401792</v>
      </c>
      <c r="Q57" s="45">
        <f t="shared" si="9"/>
        <v>87.391049674355173</v>
      </c>
      <c r="R57" s="45">
        <f t="shared" si="9"/>
        <v>87.242385231669843</v>
      </c>
      <c r="S57" s="45">
        <f t="shared" si="9"/>
        <v>86.949637568464595</v>
      </c>
      <c r="T57" s="45">
        <f>+S57+T58</f>
        <v>86.496014648635622</v>
      </c>
      <c r="U57" s="45">
        <f>+T57+U58</f>
        <v>85.86613473634462</v>
      </c>
      <c r="V57" s="45">
        <f>+U57+V58</f>
        <v>85.059687124988073</v>
      </c>
      <c r="W57" s="45">
        <f>+V57+W58</f>
        <v>84.091860468205766</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0.92679058496175504</v>
      </c>
      <c r="E58" s="47">
        <f>-E59+E67+E72</f>
        <v>3.060895797359378</v>
      </c>
      <c r="F58" s="47">
        <f>-F59+F67+F72</f>
        <v>5.0973259915721227</v>
      </c>
      <c r="G58" s="47">
        <f>-G59+G67+G72</f>
        <v>1.5233248675944475</v>
      </c>
      <c r="H58" s="47">
        <f t="shared" ref="H58:S58" si="10">-H59+H67+H72</f>
        <v>1.3635973518269109</v>
      </c>
      <c r="I58" s="47">
        <f t="shared" si="10"/>
        <v>0.90236557790332039</v>
      </c>
      <c r="J58" s="47">
        <f t="shared" si="10"/>
        <v>0.6859366850503813</v>
      </c>
      <c r="K58" s="47">
        <f t="shared" si="10"/>
        <v>0.2022095757575848</v>
      </c>
      <c r="L58" s="47">
        <f t="shared" si="10"/>
        <v>0.12172915861717459</v>
      </c>
      <c r="M58" s="47">
        <f t="shared" si="10"/>
        <v>0.47018486592851727</v>
      </c>
      <c r="N58" s="47">
        <f t="shared" si="10"/>
        <v>0.38441645568659721</v>
      </c>
      <c r="O58" s="47">
        <f t="shared" si="10"/>
        <v>0.13691892621956914</v>
      </c>
      <c r="P58" s="47">
        <f t="shared" si="10"/>
        <v>-4.5000765075946303E-2</v>
      </c>
      <c r="Q58" s="47">
        <f t="shared" si="10"/>
        <v>-2.4465399046612823E-2</v>
      </c>
      <c r="R58" s="47">
        <f t="shared" si="10"/>
        <v>-0.14866444268533097</v>
      </c>
      <c r="S58" s="47">
        <f t="shared" si="10"/>
        <v>-0.29274766320524481</v>
      </c>
      <c r="T58" s="47">
        <f>-T59+T67+T72</f>
        <v>-0.45362291982897762</v>
      </c>
      <c r="U58" s="47">
        <f>-U59+U67+U72</f>
        <v>-0.62987991229099871</v>
      </c>
      <c r="V58" s="47">
        <f>-V59+V67+V72</f>
        <v>-0.80644761135654297</v>
      </c>
      <c r="W58" s="47">
        <f>-W59+W67+W72</f>
        <v>-0.96782665678230928</v>
      </c>
    </row>
    <row r="59" spans="2:48" outlineLevel="1" x14ac:dyDescent="0.2">
      <c r="B59" s="84" t="s">
        <v>106</v>
      </c>
      <c r="C59" s="48"/>
      <c r="D59" s="48">
        <f>D60+D61-D62-D63-D64-D65-D66</f>
        <v>0.20695241503824502</v>
      </c>
      <c r="E59" s="48">
        <f>E60+E61-E62-E63-E64-E65-E66</f>
        <v>-1.7183327929179697</v>
      </c>
      <c r="F59" s="48">
        <f t="shared" ref="F59:R59" si="11">F60+F61-F62-F63-F64-F65-F66</f>
        <v>-2.4049191831936598</v>
      </c>
      <c r="G59" s="48">
        <f t="shared" si="11"/>
        <v>-1.8457580550476558</v>
      </c>
      <c r="H59" s="48">
        <f t="shared" si="11"/>
        <v>-1.2640645270747026</v>
      </c>
      <c r="I59" s="48">
        <f t="shared" si="11"/>
        <v>-0.84329343163213788</v>
      </c>
      <c r="J59" s="48">
        <f t="shared" si="11"/>
        <v>-0.52968438418570274</v>
      </c>
      <c r="K59" s="48">
        <f t="shared" si="11"/>
        <v>-0.28743707512556882</v>
      </c>
      <c r="L59" s="48">
        <f t="shared" si="11"/>
        <v>-9.271123286029051E-2</v>
      </c>
      <c r="M59" s="48">
        <f t="shared" si="11"/>
        <v>7.0368942449559158E-2</v>
      </c>
      <c r="N59" s="48">
        <f t="shared" si="11"/>
        <v>0.12791251345134225</v>
      </c>
      <c r="O59" s="48">
        <f t="shared" si="11"/>
        <v>0.2230150844531279</v>
      </c>
      <c r="P59" s="48">
        <f t="shared" si="11"/>
        <v>0.31767765545489596</v>
      </c>
      <c r="Q59" s="48">
        <f t="shared" si="11"/>
        <v>0.33578870201187261</v>
      </c>
      <c r="R59" s="48">
        <f t="shared" si="11"/>
        <v>0.36987090178631993</v>
      </c>
      <c r="S59" s="48">
        <f>S60+S61-S62-S63-S64-S65-S66</f>
        <v>0.42288237173790527</v>
      </c>
      <c r="T59" s="48">
        <f>T60+T61-T62-T63-T64-T65-T66</f>
        <v>0.49163630133831343</v>
      </c>
      <c r="U59" s="48">
        <f>U60+U61-U62-U63-U64-U65-U66</f>
        <v>0.57460850111589823</v>
      </c>
      <c r="V59" s="48">
        <f>V60+V61-V62-V63-V64-V65-V66</f>
        <v>0.6565435839332241</v>
      </c>
      <c r="W59" s="48">
        <f>W60+W61-W62-W63-W64-W65-W66</f>
        <v>0.72176693692789329</v>
      </c>
    </row>
    <row r="60" spans="2:48" outlineLevel="1" x14ac:dyDescent="0.2">
      <c r="B60" s="79" t="s">
        <v>107</v>
      </c>
      <c r="C60" s="1"/>
      <c r="D60" s="1">
        <f>D12</f>
        <v>0.29205680000000001</v>
      </c>
      <c r="E60" s="1">
        <f>E12</f>
        <v>-0.3391101166058319</v>
      </c>
      <c r="F60" s="1">
        <f>F12</f>
        <v>-0.3744433445451063</v>
      </c>
      <c r="G60" s="1">
        <f t="shared" ref="G60:W60" si="12">IF(G12="",F60,G12)</f>
        <v>-0.27444334454510633</v>
      </c>
      <c r="H60" s="1">
        <f t="shared" si="12"/>
        <v>-0.17444334454510632</v>
      </c>
      <c r="I60" s="1">
        <f t="shared" si="12"/>
        <v>-7.4443344545106316E-2</v>
      </c>
      <c r="J60" s="1">
        <f t="shared" si="12"/>
        <v>2.555665545489369E-2</v>
      </c>
      <c r="K60" s="1">
        <f t="shared" si="12"/>
        <v>0.1255566554548937</v>
      </c>
      <c r="L60" s="1">
        <f t="shared" si="12"/>
        <v>0.2255566554548937</v>
      </c>
      <c r="M60" s="1">
        <f t="shared" si="12"/>
        <v>0.32555665545489371</v>
      </c>
      <c r="N60" s="1">
        <f t="shared" si="12"/>
        <v>0.32555665545489371</v>
      </c>
      <c r="O60" s="1">
        <f t="shared" si="12"/>
        <v>0.32555665545489371</v>
      </c>
      <c r="P60" s="1">
        <f t="shared" si="12"/>
        <v>0.32555665545489371</v>
      </c>
      <c r="Q60" s="1">
        <f t="shared" si="12"/>
        <v>0.32555665545489371</v>
      </c>
      <c r="R60" s="1">
        <f t="shared" si="12"/>
        <v>0.32555665545489371</v>
      </c>
      <c r="S60" s="1">
        <f t="shared" si="12"/>
        <v>0.32555665545489371</v>
      </c>
      <c r="T60" s="1">
        <f t="shared" si="12"/>
        <v>0.32555665545489371</v>
      </c>
      <c r="U60" s="1">
        <f t="shared" si="12"/>
        <v>0.32555665545489371</v>
      </c>
      <c r="V60" s="1">
        <f t="shared" si="12"/>
        <v>0.32555665545489371</v>
      </c>
      <c r="W60" s="1">
        <f t="shared" si="12"/>
        <v>0.32555665545489371</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13">-$C$48*D30</f>
        <v>8.5104384961754986E-2</v>
      </c>
      <c r="E62" s="1">
        <f t="shared" si="13"/>
        <v>1.3792226763121378</v>
      </c>
      <c r="F62" s="1">
        <f t="shared" si="13"/>
        <v>2.0304758386485537</v>
      </c>
      <c r="G62" s="1">
        <f t="shared" si="13"/>
        <v>1.5713147105025493</v>
      </c>
      <c r="H62" s="1">
        <f t="shared" si="13"/>
        <v>1.0896211825295963</v>
      </c>
      <c r="I62" s="1">
        <f t="shared" si="13"/>
        <v>0.76885008708703162</v>
      </c>
      <c r="J62" s="1">
        <f t="shared" si="13"/>
        <v>0.55524103964059646</v>
      </c>
      <c r="K62" s="1">
        <f t="shared" si="13"/>
        <v>0.41299373058046251</v>
      </c>
      <c r="L62" s="1">
        <f t="shared" si="13"/>
        <v>0.31826788831518421</v>
      </c>
      <c r="M62" s="1">
        <f>-$C$48*M30</f>
        <v>0.25518771300533455</v>
      </c>
      <c r="N62" s="1">
        <f t="shared" si="13"/>
        <v>0.17012514200355205</v>
      </c>
      <c r="O62" s="1">
        <f t="shared" si="13"/>
        <v>8.506257100176956E-2</v>
      </c>
      <c r="P62" s="1">
        <f t="shared" si="13"/>
        <v>0</v>
      </c>
      <c r="Q62" s="1">
        <f t="shared" si="13"/>
        <v>8.9534430257165444E-6</v>
      </c>
      <c r="R62" s="1">
        <f t="shared" si="13"/>
        <v>1.6753668573454839E-5</v>
      </c>
      <c r="S62" s="1">
        <f t="shared" si="13"/>
        <v>2.6283716987873792E-5</v>
      </c>
      <c r="T62" s="1">
        <f t="shared" si="13"/>
        <v>3.2354116580335374E-5</v>
      </c>
      <c r="U62" s="1">
        <f>-$C$48*U30</f>
        <v>4.0154338994247138E-5</v>
      </c>
      <c r="V62" s="1">
        <f t="shared" si="13"/>
        <v>4.5071521670880799E-5</v>
      </c>
      <c r="W62" s="1">
        <f t="shared" si="13"/>
        <v>5.1718527000965682E-5</v>
      </c>
    </row>
    <row r="63" spans="2:48" outlineLevel="1" x14ac:dyDescent="0.2">
      <c r="B63" s="79" t="s">
        <v>110</v>
      </c>
      <c r="C63" s="1"/>
      <c r="D63" s="1">
        <f t="shared" ref="D63:W63" si="14">-D14</f>
        <v>0</v>
      </c>
      <c r="E63" s="1">
        <f t="shared" si="14"/>
        <v>0</v>
      </c>
      <c r="F63" s="1">
        <f t="shared" si="14"/>
        <v>0</v>
      </c>
      <c r="G63" s="1">
        <f t="shared" si="14"/>
        <v>0</v>
      </c>
      <c r="H63" s="1">
        <f t="shared" si="14"/>
        <v>0</v>
      </c>
      <c r="I63" s="1">
        <f t="shared" si="14"/>
        <v>0</v>
      </c>
      <c r="J63" s="1">
        <f t="shared" si="14"/>
        <v>0</v>
      </c>
      <c r="K63" s="1">
        <f t="shared" si="14"/>
        <v>0</v>
      </c>
      <c r="L63" s="1">
        <f t="shared" si="14"/>
        <v>0</v>
      </c>
      <c r="M63" s="1">
        <f t="shared" si="14"/>
        <v>0</v>
      </c>
      <c r="N63" s="1">
        <f t="shared" si="14"/>
        <v>0</v>
      </c>
      <c r="O63" s="1">
        <f t="shared" si="14"/>
        <v>0</v>
      </c>
      <c r="P63" s="1">
        <f t="shared" si="14"/>
        <v>0</v>
      </c>
      <c r="Q63" s="1">
        <f t="shared" si="14"/>
        <v>0</v>
      </c>
      <c r="R63" s="1">
        <f t="shared" si="14"/>
        <v>0</v>
      </c>
      <c r="S63" s="1">
        <f t="shared" si="14"/>
        <v>0</v>
      </c>
      <c r="T63" s="1">
        <f t="shared" si="14"/>
        <v>0</v>
      </c>
      <c r="U63" s="1">
        <f t="shared" si="14"/>
        <v>0</v>
      </c>
      <c r="V63" s="1">
        <f t="shared" si="14"/>
        <v>0</v>
      </c>
      <c r="W63" s="1">
        <f t="shared" si="14"/>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v>
      </c>
      <c r="L64" s="1">
        <f>IF(L$56&lt;=$C$6,0,HLOOKUP(L$56,'Input data'!$C$9:$BB$26,12,FALSE)-HLOOKUP($C$6,'Input data'!$C$9:$BB$26,12,FALSE))</f>
        <v>0</v>
      </c>
      <c r="M64" s="1">
        <f>IF(M$56&lt;=$C$6,0,HLOOKUP(M$56,'Input data'!$C$9:$BB$26,12,FALSE)-HLOOKUP($C$6,'Input data'!$C$9:$BB$26,12,FALSE))</f>
        <v>0</v>
      </c>
      <c r="N64" s="1">
        <f>IF(N$56&lt;=$C$6,0,HLOOKUP(N$56,'Input data'!$C$9:$BB$26,12,FALSE)-HLOOKUP($C$6,'Input data'!$C$9:$BB$26,12,FALSE))</f>
        <v>3.416999999999959E-2</v>
      </c>
      <c r="O64" s="1">
        <f>IF(O$56&lt;=$C$6,0,HLOOKUP(O$56,'Input data'!$C$9:$BB$26,12,FALSE)-HLOOKUP($C$6,'Input data'!$C$9:$BB$26,12,FALSE))</f>
        <v>3.0779999999996477E-2</v>
      </c>
      <c r="P64" s="1">
        <f>IF(P$56&lt;=$C$6,0,HLOOKUP(P$56,'Input data'!$C$9:$BB$26,12,FALSE)-HLOOKUP($C$6,'Input data'!$C$9:$BB$26,12,FALSE))</f>
        <v>2.7829999999998023E-2</v>
      </c>
      <c r="Q64" s="1">
        <f>IF(Q$56&lt;=$C$6,0,HLOOKUP(Q$56,'Input data'!$C$9:$BB$26,12,FALSE)-HLOOKUP($C$6,'Input data'!$C$9:$BB$26,12,FALSE))</f>
        <v>1.6359999999995267E-2</v>
      </c>
      <c r="R64" s="1">
        <f>IF(R$56&lt;=$C$6,0,HLOOKUP(R$56,'Input data'!$C$9:$BB$26,12,FALSE)-HLOOKUP($C$6,'Input data'!$C$9:$BB$26,12,FALSE))</f>
        <v>-1.1079999999999757E-2</v>
      </c>
      <c r="S64" s="1">
        <f>IF(S$56&lt;=$C$6,0,HLOOKUP(S$56,'Input data'!$C$9:$BB$26,12,FALSE)-HLOOKUP($C$6,'Input data'!$C$9:$BB$26,12,FALSE))</f>
        <v>-5.7449999999999335E-2</v>
      </c>
      <c r="T64" s="1">
        <f>IF(T$56&lt;=$C$6,0,HLOOKUP(T$56,'Input data'!$C$9:$BB$26,12,FALSE)-HLOOKUP($C$6,'Input data'!$C$9:$BB$26,12,FALSE))</f>
        <v>-0.11955999999999989</v>
      </c>
      <c r="U64" s="1">
        <f>IF(U$56&lt;=$C$6,0,HLOOKUP(U$56,'Input data'!$C$9:$BB$26,12,FALSE)-HLOOKUP($C$6,'Input data'!$C$9:$BB$26,12,FALSE))</f>
        <v>-0.19588999999999857</v>
      </c>
      <c r="V64" s="1">
        <f>IF(V$56&lt;=$C$6,0,HLOOKUP(V$56,'Input data'!$C$9:$BB$26,12,FALSE)-HLOOKUP($C$6,'Input data'!$C$9:$BB$26,12,FALSE))</f>
        <v>-0.27118000000000109</v>
      </c>
      <c r="W64" s="1">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263">
        <f>IF(U$56&lt;=$C$6,0,-HLOOKUP(U$56,'Input data'!$C$9:$BB$26,18,FALSE)+HLOOKUP($C$6,'Input data'!$C$9:$BB$26,18,FALSE))</f>
        <v>-5.3202000000000194E-2</v>
      </c>
      <c r="V65" s="263">
        <f>IF(V$56&lt;=$C$6,0,-HLOOKUP(V$56,'Input data'!$C$9:$BB$26,18,FALSE)+HLOOKUP($C$6,'Input data'!$C$9:$BB$26,18,FALSE))</f>
        <v>-5.9852000000000238E-2</v>
      </c>
      <c r="W65" s="263">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264">
        <v>0</v>
      </c>
      <c r="V66" s="264">
        <v>0</v>
      </c>
      <c r="W66" s="264">
        <v>0</v>
      </c>
    </row>
    <row r="67" spans="2:23" outlineLevel="1" x14ac:dyDescent="0.2">
      <c r="B67" s="84" t="s">
        <v>114</v>
      </c>
      <c r="C67" s="48"/>
      <c r="D67" s="48">
        <f t="shared" ref="D67:O67" si="15">SUM(D68:D71)</f>
        <v>-4.0426919999999997</v>
      </c>
      <c r="E67" s="48">
        <f t="shared" si="15"/>
        <v>-0.79948272499993989</v>
      </c>
      <c r="F67" s="48">
        <f t="shared" si="15"/>
        <v>0.14925019261305703</v>
      </c>
      <c r="G67" s="48">
        <f t="shared" si="15"/>
        <v>-1.6057693262643842</v>
      </c>
      <c r="H67" s="48">
        <f t="shared" si="15"/>
        <v>-1.6273291879645857</v>
      </c>
      <c r="I67" s="48">
        <f t="shared" si="15"/>
        <v>-1.3853532994493891</v>
      </c>
      <c r="J67" s="48">
        <f t="shared" si="15"/>
        <v>-1.2205718509600143</v>
      </c>
      <c r="K67" s="48">
        <f t="shared" si="15"/>
        <v>-1.1093883733811611</v>
      </c>
      <c r="L67" s="48">
        <f t="shared" si="15"/>
        <v>-1.0333668148450808</v>
      </c>
      <c r="M67" s="48">
        <f t="shared" si="15"/>
        <v>-0.9824271916219236</v>
      </c>
      <c r="N67" s="48">
        <f t="shared" si="15"/>
        <v>-1.0138060308620607</v>
      </c>
      <c r="O67" s="48">
        <f t="shared" si="15"/>
        <v>-1.013587989327303</v>
      </c>
      <c r="P67" s="48">
        <f t="shared" ref="P67:W67" si="16">SUM(P68:P71)</f>
        <v>-0.94823110962105051</v>
      </c>
      <c r="Q67" s="48">
        <f t="shared" si="16"/>
        <v>-0.75697169703474021</v>
      </c>
      <c r="R67" s="48">
        <f t="shared" si="16"/>
        <v>-0.69447454089901095</v>
      </c>
      <c r="S67" s="48">
        <f t="shared" si="16"/>
        <v>-0.6329327914673395</v>
      </c>
      <c r="T67" s="48">
        <f t="shared" si="16"/>
        <v>-0.5724406184906643</v>
      </c>
      <c r="U67" s="48">
        <f t="shared" si="16"/>
        <v>-0.51311191117510058</v>
      </c>
      <c r="V67" s="48">
        <f t="shared" si="16"/>
        <v>-0.4551310274233189</v>
      </c>
      <c r="W67" s="48">
        <f t="shared" si="16"/>
        <v>-0.39867321985441584</v>
      </c>
    </row>
    <row r="68" spans="2:23" outlineLevel="1" x14ac:dyDescent="0.2">
      <c r="B68" s="79" t="s">
        <v>115</v>
      </c>
      <c r="C68" s="34"/>
      <c r="D68" s="34">
        <f>C57*D36/100*(1/(1+D33/100))</f>
        <v>0.57044236264340553</v>
      </c>
      <c r="E68" s="34">
        <f>D57*E36/100*(1/(1+E33/100))</f>
        <v>1.1312999524848377</v>
      </c>
      <c r="F68" s="34">
        <f>E57*F36/100*(1/(1+F33/100))</f>
        <v>1.2546443552845774</v>
      </c>
      <c r="G68" s="34">
        <f>F57*G36/100*(1/(1+G33/100))</f>
        <v>1.4848041163451184</v>
      </c>
      <c r="H68" s="34">
        <f t="shared" ref="H68:W68" si="17">G57*H36/100*(1/(1+H33/100))</f>
        <v>1.5879383962077989</v>
      </c>
      <c r="I68" s="34">
        <f t="shared" si="17"/>
        <v>1.6903599038059536</v>
      </c>
      <c r="J68" s="34">
        <f>I57*J36/100*(1/(1+J33/100))</f>
        <v>1.7740938902402197</v>
      </c>
      <c r="K68" s="34">
        <f t="shared" si="17"/>
        <v>1.8476565546426016</v>
      </c>
      <c r="L68" s="34">
        <f t="shared" si="17"/>
        <v>1.9038850990860254</v>
      </c>
      <c r="M68" s="34">
        <f t="shared" si="17"/>
        <v>1.9553943711858579</v>
      </c>
      <c r="N68" s="34">
        <f t="shared" si="17"/>
        <v>2.0141462307627007</v>
      </c>
      <c r="O68" s="34">
        <f t="shared" si="17"/>
        <v>2.0701572691522458</v>
      </c>
      <c r="P68" s="34">
        <f t="shared" si="17"/>
        <v>2.117537090705949</v>
      </c>
      <c r="Q68" s="34">
        <f t="shared" si="17"/>
        <v>2.1610763597267915</v>
      </c>
      <c r="R68" s="34">
        <f t="shared" si="17"/>
        <v>2.2000876063621293</v>
      </c>
      <c r="S68" s="34">
        <f t="shared" si="17"/>
        <v>2.2340583113082944</v>
      </c>
      <c r="T68" s="34">
        <f t="shared" si="17"/>
        <v>2.2623544878517556</v>
      </c>
      <c r="U68" s="34">
        <f t="shared" si="17"/>
        <v>2.284416487614509</v>
      </c>
      <c r="V68" s="34">
        <f t="shared" si="17"/>
        <v>2.2997061716507825</v>
      </c>
      <c r="W68" s="34">
        <f t="shared" si="17"/>
        <v>2.3081629027498347</v>
      </c>
    </row>
    <row r="69" spans="2:23" outlineLevel="1" x14ac:dyDescent="0.2">
      <c r="B69" s="79" t="s">
        <v>116</v>
      </c>
      <c r="C69" s="34"/>
      <c r="D69" s="34">
        <f t="shared" ref="D69:W69" si="18">-C57*(D24/100)*(1/(1+D33/100))</f>
        <v>-0.90770273794427436</v>
      </c>
      <c r="E69" s="34">
        <f t="shared" si="18"/>
        <v>0.82999130151990808</v>
      </c>
      <c r="F69" s="34">
        <f t="shared" si="18"/>
        <v>0.16736355968562128</v>
      </c>
      <c r="G69" s="34">
        <f t="shared" si="18"/>
        <v>-1.3831494669096829</v>
      </c>
      <c r="H69" s="34">
        <f t="shared" si="18"/>
        <v>-1.4345407422170708</v>
      </c>
      <c r="I69" s="34">
        <f t="shared" si="18"/>
        <v>-1.2238622032621493</v>
      </c>
      <c r="J69" s="34">
        <f t="shared" si="18"/>
        <v>-1.0807109894524101</v>
      </c>
      <c r="K69" s="34">
        <f t="shared" si="18"/>
        <v>-0.98508988003587661</v>
      </c>
      <c r="L69" s="34">
        <f t="shared" si="18"/>
        <v>-0.91797327637658943</v>
      </c>
      <c r="M69" s="34">
        <f t="shared" si="18"/>
        <v>-0.87298449127809208</v>
      </c>
      <c r="N69" s="34">
        <f t="shared" si="18"/>
        <v>-0.90898684545470909</v>
      </c>
      <c r="O69" s="34">
        <f t="shared" si="18"/>
        <v>-0.91236376529321717</v>
      </c>
      <c r="P69" s="34">
        <f t="shared" si="18"/>
        <v>-0.9138586077735591</v>
      </c>
      <c r="Q69" s="34">
        <f t="shared" si="18"/>
        <v>-0.79012269349368991</v>
      </c>
      <c r="R69" s="34">
        <f t="shared" si="18"/>
        <v>-0.79011522436879522</v>
      </c>
      <c r="S69" s="34">
        <f t="shared" si="18"/>
        <v>-0.78898036512164715</v>
      </c>
      <c r="T69" s="34">
        <f t="shared" si="18"/>
        <v>-0.78654903643961693</v>
      </c>
      <c r="U69" s="34">
        <f t="shared" si="18"/>
        <v>-0.78265322237708845</v>
      </c>
      <c r="V69" s="34">
        <f t="shared" si="18"/>
        <v>-0.77716665572424926</v>
      </c>
      <c r="W69" s="34">
        <f t="shared" si="18"/>
        <v>-0.77007201626962529</v>
      </c>
    </row>
    <row r="70" spans="2:23" outlineLevel="1" x14ac:dyDescent="0.2">
      <c r="B70" s="79" t="s">
        <v>117</v>
      </c>
      <c r="C70" s="34"/>
      <c r="D70" s="34">
        <f t="shared" ref="D70:W70" si="19">-C57*D42/100*(1/(1+D42/100))</f>
        <v>-3.7081792093539843</v>
      </c>
      <c r="E70" s="34">
        <f t="shared" si="19"/>
        <v>-2.7601372355757476</v>
      </c>
      <c r="F70" s="34">
        <f t="shared" si="19"/>
        <v>-1.2729942369236147</v>
      </c>
      <c r="G70" s="34">
        <f t="shared" si="19"/>
        <v>-1.7075744585293433</v>
      </c>
      <c r="H70" s="34">
        <f t="shared" si="19"/>
        <v>-1.7807268419553137</v>
      </c>
      <c r="I70" s="34">
        <f t="shared" si="19"/>
        <v>-1.8518509999931934</v>
      </c>
      <c r="J70" s="34">
        <f t="shared" si="19"/>
        <v>-1.9139547517478239</v>
      </c>
      <c r="K70" s="34">
        <f t="shared" si="19"/>
        <v>-1.971955047987886</v>
      </c>
      <c r="L70" s="34">
        <f t="shared" si="19"/>
        <v>-2.0192786375545166</v>
      </c>
      <c r="M70" s="34">
        <f t="shared" si="19"/>
        <v>-2.0648370715296895</v>
      </c>
      <c r="N70" s="34">
        <f t="shared" si="19"/>
        <v>-2.1189654161700524</v>
      </c>
      <c r="O70" s="34">
        <f t="shared" si="19"/>
        <v>-2.1713814931863316</v>
      </c>
      <c r="P70" s="34">
        <f t="shared" si="19"/>
        <v>-2.1519095925534404</v>
      </c>
      <c r="Q70" s="34">
        <f t="shared" si="19"/>
        <v>-2.1279253632678419</v>
      </c>
      <c r="R70" s="34">
        <f t="shared" si="19"/>
        <v>-2.104446922892345</v>
      </c>
      <c r="S70" s="34">
        <f t="shared" si="19"/>
        <v>-2.0780107376539867</v>
      </c>
      <c r="T70" s="34">
        <f t="shared" si="19"/>
        <v>-2.0482460699028029</v>
      </c>
      <c r="U70" s="34">
        <f t="shared" si="19"/>
        <v>-2.014875176412521</v>
      </c>
      <c r="V70" s="34">
        <f t="shared" si="19"/>
        <v>-1.977670543349852</v>
      </c>
      <c r="W70" s="34">
        <f t="shared" si="19"/>
        <v>-1.9367641063346253</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v>0</v>
      </c>
      <c r="I71" s="49">
        <v>0</v>
      </c>
      <c r="J71" s="49">
        <v>0</v>
      </c>
      <c r="K71" s="49">
        <v>0</v>
      </c>
      <c r="L71" s="49">
        <v>0</v>
      </c>
      <c r="M71" s="49">
        <v>0</v>
      </c>
      <c r="N71" s="49">
        <v>0</v>
      </c>
      <c r="O71" s="49">
        <v>0</v>
      </c>
      <c r="P71" s="49">
        <v>0</v>
      </c>
      <c r="Q71" s="49">
        <v>0</v>
      </c>
      <c r="R71" s="49">
        <v>0</v>
      </c>
      <c r="S71" s="49">
        <v>0</v>
      </c>
      <c r="T71" s="49">
        <v>0</v>
      </c>
      <c r="U71" s="49">
        <v>0</v>
      </c>
      <c r="V71" s="49">
        <v>0</v>
      </c>
      <c r="W71" s="49">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20">D15</f>
        <v>5.1764349999999997</v>
      </c>
      <c r="E73" s="34">
        <f t="shared" si="20"/>
        <v>2.1420457294413482</v>
      </c>
      <c r="F73" s="34">
        <f t="shared" si="20"/>
        <v>2.543156615765406</v>
      </c>
      <c r="G73" s="34">
        <f t="shared" si="20"/>
        <v>1.2833361388111759</v>
      </c>
      <c r="H73" s="34">
        <f t="shared" si="20"/>
        <v>1.726862012716794</v>
      </c>
      <c r="I73" s="34">
        <f t="shared" si="20"/>
        <v>1.4444254457205716</v>
      </c>
      <c r="J73" s="34">
        <f t="shared" si="20"/>
        <v>1.3768241518246929</v>
      </c>
      <c r="K73" s="34">
        <f t="shared" si="20"/>
        <v>1.0241608740131771</v>
      </c>
      <c r="L73" s="34">
        <f t="shared" si="20"/>
        <v>1.0623847406019649</v>
      </c>
      <c r="M73" s="34">
        <f t="shared" si="20"/>
        <v>1.5229809999999999</v>
      </c>
      <c r="N73" s="34">
        <f t="shared" si="20"/>
        <v>1.526135</v>
      </c>
      <c r="O73" s="34">
        <f t="shared" si="20"/>
        <v>1.3735219999999999</v>
      </c>
      <c r="P73" s="34">
        <f t="shared" si="20"/>
        <v>1.2209080000000001</v>
      </c>
      <c r="Q73" s="34">
        <f t="shared" si="20"/>
        <v>1.068295</v>
      </c>
      <c r="R73" s="34">
        <f t="shared" si="20"/>
        <v>0.91568099999999997</v>
      </c>
      <c r="S73" s="34">
        <f t="shared" si="20"/>
        <v>0.76306750000000001</v>
      </c>
      <c r="T73" s="34">
        <f t="shared" si="20"/>
        <v>0.61045400000000005</v>
      </c>
      <c r="U73" s="34">
        <f t="shared" si="20"/>
        <v>0.45784049999999998</v>
      </c>
      <c r="V73" s="34">
        <f t="shared" si="20"/>
        <v>0.30522700000000003</v>
      </c>
      <c r="W73" s="34">
        <f t="shared" si="20"/>
        <v>0.15261350000000001</v>
      </c>
    </row>
    <row r="74" spans="2:23" outlineLevel="1" x14ac:dyDescent="0.2">
      <c r="B74" s="89" t="s">
        <v>121</v>
      </c>
      <c r="C74" s="49"/>
      <c r="D74" s="49">
        <f>+D72-D73</f>
        <v>0</v>
      </c>
      <c r="E74" s="49">
        <f t="shared" ref="E74:W74" si="21">+E72-E73</f>
        <v>0</v>
      </c>
      <c r="F74" s="49">
        <f t="shared" si="21"/>
        <v>0</v>
      </c>
      <c r="G74" s="49">
        <f t="shared" si="21"/>
        <v>0</v>
      </c>
      <c r="H74" s="49">
        <f t="shared" si="21"/>
        <v>0</v>
      </c>
      <c r="I74" s="49">
        <f t="shared" si="21"/>
        <v>0</v>
      </c>
      <c r="J74" s="49">
        <f t="shared" si="21"/>
        <v>0</v>
      </c>
      <c r="K74" s="49">
        <f t="shared" si="21"/>
        <v>0</v>
      </c>
      <c r="L74" s="49">
        <f t="shared" si="21"/>
        <v>0</v>
      </c>
      <c r="M74" s="49">
        <f t="shared" si="21"/>
        <v>0</v>
      </c>
      <c r="N74" s="49">
        <f t="shared" si="21"/>
        <v>0</v>
      </c>
      <c r="O74" s="49">
        <f t="shared" si="21"/>
        <v>0</v>
      </c>
      <c r="P74" s="49">
        <f t="shared" si="21"/>
        <v>0</v>
      </c>
      <c r="Q74" s="49">
        <f t="shared" si="21"/>
        <v>0</v>
      </c>
      <c r="R74" s="49">
        <f t="shared" si="21"/>
        <v>0</v>
      </c>
      <c r="S74" s="49">
        <f t="shared" si="21"/>
        <v>0</v>
      </c>
      <c r="T74" s="49">
        <f t="shared" si="21"/>
        <v>0</v>
      </c>
      <c r="U74" s="49">
        <f t="shared" si="21"/>
        <v>0</v>
      </c>
      <c r="V74" s="49">
        <f t="shared" si="21"/>
        <v>0</v>
      </c>
      <c r="W74" s="49">
        <f t="shared" si="21"/>
        <v>0</v>
      </c>
    </row>
    <row r="75" spans="2:23" ht="10.5" customHeight="1" outlineLevel="1" x14ac:dyDescent="0.2"/>
    <row r="76" spans="2:23" ht="10.5" customHeight="1" outlineLevel="1" x14ac:dyDescent="0.2">
      <c r="B76" s="91" t="s">
        <v>122</v>
      </c>
    </row>
    <row r="77" spans="2:23" x14ac:dyDescent="0.2">
      <c r="B77" s="77" t="s">
        <v>41</v>
      </c>
      <c r="C77" s="77"/>
      <c r="D77" s="78">
        <f>D59-D68</f>
        <v>-0.36348994760516051</v>
      </c>
      <c r="E77" s="78">
        <f t="shared" ref="E77:W77" si="22">E59-E68</f>
        <v>-2.8496327454028076</v>
      </c>
      <c r="F77" s="78">
        <f t="shared" si="22"/>
        <v>-3.6595635384782375</v>
      </c>
      <c r="G77" s="78">
        <f>G59-G68</f>
        <v>-3.3305621713927742</v>
      </c>
      <c r="H77" s="78">
        <f t="shared" si="22"/>
        <v>-2.8520029232825017</v>
      </c>
      <c r="I77" s="78">
        <f t="shared" si="22"/>
        <v>-2.5336533354380917</v>
      </c>
      <c r="J77" s="78">
        <f t="shared" si="22"/>
        <v>-2.3037782744259223</v>
      </c>
      <c r="K77" s="78">
        <f t="shared" si="22"/>
        <v>-2.1350936297681704</v>
      </c>
      <c r="L77" s="78">
        <f t="shared" si="22"/>
        <v>-1.996596331946316</v>
      </c>
      <c r="M77" s="78">
        <f t="shared" si="22"/>
        <v>-1.8850254287362986</v>
      </c>
      <c r="N77" s="78">
        <f t="shared" si="22"/>
        <v>-1.8862337173113586</v>
      </c>
      <c r="O77" s="78">
        <f t="shared" si="22"/>
        <v>-1.8471421846991181</v>
      </c>
      <c r="P77" s="78">
        <f t="shared" si="22"/>
        <v>-1.7998594352510531</v>
      </c>
      <c r="Q77" s="78">
        <f t="shared" si="22"/>
        <v>-1.8252876577149189</v>
      </c>
      <c r="R77" s="78">
        <f t="shared" si="22"/>
        <v>-1.8302167045758093</v>
      </c>
      <c r="S77" s="78">
        <f t="shared" si="22"/>
        <v>-1.811175939570389</v>
      </c>
      <c r="T77" s="78">
        <f t="shared" si="22"/>
        <v>-1.7707181865134423</v>
      </c>
      <c r="U77" s="78">
        <f t="shared" si="22"/>
        <v>-1.7098079864986109</v>
      </c>
      <c r="V77" s="78">
        <f t="shared" si="22"/>
        <v>-1.6431625877175584</v>
      </c>
      <c r="W77" s="78">
        <f t="shared" si="22"/>
        <v>-1.5863959658219415</v>
      </c>
    </row>
    <row r="78" spans="2:23" x14ac:dyDescent="0.2">
      <c r="B78" s="26" t="s">
        <v>42</v>
      </c>
      <c r="D78" s="34">
        <f>D60-D68-D64-D65-D66</f>
        <v>-0.27838556264340553</v>
      </c>
      <c r="E78" s="34">
        <f t="shared" ref="E78:W78" si="23">E60-E68-E64-E65-E66</f>
        <v>-1.4704100690906696</v>
      </c>
      <c r="F78" s="34">
        <f t="shared" si="23"/>
        <v>-1.6290876998296837</v>
      </c>
      <c r="G78" s="34">
        <f t="shared" si="23"/>
        <v>-1.7592474608902249</v>
      </c>
      <c r="H78" s="34">
        <f t="shared" si="23"/>
        <v>-1.7623817407529052</v>
      </c>
      <c r="I78" s="34">
        <f t="shared" si="23"/>
        <v>-1.7648032483510598</v>
      </c>
      <c r="J78" s="34">
        <f t="shared" si="23"/>
        <v>-1.7485372347853261</v>
      </c>
      <c r="K78" s="34">
        <f t="shared" si="23"/>
        <v>-1.7220998991877079</v>
      </c>
      <c r="L78" s="34">
        <f t="shared" si="23"/>
        <v>-1.6783284436311317</v>
      </c>
      <c r="M78" s="34">
        <f t="shared" si="23"/>
        <v>-1.6298377157309643</v>
      </c>
      <c r="N78" s="34">
        <f t="shared" si="23"/>
        <v>-1.7161085753078065</v>
      </c>
      <c r="O78" s="34">
        <f t="shared" si="23"/>
        <v>-1.7620796136973484</v>
      </c>
      <c r="P78" s="34">
        <f t="shared" si="23"/>
        <v>-1.7998594352510531</v>
      </c>
      <c r="Q78" s="34">
        <f t="shared" si="23"/>
        <v>-1.8252787042718932</v>
      </c>
      <c r="R78" s="34">
        <f t="shared" si="23"/>
        <v>-1.830199950907236</v>
      </c>
      <c r="S78" s="34">
        <f t="shared" si="23"/>
        <v>-1.8111496558534013</v>
      </c>
      <c r="T78" s="34">
        <f t="shared" si="23"/>
        <v>-1.7706858323968619</v>
      </c>
      <c r="U78" s="34">
        <f t="shared" si="23"/>
        <v>-1.7097678321596166</v>
      </c>
      <c r="V78" s="34">
        <f t="shared" si="23"/>
        <v>-1.6431175161958875</v>
      </c>
      <c r="W78" s="34">
        <f t="shared" si="23"/>
        <v>-1.5863442472949405</v>
      </c>
    </row>
    <row r="79" spans="2:23" x14ac:dyDescent="0.2">
      <c r="B79" s="35" t="s">
        <v>123</v>
      </c>
      <c r="C79" s="35"/>
      <c r="D79" s="281">
        <f>'Input data'!D45</f>
        <v>5.7681103325160432</v>
      </c>
      <c r="E79" s="281">
        <f>'Input data'!E45</f>
        <v>7.4830230810080138</v>
      </c>
      <c r="F79" s="281">
        <f>'Input data'!F45</f>
        <v>3.9912900392291735</v>
      </c>
      <c r="G79" s="49">
        <f>'Input data'!G33+G42-(G$12-F$12)/'Input data'!$C$64*100</f>
        <v>2.8893102873944017</v>
      </c>
      <c r="H79" s="49">
        <f>'Input data'!H33+H42-(H$12-G$12)/'Input data'!$C$64*100</f>
        <v>2.9411258449702129</v>
      </c>
      <c r="I79" s="49">
        <f>'Input data'!I33+I42-(I$12-H$12)/'Input data'!$C$64*100</f>
        <v>2.9929414025460246</v>
      </c>
      <c r="J79" s="49">
        <f>'Input data'!J33+J42-(J$12-I$12)/'Input data'!$C$64*100</f>
        <v>3.0447569601218363</v>
      </c>
      <c r="K79" s="49">
        <f>'Input data'!K33+K42-(K$12-J$12)/'Input data'!$C$64*100</f>
        <v>3.096572517697648</v>
      </c>
      <c r="L79" s="49">
        <f>'Input data'!L33+L42-(L$12-K$12)/'Input data'!$C$64*100</f>
        <v>3.1483880752734597</v>
      </c>
      <c r="M79" s="49">
        <f>'Input data'!M33+M42-(M$12-L$12)/'Input data'!$C$64*100</f>
        <v>3.2002036328492722</v>
      </c>
      <c r="N79" s="49">
        <f>'Input data'!N33+N42-(N$12-M$12)/'Input data'!$C$64*100</f>
        <v>3.4332844424241884</v>
      </c>
      <c r="O79" s="49">
        <f>'Input data'!O33+O42-(O$12-N$12)/'Input data'!$C$64*100</f>
        <v>3.4851000000000001</v>
      </c>
      <c r="P79" s="49">
        <f>'Input data'!P33+P42-(P$12-O$12)/'Input data'!$C$64*100</f>
        <v>3.4576000000000002</v>
      </c>
      <c r="Q79" s="49">
        <f>'Input data'!Q33+Q42-(Q$12-P$12)/'Input data'!$C$64*100</f>
        <v>3.4300999999999995</v>
      </c>
      <c r="R79" s="49">
        <f>'Input data'!R33+R42-(R$12-Q$12)/'Input data'!$C$64*100</f>
        <v>3.4025999999999996</v>
      </c>
      <c r="S79" s="49">
        <f>'Input data'!S33+S42-(S$12-R$12)/'Input data'!$C$64*100</f>
        <v>3.3750999999999998</v>
      </c>
      <c r="T79" s="49">
        <f>'Input data'!T33+T42-(T$12-S$12)/'Input data'!$C$64*100</f>
        <v>3.3475999999999999</v>
      </c>
      <c r="U79" s="49">
        <f>'Input data'!U33+U42-(U$12-T$12)/'Input data'!$C$64*100</f>
        <v>3.3201000000000001</v>
      </c>
      <c r="V79" s="49">
        <f>'Input data'!V33+V42-(V$12-U$12)/'Input data'!$C$64*100</f>
        <v>3.2926000000000002</v>
      </c>
      <c r="W79" s="49">
        <f>'Input data'!W33+W42-(W$12-V$12)/'Input data'!$C$64*100</f>
        <v>3.2651000000000003</v>
      </c>
    </row>
    <row r="80" spans="2:23" x14ac:dyDescent="0.2">
      <c r="D80" s="34"/>
      <c r="E80" s="34"/>
      <c r="F80" s="34"/>
      <c r="G80" s="34"/>
      <c r="H80" s="34"/>
      <c r="I80" s="34"/>
      <c r="J80" s="34"/>
      <c r="K80" s="34"/>
      <c r="L80" s="34"/>
      <c r="M80" s="34"/>
      <c r="N80" s="34"/>
      <c r="O80" s="34"/>
      <c r="P80" s="34"/>
      <c r="Q80" s="34"/>
      <c r="R80" s="34"/>
      <c r="S80" s="34"/>
      <c r="T80" s="34"/>
      <c r="U80" s="34"/>
      <c r="V80" s="34"/>
      <c r="W80" s="34"/>
    </row>
    <row r="81" spans="2:23" x14ac:dyDescent="0.2">
      <c r="B81" s="113" t="s">
        <v>143</v>
      </c>
      <c r="C81" s="51"/>
      <c r="D81" s="214">
        <f ca="1">AVERAGE(OFFSET($G$79,0,0,1,'Criteria results'!F5))</f>
        <v>3.0447569601218367</v>
      </c>
      <c r="E81" s="34"/>
      <c r="F81" s="34"/>
      <c r="G81" s="34"/>
      <c r="H81" s="34"/>
      <c r="I81" s="36"/>
      <c r="J81" s="36"/>
      <c r="K81" s="36"/>
      <c r="L81" s="36"/>
      <c r="M81" s="34"/>
      <c r="N81" s="34"/>
      <c r="O81" s="34"/>
      <c r="P81" s="34"/>
      <c r="Q81" s="34"/>
      <c r="R81" s="34"/>
      <c r="S81" s="34"/>
      <c r="T81" s="34"/>
      <c r="U81" s="34"/>
      <c r="V81" s="34"/>
      <c r="W81" s="34"/>
    </row>
    <row r="82" spans="2:23" x14ac:dyDescent="0.2">
      <c r="B82" s="87"/>
      <c r="C82" s="77"/>
      <c r="D82" s="326"/>
      <c r="E82" s="34"/>
      <c r="F82" s="34"/>
      <c r="G82" s="34"/>
      <c r="H82" s="34"/>
      <c r="I82" s="36"/>
      <c r="J82" s="36"/>
      <c r="K82" s="36"/>
      <c r="L82" s="36"/>
      <c r="M82" s="34"/>
      <c r="N82" s="34"/>
      <c r="O82" s="34"/>
      <c r="P82" s="34"/>
      <c r="Q82" s="34"/>
      <c r="R82" s="34"/>
      <c r="S82" s="34"/>
      <c r="T82" s="34"/>
      <c r="U82" s="34"/>
      <c r="V82" s="34"/>
      <c r="W82" s="34"/>
    </row>
    <row r="83" spans="2:23" x14ac:dyDescent="0.2">
      <c r="B83" s="51" t="s">
        <v>218</v>
      </c>
      <c r="C83" s="51"/>
      <c r="D83" s="51"/>
      <c r="E83" s="51"/>
      <c r="F83" s="51"/>
      <c r="G83" s="257"/>
      <c r="H83" s="257"/>
      <c r="I83" s="257"/>
      <c r="J83" s="257"/>
      <c r="K83" s="257">
        <f t="shared" ref="K83:W83" si="24">IF(K57&lt;J57,0,1)</f>
        <v>1</v>
      </c>
      <c r="L83" s="257">
        <f t="shared" si="24"/>
        <v>1</v>
      </c>
      <c r="M83" s="257">
        <f t="shared" si="24"/>
        <v>1</v>
      </c>
      <c r="N83" s="257">
        <f t="shared" si="24"/>
        <v>1</v>
      </c>
      <c r="O83" s="257">
        <f t="shared" si="24"/>
        <v>1</v>
      </c>
      <c r="P83" s="257">
        <f t="shared" si="24"/>
        <v>0</v>
      </c>
      <c r="Q83" s="257">
        <f t="shared" si="24"/>
        <v>0</v>
      </c>
      <c r="R83" s="257">
        <f t="shared" si="24"/>
        <v>0</v>
      </c>
      <c r="S83" s="257">
        <f t="shared" si="24"/>
        <v>0</v>
      </c>
      <c r="T83" s="257">
        <f t="shared" si="24"/>
        <v>0</v>
      </c>
      <c r="U83" s="78">
        <f t="shared" si="24"/>
        <v>0</v>
      </c>
      <c r="V83" s="78">
        <f t="shared" si="24"/>
        <v>0</v>
      </c>
      <c r="W83" s="78">
        <f t="shared" si="24"/>
        <v>0</v>
      </c>
    </row>
    <row r="84" spans="2:23" x14ac:dyDescent="0.2">
      <c r="B84" s="77"/>
      <c r="C84" s="77"/>
      <c r="D84" s="78"/>
      <c r="E84" s="34"/>
      <c r="F84" s="34"/>
      <c r="G84" s="34"/>
      <c r="H84" s="34"/>
      <c r="I84" s="34"/>
      <c r="J84" s="34"/>
      <c r="K84" s="34"/>
      <c r="L84" s="34"/>
      <c r="M84" s="34"/>
      <c r="N84" s="34"/>
      <c r="O84" s="34"/>
      <c r="P84" s="34"/>
      <c r="Q84" s="34"/>
      <c r="R84" s="34"/>
      <c r="S84" s="34"/>
      <c r="T84" s="34"/>
      <c r="U84" s="34"/>
      <c r="V84" s="34"/>
      <c r="W84" s="34"/>
    </row>
    <row r="85" spans="2:23" s="93" customFormat="1" ht="12.75" outlineLevel="1" x14ac:dyDescent="0.2">
      <c r="B85" s="94" t="s">
        <v>124</v>
      </c>
      <c r="C85" s="95"/>
      <c r="E85" s="96"/>
      <c r="F85" s="95"/>
    </row>
    <row r="86" spans="2:23" x14ac:dyDescent="0.2">
      <c r="C86" s="34"/>
      <c r="D86" s="34"/>
      <c r="E86" s="34"/>
      <c r="F86" s="34"/>
      <c r="G86" s="34"/>
      <c r="H86" s="34"/>
      <c r="I86" s="34"/>
      <c r="J86" s="34"/>
      <c r="K86" s="34"/>
      <c r="L86" s="34"/>
      <c r="M86" s="34"/>
      <c r="N86" s="34"/>
      <c r="O86" s="34"/>
      <c r="P86" s="34"/>
      <c r="Q86" s="34"/>
      <c r="R86" s="34"/>
      <c r="S86" s="34"/>
      <c r="T86" s="34"/>
      <c r="U86" s="34"/>
      <c r="V86" s="34"/>
      <c r="W86" s="34"/>
    </row>
    <row r="87" spans="2:23" x14ac:dyDescent="0.2">
      <c r="B87" s="26" t="s">
        <v>125</v>
      </c>
      <c r="D87" s="29">
        <f t="shared" ref="D87:W87" si="25">IF((D92-C92*D43/((1+D24/100)*(1+D42/100)))&gt;0,1,0)</f>
        <v>1</v>
      </c>
      <c r="E87" s="29">
        <f t="shared" si="25"/>
        <v>1</v>
      </c>
      <c r="F87" s="29">
        <f t="shared" si="25"/>
        <v>1</v>
      </c>
      <c r="G87" s="29">
        <f t="shared" si="25"/>
        <v>1</v>
      </c>
      <c r="H87" s="29">
        <f t="shared" si="25"/>
        <v>1</v>
      </c>
      <c r="I87" s="29">
        <f t="shared" si="25"/>
        <v>1</v>
      </c>
      <c r="J87" s="29">
        <f t="shared" si="25"/>
        <v>1</v>
      </c>
      <c r="K87" s="29">
        <f t="shared" si="25"/>
        <v>1</v>
      </c>
      <c r="L87" s="29">
        <f t="shared" si="25"/>
        <v>1</v>
      </c>
      <c r="M87" s="29">
        <f t="shared" si="25"/>
        <v>1</v>
      </c>
      <c r="N87" s="29">
        <f t="shared" si="25"/>
        <v>1</v>
      </c>
      <c r="O87" s="29">
        <f t="shared" si="25"/>
        <v>1</v>
      </c>
      <c r="P87" s="29">
        <f t="shared" si="25"/>
        <v>1</v>
      </c>
      <c r="Q87" s="29">
        <f t="shared" si="25"/>
        <v>1</v>
      </c>
      <c r="R87" s="29">
        <f t="shared" si="25"/>
        <v>1</v>
      </c>
      <c r="S87" s="29">
        <f t="shared" si="25"/>
        <v>1</v>
      </c>
      <c r="T87" s="29">
        <f t="shared" si="25"/>
        <v>1</v>
      </c>
      <c r="U87" s="29">
        <f t="shared" si="25"/>
        <v>1</v>
      </c>
      <c r="V87" s="29">
        <f t="shared" si="25"/>
        <v>1</v>
      </c>
      <c r="W87" s="29">
        <f t="shared" si="25"/>
        <v>1</v>
      </c>
    </row>
    <row r="88" spans="2:23" x14ac:dyDescent="0.2">
      <c r="B88" s="26" t="s">
        <v>126</v>
      </c>
      <c r="D88" s="29">
        <f t="shared" ref="D88:W88" si="26">IF(AND(D87=0,ABS(D92-C92*D43/((1+D24/100)*(1+D42/100)))&lt;((C98*C92*D43/((1+D24/100)*(1+D42/100))+(D39*C92*C99*D43/((1+D24/100)*(1+D42/100)))))),1,0)</f>
        <v>0</v>
      </c>
      <c r="E88" s="29">
        <f t="shared" si="26"/>
        <v>0</v>
      </c>
      <c r="F88" s="29">
        <f t="shared" si="26"/>
        <v>0</v>
      </c>
      <c r="G88" s="29">
        <f t="shared" si="26"/>
        <v>0</v>
      </c>
      <c r="H88" s="29">
        <f t="shared" si="26"/>
        <v>0</v>
      </c>
      <c r="I88" s="29">
        <f t="shared" si="26"/>
        <v>0</v>
      </c>
      <c r="J88" s="29">
        <f t="shared" si="26"/>
        <v>0</v>
      </c>
      <c r="K88" s="29">
        <f t="shared" si="26"/>
        <v>0</v>
      </c>
      <c r="L88" s="29">
        <f t="shared" si="26"/>
        <v>0</v>
      </c>
      <c r="M88" s="29">
        <f t="shared" si="26"/>
        <v>0</v>
      </c>
      <c r="N88" s="29">
        <f t="shared" si="26"/>
        <v>0</v>
      </c>
      <c r="O88" s="29">
        <f t="shared" si="26"/>
        <v>0</v>
      </c>
      <c r="P88" s="29">
        <f t="shared" si="26"/>
        <v>0</v>
      </c>
      <c r="Q88" s="29">
        <f t="shared" si="26"/>
        <v>0</v>
      </c>
      <c r="R88" s="29">
        <f t="shared" si="26"/>
        <v>0</v>
      </c>
      <c r="S88" s="29">
        <f t="shared" si="26"/>
        <v>0</v>
      </c>
      <c r="T88" s="29">
        <f t="shared" si="26"/>
        <v>0</v>
      </c>
      <c r="U88" s="29">
        <f t="shared" si="26"/>
        <v>0</v>
      </c>
      <c r="V88" s="29">
        <f t="shared" si="26"/>
        <v>0</v>
      </c>
      <c r="W88" s="29">
        <f t="shared" si="26"/>
        <v>0</v>
      </c>
    </row>
    <row r="90" spans="2:23" x14ac:dyDescent="0.2">
      <c r="H90" s="38"/>
      <c r="I90" s="38"/>
      <c r="J90" s="38"/>
      <c r="K90" s="38"/>
      <c r="L90" s="38"/>
      <c r="M90" s="38"/>
      <c r="N90" s="38"/>
      <c r="O90" s="38"/>
      <c r="P90" s="38"/>
      <c r="Q90" s="38"/>
      <c r="R90" s="38"/>
      <c r="S90" s="38"/>
      <c r="T90" s="38"/>
    </row>
    <row r="91" spans="2:23" x14ac:dyDescent="0.2">
      <c r="B91" s="51"/>
      <c r="C91" s="86">
        <v>2021</v>
      </c>
      <c r="D91" s="86">
        <v>2022</v>
      </c>
      <c r="E91" s="86">
        <v>2023</v>
      </c>
      <c r="F91" s="86">
        <v>2024</v>
      </c>
      <c r="G91" s="86">
        <v>2025</v>
      </c>
      <c r="H91" s="86">
        <v>2026</v>
      </c>
      <c r="I91" s="86">
        <v>2027</v>
      </c>
      <c r="J91" s="86">
        <v>2028</v>
      </c>
      <c r="K91" s="86">
        <v>2029</v>
      </c>
      <c r="L91" s="86">
        <v>2030</v>
      </c>
      <c r="M91" s="86">
        <v>2031</v>
      </c>
      <c r="N91" s="86">
        <v>2032</v>
      </c>
      <c r="O91" s="86">
        <v>2033</v>
      </c>
      <c r="P91" s="86">
        <v>2034</v>
      </c>
      <c r="Q91" s="86">
        <v>2035</v>
      </c>
      <c r="R91" s="86">
        <v>2036</v>
      </c>
      <c r="S91" s="86">
        <v>2037</v>
      </c>
      <c r="T91" s="86">
        <v>2038</v>
      </c>
      <c r="U91" s="86">
        <v>2039</v>
      </c>
      <c r="V91" s="86">
        <v>2040</v>
      </c>
      <c r="W91" s="86">
        <v>2041</v>
      </c>
    </row>
    <row r="92" spans="2:23" x14ac:dyDescent="0.2">
      <c r="B92" s="106" t="s">
        <v>104</v>
      </c>
      <c r="C92" s="110">
        <f>C57</f>
        <v>72.584819999999993</v>
      </c>
      <c r="D92" s="110">
        <f>D57</f>
        <v>73.511610584961744</v>
      </c>
      <c r="E92" s="110">
        <f>E57</f>
        <v>76.572506382321123</v>
      </c>
      <c r="F92" s="110">
        <f>F57</f>
        <v>81.669832373893243</v>
      </c>
      <c r="G92" s="110">
        <f>G57</f>
        <v>83.193157241487697</v>
      </c>
      <c r="H92" s="110">
        <f t="shared" ref="H92:W92" si="27">G92*(1+H106/100)*H43-H60-H61+H62+H63+H64+H65+H66+H72</f>
        <v>84.556754593314622</v>
      </c>
      <c r="I92" s="110">
        <f t="shared" si="27"/>
        <v>85.459120171217933</v>
      </c>
      <c r="J92" s="110">
        <f t="shared" si="27"/>
        <v>86.145056856268297</v>
      </c>
      <c r="K92" s="110">
        <f t="shared" si="27"/>
        <v>86.347266432025876</v>
      </c>
      <c r="L92" s="110">
        <f t="shared" si="27"/>
        <v>86.468995590643075</v>
      </c>
      <c r="M92" s="110">
        <f t="shared" si="27"/>
        <v>86.93918045657162</v>
      </c>
      <c r="N92" s="110">
        <f t="shared" si="27"/>
        <v>87.323596912258225</v>
      </c>
      <c r="O92" s="110">
        <f t="shared" si="27"/>
        <v>87.460515838477775</v>
      </c>
      <c r="P92" s="110">
        <f t="shared" si="27"/>
        <v>87.415515073401806</v>
      </c>
      <c r="Q92" s="110">
        <f t="shared" si="27"/>
        <v>87.391049674355187</v>
      </c>
      <c r="R92" s="110">
        <f t="shared" si="27"/>
        <v>87.242385231669857</v>
      </c>
      <c r="S92" s="110">
        <f t="shared" si="27"/>
        <v>86.949637568464624</v>
      </c>
      <c r="T92" s="110">
        <f t="shared" si="27"/>
        <v>86.496014648635665</v>
      </c>
      <c r="U92" s="110">
        <f t="shared" si="27"/>
        <v>85.866134736344691</v>
      </c>
      <c r="V92" s="110">
        <f t="shared" si="27"/>
        <v>85.059687124988145</v>
      </c>
      <c r="W92" s="110">
        <f t="shared" si="27"/>
        <v>84.091860468205837</v>
      </c>
    </row>
    <row r="93" spans="2:23" x14ac:dyDescent="0.2">
      <c r="B93" s="26" t="s">
        <v>127</v>
      </c>
      <c r="C93" s="34"/>
      <c r="D93" s="253">
        <f>'Input data'!C66*$D$92</f>
        <v>59.051128502792025</v>
      </c>
      <c r="E93" s="34">
        <f t="shared" ref="E93:W93" si="28">IF(E92=0,0,IF(E87=1,D92*E43/((1+E24/100)*(1+E42/100))-E94-E95,IF(AND(E87=0,E88=1),(1-D98-E39*D99)*D92*E43/((1+E24/100)*(1+E42/100)),E92)))</f>
        <v>61.999403317237508</v>
      </c>
      <c r="F93" s="34">
        <f t="shared" si="28"/>
        <v>65.885197792321179</v>
      </c>
      <c r="G93" s="34">
        <f t="shared" si="28"/>
        <v>68.491860558301511</v>
      </c>
      <c r="H93" s="34">
        <f t="shared" si="28"/>
        <v>69.616543929920013</v>
      </c>
      <c r="I93" s="34">
        <f t="shared" si="28"/>
        <v>70.838950702893456</v>
      </c>
      <c r="J93" s="34">
        <f t="shared" si="28"/>
        <v>71.61382888404755</v>
      </c>
      <c r="K93" s="34">
        <f t="shared" si="28"/>
        <v>72.165206073980471</v>
      </c>
      <c r="L93" s="34">
        <f t="shared" si="28"/>
        <v>72.285431300798592</v>
      </c>
      <c r="M93" s="34">
        <f t="shared" si="28"/>
        <v>72.319486453767439</v>
      </c>
      <c r="N93" s="34">
        <f t="shared" si="28"/>
        <v>72.575888011633324</v>
      </c>
      <c r="O93" s="34">
        <f t="shared" si="28"/>
        <v>72.788144769066264</v>
      </c>
      <c r="P93" s="34">
        <f t="shared" si="28"/>
        <v>72.903019777076551</v>
      </c>
      <c r="Q93" s="34">
        <f t="shared" si="28"/>
        <v>72.974590433782424</v>
      </c>
      <c r="R93" s="34">
        <f t="shared" si="28"/>
        <v>72.957869114248524</v>
      </c>
      <c r="S93" s="34">
        <f t="shared" si="28"/>
        <v>72.838741678563821</v>
      </c>
      <c r="T93" s="34">
        <f t="shared" si="28"/>
        <v>72.60058222030429</v>
      </c>
      <c r="U93" s="34">
        <f t="shared" si="28"/>
        <v>72.229338580115865</v>
      </c>
      <c r="V93" s="34">
        <f t="shared" si="28"/>
        <v>71.712090954991481</v>
      </c>
      <c r="W93" s="34">
        <f t="shared" si="28"/>
        <v>71.048449322266308</v>
      </c>
    </row>
    <row r="94" spans="2:23" x14ac:dyDescent="0.2">
      <c r="B94" s="105" t="s">
        <v>128</v>
      </c>
      <c r="C94" s="34"/>
      <c r="D94" s="253">
        <f>'Input data'!C67*$D$92</f>
        <v>2.5660693694891989</v>
      </c>
      <c r="E94" s="34">
        <f t="shared" ref="E94:W94" si="29">IF(E92=0,0,IF(E87=1,E39*D92*D99*E43/((1+E24/100)*(1+E42/100)),IF(AND(E87=0,E88=1),(E39*D92*D99*E43/((1+E24/100)*(1+E42/100)))*(1-ABS(E92-D92*E43/((1+E24/100)*(1+E42/100)))/((E39*D92*D99*E43/((1+E24/100)*(1+E42/100)))+(D98*D92*E43/((1+E24/100)*(1+E42/100))))),0)))</f>
        <v>2.5449751617705147</v>
      </c>
      <c r="F94" s="34">
        <f t="shared" si="29"/>
        <v>2.1622470266405025</v>
      </c>
      <c r="G94" s="34">
        <f t="shared" si="29"/>
        <v>2.2971345903114284</v>
      </c>
      <c r="H94" s="34">
        <f t="shared" si="29"/>
        <v>2.3850763937322847</v>
      </c>
      <c r="I94" s="34">
        <f t="shared" si="29"/>
        <v>2.4781307961320023</v>
      </c>
      <c r="J94" s="34">
        <f t="shared" si="29"/>
        <v>2.557044656257784</v>
      </c>
      <c r="K94" s="34">
        <f t="shared" si="29"/>
        <v>2.6290106512498208</v>
      </c>
      <c r="L94" s="34">
        <f t="shared" si="29"/>
        <v>2.6858294215076675</v>
      </c>
      <c r="M94" s="34">
        <f t="shared" si="29"/>
        <v>2.7396318821662429</v>
      </c>
      <c r="N94" s="34">
        <f t="shared" si="29"/>
        <v>2.8021422614542328</v>
      </c>
      <c r="O94" s="34">
        <f t="shared" si="29"/>
        <v>2.8633634382260054</v>
      </c>
      <c r="P94" s="34">
        <f t="shared" si="29"/>
        <v>2.8678824282201343</v>
      </c>
      <c r="Q94" s="34">
        <f t="shared" si="29"/>
        <v>2.8706978977215423</v>
      </c>
      <c r="R94" s="34">
        <f t="shared" si="29"/>
        <v>2.8700401090782939</v>
      </c>
      <c r="S94" s="34">
        <f t="shared" si="29"/>
        <v>2.8653538357172756</v>
      </c>
      <c r="T94" s="34">
        <f t="shared" si="29"/>
        <v>2.8559850423868287</v>
      </c>
      <c r="U94" s="34">
        <f t="shared" si="29"/>
        <v>2.8413809407249153</v>
      </c>
      <c r="V94" s="34">
        <f t="shared" si="29"/>
        <v>2.8210332873674995</v>
      </c>
      <c r="W94" s="34">
        <f t="shared" si="29"/>
        <v>2.7949267394776092</v>
      </c>
    </row>
    <row r="95" spans="2:23" x14ac:dyDescent="0.2">
      <c r="B95" s="105" t="s">
        <v>129</v>
      </c>
      <c r="C95" s="34"/>
      <c r="D95" s="253">
        <f>'Input data'!C68*$D$92</f>
        <v>6.679115961728173</v>
      </c>
      <c r="E95" s="34">
        <f t="shared" ref="E95:W95" si="30">IF(E92=0,0,IF(E87=1,(1-D99)*D92*E43/((1+E24/100)*(1+E42/100)),IF(AND(E87=0,E88=1),(D98*D92*E43/((1+E24/100)*(1+E42/100)))*(1-ABS(E92-D92*E43/((1+E24/100)*(1+E42/100)))/((E39*D92*D99*E43/((1+E24/100)*(1+E42/100)))+(D98*D92*E43/((1+E24/100)*(1+E42/100))))),0)))</f>
        <v>6.9964135836832329</v>
      </c>
      <c r="F95" s="34">
        <f t="shared" si="30"/>
        <v>7.4338450593811274</v>
      </c>
      <c r="G95" s="34">
        <f t="shared" si="30"/>
        <v>7.7981283689030221</v>
      </c>
      <c r="H95" s="34">
        <f t="shared" si="30"/>
        <v>7.9762693336630104</v>
      </c>
      <c r="I95" s="34">
        <f t="shared" si="30"/>
        <v>8.1639598910338105</v>
      </c>
      <c r="J95" s="34">
        <f t="shared" si="30"/>
        <v>8.2935808897123628</v>
      </c>
      <c r="K95" s="34">
        <f t="shared" si="30"/>
        <v>8.3937952030142498</v>
      </c>
      <c r="L95" s="34">
        <f t="shared" si="30"/>
        <v>8.4387537957885215</v>
      </c>
      <c r="M95" s="34">
        <f t="shared" si="30"/>
        <v>8.4720556919016232</v>
      </c>
      <c r="N95" s="34">
        <f t="shared" si="30"/>
        <v>8.5331979218592942</v>
      </c>
      <c r="O95" s="34">
        <f t="shared" si="30"/>
        <v>8.5883434464863981</v>
      </c>
      <c r="P95" s="34">
        <f t="shared" si="30"/>
        <v>8.6238454328540808</v>
      </c>
      <c r="Q95" s="34">
        <f t="shared" si="30"/>
        <v>8.6521786851363007</v>
      </c>
      <c r="R95" s="34">
        <f t="shared" si="30"/>
        <v>8.6685783037672284</v>
      </c>
      <c r="S95" s="34">
        <f t="shared" si="30"/>
        <v>8.6712986146131286</v>
      </c>
      <c r="T95" s="34">
        <f t="shared" si="30"/>
        <v>8.6582751994310954</v>
      </c>
      <c r="U95" s="34">
        <f t="shared" si="30"/>
        <v>8.6277667290052928</v>
      </c>
      <c r="V95" s="34">
        <f t="shared" si="30"/>
        <v>8.5781732949116023</v>
      </c>
      <c r="W95" s="34">
        <f t="shared" si="30"/>
        <v>8.5094749406399632</v>
      </c>
    </row>
    <row r="96" spans="2:23" x14ac:dyDescent="0.2">
      <c r="B96" s="105" t="s">
        <v>130</v>
      </c>
      <c r="C96" s="34"/>
      <c r="D96" s="253">
        <f>'Input data'!C69*$D$92</f>
        <v>4.7052606775120811</v>
      </c>
      <c r="E96" s="34">
        <f>IF(E92=0,0,IF(E87=1,'Input data'!$C$58*(E92-D92*E43/((1+E24/100)*(1+E42/100))),0))</f>
        <v>4.4868133712998963</v>
      </c>
      <c r="F96" s="34">
        <f>IF(F92=0,0,IF(F87=1,'Input data'!$C$58*(F92-E92*F43/((1+F24/100)*(1+F42/100))),0))</f>
        <v>5.5183648065170443</v>
      </c>
      <c r="G96" s="34">
        <f>IF(G92=0,0,IF(G87=1,'Input data'!$C$58*(G92-F92*G43/((1+G24/100)*(1+G42/100))),0))</f>
        <v>4.1072311320915462</v>
      </c>
      <c r="H96" s="34">
        <f>IF(H92=0,0,IF(H87=1,'Input data'!$C$58*(H92-G92*H43/((1+H24/100)*(1+H42/100))),0))</f>
        <v>4.0830045418256518</v>
      </c>
      <c r="I96" s="34">
        <f>IF(I92=0,0,IF(I87=1,'Input data'!$C$58*(I92-H92*I43/((1+I24/100)*(1+I42/100))),0))</f>
        <v>3.5472795022870089</v>
      </c>
      <c r="J96" s="34">
        <f>IF(J92=0,0,IF(J87=1,'Input data'!$C$58*(J92-I92*J43/((1+J24/100)*(1+J42/100))),0))</f>
        <v>3.2820178435239171</v>
      </c>
      <c r="K96" s="34">
        <f>IF(K92=0,0,IF(K87=1,'Input data'!$C$58*(K92-J92*K43/((1+K24/100)*(1+K42/100))),0))</f>
        <v>2.8171284080269969</v>
      </c>
      <c r="L96" s="34">
        <f>IF(L92=0,0,IF(L87=1,'Input data'!$C$58*(L92-K92*L43/((1+L24/100)*(1+L42/100))),0))</f>
        <v>2.7277139175645106</v>
      </c>
      <c r="M96" s="34">
        <f>IF(M92=0,0,IF(M87=1,'Input data'!$C$58*(M92-L92*M43/((1+M24/100)*(1+M42/100))),0))</f>
        <v>3.038942166147244</v>
      </c>
      <c r="N96" s="34">
        <f>IF(N92=0,0,IF(N87=1,'Input data'!$C$58*(N92-M92*N43/((1+N24/100)*(1+N42/100))),0))</f>
        <v>3.0428320480969515</v>
      </c>
      <c r="O96" s="34">
        <f>IF(O92=0,0,IF(O87=1,'Input data'!$C$58*(O92-N92*O43/((1+O24/100)*(1+O42/100))),0))</f>
        <v>2.8718878319462404</v>
      </c>
      <c r="P96" s="34">
        <f>IF(P92=0,0,IF(P87=1,'Input data'!$C$58*(P92-O92*P43/((1+P24/100)*(1+P42/100))),0))</f>
        <v>2.693638561155173</v>
      </c>
      <c r="Q96" s="34">
        <f>IF(Q92=0,0,IF(Q87=1,'Input data'!$C$58*(Q92-P92*Q43/((1+Q24/100)*(1+Q42/100))),0))</f>
        <v>2.5802270428881968</v>
      </c>
      <c r="R96" s="34">
        <f>IF(R92=0,0,IF(R87=1,'Input data'!$C$58*(R92-Q92*R43/((1+R24/100)*(1+R42/100))),0))</f>
        <v>2.4485353806848709</v>
      </c>
      <c r="S96" s="34">
        <f>IF(S92=0,0,IF(S87=1,'Input data'!$C$58*(S92-R92*S43/((1+S24/100)*(1+S42/100))),0))</f>
        <v>2.295470122495979</v>
      </c>
      <c r="T96" s="34">
        <f>IF(T92=0,0,IF(T87=1,'Input data'!$C$58*(T92-S92*T43/((1+T24/100)*(1+T42/100))),0))</f>
        <v>2.1233071925676956</v>
      </c>
      <c r="U96" s="34">
        <f>IF(U92=0,0,IF(U87=1,'Input data'!$C$58*(U92-T92*U43/((1+U24/100)*(1+U42/100))),0))</f>
        <v>1.9329066786556797</v>
      </c>
      <c r="V96" s="34">
        <f>IF(V92=0,0,IF(V87=1,'Input data'!$C$58*(V92-U92*V43/((1+V24/100)*(1+V42/100))),0))</f>
        <v>1.7373920495779831</v>
      </c>
      <c r="W96" s="34">
        <f>IF(W92=0,0,IF(W87=1,'Input data'!$C$58*(W92-V92*W43/((1+W24/100)*(1+W42/100))),0))</f>
        <v>1.5506863920368674</v>
      </c>
    </row>
    <row r="97" spans="2:25" x14ac:dyDescent="0.2">
      <c r="B97" s="107" t="s">
        <v>131</v>
      </c>
      <c r="C97" s="49"/>
      <c r="D97" s="254">
        <f>'Input data'!C70*$D$92</f>
        <v>0.51003587344023849</v>
      </c>
      <c r="E97" s="49">
        <f>IF(E92=0,0,IF(E87=1,'Input data'!$C$57*(E92-D92*E43/((1+E24/100)*(1+E42/100))),0))</f>
        <v>0.54490094832997338</v>
      </c>
      <c r="F97" s="49">
        <f>IF(F92=0,0,IF(F87=1,'Input data'!$C$57*(F92-E92*F43/((1+F24/100)*(1+F42/100))),0))</f>
        <v>0.67017768903339203</v>
      </c>
      <c r="G97" s="49">
        <f>IF(G92=0,0,IF(G87=1,'Input data'!$C$57*(G92-F92*G43/((1+G24/100)*(1+G42/100))),0))</f>
        <v>0.49880259188018816</v>
      </c>
      <c r="H97" s="49">
        <f>IF(H92=0,0,IF(H87=1,'Input data'!$C$57*(H92-G92*H43/((1+H24/100)*(1+H42/100))),0))</f>
        <v>0.49586039417365363</v>
      </c>
      <c r="I97" s="49">
        <f>IF(I92=0,0,IF(I87=1,'Input data'!$C$57*(I92-H92*I43/((1+I24/100)*(1+I42/100))),0))</f>
        <v>0.43079927887164887</v>
      </c>
      <c r="J97" s="49">
        <f>IF(J92=0,0,IF(J87=1,'Input data'!$C$57*(J92-I92*J43/((1+J24/100)*(1+J42/100))),0))</f>
        <v>0.39858458272668423</v>
      </c>
      <c r="K97" s="49">
        <f>IF(K92=0,0,IF(K87=1,'Input data'!$C$57*(K92-J92*K43/((1+K24/100)*(1+K42/100))),0))</f>
        <v>0.34212609575434388</v>
      </c>
      <c r="L97" s="49">
        <f>IF(L92=0,0,IF(L87=1,'Input data'!$C$57*(L92-K92*L43/((1+L24/100)*(1+L42/100))),0))</f>
        <v>0.3312671549837955</v>
      </c>
      <c r="M97" s="49">
        <f>IF(M92=0,0,IF(M87=1,'Input data'!$C$57*(M92-L92*M43/((1+M24/100)*(1+M42/100))),0))</f>
        <v>0.36906426258907027</v>
      </c>
      <c r="N97" s="49">
        <f>IF(N92=0,0,IF(N87=1,'Input data'!$C$57*(N92-M92*N43/((1+N24/100)*(1+N42/100))),0))</f>
        <v>0.36953666921441503</v>
      </c>
      <c r="O97" s="49">
        <f>IF(O92=0,0,IF(O87=1,'Input data'!$C$57*(O92-N92*O43/((1+O24/100)*(1+O42/100))),0))</f>
        <v>0.34877635275287694</v>
      </c>
      <c r="P97" s="49">
        <f>IF(P92=0,0,IF(P87=1,'Input data'!$C$57*(P92-O92*P43/((1+P24/100)*(1+P42/100))),0))</f>
        <v>0.32712887409587199</v>
      </c>
      <c r="Q97" s="49">
        <f>IF(Q92=0,0,IF(Q87=1,'Input data'!$C$57*(Q92-P92*Q43/((1+Q24/100)*(1+Q42/100))),0))</f>
        <v>0.3133556148267187</v>
      </c>
      <c r="R97" s="49">
        <f>IF(R92=0,0,IF(R87=1,'Input data'!$C$57*(R92-Q92*R43/((1+R24/100)*(1+R42/100))),0))</f>
        <v>0.29736232389093958</v>
      </c>
      <c r="S97" s="49">
        <f>IF(S92=0,0,IF(S87=1,'Input data'!$C$57*(S92-R92*S43/((1+S24/100)*(1+S42/100))),0))</f>
        <v>0.2787733170744302</v>
      </c>
      <c r="T97" s="49">
        <f>IF(T92=0,0,IF(T87=1,'Input data'!$C$57*(T92-S92*T43/((1+T24/100)*(1+T42/100))),0))</f>
        <v>0.25786499394575729</v>
      </c>
      <c r="U97" s="49">
        <f>IF(U92=0,0,IF(U87=1,'Input data'!$C$57*(U92-T92*U43/((1+U24/100)*(1+U42/100))),0))</f>
        <v>0.23474180784294107</v>
      </c>
      <c r="V97" s="49">
        <f>IF(V92=0,0,IF(V87=1,'Input data'!$C$57*(V92-U92*V43/((1+V24/100)*(1+V42/100))),0))</f>
        <v>0.2109975381395737</v>
      </c>
      <c r="W97" s="49">
        <f>IF(W92=0,0,IF(W87=1,'Input data'!$C$57*(W92-V92*W43/((1+W24/100)*(1+W42/100))),0))</f>
        <v>0.18832307378509783</v>
      </c>
    </row>
    <row r="98" spans="2:25" x14ac:dyDescent="0.2">
      <c r="B98" s="26" t="s">
        <v>73</v>
      </c>
      <c r="C98" s="36"/>
      <c r="D98" s="259">
        <f>'Baseline NFPC'!$D$93</f>
        <v>9.7796141283269952E-2</v>
      </c>
      <c r="E98" s="36">
        <f t="shared" ref="E98:W98" si="31">IF(E92&lt;&gt;0,(E95+E97)/(E93+E94+E95+E96+E97),0)</f>
        <v>9.8485930372449279E-2</v>
      </c>
      <c r="F98" s="36">
        <f t="shared" si="31"/>
        <v>9.9229085120604091E-2</v>
      </c>
      <c r="G98" s="36">
        <f t="shared" si="31"/>
        <v>9.9730930233834239E-2</v>
      </c>
      <c r="H98" s="36">
        <f t="shared" si="31"/>
        <v>0.10019459437137036</v>
      </c>
      <c r="I98" s="36">
        <f t="shared" si="31"/>
        <v>0.1005715850184954</v>
      </c>
      <c r="J98" s="36">
        <f t="shared" si="31"/>
        <v>0.10090150020960334</v>
      </c>
      <c r="K98" s="36">
        <f t="shared" si="31"/>
        <v>0.10117194972982345</v>
      </c>
      <c r="L98" s="36">
        <f t="shared" si="31"/>
        <v>0.10142387905476412</v>
      </c>
      <c r="M98" s="36">
        <f t="shared" si="31"/>
        <v>0.10169315960951648</v>
      </c>
      <c r="N98" s="36">
        <f t="shared" si="31"/>
        <v>0.10195107514889794</v>
      </c>
      <c r="O98" s="36">
        <f t="shared" si="31"/>
        <v>0.10218462255292848</v>
      </c>
      <c r="P98" s="36">
        <f t="shared" si="31"/>
        <v>0.10239571658914234</v>
      </c>
      <c r="Q98" s="36">
        <f t="shared" si="31"/>
        <v>0.10259098996260194</v>
      </c>
      <c r="R98" s="36">
        <f t="shared" si="31"/>
        <v>0.1027704664865518</v>
      </c>
      <c r="S98" s="36">
        <f t="shared" si="31"/>
        <v>0.10293397628759778</v>
      </c>
      <c r="T98" s="36">
        <f t="shared" si="31"/>
        <v>0.10308151455990219</v>
      </c>
      <c r="U98" s="36">
        <f>IF(U92&lt;&gt;0,(U95+U97)/(U93+U94+U95+U96+U97),0)</f>
        <v>0.10321308352892454</v>
      </c>
      <c r="V98" s="36">
        <f t="shared" si="31"/>
        <v>0.10332945170767228</v>
      </c>
      <c r="W98" s="34">
        <f t="shared" si="31"/>
        <v>0.10343210348775192</v>
      </c>
    </row>
    <row r="99" spans="2:25" x14ac:dyDescent="0.2">
      <c r="B99" s="35" t="s">
        <v>74</v>
      </c>
      <c r="C99" s="108"/>
      <c r="D99" s="260">
        <f>'Baseline NFPC'!$D$94</f>
        <v>0.90220385626214106</v>
      </c>
      <c r="E99" s="108">
        <f t="shared" ref="E99:W99" si="32">IF(E92&lt;&gt;0,(E93+E94+E96)/(E93+E94+E95+E96+E97),1)</f>
        <v>0.90151406962755076</v>
      </c>
      <c r="F99" s="108">
        <f t="shared" si="32"/>
        <v>0.90077091487939587</v>
      </c>
      <c r="G99" s="108">
        <f t="shared" si="32"/>
        <v>0.90026906976616572</v>
      </c>
      <c r="H99" s="108">
        <f t="shared" si="32"/>
        <v>0.89980540562862987</v>
      </c>
      <c r="I99" s="108">
        <f t="shared" si="32"/>
        <v>0.89942841498150461</v>
      </c>
      <c r="J99" s="108">
        <f t="shared" si="32"/>
        <v>0.89909849979039669</v>
      </c>
      <c r="K99" s="108">
        <f t="shared" si="32"/>
        <v>0.89882805027017665</v>
      </c>
      <c r="L99" s="108">
        <f t="shared" si="32"/>
        <v>0.89857612094523587</v>
      </c>
      <c r="M99" s="108">
        <f t="shared" si="32"/>
        <v>0.89830684039048347</v>
      </c>
      <c r="N99" s="108">
        <f t="shared" si="32"/>
        <v>0.8980489248511021</v>
      </c>
      <c r="O99" s="108">
        <f t="shared" si="32"/>
        <v>0.89781537744707163</v>
      </c>
      <c r="P99" s="108">
        <f t="shared" si="32"/>
        <v>0.89760428341085763</v>
      </c>
      <c r="Q99" s="108">
        <f t="shared" si="32"/>
        <v>0.89740901003739804</v>
      </c>
      <c r="R99" s="108">
        <f t="shared" si="32"/>
        <v>0.89722953351344814</v>
      </c>
      <c r="S99" s="108">
        <f t="shared" si="32"/>
        <v>0.89706602371240241</v>
      </c>
      <c r="T99" s="108">
        <f t="shared" si="32"/>
        <v>0.89691848544009767</v>
      </c>
      <c r="U99" s="108">
        <f t="shared" si="32"/>
        <v>0.89678691647107556</v>
      </c>
      <c r="V99" s="108">
        <f t="shared" si="32"/>
        <v>0.89667054829232762</v>
      </c>
      <c r="W99" s="49">
        <f t="shared" si="32"/>
        <v>0.89656789651224811</v>
      </c>
    </row>
    <row r="100" spans="2:25" x14ac:dyDescent="0.2">
      <c r="C100" s="38"/>
      <c r="D100" s="38"/>
      <c r="E100" s="38"/>
      <c r="F100" s="38"/>
      <c r="G100" s="38"/>
      <c r="H100" s="38"/>
      <c r="I100" s="38"/>
      <c r="J100" s="38"/>
      <c r="K100" s="38"/>
      <c r="L100" s="38"/>
      <c r="M100" s="38"/>
      <c r="N100" s="38"/>
      <c r="O100" s="38"/>
      <c r="P100" s="38"/>
      <c r="Q100" s="38"/>
      <c r="R100" s="38"/>
      <c r="S100" s="38"/>
      <c r="T100" s="38"/>
      <c r="U100" s="38"/>
      <c r="V100" s="38"/>
      <c r="W100" s="38"/>
    </row>
    <row r="101" spans="2:25" x14ac:dyDescent="0.2">
      <c r="B101" s="113" t="s">
        <v>132</v>
      </c>
      <c r="C101" s="115">
        <f>'Baseline NFPC'!C96</f>
        <v>0.73297140000000005</v>
      </c>
      <c r="D101" s="115">
        <f>'Baseline NFPC'!D96</f>
        <v>0.83926920000000005</v>
      </c>
      <c r="E101" s="115">
        <f>'Baseline NFPC'!E96</f>
        <v>1.5804370000000001</v>
      </c>
      <c r="F101" s="115">
        <f>'Baseline NFPC'!F96</f>
        <v>1.6625099999999999</v>
      </c>
      <c r="G101" s="115">
        <f>'Baseline NFPC'!G96</f>
        <v>1.8895660000000001</v>
      </c>
      <c r="H101" s="115">
        <f t="shared" ref="H101:W101" si="33">H103+H104</f>
        <v>1.9854717385163656</v>
      </c>
      <c r="I101" s="115">
        <f t="shared" si="33"/>
        <v>2.0745438140806316</v>
      </c>
      <c r="J101" s="115">
        <f>J103+J104</f>
        <v>2.1513437547152869</v>
      </c>
      <c r="K101" s="115">
        <f t="shared" si="33"/>
        <v>2.221061078171136</v>
      </c>
      <c r="L101" s="115">
        <f t="shared" si="33"/>
        <v>2.2825617644185887</v>
      </c>
      <c r="M101" s="115">
        <f t="shared" si="33"/>
        <v>2.3409157047574327</v>
      </c>
      <c r="N101" s="115">
        <f t="shared" si="33"/>
        <v>2.4003298177013139</v>
      </c>
      <c r="O101" s="115">
        <f t="shared" si="33"/>
        <v>2.4574559766088915</v>
      </c>
      <c r="P101" s="115">
        <f t="shared" si="33"/>
        <v>2.5090863471564124</v>
      </c>
      <c r="Q101" s="115">
        <f t="shared" si="33"/>
        <v>2.557563482111489</v>
      </c>
      <c r="R101" s="115">
        <f t="shared" si="33"/>
        <v>2.6037622045018916</v>
      </c>
      <c r="S101" s="115">
        <f t="shared" si="33"/>
        <v>2.6477604452969841</v>
      </c>
      <c r="T101" s="115">
        <f t="shared" si="33"/>
        <v>2.6896020032023693</v>
      </c>
      <c r="U101" s="115">
        <f t="shared" si="33"/>
        <v>2.7293402664360746</v>
      </c>
      <c r="V101" s="115">
        <f t="shared" si="33"/>
        <v>2.7670199356705982</v>
      </c>
      <c r="W101" s="115">
        <f t="shared" si="33"/>
        <v>2.8027723080079183</v>
      </c>
    </row>
    <row r="102" spans="2:25" x14ac:dyDescent="0.2">
      <c r="B102" s="33" t="s">
        <v>133</v>
      </c>
      <c r="C102" s="34"/>
      <c r="D102" s="34"/>
      <c r="E102" s="265">
        <f>((E36*D92)-(E38*(D95+D97)))/(D93+D94+D96)</f>
        <v>1.3799500275570342</v>
      </c>
      <c r="F102" s="265">
        <f>((F36*E92)-(F38*(E95+E97)))/(E93+E94+E96)</f>
        <v>1.4547589474903004</v>
      </c>
      <c r="G102" s="265">
        <f>((G36*F92)-(G38*(F95+F97)))/(F93+F94+F96)</f>
        <v>1.7874685547645983</v>
      </c>
      <c r="H102" s="34">
        <f t="shared" ref="H102:W102" si="34">IF(G92&gt;0,(G102*G93+H37*(G96+G94))/(G93+G94+G96),H37)</f>
        <v>1.8946752954665109</v>
      </c>
      <c r="I102" s="34">
        <f t="shared" si="34"/>
        <v>1.9944532110722271</v>
      </c>
      <c r="J102" s="34">
        <f t="shared" si="34"/>
        <v>2.0807675912483039</v>
      </c>
      <c r="K102" s="34">
        <f t="shared" si="34"/>
        <v>2.1593179856757927</v>
      </c>
      <c r="L102" s="34">
        <f t="shared" si="34"/>
        <v>2.228827368395911</v>
      </c>
      <c r="M102" s="34">
        <f t="shared" si="34"/>
        <v>2.294892742537717</v>
      </c>
      <c r="N102" s="34">
        <f t="shared" si="34"/>
        <v>2.3621744218652494</v>
      </c>
      <c r="O102" s="34">
        <f t="shared" si="34"/>
        <v>2.4269592778785425</v>
      </c>
      <c r="P102" s="34">
        <f t="shared" si="34"/>
        <v>2.4885201202986589</v>
      </c>
      <c r="Q102" s="34">
        <f t="shared" si="34"/>
        <v>2.5466215301186526</v>
      </c>
      <c r="R102" s="34">
        <f t="shared" si="34"/>
        <v>2.6022286943193444</v>
      </c>
      <c r="S102" s="34">
        <f t="shared" si="34"/>
        <v>2.6554219816920388</v>
      </c>
      <c r="T102" s="34">
        <f t="shared" si="34"/>
        <v>2.7062440091627935</v>
      </c>
      <c r="U102" s="34">
        <f t="shared" si="34"/>
        <v>2.7547483495884824</v>
      </c>
      <c r="V102" s="34">
        <f t="shared" si="34"/>
        <v>2.8009791739764749</v>
      </c>
      <c r="W102" s="34">
        <f t="shared" si="34"/>
        <v>2.8450778499380629</v>
      </c>
    </row>
    <row r="103" spans="2:25" x14ac:dyDescent="0.2">
      <c r="B103" s="26" t="s">
        <v>134</v>
      </c>
      <c r="C103" s="34"/>
      <c r="D103" s="34"/>
      <c r="E103" s="34">
        <f t="shared" ref="E103:W103" si="35">(E102*(D93+D94+D96)+E38*(D95+D97))/D92</f>
        <v>1.5804370000000001</v>
      </c>
      <c r="F103" s="34">
        <f t="shared" si="35"/>
        <v>1.6625099999999997</v>
      </c>
      <c r="G103" s="34">
        <f t="shared" si="35"/>
        <v>1.8895660000000001</v>
      </c>
      <c r="H103" s="34">
        <f t="shared" si="35"/>
        <v>1.9854717385163656</v>
      </c>
      <c r="I103" s="34">
        <f t="shared" si="35"/>
        <v>2.0745438140806316</v>
      </c>
      <c r="J103" s="34">
        <f t="shared" si="35"/>
        <v>2.1513437547152869</v>
      </c>
      <c r="K103" s="34">
        <f t="shared" si="35"/>
        <v>2.221061078171136</v>
      </c>
      <c r="L103" s="34">
        <f t="shared" si="35"/>
        <v>2.2825617644185887</v>
      </c>
      <c r="M103" s="34">
        <f t="shared" si="35"/>
        <v>2.3409157047574327</v>
      </c>
      <c r="N103" s="34">
        <f t="shared" si="35"/>
        <v>2.4003298177013139</v>
      </c>
      <c r="O103" s="34">
        <f t="shared" si="35"/>
        <v>2.4574559766088915</v>
      </c>
      <c r="P103" s="34">
        <f t="shared" si="35"/>
        <v>2.5090863471564124</v>
      </c>
      <c r="Q103" s="34">
        <f t="shared" si="35"/>
        <v>2.557563482111489</v>
      </c>
      <c r="R103" s="34">
        <f t="shared" si="35"/>
        <v>2.6037622045018916</v>
      </c>
      <c r="S103" s="34">
        <f t="shared" si="35"/>
        <v>2.6477604452969841</v>
      </c>
      <c r="T103" s="34">
        <f t="shared" si="35"/>
        <v>2.6896020032023693</v>
      </c>
      <c r="U103" s="34">
        <f t="shared" si="35"/>
        <v>2.7293402664360746</v>
      </c>
      <c r="V103" s="34">
        <f t="shared" si="35"/>
        <v>2.7670199356705982</v>
      </c>
      <c r="W103" s="34">
        <f t="shared" si="35"/>
        <v>2.8027723080079183</v>
      </c>
    </row>
    <row r="104" spans="2:25" x14ac:dyDescent="0.2">
      <c r="B104" s="35" t="s">
        <v>135</v>
      </c>
      <c r="C104" s="114"/>
      <c r="D104" s="114"/>
      <c r="E104" s="49">
        <f>IF('Criteria results'!$F$5=4,E115,E120)</f>
        <v>0</v>
      </c>
      <c r="F104" s="49">
        <f>IF('Criteria results'!$F$5=4,F115,F120)</f>
        <v>0</v>
      </c>
      <c r="G104" s="49">
        <f>IF('Criteria results'!$F$5=4,G115,G120)</f>
        <v>0</v>
      </c>
      <c r="H104" s="49">
        <f>IF('Criteria results'!$F$5=4,H115,H120)</f>
        <v>0</v>
      </c>
      <c r="I104" s="49">
        <f>IF('Criteria results'!$F$5=4,I115,I120)</f>
        <v>0</v>
      </c>
      <c r="J104" s="49">
        <f>IF('Criteria results'!$F$5=4,J115,J120)</f>
        <v>0</v>
      </c>
      <c r="K104" s="49">
        <f>IF('Criteria results'!$F$5=4,K115,K120)</f>
        <v>0</v>
      </c>
      <c r="L104" s="49">
        <f>IF('Criteria results'!$F$5=4,L115,L120)</f>
        <v>0</v>
      </c>
      <c r="M104" s="49">
        <f>IF('Criteria results'!$F$5=4,M115,M120)</f>
        <v>0</v>
      </c>
      <c r="N104" s="49">
        <f>IF('Criteria results'!$F$5=4,N115,N120)</f>
        <v>0</v>
      </c>
      <c r="O104" s="49">
        <f>IF('Criteria results'!$F$5=4,O115,O120)</f>
        <v>0</v>
      </c>
      <c r="P104" s="49">
        <f>IF('Criteria results'!$F$5=4,P115,P120)</f>
        <v>0</v>
      </c>
      <c r="Q104" s="49">
        <f>IF('Criteria results'!$F$5=4,Q115,Q120)</f>
        <v>0</v>
      </c>
      <c r="R104" s="49">
        <f>IF('Criteria results'!$F$5=4,R115,R120)</f>
        <v>0</v>
      </c>
      <c r="S104" s="49">
        <f>IF('Criteria results'!$F$5=4,S115,S120)</f>
        <v>0</v>
      </c>
      <c r="T104" s="49">
        <f>IF('Criteria results'!$F$5=4,T115,T120)</f>
        <v>0</v>
      </c>
      <c r="U104" s="49">
        <f>IF('Criteria results'!$F$5=4,U115,U120)</f>
        <v>0</v>
      </c>
      <c r="V104" s="49">
        <f>IF('Criteria results'!$F$5=4,V115,V120)</f>
        <v>0</v>
      </c>
      <c r="W104" s="49">
        <f>IF('Criteria results'!$F$5=4,W115,W120)</f>
        <v>0</v>
      </c>
    </row>
    <row r="105" spans="2:25" x14ac:dyDescent="0.2">
      <c r="C105" s="38"/>
      <c r="D105" s="38"/>
      <c r="E105" s="38"/>
      <c r="F105" s="38"/>
      <c r="G105" s="34"/>
      <c r="H105" s="34"/>
      <c r="I105" s="34"/>
      <c r="J105" s="34"/>
      <c r="K105" s="34"/>
      <c r="L105" s="34"/>
      <c r="M105" s="34"/>
      <c r="N105" s="34"/>
      <c r="O105" s="34"/>
      <c r="P105" s="34"/>
      <c r="Q105" s="34"/>
      <c r="R105" s="34"/>
      <c r="S105" s="34"/>
      <c r="T105" s="34"/>
      <c r="U105" s="34"/>
      <c r="V105" s="34"/>
      <c r="W105" s="34"/>
    </row>
    <row r="106" spans="2:25" x14ac:dyDescent="0.2">
      <c r="B106" s="113" t="s">
        <v>186</v>
      </c>
      <c r="C106" s="115">
        <f t="shared" ref="C106:W106" si="36">((1+C101/100)/((1+C24/100)*(1+C42/100))-1)*100</f>
        <v>-4.3409713213587997</v>
      </c>
      <c r="D106" s="115">
        <f t="shared" si="36"/>
        <v>-5.5733961793317803</v>
      </c>
      <c r="E106" s="115">
        <f t="shared" si="36"/>
        <v>-1.0866936191633814</v>
      </c>
      <c r="F106" s="115">
        <f t="shared" si="36"/>
        <v>0.19460467612562038</v>
      </c>
      <c r="G106" s="115">
        <f t="shared" si="36"/>
        <v>-1.9663561959351483</v>
      </c>
      <c r="H106" s="115">
        <f t="shared" si="36"/>
        <v>-1.956085382408157</v>
      </c>
      <c r="I106" s="115">
        <f t="shared" si="36"/>
        <v>-1.6383709451863515</v>
      </c>
      <c r="J106" s="115">
        <f t="shared" si="36"/>
        <v>-1.4282523018193993</v>
      </c>
      <c r="K106" s="115">
        <f t="shared" si="36"/>
        <v>-1.2878143144442578</v>
      </c>
      <c r="L106" s="115">
        <f t="shared" si="36"/>
        <v>-1.1967568372978632</v>
      </c>
      <c r="M106" s="115">
        <f t="shared" si="36"/>
        <v>-1.1361612158337864</v>
      </c>
      <c r="N106" s="115">
        <f t="shared" si="36"/>
        <v>-1.1661094865835331</v>
      </c>
      <c r="O106" s="115">
        <f t="shared" si="36"/>
        <v>-1.1607263387761746</v>
      </c>
      <c r="P106" s="115">
        <f t="shared" si="36"/>
        <v>-1.0841819311610879</v>
      </c>
      <c r="Q106" s="115">
        <f t="shared" si="36"/>
        <v>-0.86594661874282997</v>
      </c>
      <c r="R106" s="115">
        <f t="shared" si="36"/>
        <v>-0.79467467605300879</v>
      </c>
      <c r="S106" s="115">
        <f t="shared" si="36"/>
        <v>-0.72548771997305028</v>
      </c>
      <c r="T106" s="115">
        <f t="shared" si="36"/>
        <v>-0.65835883219170777</v>
      </c>
      <c r="U106" s="115">
        <f t="shared" si="36"/>
        <v>-0.59322029258741527</v>
      </c>
      <c r="V106" s="115">
        <f t="shared" si="36"/>
        <v>-0.53004718195458489</v>
      </c>
      <c r="W106" s="115">
        <f t="shared" si="36"/>
        <v>-0.46869819691273129</v>
      </c>
    </row>
    <row r="107" spans="2:25" x14ac:dyDescent="0.2">
      <c r="F107" s="34"/>
      <c r="G107" s="34"/>
      <c r="H107" s="34"/>
      <c r="I107" s="34"/>
      <c r="J107" s="34"/>
      <c r="K107" s="34"/>
      <c r="L107" s="34"/>
      <c r="M107" s="34"/>
      <c r="N107" s="34"/>
      <c r="O107" s="34"/>
      <c r="P107" s="34"/>
      <c r="Q107" s="34"/>
      <c r="R107" s="34"/>
      <c r="S107" s="34"/>
      <c r="T107" s="34"/>
      <c r="U107" s="34"/>
      <c r="V107" s="34"/>
      <c r="W107" s="34"/>
    </row>
    <row r="108" spans="2:25" x14ac:dyDescent="0.2">
      <c r="F108" s="34"/>
      <c r="G108" s="34"/>
      <c r="H108" s="252"/>
      <c r="I108" s="252"/>
      <c r="J108" s="252"/>
      <c r="K108" s="252"/>
      <c r="L108" s="252"/>
      <c r="M108" s="252"/>
      <c r="N108" s="252"/>
      <c r="O108" s="252"/>
      <c r="P108" s="252"/>
      <c r="Q108" s="252"/>
      <c r="R108" s="252"/>
      <c r="S108" s="252"/>
      <c r="T108" s="252"/>
      <c r="U108" s="34"/>
      <c r="V108" s="34"/>
      <c r="W108" s="34"/>
    </row>
    <row r="109" spans="2:25" x14ac:dyDescent="0.2">
      <c r="T109" s="62"/>
      <c r="U109" s="62"/>
      <c r="V109" s="62"/>
      <c r="W109" s="62"/>
      <c r="X109" s="62"/>
      <c r="Y109" s="62"/>
    </row>
    <row r="110" spans="2:25" s="25" customFormat="1" ht="12.75" outlineLevel="1" x14ac:dyDescent="0.2">
      <c r="B110" s="25" t="s">
        <v>136</v>
      </c>
      <c r="C110" s="112"/>
      <c r="D110" s="112"/>
      <c r="E110" s="112"/>
      <c r="F110" s="112"/>
      <c r="G110" s="112"/>
      <c r="H110" s="112"/>
      <c r="I110" s="112"/>
      <c r="J110" s="112"/>
      <c r="K110" s="112"/>
      <c r="L110" s="112"/>
      <c r="M110" s="112"/>
      <c r="N110" s="112"/>
      <c r="O110" s="112"/>
      <c r="P110" s="112"/>
      <c r="Q110" s="112"/>
      <c r="R110" s="112"/>
      <c r="S110" s="112"/>
      <c r="T110" s="112"/>
      <c r="U110" s="112"/>
      <c r="V110" s="112"/>
      <c r="W110" s="112"/>
    </row>
    <row r="111" spans="2:25" s="102" customFormat="1" ht="12.75" outlineLevel="1" x14ac:dyDescent="0.2">
      <c r="C111" s="124"/>
      <c r="D111" s="124"/>
      <c r="E111" s="124"/>
      <c r="F111" s="124"/>
      <c r="G111" s="124"/>
      <c r="H111" s="124"/>
      <c r="I111" s="124"/>
      <c r="J111" s="124"/>
      <c r="K111" s="124"/>
      <c r="L111" s="124"/>
      <c r="M111" s="124"/>
      <c r="N111" s="124"/>
      <c r="O111" s="124"/>
      <c r="P111" s="124"/>
      <c r="Q111" s="124"/>
      <c r="R111" s="124"/>
      <c r="S111" s="124"/>
      <c r="T111" s="124"/>
      <c r="U111" s="124"/>
      <c r="V111" s="124"/>
      <c r="W111" s="124"/>
    </row>
    <row r="112" spans="2:25" s="102" customFormat="1" ht="12.75" outlineLevel="1" x14ac:dyDescent="0.2">
      <c r="B112" s="106" t="s">
        <v>293</v>
      </c>
      <c r="C112" s="125"/>
      <c r="D112" s="125"/>
      <c r="E112" s="125"/>
      <c r="F112" s="125"/>
      <c r="G112" s="125"/>
      <c r="H112" s="37"/>
      <c r="I112" s="37"/>
      <c r="J112" s="37"/>
      <c r="K112" s="37"/>
      <c r="L112" s="37"/>
      <c r="M112" s="37"/>
      <c r="N112" s="37"/>
      <c r="O112" s="37"/>
      <c r="P112" s="37"/>
      <c r="Q112" s="37"/>
      <c r="R112" s="37"/>
      <c r="S112" s="37"/>
      <c r="T112" s="37"/>
      <c r="U112" s="125"/>
      <c r="V112" s="125"/>
      <c r="W112" s="125"/>
    </row>
    <row r="113" spans="1:51" outlineLevel="1" x14ac:dyDescent="0.2">
      <c r="B113" s="120" t="s">
        <v>43</v>
      </c>
      <c r="C113" s="34">
        <v>72.584815979003906</v>
      </c>
      <c r="D113" s="34">
        <v>73.511604309082031</v>
      </c>
      <c r="E113" s="34">
        <v>75.830703735351563</v>
      </c>
      <c r="F113" s="34">
        <v>80.487434387207031</v>
      </c>
      <c r="G113" s="34">
        <v>82.262153625488281</v>
      </c>
      <c r="H113" s="34">
        <v>83.381324768066406</v>
      </c>
      <c r="I113" s="34">
        <v>83.9129638671875</v>
      </c>
      <c r="J113" s="34">
        <v>83.675552368164063</v>
      </c>
      <c r="K113" s="34">
        <v>82.830154418945313</v>
      </c>
      <c r="L113" s="34">
        <v>81.712348937988281</v>
      </c>
      <c r="M113" s="34">
        <v>80.287811279296875</v>
      </c>
      <c r="N113" s="34">
        <v>79.301177978515625</v>
      </c>
      <c r="O113" s="34">
        <v>78.133712768554688</v>
      </c>
      <c r="P113" s="34">
        <v>76.708305358886719</v>
      </c>
      <c r="Q113" s="34">
        <v>75.021430969238281</v>
      </c>
      <c r="R113" s="34">
        <v>73.063255310058594</v>
      </c>
      <c r="S113" s="34">
        <v>70.915367126464844</v>
      </c>
      <c r="T113" s="34">
        <v>68.580741882324219</v>
      </c>
      <c r="U113" s="34">
        <v>66.036476135253906</v>
      </c>
      <c r="V113" s="34">
        <v>63.294288635253906</v>
      </c>
      <c r="W113" s="34">
        <v>60.429271697998047</v>
      </c>
      <c r="X113" s="116"/>
      <c r="Y113" s="62"/>
    </row>
    <row r="114" spans="1:51" x14ac:dyDescent="0.2">
      <c r="B114" s="26" t="s">
        <v>132</v>
      </c>
      <c r="C114" s="1">
        <v>0.73297137022018433</v>
      </c>
      <c r="D114" s="1">
        <v>0.83926922082901001</v>
      </c>
      <c r="E114" s="1">
        <v>1.580437183380127</v>
      </c>
      <c r="F114" s="1">
        <v>1.6625103950500488</v>
      </c>
      <c r="G114" s="1">
        <v>1.88956618309021</v>
      </c>
      <c r="H114" s="1">
        <v>1.9827291965484619</v>
      </c>
      <c r="I114" s="1">
        <v>2.0615065097808838</v>
      </c>
      <c r="J114" s="1">
        <v>2.1287131309509277</v>
      </c>
      <c r="K114" s="1">
        <v>2.1856439113616943</v>
      </c>
      <c r="L114" s="1">
        <v>2.2386186122894287</v>
      </c>
      <c r="M114" s="1">
        <v>2.2877640724182129</v>
      </c>
      <c r="N114" s="1">
        <v>2.3333659172058105</v>
      </c>
      <c r="O114" s="1">
        <v>2.378939151763916</v>
      </c>
      <c r="P114" s="1">
        <v>2.4205222129821777</v>
      </c>
      <c r="Q114" s="1">
        <v>2.4601023197174072</v>
      </c>
      <c r="R114" s="1">
        <v>2.4976263046264648</v>
      </c>
      <c r="S114" s="1">
        <v>2.5329279899597168</v>
      </c>
      <c r="T114" s="1">
        <v>2.5657763481140137</v>
      </c>
      <c r="U114" s="1">
        <v>2.595919132232666</v>
      </c>
      <c r="V114" s="1">
        <v>2.6230399608612061</v>
      </c>
      <c r="W114" s="1">
        <v>2.6496624946594238</v>
      </c>
      <c r="X114" s="117"/>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60"/>
    </row>
    <row r="115" spans="1:51" x14ac:dyDescent="0.2">
      <c r="B115" s="26" t="s">
        <v>185</v>
      </c>
      <c r="C115" s="1"/>
      <c r="D115" s="1"/>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17"/>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60"/>
    </row>
    <row r="116" spans="1:51" x14ac:dyDescent="0.2">
      <c r="C116" s="1"/>
      <c r="D116" s="1"/>
      <c r="E116" s="99"/>
      <c r="F116" s="99"/>
      <c r="G116" s="99"/>
      <c r="H116" s="99"/>
      <c r="I116" s="99"/>
      <c r="J116" s="99"/>
      <c r="K116" s="99"/>
      <c r="L116" s="99"/>
      <c r="M116" s="99"/>
      <c r="N116" s="99"/>
      <c r="O116" s="99"/>
      <c r="P116" s="99"/>
      <c r="Q116" s="99"/>
      <c r="R116" s="99"/>
      <c r="S116" s="99"/>
      <c r="T116" s="99"/>
      <c r="U116" s="103"/>
      <c r="V116" s="103"/>
      <c r="W116" s="103"/>
      <c r="X116" s="117"/>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60"/>
    </row>
    <row r="117" spans="1:51" x14ac:dyDescent="0.2">
      <c r="B117" s="106" t="s">
        <v>294</v>
      </c>
      <c r="C117" s="37"/>
      <c r="D117" s="37"/>
      <c r="E117" s="37"/>
      <c r="F117" s="37"/>
      <c r="G117" s="37"/>
      <c r="H117" s="37"/>
      <c r="I117" s="37"/>
      <c r="J117" s="37"/>
      <c r="K117" s="37"/>
      <c r="L117" s="37"/>
      <c r="M117" s="37"/>
      <c r="N117" s="37"/>
      <c r="O117" s="37"/>
      <c r="P117" s="37"/>
      <c r="Q117" s="37"/>
      <c r="R117" s="37"/>
      <c r="S117" s="37"/>
      <c r="T117" s="37"/>
      <c r="U117" s="37"/>
      <c r="V117" s="126"/>
      <c r="W117" s="126"/>
      <c r="X117" s="117"/>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60"/>
    </row>
    <row r="118" spans="1:51" outlineLevel="1" x14ac:dyDescent="0.2">
      <c r="B118" s="120" t="s">
        <v>43</v>
      </c>
      <c r="C118" s="34">
        <v>72.584815979003906</v>
      </c>
      <c r="D118" s="34">
        <v>73.511604309082031</v>
      </c>
      <c r="E118" s="34">
        <v>75.830703735351563</v>
      </c>
      <c r="F118" s="34">
        <v>80.487434387207031</v>
      </c>
      <c r="G118" s="34">
        <v>82.259086608886719</v>
      </c>
      <c r="H118" s="34">
        <v>83.703659057617188</v>
      </c>
      <c r="I118" s="34">
        <v>84.899864196777344</v>
      </c>
      <c r="J118" s="34">
        <v>85.673782348632813</v>
      </c>
      <c r="K118" s="34">
        <v>86.113090515136719</v>
      </c>
      <c r="L118" s="34">
        <v>86.220924377441406</v>
      </c>
      <c r="M118" s="34">
        <v>85.980087280273438</v>
      </c>
      <c r="N118" s="34">
        <v>85.383163452148438</v>
      </c>
      <c r="O118" s="34">
        <v>84.452705383300781</v>
      </c>
      <c r="P118" s="34">
        <v>83.105934143066406</v>
      </c>
      <c r="Q118" s="34">
        <v>81.70721435546875</v>
      </c>
      <c r="R118" s="34">
        <v>80.024871826171875</v>
      </c>
      <c r="S118" s="34">
        <v>78.148757934570313</v>
      </c>
      <c r="T118" s="34">
        <v>76.083610534667969</v>
      </c>
      <c r="U118" s="34">
        <v>73.805633544921875</v>
      </c>
      <c r="V118" s="34">
        <v>71.327713012695313</v>
      </c>
      <c r="W118" s="34">
        <v>68.730560302734375</v>
      </c>
      <c r="X118" s="116"/>
      <c r="Y118" s="62"/>
    </row>
    <row r="119" spans="1:51" x14ac:dyDescent="0.2">
      <c r="B119" s="26" t="s">
        <v>132</v>
      </c>
      <c r="C119" s="1">
        <v>0.73297137022018433</v>
      </c>
      <c r="D119" s="1">
        <v>0.83926922082901001</v>
      </c>
      <c r="E119" s="1">
        <v>1.580437183380127</v>
      </c>
      <c r="F119" s="1">
        <v>1.6625103950500488</v>
      </c>
      <c r="G119" s="1">
        <v>1.88956618309021</v>
      </c>
      <c r="H119" s="1">
        <v>1.9854403734207153</v>
      </c>
      <c r="I119" s="1">
        <v>2.0695152282714844</v>
      </c>
      <c r="J119" s="1">
        <v>2.1444764137268066</v>
      </c>
      <c r="K119" s="1">
        <v>2.2115991115570068</v>
      </c>
      <c r="L119" s="1">
        <v>2.27219557762146</v>
      </c>
      <c r="M119" s="1">
        <v>2.3275411128997803</v>
      </c>
      <c r="N119" s="1">
        <v>2.3785543441772461</v>
      </c>
      <c r="O119" s="1">
        <v>2.4276635646820068</v>
      </c>
      <c r="P119" s="1">
        <v>2.4713766574859619</v>
      </c>
      <c r="Q119" s="1">
        <v>2.51186203956604</v>
      </c>
      <c r="R119" s="1">
        <v>2.5505201816558838</v>
      </c>
      <c r="S119" s="1">
        <v>2.5872571468353271</v>
      </c>
      <c r="T119" s="1">
        <v>2.6219298839569092</v>
      </c>
      <c r="U119" s="1">
        <v>2.6543915271759033</v>
      </c>
      <c r="V119" s="1">
        <v>2.684459924697876</v>
      </c>
      <c r="W119" s="1">
        <v>2.7120418548583984</v>
      </c>
      <c r="X119" s="117"/>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60"/>
    </row>
    <row r="120" spans="1:51" x14ac:dyDescent="0.2">
      <c r="B120" s="26" t="s">
        <v>185</v>
      </c>
      <c r="C120" s="1"/>
      <c r="D120" s="1"/>
      <c r="E120" s="1"/>
      <c r="F120" s="1"/>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17"/>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60"/>
    </row>
    <row r="121" spans="1:51" x14ac:dyDescent="0.2">
      <c r="T121" s="62"/>
      <c r="U121" s="116"/>
      <c r="V121" s="116"/>
      <c r="W121" s="116"/>
      <c r="X121" s="116"/>
      <c r="Y121" s="62"/>
    </row>
    <row r="122" spans="1:51" x14ac:dyDescent="0.2">
      <c r="H122" s="121"/>
      <c r="I122" s="121"/>
      <c r="J122" s="121"/>
      <c r="K122" s="121"/>
      <c r="L122" s="121"/>
      <c r="M122" s="121"/>
      <c r="N122" s="121"/>
      <c r="O122" s="121"/>
      <c r="P122" s="121"/>
      <c r="Q122" s="121"/>
      <c r="R122" s="121"/>
      <c r="S122" s="121"/>
      <c r="T122" s="121"/>
      <c r="U122" s="121"/>
      <c r="V122" s="121"/>
      <c r="W122" s="121"/>
    </row>
    <row r="123" spans="1:51"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1:51" x14ac:dyDescent="0.2">
      <c r="A124" s="60"/>
      <c r="C124" s="34"/>
      <c r="D124" s="34"/>
      <c r="E124" s="34"/>
      <c r="F124" s="34"/>
      <c r="G124" s="34"/>
      <c r="H124" s="34"/>
      <c r="I124" s="34"/>
      <c r="J124" s="34"/>
      <c r="K124" s="34"/>
      <c r="L124" s="34"/>
      <c r="M124" s="34"/>
      <c r="N124" s="34"/>
      <c r="O124" s="34"/>
      <c r="P124" s="34"/>
      <c r="Q124" s="34"/>
      <c r="R124" s="34"/>
      <c r="S124" s="34"/>
      <c r="T124" s="34"/>
      <c r="U124" s="34"/>
      <c r="V124" s="34"/>
      <c r="W124" s="34"/>
    </row>
    <row r="125" spans="1:51" x14ac:dyDescent="0.2">
      <c r="C125" s="61"/>
      <c r="D125" s="61"/>
      <c r="E125" s="61"/>
      <c r="F125" s="61"/>
      <c r="G125" s="61"/>
      <c r="H125" s="61"/>
      <c r="I125" s="61"/>
      <c r="J125" s="61"/>
      <c r="K125" s="61"/>
      <c r="L125" s="61"/>
      <c r="M125" s="61"/>
      <c r="N125" s="61"/>
      <c r="O125" s="61"/>
      <c r="P125" s="61"/>
      <c r="Q125" s="61"/>
      <c r="R125" s="61"/>
      <c r="S125" s="61"/>
      <c r="T125" s="61"/>
      <c r="U125" s="61"/>
      <c r="V125" s="61"/>
      <c r="W125" s="61"/>
      <c r="X125" s="61"/>
    </row>
    <row r="127" spans="1:51"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1:51" x14ac:dyDescent="0.2">
      <c r="E128" s="34"/>
      <c r="F128" s="34"/>
      <c r="G128" s="121"/>
      <c r="H128" s="121"/>
      <c r="I128" s="121"/>
      <c r="J128" s="121"/>
      <c r="K128" s="121"/>
      <c r="L128" s="121"/>
      <c r="M128" s="121"/>
      <c r="N128" s="121"/>
      <c r="O128" s="121"/>
      <c r="P128" s="121"/>
      <c r="Q128" s="121"/>
      <c r="R128" s="121"/>
      <c r="S128" s="121"/>
      <c r="T128" s="121"/>
      <c r="U128" s="121"/>
      <c r="V128" s="121"/>
      <c r="W128" s="121"/>
      <c r="X128" s="53"/>
    </row>
    <row r="129" spans="5:24" x14ac:dyDescent="0.2">
      <c r="G129" s="53"/>
      <c r="H129" s="53"/>
      <c r="I129" s="53"/>
      <c r="J129" s="53"/>
      <c r="K129" s="53"/>
      <c r="L129" s="53"/>
      <c r="M129" s="53"/>
      <c r="N129" s="53"/>
      <c r="O129" s="53"/>
      <c r="P129" s="53"/>
      <c r="Q129" s="53"/>
      <c r="R129" s="53"/>
      <c r="S129" s="53"/>
      <c r="T129" s="53"/>
      <c r="U129" s="53"/>
      <c r="V129" s="53"/>
      <c r="W129" s="53"/>
      <c r="X129" s="53"/>
    </row>
    <row r="130" spans="5:24" x14ac:dyDescent="0.2">
      <c r="E130" s="34"/>
      <c r="F130" s="34"/>
      <c r="G130" s="121"/>
      <c r="H130" s="121"/>
      <c r="I130" s="121"/>
      <c r="J130" s="121"/>
      <c r="K130" s="121"/>
      <c r="L130" s="121"/>
      <c r="M130" s="121"/>
      <c r="N130" s="121"/>
      <c r="O130" s="121"/>
      <c r="P130" s="121"/>
      <c r="Q130" s="121"/>
      <c r="R130" s="121"/>
      <c r="S130" s="121"/>
      <c r="T130" s="121"/>
      <c r="U130" s="121"/>
      <c r="V130" s="121"/>
      <c r="W130" s="121"/>
      <c r="X130" s="53"/>
    </row>
    <row r="131" spans="5:24" x14ac:dyDescent="0.2">
      <c r="E131" s="34"/>
      <c r="F131" s="34"/>
      <c r="G131" s="121"/>
      <c r="H131" s="121"/>
      <c r="I131" s="121"/>
      <c r="J131" s="121"/>
      <c r="K131" s="121"/>
      <c r="L131" s="121"/>
      <c r="M131" s="121"/>
      <c r="N131" s="121"/>
      <c r="O131" s="121"/>
      <c r="P131" s="121"/>
      <c r="Q131" s="121"/>
      <c r="R131" s="121"/>
      <c r="S131" s="121"/>
      <c r="T131" s="121"/>
      <c r="U131" s="121"/>
      <c r="V131" s="121"/>
      <c r="W131" s="121"/>
      <c r="X131" s="53"/>
    </row>
    <row r="132" spans="5:24" x14ac:dyDescent="0.2">
      <c r="G132" s="53"/>
      <c r="H132" s="53"/>
      <c r="I132" s="53"/>
      <c r="J132" s="53"/>
      <c r="K132" s="53"/>
      <c r="L132" s="53"/>
      <c r="M132" s="53"/>
      <c r="N132" s="53"/>
      <c r="O132" s="53"/>
      <c r="P132" s="53"/>
      <c r="Q132" s="53"/>
      <c r="R132" s="53"/>
      <c r="S132" s="53"/>
      <c r="T132" s="53"/>
      <c r="U132" s="53"/>
      <c r="V132" s="53"/>
      <c r="W132" s="53"/>
      <c r="X132" s="53"/>
    </row>
    <row r="133" spans="5:24" x14ac:dyDescent="0.2">
      <c r="E133" s="34"/>
      <c r="F133" s="34"/>
      <c r="G133" s="121"/>
      <c r="H133" s="121"/>
      <c r="I133" s="121"/>
      <c r="J133" s="121"/>
      <c r="K133" s="121"/>
      <c r="L133" s="121"/>
      <c r="M133" s="121"/>
      <c r="N133" s="121"/>
      <c r="O133" s="121"/>
      <c r="P133" s="121"/>
      <c r="Q133" s="121"/>
      <c r="R133" s="121"/>
      <c r="S133" s="121"/>
      <c r="T133" s="121"/>
      <c r="U133" s="121"/>
      <c r="V133" s="121"/>
      <c r="W133" s="121"/>
      <c r="X133" s="121"/>
    </row>
    <row r="134" spans="5:24" x14ac:dyDescent="0.2">
      <c r="E134" s="34"/>
      <c r="F134" s="34"/>
      <c r="G134" s="121"/>
      <c r="H134" s="121"/>
      <c r="I134" s="121"/>
      <c r="J134" s="121"/>
      <c r="K134" s="121"/>
      <c r="L134" s="121"/>
      <c r="M134" s="121"/>
      <c r="N134" s="121"/>
      <c r="O134" s="121"/>
      <c r="P134" s="121"/>
      <c r="Q134" s="121"/>
      <c r="R134" s="121"/>
      <c r="S134" s="121"/>
      <c r="T134" s="121"/>
      <c r="U134" s="121"/>
      <c r="V134" s="121"/>
      <c r="W134" s="121"/>
      <c r="X134" s="121"/>
    </row>
    <row r="135" spans="5:24" x14ac:dyDescent="0.2">
      <c r="G135" s="121"/>
      <c r="H135" s="121"/>
      <c r="I135" s="121"/>
      <c r="J135" s="121"/>
      <c r="K135" s="121"/>
      <c r="L135" s="121"/>
      <c r="M135" s="121"/>
      <c r="N135" s="121"/>
      <c r="O135" s="121"/>
      <c r="P135" s="121"/>
      <c r="Q135" s="121"/>
      <c r="R135" s="121"/>
      <c r="S135" s="121"/>
      <c r="T135" s="121"/>
      <c r="U135" s="121"/>
      <c r="V135" s="121"/>
      <c r="W135" s="121"/>
      <c r="X135" s="121"/>
    </row>
    <row r="136" spans="5:24" x14ac:dyDescent="0.2">
      <c r="E136" s="34"/>
      <c r="F136" s="34"/>
      <c r="G136" s="121"/>
      <c r="H136" s="121"/>
      <c r="I136" s="121"/>
      <c r="J136" s="121"/>
      <c r="K136" s="121"/>
      <c r="L136" s="121"/>
      <c r="M136" s="121"/>
      <c r="N136" s="121"/>
      <c r="O136" s="121"/>
      <c r="P136" s="121"/>
      <c r="Q136" s="121"/>
      <c r="R136" s="121"/>
      <c r="S136" s="121"/>
      <c r="T136" s="121"/>
      <c r="U136" s="121"/>
      <c r="V136" s="121"/>
      <c r="W136" s="121"/>
      <c r="X136" s="121"/>
    </row>
    <row r="137" spans="5:24" x14ac:dyDescent="0.2">
      <c r="E137" s="34"/>
      <c r="F137" s="34"/>
      <c r="G137" s="121"/>
      <c r="H137" s="121"/>
      <c r="I137" s="121"/>
      <c r="J137" s="121"/>
      <c r="K137" s="121"/>
      <c r="L137" s="121"/>
      <c r="M137" s="121"/>
      <c r="N137" s="121"/>
      <c r="O137" s="121"/>
      <c r="P137" s="121"/>
      <c r="Q137" s="121"/>
      <c r="R137" s="121"/>
      <c r="S137" s="121"/>
      <c r="T137" s="121"/>
      <c r="U137" s="121"/>
      <c r="V137" s="121"/>
      <c r="W137" s="121"/>
      <c r="X137" s="121"/>
    </row>
    <row r="138" spans="5:24" x14ac:dyDescent="0.2">
      <c r="G138" s="121"/>
      <c r="H138" s="121"/>
      <c r="I138" s="121"/>
      <c r="J138" s="121"/>
      <c r="K138" s="121"/>
      <c r="L138" s="121"/>
      <c r="M138" s="121"/>
      <c r="N138" s="121"/>
      <c r="O138" s="121"/>
      <c r="P138" s="121"/>
      <c r="Q138" s="121"/>
      <c r="R138" s="121"/>
      <c r="S138" s="121"/>
      <c r="T138" s="121"/>
      <c r="U138" s="121"/>
      <c r="V138" s="121"/>
      <c r="W138" s="121"/>
      <c r="X138" s="121"/>
    </row>
    <row r="139" spans="5:24" x14ac:dyDescent="0.2">
      <c r="G139" s="121"/>
      <c r="H139" s="121"/>
      <c r="I139" s="121"/>
      <c r="J139" s="121"/>
      <c r="K139" s="121"/>
      <c r="L139" s="121"/>
      <c r="M139" s="121"/>
      <c r="N139" s="121"/>
      <c r="O139" s="121"/>
      <c r="P139" s="121"/>
      <c r="Q139" s="121"/>
      <c r="R139" s="121"/>
      <c r="S139" s="121"/>
      <c r="T139" s="121"/>
      <c r="U139" s="121"/>
      <c r="V139" s="121"/>
      <c r="W139" s="121"/>
      <c r="X139" s="121"/>
    </row>
  </sheetData>
  <conditionalFormatting sqref="G12:M12">
    <cfRule type="expression" dxfId="31" priority="6">
      <formula>AND(G10&gt;$C$5,G10&lt;=$C$6)</formula>
    </cfRule>
  </conditionalFormatting>
  <conditionalFormatting sqref="U10:W44 U46:W53 U55:W78 U80:W84 U86:W109 U111:W123 U126:W150">
    <cfRule type="expression" dxfId="30" priority="2">
      <formula>U$10&gt;$C$7</formula>
    </cfRule>
  </conditionalFormatting>
  <conditionalFormatting sqref="U79:W79">
    <cfRule type="expression" dxfId="29" priority="1">
      <formula>U$10&gt;$C$7</formula>
    </cfRule>
  </conditionalFormatting>
  <pageMargins left="0.7" right="0.7" top="0.75" bottom="0.75" header="0.3" footer="0.3"/>
  <pageSetup paperSize="9" orientation="portrait" r:id="rId1"/>
  <ignoredErrors>
    <ignoredError sqref="C47:C48 C5:C6" unlocked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9893-3C18-4842-A3C7-615693AB2FD1}">
  <dimension ref="A1:S97"/>
  <sheetViews>
    <sheetView workbookViewId="0">
      <selection activeCell="U20" sqref="U20"/>
    </sheetView>
  </sheetViews>
  <sheetFormatPr defaultRowHeight="12.75" x14ac:dyDescent="0.2"/>
  <cols>
    <col min="19" max="19" width="13.5703125" customWidth="1"/>
  </cols>
  <sheetData>
    <row r="1" spans="1:19" ht="15.75" thickBot="1" x14ac:dyDescent="0.3">
      <c r="B1" s="389"/>
      <c r="C1" s="540" t="s">
        <v>296</v>
      </c>
      <c r="D1" s="540"/>
      <c r="E1" s="540"/>
      <c r="F1" s="540"/>
      <c r="I1" s="541" t="s">
        <v>297</v>
      </c>
      <c r="J1" s="541"/>
      <c r="K1" s="541"/>
      <c r="L1" s="541"/>
      <c r="N1" s="389"/>
      <c r="O1" s="540" t="s">
        <v>298</v>
      </c>
      <c r="P1" s="540"/>
      <c r="Q1" s="540"/>
      <c r="R1" s="540"/>
    </row>
    <row r="2" spans="1:19" ht="15.75" thickBot="1" x14ac:dyDescent="0.3">
      <c r="A2" s="390" t="s">
        <v>299</v>
      </c>
      <c r="B2" s="390" t="s">
        <v>207</v>
      </c>
      <c r="C2" s="391" t="s">
        <v>300</v>
      </c>
      <c r="D2" s="392" t="s">
        <v>301</v>
      </c>
      <c r="E2" s="392" t="s">
        <v>302</v>
      </c>
      <c r="F2" s="393" t="s">
        <v>303</v>
      </c>
      <c r="H2" t="s">
        <v>304</v>
      </c>
      <c r="I2" s="394" t="s">
        <v>305</v>
      </c>
      <c r="J2" s="395" t="s">
        <v>306</v>
      </c>
      <c r="K2" s="395" t="s">
        <v>300</v>
      </c>
      <c r="L2" s="396" t="s">
        <v>301</v>
      </c>
      <c r="N2" s="390"/>
      <c r="O2" s="391" t="s">
        <v>300</v>
      </c>
      <c r="P2" s="392" t="s">
        <v>301</v>
      </c>
      <c r="Q2" s="392" t="s">
        <v>302</v>
      </c>
      <c r="R2" s="393" t="s">
        <v>303</v>
      </c>
      <c r="S2" s="397" t="s">
        <v>307</v>
      </c>
    </row>
    <row r="3" spans="1:19" ht="15" x14ac:dyDescent="0.2">
      <c r="A3" s="398" t="s">
        <v>308</v>
      </c>
      <c r="B3" s="398">
        <v>1976</v>
      </c>
      <c r="C3" s="399">
        <f>O3-AVERAGE(O$3:O$49)</f>
        <v>7.5346333464602899E-2</v>
      </c>
      <c r="D3" s="399">
        <f>P3-AVERAGE(P$3:P$49)</f>
        <v>5.6096609042553194</v>
      </c>
      <c r="E3" s="399">
        <f>Q3-AVERAGE(Q$3:Q$49)</f>
        <v>3.8280406106382943</v>
      </c>
      <c r="F3" s="399">
        <f>R3-AVERAGE(R$3:R$49)</f>
        <v>7.1419603210217462</v>
      </c>
      <c r="H3" s="400" t="s">
        <v>309</v>
      </c>
      <c r="I3">
        <v>-0.45666666666665989</v>
      </c>
      <c r="J3">
        <v>0.2266666666666701</v>
      </c>
      <c r="K3">
        <v>-1.4201674874081081E-2</v>
      </c>
      <c r="L3">
        <v>-0.138153356411542</v>
      </c>
      <c r="N3" s="401">
        <v>1976</v>
      </c>
      <c r="O3">
        <v>0.13551942683934967</v>
      </c>
      <c r="P3">
        <v>8.2411182000000007</v>
      </c>
      <c r="Q3">
        <v>10.423728799999999</v>
      </c>
      <c r="R3">
        <v>11.502620850320326</v>
      </c>
      <c r="S3">
        <f>((1+Q3/100)/(1+O3))</f>
        <v>0.97245125173558544</v>
      </c>
    </row>
    <row r="4" spans="1:19" ht="15" x14ac:dyDescent="0.2">
      <c r="A4" s="398" t="s">
        <v>308</v>
      </c>
      <c r="B4" s="398">
        <v>1977</v>
      </c>
      <c r="C4" s="399">
        <f t="shared" ref="C4:F49" si="0">O4-AVERAGE(O$3:O$49)</f>
        <v>3.7380779659615566E-2</v>
      </c>
      <c r="D4" s="399">
        <f t="shared" si="0"/>
        <v>4.3686311042553188</v>
      </c>
      <c r="E4" s="399">
        <f t="shared" si="0"/>
        <v>6.371694510638295</v>
      </c>
      <c r="F4" s="399">
        <f t="shared" si="0"/>
        <v>5.3236058543575622</v>
      </c>
      <c r="H4" s="400" t="s">
        <v>310</v>
      </c>
      <c r="I4">
        <v>6.5333333333329691E-2</v>
      </c>
      <c r="J4">
        <v>0.83333333333332948</v>
      </c>
      <c r="K4">
        <v>-4.7590073729008959E-3</v>
      </c>
      <c r="L4">
        <v>0.60368067054831709</v>
      </c>
      <c r="N4" s="401">
        <v>1977</v>
      </c>
      <c r="O4">
        <v>9.7553873034362346E-2</v>
      </c>
      <c r="P4">
        <v>7.0000884000000001</v>
      </c>
      <c r="Q4">
        <v>12.9673827</v>
      </c>
      <c r="R4">
        <v>9.6842663836561425</v>
      </c>
      <c r="S4">
        <f t="shared" ref="S4:S49" si="1">((1+Q4/100)/(1+O4))</f>
        <v>1.0292650363274076</v>
      </c>
    </row>
    <row r="5" spans="1:19" ht="15" x14ac:dyDescent="0.2">
      <c r="A5" s="398" t="s">
        <v>308</v>
      </c>
      <c r="B5" s="398">
        <v>1978</v>
      </c>
      <c r="C5" s="399">
        <f t="shared" si="0"/>
        <v>4.7592007889956399E-2</v>
      </c>
      <c r="D5" s="399">
        <f t="shared" si="0"/>
        <v>1.9751452042553188</v>
      </c>
      <c r="E5" s="399">
        <f t="shared" si="0"/>
        <v>4.3952002106382944</v>
      </c>
      <c r="F5" s="399">
        <f t="shared" si="0"/>
        <v>3.5831341295972727</v>
      </c>
      <c r="H5" s="400" t="s">
        <v>311</v>
      </c>
      <c r="I5">
        <v>0.73040000000000038</v>
      </c>
      <c r="J5">
        <v>0.27000000000000052</v>
      </c>
      <c r="K5">
        <v>7.3435044398058834E-3</v>
      </c>
      <c r="L5">
        <v>-9.4698253151319634E-2</v>
      </c>
      <c r="N5" s="401">
        <v>1978</v>
      </c>
      <c r="O5">
        <v>0.10776510126470318</v>
      </c>
      <c r="P5">
        <v>4.6066025000000002</v>
      </c>
      <c r="Q5">
        <v>10.990888399999999</v>
      </c>
      <c r="R5">
        <v>7.943794658895853</v>
      </c>
      <c r="S5">
        <f t="shared" si="1"/>
        <v>1.0019352322372761</v>
      </c>
    </row>
    <row r="6" spans="1:19" ht="15" x14ac:dyDescent="0.2">
      <c r="A6" s="398" t="s">
        <v>308</v>
      </c>
      <c r="B6" s="398">
        <v>1979</v>
      </c>
      <c r="C6" s="399">
        <f t="shared" si="0"/>
        <v>9.9700763956298011E-2</v>
      </c>
      <c r="D6" s="399">
        <f t="shared" si="0"/>
        <v>1.6636969042553185</v>
      </c>
      <c r="E6" s="399">
        <f t="shared" si="0"/>
        <v>2.7963759106382957</v>
      </c>
      <c r="F6" s="399">
        <f t="shared" si="0"/>
        <v>1.490110395811552</v>
      </c>
      <c r="H6" s="400" t="s">
        <v>312</v>
      </c>
      <c r="I6">
        <v>0.11249999999999979</v>
      </c>
      <c r="J6">
        <v>0.25666666666666949</v>
      </c>
      <c r="K6">
        <v>6.804575580821961E-3</v>
      </c>
      <c r="L6">
        <v>5.8294785584567297</v>
      </c>
      <c r="N6" s="401">
        <v>1979</v>
      </c>
      <c r="O6">
        <v>0.15987385733104478</v>
      </c>
      <c r="P6">
        <v>4.2951541999999998</v>
      </c>
      <c r="Q6">
        <v>9.3920641000000007</v>
      </c>
      <c r="R6">
        <v>5.8507709251101323</v>
      </c>
      <c r="S6">
        <f t="shared" si="1"/>
        <v>0.94313759559784549</v>
      </c>
    </row>
    <row r="7" spans="1:19" ht="15" x14ac:dyDescent="0.2">
      <c r="A7" s="398" t="s">
        <v>308</v>
      </c>
      <c r="B7" s="398">
        <v>1980</v>
      </c>
      <c r="C7" s="399">
        <f t="shared" si="0"/>
        <v>9.8176300898380836E-2</v>
      </c>
      <c r="D7" s="399">
        <f t="shared" si="0"/>
        <v>2.0273061042553184</v>
      </c>
      <c r="E7" s="399">
        <f t="shared" si="0"/>
        <v>3.3671831106382948</v>
      </c>
      <c r="F7" s="399">
        <f t="shared" si="0"/>
        <v>2.4432732734764748</v>
      </c>
      <c r="H7" s="400" t="s">
        <v>313</v>
      </c>
      <c r="I7">
        <v>0.7206999999999999</v>
      </c>
      <c r="J7">
        <v>-0.17666666666666939</v>
      </c>
      <c r="K7">
        <v>9.4193745360476554E-3</v>
      </c>
      <c r="L7">
        <v>-0.83105166125406527</v>
      </c>
      <c r="N7" s="401">
        <v>1980</v>
      </c>
      <c r="O7">
        <v>0.15834939427312761</v>
      </c>
      <c r="P7">
        <v>4.6587633999999998</v>
      </c>
      <c r="Q7">
        <v>9.9628712999999998</v>
      </c>
      <c r="R7">
        <v>6.8039338027750551</v>
      </c>
      <c r="S7">
        <f t="shared" si="1"/>
        <v>0.9493065895631817</v>
      </c>
    </row>
    <row r="8" spans="1:19" ht="15" x14ac:dyDescent="0.2">
      <c r="A8" s="398" t="s">
        <v>308</v>
      </c>
      <c r="B8" s="398">
        <v>1981</v>
      </c>
      <c r="C8" s="399">
        <f t="shared" si="0"/>
        <v>7.0854627455986918E-2</v>
      </c>
      <c r="D8" s="399">
        <f t="shared" si="0"/>
        <v>3.5077184042553187</v>
      </c>
      <c r="E8" s="399">
        <f t="shared" si="0"/>
        <v>3.8204263106382959</v>
      </c>
      <c r="F8" s="399">
        <f t="shared" si="0"/>
        <v>4.7285768679221087</v>
      </c>
      <c r="H8" s="400" t="s">
        <v>314</v>
      </c>
      <c r="I8">
        <v>0.47459999999999969</v>
      </c>
      <c r="J8">
        <v>-1.333333333333009E-2</v>
      </c>
      <c r="K8">
        <v>1.1830828344763379E-2</v>
      </c>
      <c r="L8">
        <v>-1.0283920594517111</v>
      </c>
      <c r="N8" s="401">
        <v>1981</v>
      </c>
      <c r="O8">
        <v>0.13102772083073369</v>
      </c>
      <c r="P8">
        <v>6.1391757</v>
      </c>
      <c r="Q8">
        <v>10.416114500000001</v>
      </c>
      <c r="R8">
        <v>9.089237397220689</v>
      </c>
      <c r="S8">
        <f t="shared" si="1"/>
        <v>0.9762458732567576</v>
      </c>
    </row>
    <row r="9" spans="1:19" ht="15" x14ac:dyDescent="0.2">
      <c r="A9" s="398" t="s">
        <v>308</v>
      </c>
      <c r="B9" s="398">
        <v>1982</v>
      </c>
      <c r="C9" s="399">
        <f t="shared" si="0"/>
        <v>6.4239127183742112E-2</v>
      </c>
      <c r="D9" s="399">
        <f t="shared" si="0"/>
        <v>1.5972183042553185</v>
      </c>
      <c r="E9" s="399">
        <f>Q9-AVERAGE(Q$3:Q$49)</f>
        <v>4.8962012106382948</v>
      </c>
      <c r="F9" s="399">
        <f t="shared" si="0"/>
        <v>2.6715568386429194</v>
      </c>
      <c r="H9" s="400" t="s">
        <v>315</v>
      </c>
      <c r="I9">
        <v>0.28656666666667002</v>
      </c>
      <c r="J9">
        <v>-0.13666666666667029</v>
      </c>
      <c r="K9">
        <v>8.6412437459742371E-3</v>
      </c>
      <c r="L9">
        <v>0.45469224895998289</v>
      </c>
      <c r="N9" s="401">
        <v>1982</v>
      </c>
      <c r="O9">
        <v>0.1244122205584889</v>
      </c>
      <c r="P9">
        <v>4.2286755999999999</v>
      </c>
      <c r="Q9">
        <v>11.4918894</v>
      </c>
      <c r="R9">
        <v>7.0322173679414997</v>
      </c>
      <c r="S9">
        <f t="shared" si="1"/>
        <v>0.99155707632404277</v>
      </c>
    </row>
    <row r="10" spans="1:19" ht="15" x14ac:dyDescent="0.2">
      <c r="A10" s="398" t="s">
        <v>308</v>
      </c>
      <c r="B10" s="398">
        <v>1983</v>
      </c>
      <c r="C10" s="399">
        <f t="shared" si="0"/>
        <v>5.5449643349314744E-2</v>
      </c>
      <c r="D10" s="399">
        <f t="shared" si="0"/>
        <v>0.30873370425531865</v>
      </c>
      <c r="E10" s="399">
        <f t="shared" si="0"/>
        <v>4.9049893106382951</v>
      </c>
      <c r="F10" s="399">
        <f t="shared" si="0"/>
        <v>2.0055649691098631</v>
      </c>
      <c r="H10" s="400" t="s">
        <v>316</v>
      </c>
      <c r="I10">
        <v>-0.27913333333333951</v>
      </c>
      <c r="J10">
        <v>-0.33666666666667039</v>
      </c>
      <c r="K10">
        <v>-5.4855190301263687E-3</v>
      </c>
      <c r="L10">
        <v>-0.5390136298783581</v>
      </c>
      <c r="N10" s="401">
        <v>1983</v>
      </c>
      <c r="O10">
        <v>0.11562273672406152</v>
      </c>
      <c r="P10">
        <v>2.940191</v>
      </c>
      <c r="Q10">
        <v>11.5006775</v>
      </c>
      <c r="R10">
        <v>6.3662254984084434</v>
      </c>
      <c r="S10">
        <f t="shared" si="1"/>
        <v>0.99944787632612231</v>
      </c>
    </row>
    <row r="11" spans="1:19" ht="15" x14ac:dyDescent="0.2">
      <c r="A11" s="398" t="s">
        <v>308</v>
      </c>
      <c r="B11" s="398">
        <v>1984</v>
      </c>
      <c r="C11" s="399">
        <f t="shared" si="0"/>
        <v>5.9361166970369618E-2</v>
      </c>
      <c r="D11" s="399">
        <f t="shared" si="0"/>
        <v>2.1721342042553182</v>
      </c>
      <c r="E11" s="399">
        <f t="shared" si="0"/>
        <v>4.9353992106382956</v>
      </c>
      <c r="F11" s="399">
        <f t="shared" si="0"/>
        <v>2.2237016106191154</v>
      </c>
      <c r="H11" s="400" t="s">
        <v>317</v>
      </c>
      <c r="I11">
        <v>-0.15426666666666031</v>
      </c>
      <c r="J11">
        <v>0.22333333333334071</v>
      </c>
      <c r="K11">
        <v>-1.160970332916833E-2</v>
      </c>
      <c r="L11">
        <v>-0.58030451146606765</v>
      </c>
      <c r="N11" s="401">
        <v>1984</v>
      </c>
      <c r="O11">
        <v>0.1195342603451164</v>
      </c>
      <c r="P11">
        <v>4.8035914999999996</v>
      </c>
      <c r="Q11">
        <v>11.531087400000001</v>
      </c>
      <c r="R11">
        <v>6.5843621399176957</v>
      </c>
      <c r="S11">
        <f t="shared" si="1"/>
        <v>0.99622755060321733</v>
      </c>
    </row>
    <row r="12" spans="1:19" ht="15" x14ac:dyDescent="0.2">
      <c r="A12" s="398" t="s">
        <v>308</v>
      </c>
      <c r="B12" s="398">
        <v>1985</v>
      </c>
      <c r="C12" s="399">
        <f t="shared" si="0"/>
        <v>2.9333079464759333E-2</v>
      </c>
      <c r="D12" s="399">
        <f t="shared" si="0"/>
        <v>2.4316382042553188</v>
      </c>
      <c r="E12" s="399">
        <f t="shared" si="0"/>
        <v>5.8517258106382952</v>
      </c>
      <c r="F12" s="399">
        <f t="shared" si="0"/>
        <v>1.5282569743498016</v>
      </c>
      <c r="H12" s="400" t="s">
        <v>318</v>
      </c>
      <c r="I12">
        <v>-0.32293333333333951</v>
      </c>
      <c r="J12">
        <v>-8.6666666666670444E-2</v>
      </c>
      <c r="K12">
        <v>-1.788091179014302E-2</v>
      </c>
      <c r="L12">
        <v>-0.79906703038904059</v>
      </c>
      <c r="N12" s="401">
        <v>1985</v>
      </c>
      <c r="O12">
        <v>8.9506172839506112E-2</v>
      </c>
      <c r="P12">
        <v>5.0630955000000002</v>
      </c>
      <c r="Q12">
        <v>12.447414</v>
      </c>
      <c r="R12">
        <v>5.8889175036483818</v>
      </c>
      <c r="S12">
        <f t="shared" si="1"/>
        <v>1.0320952446458924</v>
      </c>
    </row>
    <row r="13" spans="1:19" ht="15" x14ac:dyDescent="0.2">
      <c r="A13" s="398" t="s">
        <v>308</v>
      </c>
      <c r="B13" s="398">
        <v>1986</v>
      </c>
      <c r="C13" s="399">
        <f t="shared" si="0"/>
        <v>1.6193976760028754E-2</v>
      </c>
      <c r="D13" s="399">
        <f t="shared" si="0"/>
        <v>2.8236972042553186</v>
      </c>
      <c r="E13" s="399">
        <f t="shared" si="0"/>
        <v>4.5057485106382957</v>
      </c>
      <c r="F13" s="399">
        <f t="shared" si="0"/>
        <v>1.1104446977602622</v>
      </c>
      <c r="H13" s="400" t="s">
        <v>319</v>
      </c>
      <c r="I13">
        <v>-0.82433333333333048</v>
      </c>
      <c r="J13">
        <v>-0.29666666666666952</v>
      </c>
      <c r="K13">
        <v>-2.4107256682901691E-2</v>
      </c>
      <c r="L13">
        <v>-1.222772027492552</v>
      </c>
      <c r="N13" s="401">
        <v>1986</v>
      </c>
      <c r="O13">
        <v>7.6367070134775533E-2</v>
      </c>
      <c r="P13">
        <v>5.4551544999999999</v>
      </c>
      <c r="Q13">
        <v>11.101436700000001</v>
      </c>
      <c r="R13">
        <v>5.4711052270588425</v>
      </c>
      <c r="S13">
        <f t="shared" si="1"/>
        <v>1.0321891089262756</v>
      </c>
    </row>
    <row r="14" spans="1:19" ht="15" x14ac:dyDescent="0.2">
      <c r="A14" s="398" t="s">
        <v>308</v>
      </c>
      <c r="B14" s="398">
        <v>1987</v>
      </c>
      <c r="C14" s="399">
        <f t="shared" si="0"/>
        <v>1.9947494250665894E-2</v>
      </c>
      <c r="D14" s="399">
        <f t="shared" si="0"/>
        <v>0.59082400425531878</v>
      </c>
      <c r="E14" s="399">
        <f t="shared" si="0"/>
        <v>3.9270413106382955</v>
      </c>
      <c r="F14" s="399">
        <f t="shared" si="0"/>
        <v>0.32065555552627689</v>
      </c>
      <c r="H14" s="400" t="s">
        <v>320</v>
      </c>
      <c r="I14">
        <v>-8.1266666666669707E-2</v>
      </c>
      <c r="J14">
        <v>0.32666666666666982</v>
      </c>
      <c r="K14">
        <v>-7.871317405845275E-3</v>
      </c>
      <c r="L14">
        <v>0.89995343456226085</v>
      </c>
      <c r="N14" s="401">
        <v>1987</v>
      </c>
      <c r="O14">
        <v>8.0120587625412673E-2</v>
      </c>
      <c r="P14">
        <v>3.2222813000000001</v>
      </c>
      <c r="Q14">
        <v>10.522729500000001</v>
      </c>
      <c r="R14">
        <v>4.6813160848248572</v>
      </c>
      <c r="S14">
        <f t="shared" si="1"/>
        <v>1.0232443559193543</v>
      </c>
    </row>
    <row r="15" spans="1:19" ht="15" x14ac:dyDescent="0.2">
      <c r="A15" s="398" t="s">
        <v>308</v>
      </c>
      <c r="B15" s="398">
        <v>1988</v>
      </c>
      <c r="C15" s="399">
        <f t="shared" si="0"/>
        <v>7.2838307180513512E-2</v>
      </c>
      <c r="D15" s="399">
        <f t="shared" si="0"/>
        <v>4.0158323042553183</v>
      </c>
      <c r="E15" s="399">
        <f>Q15-AVERAGE(Q$3:Q$49)</f>
        <v>3.4135408106382945</v>
      </c>
      <c r="F15" s="399">
        <f t="shared" si="0"/>
        <v>3.9289006192487923</v>
      </c>
      <c r="H15" s="400" t="s">
        <v>321</v>
      </c>
      <c r="I15">
        <v>8.3766666666670098E-2</v>
      </c>
      <c r="J15">
        <v>0.1666666666666696</v>
      </c>
      <c r="K15">
        <v>6.5165954781934944E-3</v>
      </c>
      <c r="L15">
        <v>-1.0465998219342589</v>
      </c>
      <c r="N15" s="401">
        <v>1988</v>
      </c>
      <c r="O15">
        <v>0.13301140055526028</v>
      </c>
      <c r="P15">
        <v>6.6472895999999997</v>
      </c>
      <c r="Q15">
        <v>10.009228999999999</v>
      </c>
      <c r="R15">
        <v>8.2895611485473726</v>
      </c>
      <c r="S15">
        <f t="shared" si="1"/>
        <v>0.97094547280007304</v>
      </c>
    </row>
    <row r="16" spans="1:19" ht="15" x14ac:dyDescent="0.2">
      <c r="A16" s="398" t="s">
        <v>308</v>
      </c>
      <c r="B16" s="398">
        <v>1989</v>
      </c>
      <c r="C16" s="399">
        <f t="shared" si="0"/>
        <v>5.9321712615634285E-2</v>
      </c>
      <c r="D16" s="399">
        <f t="shared" si="0"/>
        <v>5.4997788042553193</v>
      </c>
      <c r="E16" s="399">
        <f t="shared" si="0"/>
        <v>2.9168345106382949</v>
      </c>
      <c r="F16" s="399">
        <f t="shared" si="0"/>
        <v>3.6029212196623117</v>
      </c>
      <c r="H16" s="400" t="s">
        <v>322</v>
      </c>
      <c r="I16">
        <v>-8.8666666666670224E-2</v>
      </c>
      <c r="J16">
        <v>-0.48666666666666991</v>
      </c>
      <c r="K16">
        <v>-1.085056591948657E-2</v>
      </c>
      <c r="L16">
        <v>7.9961936117673993E-2</v>
      </c>
      <c r="N16" s="401">
        <v>1989</v>
      </c>
      <c r="O16">
        <v>0.11949480599038106</v>
      </c>
      <c r="P16">
        <v>8.1312361000000006</v>
      </c>
      <c r="Q16">
        <v>9.5125226999999999</v>
      </c>
      <c r="R16">
        <v>7.963581748960892</v>
      </c>
      <c r="S16">
        <f t="shared" si="1"/>
        <v>0.97823162835595112</v>
      </c>
    </row>
    <row r="17" spans="1:19" ht="15" x14ac:dyDescent="0.2">
      <c r="A17" s="398" t="s">
        <v>308</v>
      </c>
      <c r="B17" s="398">
        <v>1990</v>
      </c>
      <c r="C17" s="399">
        <f t="shared" si="0"/>
        <v>-1.1680753868318905E-3</v>
      </c>
      <c r="D17" s="399">
        <f t="shared" si="0"/>
        <v>4.0572706042553186</v>
      </c>
      <c r="E17" s="399">
        <f t="shared" si="0"/>
        <v>3.6055553106382954</v>
      </c>
      <c r="F17" s="399">
        <f t="shared" si="0"/>
        <v>2.257705987483706</v>
      </c>
      <c r="H17" s="400" t="s">
        <v>323</v>
      </c>
      <c r="I17">
        <v>-0.24853333333332989</v>
      </c>
      <c r="J17">
        <v>-0.2433333333333296</v>
      </c>
      <c r="K17">
        <v>1.786675390534697E-2</v>
      </c>
      <c r="L17">
        <v>-0.4519954673909039</v>
      </c>
      <c r="N17" s="401">
        <v>1990</v>
      </c>
      <c r="O17">
        <v>5.9005017987914889E-2</v>
      </c>
      <c r="P17">
        <v>6.6887278999999999</v>
      </c>
      <c r="Q17">
        <v>10.2012435</v>
      </c>
      <c r="R17">
        <v>6.6183665167822863</v>
      </c>
      <c r="S17">
        <f t="shared" si="1"/>
        <v>1.0406111550762982</v>
      </c>
    </row>
    <row r="18" spans="1:19" ht="15" x14ac:dyDescent="0.2">
      <c r="A18" s="398" t="s">
        <v>308</v>
      </c>
      <c r="B18" s="398">
        <v>1991</v>
      </c>
      <c r="C18" s="399">
        <f t="shared" si="0"/>
        <v>-0.10480858848792966</v>
      </c>
      <c r="D18" s="399">
        <f t="shared" si="0"/>
        <v>-1.6981898957446813</v>
      </c>
      <c r="E18" s="399">
        <f t="shared" si="0"/>
        <v>6.1324540106382956</v>
      </c>
      <c r="F18" s="399">
        <f t="shared" si="0"/>
        <v>0.61062797804903024</v>
      </c>
      <c r="H18" s="400" t="s">
        <v>324</v>
      </c>
      <c r="I18">
        <v>-0.42570000000000002</v>
      </c>
      <c r="J18">
        <v>-0.46333333333333998</v>
      </c>
      <c r="K18">
        <v>-1.8089981196053491E-2</v>
      </c>
      <c r="L18">
        <v>-0.78000806371859177</v>
      </c>
      <c r="N18" s="401">
        <v>1991</v>
      </c>
      <c r="O18">
        <v>-4.4635495113182884E-2</v>
      </c>
      <c r="P18">
        <v>0.93326739999999997</v>
      </c>
      <c r="Q18">
        <v>12.728142200000001</v>
      </c>
      <c r="R18">
        <v>4.9712885073476105</v>
      </c>
      <c r="S18">
        <f t="shared" si="1"/>
        <v>1.1799490312166769</v>
      </c>
    </row>
    <row r="19" spans="1:19" ht="15" x14ac:dyDescent="0.2">
      <c r="A19" s="398" t="s">
        <v>308</v>
      </c>
      <c r="B19" s="398">
        <v>1992</v>
      </c>
      <c r="C19" s="399">
        <f t="shared" si="0"/>
        <v>-8.4534708583207219E-2</v>
      </c>
      <c r="D19" s="399">
        <f t="shared" si="0"/>
        <v>-5.4834777957446814</v>
      </c>
      <c r="E19" s="399">
        <f t="shared" si="0"/>
        <v>4.4540065106382949</v>
      </c>
      <c r="F19" s="399">
        <f t="shared" si="0"/>
        <v>2.9875973556298243</v>
      </c>
      <c r="H19" s="400" t="s">
        <v>325</v>
      </c>
      <c r="I19">
        <v>-0.32120000000000021</v>
      </c>
      <c r="J19">
        <v>-0.18666666666666029</v>
      </c>
      <c r="K19">
        <v>-1.8471776227103481E-3</v>
      </c>
      <c r="L19">
        <v>-0.22989793915436779</v>
      </c>
      <c r="N19" s="401">
        <v>1992</v>
      </c>
      <c r="O19">
        <v>-2.4361615208460446E-2</v>
      </c>
      <c r="P19">
        <v>-2.8520205000000001</v>
      </c>
      <c r="Q19">
        <v>11.0496947</v>
      </c>
      <c r="R19">
        <v>7.3482578849284046</v>
      </c>
      <c r="S19">
        <f t="shared" si="1"/>
        <v>1.138225970103949</v>
      </c>
    </row>
    <row r="20" spans="1:19" ht="15" x14ac:dyDescent="0.2">
      <c r="A20" s="398" t="s">
        <v>308</v>
      </c>
      <c r="B20" s="398">
        <v>1993</v>
      </c>
      <c r="C20" s="399">
        <f t="shared" si="0"/>
        <v>-4.9250963677405335E-2</v>
      </c>
      <c r="D20" s="399">
        <f t="shared" si="0"/>
        <v>-6.4082342957446814</v>
      </c>
      <c r="E20" s="399">
        <f t="shared" si="0"/>
        <v>4.5110787106382952</v>
      </c>
      <c r="F20" s="399">
        <f t="shared" si="0"/>
        <v>1.8581288485891312</v>
      </c>
      <c r="H20" s="400" t="s">
        <v>326</v>
      </c>
      <c r="I20">
        <v>-0.2226666666666697</v>
      </c>
      <c r="J20">
        <v>0.18333333333332999</v>
      </c>
      <c r="K20">
        <v>1.3335745197899061E-2</v>
      </c>
      <c r="L20">
        <v>-0.73550093602945843</v>
      </c>
      <c r="N20" s="401">
        <v>1993</v>
      </c>
      <c r="O20">
        <v>1.0922129697341441E-2</v>
      </c>
      <c r="P20">
        <v>-3.7767770000000001</v>
      </c>
      <c r="Q20">
        <v>11.1067669</v>
      </c>
      <c r="R20">
        <v>6.2187893778877115</v>
      </c>
      <c r="S20">
        <f t="shared" si="1"/>
        <v>1.0990635543141598</v>
      </c>
    </row>
    <row r="21" spans="1:19" ht="15" x14ac:dyDescent="0.2">
      <c r="A21" s="398" t="s">
        <v>308</v>
      </c>
      <c r="B21" s="398">
        <v>1994</v>
      </c>
      <c r="C21" s="399">
        <f t="shared" si="0"/>
        <v>-1.3571135362253212E-3</v>
      </c>
      <c r="D21" s="399">
        <f t="shared" si="0"/>
        <v>-5.1075175957446817</v>
      </c>
      <c r="E21" s="399">
        <f t="shared" si="0"/>
        <v>1.2657031106382952</v>
      </c>
      <c r="F21" s="399">
        <f t="shared" si="0"/>
        <v>-0.39367466719541655</v>
      </c>
      <c r="H21" s="400" t="s">
        <v>327</v>
      </c>
      <c r="I21">
        <v>1.0399999999999739E-2</v>
      </c>
      <c r="J21">
        <v>0.1966666666666699</v>
      </c>
      <c r="K21">
        <v>-5.8571585783153066E-3</v>
      </c>
      <c r="L21">
        <v>9.0128432338558717E-2</v>
      </c>
      <c r="N21" s="401">
        <v>1994</v>
      </c>
      <c r="O21">
        <v>5.8815979838521458E-2</v>
      </c>
      <c r="P21">
        <v>-2.4760602999999999</v>
      </c>
      <c r="Q21">
        <v>7.8613913000000002</v>
      </c>
      <c r="R21">
        <v>3.9669858621031637</v>
      </c>
      <c r="S21">
        <f t="shared" si="1"/>
        <v>1.0186981813067253</v>
      </c>
    </row>
    <row r="22" spans="1:19" ht="15" x14ac:dyDescent="0.2">
      <c r="A22" s="398" t="s">
        <v>308</v>
      </c>
      <c r="B22" s="398">
        <v>1995</v>
      </c>
      <c r="C22" s="399">
        <f t="shared" si="0"/>
        <v>2.5778266970821896E-2</v>
      </c>
      <c r="D22" s="399">
        <f t="shared" si="0"/>
        <v>-4.7228026957446811</v>
      </c>
      <c r="E22" s="399">
        <f t="shared" si="0"/>
        <v>0.81942471063829458</v>
      </c>
      <c r="F22" s="399">
        <f t="shared" si="0"/>
        <v>-5.903040462123875</v>
      </c>
      <c r="H22" s="400" t="s">
        <v>328</v>
      </c>
      <c r="I22">
        <v>-8.6699999999999999E-2</v>
      </c>
      <c r="J22">
        <v>-0.26333333333333991</v>
      </c>
      <c r="K22">
        <v>2.0912914484296011E-2</v>
      </c>
      <c r="L22">
        <v>-4.9195567181653743E-2</v>
      </c>
      <c r="N22" s="401">
        <v>1995</v>
      </c>
      <c r="O22">
        <v>8.5951360345568675E-2</v>
      </c>
      <c r="P22">
        <v>-2.0913453999999998</v>
      </c>
      <c r="Q22">
        <v>7.4151128999999996</v>
      </c>
      <c r="R22">
        <v>-1.542379932825295</v>
      </c>
      <c r="S22">
        <f t="shared" si="1"/>
        <v>0.98913373860334453</v>
      </c>
    </row>
    <row r="23" spans="1:19" ht="15" x14ac:dyDescent="0.2">
      <c r="A23" s="398" t="s">
        <v>308</v>
      </c>
      <c r="B23" s="398">
        <v>1996</v>
      </c>
      <c r="C23" s="399">
        <f t="shared" si="0"/>
        <v>-2.4312759936558757E-2</v>
      </c>
      <c r="D23" s="399">
        <f t="shared" si="0"/>
        <v>-1.8193729957446814</v>
      </c>
      <c r="E23" s="399">
        <f t="shared" si="0"/>
        <v>1.0269866106382954</v>
      </c>
      <c r="F23" s="399">
        <f t="shared" si="0"/>
        <v>-6.5059736568516495</v>
      </c>
      <c r="H23" s="400" t="s">
        <v>329</v>
      </c>
      <c r="I23">
        <v>1.953333333334006E-2</v>
      </c>
      <c r="J23">
        <v>0.21333333333334001</v>
      </c>
      <c r="K23">
        <v>-1.055377356918967E-3</v>
      </c>
      <c r="L23">
        <v>-3.3362170160843967E-2</v>
      </c>
      <c r="N23" s="401">
        <v>1996</v>
      </c>
      <c r="O23">
        <v>3.5860333438188022E-2</v>
      </c>
      <c r="P23">
        <v>0.81208429999999998</v>
      </c>
      <c r="Q23">
        <v>7.6226748000000004</v>
      </c>
      <c r="R23">
        <v>-2.1453131275530697</v>
      </c>
      <c r="S23">
        <f t="shared" si="1"/>
        <v>1.0389689741548742</v>
      </c>
    </row>
    <row r="24" spans="1:19" ht="15" x14ac:dyDescent="0.2">
      <c r="A24" s="398" t="s">
        <v>308</v>
      </c>
      <c r="B24" s="398">
        <v>1997</v>
      </c>
      <c r="C24" s="399">
        <f t="shared" si="0"/>
        <v>2.5286777514627594E-2</v>
      </c>
      <c r="D24" s="399">
        <f t="shared" si="0"/>
        <v>0.2113234042553187</v>
      </c>
      <c r="E24" s="399">
        <f t="shared" si="0"/>
        <v>1.3677960106382949</v>
      </c>
      <c r="F24" s="399">
        <f t="shared" si="0"/>
        <v>-5.8226620273988807</v>
      </c>
      <c r="H24" s="400" t="s">
        <v>330</v>
      </c>
      <c r="I24">
        <v>3.3833333333329829E-2</v>
      </c>
      <c r="J24">
        <v>-3.6666666666669727E-2</v>
      </c>
      <c r="K24">
        <v>-3.4869349198487496E-5</v>
      </c>
      <c r="L24">
        <v>0.2123295430801537</v>
      </c>
      <c r="N24" s="401">
        <v>1997</v>
      </c>
      <c r="O24">
        <v>8.5459870889374373E-2</v>
      </c>
      <c r="P24">
        <v>2.8427807</v>
      </c>
      <c r="Q24">
        <v>7.9634841999999999</v>
      </c>
      <c r="R24">
        <v>-1.4620014981003004</v>
      </c>
      <c r="S24">
        <f t="shared" si="1"/>
        <v>0.9946335843032118</v>
      </c>
    </row>
    <row r="25" spans="1:19" ht="15" x14ac:dyDescent="0.2">
      <c r="A25" s="398" t="s">
        <v>308</v>
      </c>
      <c r="B25" s="398">
        <v>1998</v>
      </c>
      <c r="C25" s="399">
        <f t="shared" si="0"/>
        <v>2.7068687379176719E-2</v>
      </c>
      <c r="D25" s="399">
        <f t="shared" si="0"/>
        <v>2.4194250042553183</v>
      </c>
      <c r="E25" s="399">
        <f t="shared" si="0"/>
        <v>0.5096386106382953</v>
      </c>
      <c r="F25" s="399">
        <f t="shared" si="0"/>
        <v>-3.5970102811122495</v>
      </c>
      <c r="H25" s="400" t="s">
        <v>331</v>
      </c>
      <c r="I25">
        <v>4.7300000000000342E-2</v>
      </c>
      <c r="J25">
        <v>-0.38000000000000028</v>
      </c>
      <c r="K25">
        <v>9.5242598457913625E-3</v>
      </c>
      <c r="L25">
        <v>-0.16662731440269149</v>
      </c>
      <c r="N25" s="401">
        <v>1998</v>
      </c>
      <c r="O25">
        <v>8.7241780753923498E-2</v>
      </c>
      <c r="P25">
        <v>5.0508822999999996</v>
      </c>
      <c r="Q25">
        <v>7.1053268000000003</v>
      </c>
      <c r="R25">
        <v>0.76365024818633065</v>
      </c>
      <c r="S25">
        <f t="shared" si="1"/>
        <v>0.98511047584770162</v>
      </c>
    </row>
    <row r="26" spans="1:19" ht="15" x14ac:dyDescent="0.2">
      <c r="A26" s="398" t="s">
        <v>308</v>
      </c>
      <c r="B26" s="398">
        <v>1999</v>
      </c>
      <c r="C26" s="399">
        <f t="shared" si="0"/>
        <v>-6.7009749093518145E-3</v>
      </c>
      <c r="D26" s="399">
        <f t="shared" si="0"/>
        <v>1.9353428042553187</v>
      </c>
      <c r="E26" s="399">
        <f t="shared" si="0"/>
        <v>-7.2496289361705379E-2</v>
      </c>
      <c r="F26" s="399">
        <f t="shared" si="0"/>
        <v>-3.0921049492298733</v>
      </c>
      <c r="H26" s="400" t="s">
        <v>332</v>
      </c>
      <c r="I26">
        <v>-2.330000000000032E-2</v>
      </c>
      <c r="J26">
        <v>-0.23</v>
      </c>
      <c r="K26">
        <v>-2.4767790591472762E-3</v>
      </c>
      <c r="L26">
        <v>0.4424414694455594</v>
      </c>
      <c r="N26" s="401">
        <v>1999</v>
      </c>
      <c r="O26">
        <v>5.3472118465394965E-2</v>
      </c>
      <c r="P26">
        <v>4.5668001</v>
      </c>
      <c r="Q26">
        <v>6.5231918999999996</v>
      </c>
      <c r="R26">
        <v>1.2685555800687069</v>
      </c>
      <c r="S26">
        <f t="shared" si="1"/>
        <v>1.0111628967947777</v>
      </c>
    </row>
    <row r="27" spans="1:19" ht="15" x14ac:dyDescent="0.2">
      <c r="A27" s="398" t="s">
        <v>308</v>
      </c>
      <c r="B27" s="398">
        <v>2000</v>
      </c>
      <c r="C27" s="399">
        <f t="shared" si="0"/>
        <v>1.4884424983852694E-2</v>
      </c>
      <c r="D27" s="399">
        <f t="shared" si="0"/>
        <v>6.9330463042553188</v>
      </c>
      <c r="E27" s="399">
        <f t="shared" si="0"/>
        <v>2.001781063829533E-2</v>
      </c>
      <c r="F27" s="399">
        <f t="shared" si="0"/>
        <v>6.6330217679412717</v>
      </c>
      <c r="H27" s="400" t="s">
        <v>333</v>
      </c>
      <c r="I27">
        <v>-1.5699999999999829E-2</v>
      </c>
      <c r="J27">
        <v>-0.29666666666667002</v>
      </c>
      <c r="K27">
        <v>-1.7006129170319038E-2</v>
      </c>
      <c r="L27">
        <v>-0.2464383311683909</v>
      </c>
      <c r="N27" s="401">
        <v>2000</v>
      </c>
      <c r="O27">
        <v>7.5057518358599473E-2</v>
      </c>
      <c r="P27">
        <v>9.5645036000000001</v>
      </c>
      <c r="Q27">
        <v>6.6157060000000003</v>
      </c>
      <c r="R27">
        <v>10.993682297239852</v>
      </c>
      <c r="S27">
        <f t="shared" si="1"/>
        <v>0.99172094682693013</v>
      </c>
    </row>
    <row r="28" spans="1:19" ht="15" x14ac:dyDescent="0.2">
      <c r="A28" s="398" t="s">
        <v>308</v>
      </c>
      <c r="B28" s="398">
        <v>2001</v>
      </c>
      <c r="C28" s="399">
        <f t="shared" si="0"/>
        <v>-1.7690451794331874E-4</v>
      </c>
      <c r="D28" s="399">
        <f t="shared" si="0"/>
        <v>4.8982050042553187</v>
      </c>
      <c r="E28" s="399">
        <f t="shared" si="0"/>
        <v>-0.59705258936170491</v>
      </c>
      <c r="F28" s="399">
        <f t="shared" si="0"/>
        <v>1.4888291960658044</v>
      </c>
      <c r="H28" s="400" t="s">
        <v>334</v>
      </c>
      <c r="I28">
        <v>5.7333333333300374E-3</v>
      </c>
      <c r="J28">
        <v>-0.1866666666666599</v>
      </c>
      <c r="K28">
        <v>1.6447920969775958E-3</v>
      </c>
      <c r="L28">
        <v>3.7942155654455689E-3</v>
      </c>
      <c r="N28" s="401">
        <v>2001</v>
      </c>
      <c r="O28">
        <v>5.999618885680346E-2</v>
      </c>
      <c r="P28">
        <v>7.5296623</v>
      </c>
      <c r="Q28">
        <v>5.9986356000000001</v>
      </c>
      <c r="R28">
        <v>5.8494897253643847</v>
      </c>
      <c r="S28">
        <f t="shared" si="1"/>
        <v>0.99999072368664454</v>
      </c>
    </row>
    <row r="29" spans="1:19" ht="15" x14ac:dyDescent="0.2">
      <c r="A29" s="398" t="s">
        <v>308</v>
      </c>
      <c r="B29" s="398">
        <v>2002</v>
      </c>
      <c r="C29" s="399">
        <f t="shared" si="0"/>
        <v>-3.3497760797375833E-2</v>
      </c>
      <c r="D29" s="399">
        <f t="shared" si="0"/>
        <v>3.4546384042553191</v>
      </c>
      <c r="E29" s="399">
        <f t="shared" si="0"/>
        <v>-1.799826689361705</v>
      </c>
      <c r="F29" s="399">
        <f t="shared" si="0"/>
        <v>1.6856543018001879E-2</v>
      </c>
      <c r="H29" s="400" t="s">
        <v>335</v>
      </c>
      <c r="I29">
        <v>0.21313333333334011</v>
      </c>
      <c r="J29">
        <v>0.14999999999999991</v>
      </c>
      <c r="K29">
        <v>-5.6604303054299974E-3</v>
      </c>
      <c r="L29">
        <v>0.5340765357118169</v>
      </c>
      <c r="N29" s="401">
        <v>2002</v>
      </c>
      <c r="O29">
        <v>2.6675332577370942E-2</v>
      </c>
      <c r="P29">
        <v>6.0860957000000004</v>
      </c>
      <c r="Q29">
        <v>4.7958615</v>
      </c>
      <c r="R29">
        <v>4.3775170723165822</v>
      </c>
      <c r="S29">
        <f t="shared" si="1"/>
        <v>1.0207302949114394</v>
      </c>
    </row>
    <row r="30" spans="1:19" ht="15" x14ac:dyDescent="0.2">
      <c r="A30" s="398" t="s">
        <v>308</v>
      </c>
      <c r="B30" s="398">
        <v>2003</v>
      </c>
      <c r="C30" s="399">
        <f t="shared" si="0"/>
        <v>-3.8197957671717506E-2</v>
      </c>
      <c r="D30" s="399">
        <f t="shared" si="0"/>
        <v>1.6077799042553185</v>
      </c>
      <c r="E30" s="399">
        <f t="shared" si="0"/>
        <v>-2.2433287893617049</v>
      </c>
      <c r="F30" s="399">
        <f t="shared" si="0"/>
        <v>1.4976976806402007</v>
      </c>
      <c r="H30" s="400" t="s">
        <v>336</v>
      </c>
      <c r="I30">
        <v>0.2681</v>
      </c>
      <c r="J30">
        <v>0.14999999999999991</v>
      </c>
      <c r="K30">
        <v>4.7933410124159082E-3</v>
      </c>
      <c r="L30">
        <v>0.79627077377071487</v>
      </c>
      <c r="N30" s="401">
        <v>2003</v>
      </c>
      <c r="O30">
        <v>2.1975135703029277E-2</v>
      </c>
      <c r="P30">
        <v>4.2392371999999998</v>
      </c>
      <c r="Q30">
        <v>4.3523594000000001</v>
      </c>
      <c r="R30">
        <v>5.858358209938781</v>
      </c>
      <c r="S30">
        <f t="shared" si="1"/>
        <v>1.0210851101403238</v>
      </c>
    </row>
    <row r="31" spans="1:19" ht="15" x14ac:dyDescent="0.2">
      <c r="A31" s="398" t="s">
        <v>308</v>
      </c>
      <c r="B31" s="398">
        <v>2004</v>
      </c>
      <c r="C31" s="399">
        <f t="shared" si="0"/>
        <v>-1.3984980108761404E-2</v>
      </c>
      <c r="D31" s="399">
        <f t="shared" si="0"/>
        <v>1.2700784042553188</v>
      </c>
      <c r="E31" s="399">
        <f t="shared" si="0"/>
        <v>-2.6749781893617048</v>
      </c>
      <c r="F31" s="399">
        <f t="shared" si="0"/>
        <v>-0.37345988429171495</v>
      </c>
      <c r="H31" s="400" t="s">
        <v>337</v>
      </c>
      <c r="I31">
        <v>0.27793333333332981</v>
      </c>
      <c r="J31">
        <v>0.5</v>
      </c>
      <c r="K31">
        <v>1.5720455621923292E-2</v>
      </c>
      <c r="L31">
        <v>-0.37914270874525607</v>
      </c>
      <c r="N31" s="401">
        <v>2004</v>
      </c>
      <c r="O31">
        <v>4.6188113265985375E-2</v>
      </c>
      <c r="P31">
        <v>3.9015357000000002</v>
      </c>
      <c r="Q31">
        <v>3.9207100000000001</v>
      </c>
      <c r="R31">
        <v>3.9872006450068653</v>
      </c>
      <c r="S31">
        <f t="shared" si="1"/>
        <v>0.99332719118343638</v>
      </c>
    </row>
    <row r="32" spans="1:19" ht="15" x14ac:dyDescent="0.2">
      <c r="A32" s="398" t="s">
        <v>308</v>
      </c>
      <c r="B32" s="398">
        <v>2005</v>
      </c>
      <c r="C32" s="399">
        <f t="shared" si="0"/>
        <v>-2.2826943889366506E-2</v>
      </c>
      <c r="D32" s="399">
        <f t="shared" si="0"/>
        <v>1.631174204255319</v>
      </c>
      <c r="E32" s="399">
        <f t="shared" si="0"/>
        <v>-2.8766161893617048</v>
      </c>
      <c r="F32" s="399">
        <f t="shared" si="0"/>
        <v>-2.8851342278904548</v>
      </c>
      <c r="H32" s="400" t="s">
        <v>338</v>
      </c>
      <c r="I32">
        <v>0.33186666666667008</v>
      </c>
      <c r="J32">
        <v>-9.9999999999997868E-3</v>
      </c>
      <c r="K32">
        <v>5.102829699023914E-3</v>
      </c>
      <c r="L32">
        <v>0.8014266151029279</v>
      </c>
      <c r="N32" s="401">
        <v>2005</v>
      </c>
      <c r="O32">
        <v>3.7346149485380273E-2</v>
      </c>
      <c r="P32">
        <v>4.2626315000000004</v>
      </c>
      <c r="Q32">
        <v>3.7190720000000002</v>
      </c>
      <c r="R32">
        <v>1.4755263014081257</v>
      </c>
      <c r="S32">
        <f t="shared" si="1"/>
        <v>0.99985016622902834</v>
      </c>
    </row>
    <row r="33" spans="1:19" ht="15" x14ac:dyDescent="0.2">
      <c r="A33" s="398" t="s">
        <v>308</v>
      </c>
      <c r="B33" s="398">
        <v>2006</v>
      </c>
      <c r="C33" s="399">
        <f t="shared" si="0"/>
        <v>-1.0320949611122579E-2</v>
      </c>
      <c r="D33" s="399">
        <f t="shared" si="0"/>
        <v>2.8324894042553188</v>
      </c>
      <c r="E33" s="399">
        <f t="shared" si="0"/>
        <v>-2.876507289361705</v>
      </c>
      <c r="F33" s="399">
        <f t="shared" si="0"/>
        <v>-0.31200728488138374</v>
      </c>
      <c r="H33" s="400" t="s">
        <v>339</v>
      </c>
      <c r="I33">
        <v>0.37309999999999999</v>
      </c>
      <c r="J33">
        <v>-0.13333333333333999</v>
      </c>
      <c r="K33">
        <v>3.054958302902833E-3</v>
      </c>
      <c r="L33">
        <v>-0.1467119487219595</v>
      </c>
      <c r="N33" s="401">
        <v>2006</v>
      </c>
      <c r="O33">
        <v>4.98521437636242E-2</v>
      </c>
      <c r="P33">
        <v>5.4639467000000002</v>
      </c>
      <c r="Q33">
        <v>3.7191809</v>
      </c>
      <c r="R33">
        <v>4.0486532444171965</v>
      </c>
      <c r="S33">
        <f t="shared" si="1"/>
        <v>0.98794084020418538</v>
      </c>
    </row>
    <row r="34" spans="1:19" ht="15" x14ac:dyDescent="0.2">
      <c r="A34" s="398" t="s">
        <v>308</v>
      </c>
      <c r="B34" s="398">
        <v>2007</v>
      </c>
      <c r="C34" s="399">
        <f t="shared" si="0"/>
        <v>2.1812134824701519E-2</v>
      </c>
      <c r="D34" s="399">
        <f t="shared" si="0"/>
        <v>3.8933032042553188</v>
      </c>
      <c r="E34" s="399">
        <f t="shared" si="0"/>
        <v>-2.784493389361705</v>
      </c>
      <c r="F34" s="399">
        <f t="shared" si="0"/>
        <v>-0.42634646840224111</v>
      </c>
      <c r="H34" s="400" t="s">
        <v>340</v>
      </c>
      <c r="I34">
        <v>0.22586666666666</v>
      </c>
      <c r="J34">
        <v>0.23302878787878981</v>
      </c>
      <c r="K34">
        <v>1.1820348465835051E-2</v>
      </c>
      <c r="L34">
        <v>0.2168859087995374</v>
      </c>
      <c r="N34" s="401">
        <v>2007</v>
      </c>
      <c r="O34">
        <v>8.1985228199448298E-2</v>
      </c>
      <c r="P34">
        <v>6.5247605000000002</v>
      </c>
      <c r="Q34">
        <v>3.8111948</v>
      </c>
      <c r="R34">
        <v>3.9343140608963392</v>
      </c>
      <c r="S34">
        <f t="shared" si="1"/>
        <v>0.95945112830009849</v>
      </c>
    </row>
    <row r="35" spans="1:19" ht="15" x14ac:dyDescent="0.2">
      <c r="A35" s="398" t="s">
        <v>308</v>
      </c>
      <c r="B35" s="398">
        <v>2008</v>
      </c>
      <c r="C35" s="399">
        <f t="shared" si="0"/>
        <v>-2.1722657179057504E-2</v>
      </c>
      <c r="D35" s="399">
        <f t="shared" si="0"/>
        <v>2.941857504255319</v>
      </c>
      <c r="E35" s="399">
        <f t="shared" si="0"/>
        <v>-2.5668791893617051</v>
      </c>
      <c r="F35" s="399">
        <f t="shared" si="0"/>
        <v>-0.13447464918636154</v>
      </c>
      <c r="H35" s="400" t="s">
        <v>341</v>
      </c>
      <c r="I35">
        <v>0.24449999999999991</v>
      </c>
      <c r="J35">
        <v>0.34518198906356989</v>
      </c>
      <c r="K35">
        <v>1.61936393772244E-2</v>
      </c>
      <c r="L35">
        <v>0.370474754835322</v>
      </c>
      <c r="N35" s="401">
        <v>2008</v>
      </c>
      <c r="O35">
        <v>3.8450436195689275E-2</v>
      </c>
      <c r="P35">
        <v>5.5733148000000003</v>
      </c>
      <c r="Q35">
        <v>4.0288089999999999</v>
      </c>
      <c r="R35">
        <v>4.2261858801122187</v>
      </c>
      <c r="S35">
        <f t="shared" si="1"/>
        <v>1.0017696114713408</v>
      </c>
    </row>
    <row r="36" spans="1:19" ht="15" x14ac:dyDescent="0.2">
      <c r="A36" s="398" t="s">
        <v>308</v>
      </c>
      <c r="B36" s="398">
        <v>2009</v>
      </c>
      <c r="C36" s="399">
        <f t="shared" si="0"/>
        <v>-0.12461084592924693</v>
      </c>
      <c r="D36" s="399">
        <f t="shared" si="0"/>
        <v>-3.7874598957446812</v>
      </c>
      <c r="E36" s="399">
        <f t="shared" si="0"/>
        <v>-3.0159446893617048</v>
      </c>
      <c r="F36" s="399">
        <f t="shared" si="0"/>
        <v>0.17861659769663785</v>
      </c>
      <c r="H36" s="400" t="s">
        <v>342</v>
      </c>
      <c r="I36">
        <v>0.43566666666666981</v>
      </c>
      <c r="J36">
        <v>5.6954835705860241E-2</v>
      </c>
      <c r="K36">
        <v>-4.9258832554552609E-3</v>
      </c>
      <c r="L36">
        <v>-0.56154865575793167</v>
      </c>
      <c r="N36" s="401">
        <v>2009</v>
      </c>
      <c r="O36">
        <v>-6.4437752554500155E-2</v>
      </c>
      <c r="P36">
        <v>-1.1560026000000001</v>
      </c>
      <c r="Q36">
        <v>3.5797435000000002</v>
      </c>
      <c r="R36">
        <v>4.5392771269952181</v>
      </c>
      <c r="S36">
        <f t="shared" si="1"/>
        <v>1.1071389828182858</v>
      </c>
    </row>
    <row r="37" spans="1:19" ht="15" x14ac:dyDescent="0.2">
      <c r="A37" s="398" t="s">
        <v>308</v>
      </c>
      <c r="B37" s="398">
        <v>2010</v>
      </c>
      <c r="C37" s="399">
        <f t="shared" si="0"/>
        <v>-2.4981315793823927E-2</v>
      </c>
      <c r="D37" s="399">
        <f t="shared" si="0"/>
        <v>-3.8379863957446814</v>
      </c>
      <c r="E37" s="399">
        <f t="shared" si="0"/>
        <v>-3.4822218893617052</v>
      </c>
      <c r="F37" s="399">
        <f t="shared" si="0"/>
        <v>0.59301832136288457</v>
      </c>
      <c r="H37" s="400" t="s">
        <v>343</v>
      </c>
      <c r="I37">
        <v>0.22426666666667039</v>
      </c>
      <c r="J37">
        <v>-0.1247224211423701</v>
      </c>
      <c r="K37">
        <v>8.7035813893839992E-3</v>
      </c>
      <c r="L37">
        <v>2.555431131188044</v>
      </c>
      <c r="N37" s="401">
        <v>2010</v>
      </c>
      <c r="O37">
        <v>3.5191777580922852E-2</v>
      </c>
      <c r="P37">
        <v>-1.2065291</v>
      </c>
      <c r="Q37">
        <v>3.1134662999999998</v>
      </c>
      <c r="R37">
        <v>4.9536788506614648</v>
      </c>
      <c r="S37">
        <f t="shared" si="1"/>
        <v>0.99608080872666538</v>
      </c>
    </row>
    <row r="38" spans="1:19" ht="15" x14ac:dyDescent="0.2">
      <c r="A38" s="398" t="s">
        <v>308</v>
      </c>
      <c r="B38" s="398">
        <v>2011</v>
      </c>
      <c r="C38" s="399">
        <f t="shared" si="0"/>
        <v>-7.7927231244584866E-3</v>
      </c>
      <c r="D38" s="399">
        <f t="shared" si="0"/>
        <v>-2.2617565957446812</v>
      </c>
      <c r="E38" s="399">
        <f t="shared" si="0"/>
        <v>-3.6790303893617051</v>
      </c>
      <c r="F38" s="399">
        <f t="shared" si="0"/>
        <v>-1.0676979741212551</v>
      </c>
      <c r="H38" s="400" t="s">
        <v>344</v>
      </c>
      <c r="I38">
        <v>-0.24476666666666971</v>
      </c>
      <c r="J38">
        <v>-0.24661661749505989</v>
      </c>
      <c r="K38">
        <v>-2.1475325332096281E-2</v>
      </c>
      <c r="L38">
        <v>-0.73008310782001207</v>
      </c>
      <c r="N38" s="401">
        <v>2011</v>
      </c>
      <c r="O38">
        <v>5.2380370250288293E-2</v>
      </c>
      <c r="P38">
        <v>0.36970069999999999</v>
      </c>
      <c r="Q38">
        <v>2.9166577999999999</v>
      </c>
      <c r="R38">
        <v>3.2929625551773252</v>
      </c>
      <c r="S38">
        <f t="shared" si="1"/>
        <v>0.97794163317131477</v>
      </c>
    </row>
    <row r="39" spans="1:19" ht="15" x14ac:dyDescent="0.2">
      <c r="A39" s="398" t="s">
        <v>308</v>
      </c>
      <c r="B39" s="398">
        <v>2012</v>
      </c>
      <c r="C39" s="399">
        <f t="shared" si="0"/>
        <v>-4.4824453489495333E-2</v>
      </c>
      <c r="D39" s="399">
        <f t="shared" si="0"/>
        <v>-3.3616710957446814</v>
      </c>
      <c r="E39" s="399">
        <f t="shared" si="0"/>
        <v>-3.8085366893617052</v>
      </c>
      <c r="F39" s="399">
        <f t="shared" si="0"/>
        <v>1.7205249352176821E-3</v>
      </c>
      <c r="H39" s="400" t="s">
        <v>345</v>
      </c>
      <c r="I39">
        <v>0.38046666666666962</v>
      </c>
      <c r="J39">
        <v>0.42489038125617018</v>
      </c>
      <c r="K39">
        <v>-2.227073873630275E-2</v>
      </c>
      <c r="L39">
        <v>-1.4714884705264759</v>
      </c>
      <c r="N39" s="401">
        <v>2012</v>
      </c>
      <c r="O39">
        <v>1.5348639885251446E-2</v>
      </c>
      <c r="P39">
        <v>-0.73021380000000002</v>
      </c>
      <c r="Q39">
        <v>2.7871514999999998</v>
      </c>
      <c r="R39">
        <v>4.362381054233798</v>
      </c>
      <c r="S39">
        <f t="shared" si="1"/>
        <v>1.0123335715662789</v>
      </c>
    </row>
    <row r="40" spans="1:19" ht="15" x14ac:dyDescent="0.2">
      <c r="A40" s="398" t="s">
        <v>308</v>
      </c>
      <c r="B40" s="398">
        <v>2013</v>
      </c>
      <c r="C40" s="399">
        <f t="shared" si="0"/>
        <v>-4.3837791912826871E-2</v>
      </c>
      <c r="D40" s="399">
        <f t="shared" si="0"/>
        <v>-3.8824299957446815</v>
      </c>
      <c r="E40" s="399">
        <f t="shared" si="0"/>
        <v>-4.3503870893617052</v>
      </c>
      <c r="F40" s="399">
        <f t="shared" si="0"/>
        <v>-3.0685760152251369</v>
      </c>
      <c r="H40" s="400" t="s">
        <v>346</v>
      </c>
      <c r="I40">
        <v>0.1213333333333297</v>
      </c>
      <c r="J40">
        <v>6.269894284459987E-2</v>
      </c>
      <c r="K40">
        <v>-2.5963123534764069E-3</v>
      </c>
      <c r="L40">
        <v>-1.114821189748042</v>
      </c>
      <c r="N40" s="401">
        <v>2013</v>
      </c>
      <c r="O40">
        <v>1.6335301461919905E-2</v>
      </c>
      <c r="P40">
        <v>-1.2509726999999999</v>
      </c>
      <c r="Q40">
        <v>2.2453010999999998</v>
      </c>
      <c r="R40">
        <v>1.2920845140734434</v>
      </c>
      <c r="S40">
        <f t="shared" si="1"/>
        <v>1.0060193811326639</v>
      </c>
    </row>
    <row r="41" spans="1:19" ht="15" x14ac:dyDescent="0.2">
      <c r="A41" s="398" t="s">
        <v>308</v>
      </c>
      <c r="B41" s="398">
        <v>2014</v>
      </c>
      <c r="C41" s="399">
        <f t="shared" si="0"/>
        <v>-4.7565480843484727E-2</v>
      </c>
      <c r="D41" s="399">
        <f t="shared" si="0"/>
        <v>-4.3878867957446817</v>
      </c>
      <c r="E41" s="399">
        <f t="shared" si="0"/>
        <v>-4.5371070893617045</v>
      </c>
      <c r="F41" s="399">
        <f t="shared" si="0"/>
        <v>-2.6931641422074186</v>
      </c>
      <c r="H41" s="400" t="s">
        <v>347</v>
      </c>
      <c r="I41">
        <v>-0.76713333333333011</v>
      </c>
      <c r="J41">
        <v>-0.50977966622749982</v>
      </c>
      <c r="K41">
        <v>-4.6256671579378829E-2</v>
      </c>
      <c r="L41">
        <v>-1.214801393551012</v>
      </c>
      <c r="N41" s="401">
        <v>2014</v>
      </c>
      <c r="O41">
        <v>1.2607612531262051E-2</v>
      </c>
      <c r="P41">
        <v>-1.7564295000000001</v>
      </c>
      <c r="Q41">
        <v>2.0585811000000001</v>
      </c>
      <c r="R41">
        <v>1.6674963870911614</v>
      </c>
      <c r="S41">
        <f t="shared" si="1"/>
        <v>1.0078788647942261</v>
      </c>
    </row>
    <row r="42" spans="1:19" ht="15" x14ac:dyDescent="0.2">
      <c r="A42" s="398" t="s">
        <v>308</v>
      </c>
      <c r="B42" s="398">
        <v>2015</v>
      </c>
      <c r="C42" s="399">
        <f t="shared" si="0"/>
        <v>-3.8481140373978283E-2</v>
      </c>
      <c r="D42" s="399">
        <f t="shared" si="0"/>
        <v>-3.8988130957446812</v>
      </c>
      <c r="E42" s="399">
        <f t="shared" si="0"/>
        <v>-4.7600428893617046</v>
      </c>
      <c r="F42" s="399">
        <f t="shared" si="0"/>
        <v>-1.5411605647788651</v>
      </c>
      <c r="H42" s="400" t="s">
        <v>348</v>
      </c>
      <c r="I42">
        <v>-2.2029666666666698</v>
      </c>
      <c r="J42">
        <v>-0.17374380764163039</v>
      </c>
      <c r="K42">
        <v>-5.4289522138669638E-2</v>
      </c>
      <c r="L42">
        <v>-0.45283062188402029</v>
      </c>
      <c r="N42" s="401">
        <v>2015</v>
      </c>
      <c r="O42">
        <v>2.1691953000768496E-2</v>
      </c>
      <c r="P42">
        <v>-1.2673558</v>
      </c>
      <c r="Q42">
        <v>1.8356452999999999</v>
      </c>
      <c r="R42">
        <v>2.8194999645197152</v>
      </c>
      <c r="S42">
        <f t="shared" si="1"/>
        <v>0.99673531734201104</v>
      </c>
    </row>
    <row r="43" spans="1:19" ht="15" x14ac:dyDescent="0.2">
      <c r="A43" s="398" t="s">
        <v>308</v>
      </c>
      <c r="B43" s="398">
        <v>2016</v>
      </c>
      <c r="C43" s="399">
        <f t="shared" si="0"/>
        <v>-3.1159681827096709E-2</v>
      </c>
      <c r="D43" s="399">
        <f t="shared" si="0"/>
        <v>-3.2396827957446814</v>
      </c>
      <c r="E43" s="399">
        <f t="shared" si="0"/>
        <v>-4.9542101893617048</v>
      </c>
      <c r="F43" s="399">
        <f t="shared" si="0"/>
        <v>-4.4388149808841959</v>
      </c>
      <c r="H43" s="400" t="s">
        <v>349</v>
      </c>
      <c r="I43">
        <v>-0.70106666666666984</v>
      </c>
      <c r="J43">
        <v>2.029078377762028E-2</v>
      </c>
      <c r="K43">
        <v>-1.372320112466895E-2</v>
      </c>
      <c r="L43">
        <v>-5.3508871637591611</v>
      </c>
      <c r="N43" s="401">
        <v>2016</v>
      </c>
      <c r="O43">
        <v>2.901341154765007E-2</v>
      </c>
      <c r="P43">
        <v>-0.60822549999999997</v>
      </c>
      <c r="Q43">
        <v>1.641478</v>
      </c>
      <c r="R43">
        <v>-7.8154451585615903E-2</v>
      </c>
      <c r="S43">
        <f t="shared" si="1"/>
        <v>0.98775659150185269</v>
      </c>
    </row>
    <row r="44" spans="1:19" ht="15" x14ac:dyDescent="0.2">
      <c r="A44" s="398" t="s">
        <v>308</v>
      </c>
      <c r="B44" s="398">
        <v>2017</v>
      </c>
      <c r="C44" s="399">
        <f t="shared" si="0"/>
        <v>-1.9794825829072459E-2</v>
      </c>
      <c r="D44" s="399">
        <f t="shared" si="0"/>
        <v>-2.2845741957446815</v>
      </c>
      <c r="E44" s="399">
        <f t="shared" si="0"/>
        <v>-5.0649000893617053</v>
      </c>
      <c r="F44" s="399">
        <f t="shared" si="0"/>
        <v>-4.3562416358778711</v>
      </c>
      <c r="H44" s="400" t="s">
        <v>350</v>
      </c>
      <c r="I44">
        <v>-0.44143333333333001</v>
      </c>
      <c r="J44">
        <v>-0.21669007796170001</v>
      </c>
      <c r="K44">
        <v>-3.8053941942564513E-3</v>
      </c>
      <c r="L44">
        <v>-0.56102495842014299</v>
      </c>
      <c r="N44" s="401">
        <v>2017</v>
      </c>
      <c r="O44">
        <v>4.0378267545674321E-2</v>
      </c>
      <c r="P44">
        <v>0.3468831</v>
      </c>
      <c r="Q44">
        <v>1.5307881000000001</v>
      </c>
      <c r="R44">
        <v>4.4188934207095862E-3</v>
      </c>
      <c r="S44">
        <f t="shared" si="1"/>
        <v>0.97590262375932069</v>
      </c>
    </row>
    <row r="45" spans="1:19" ht="15" x14ac:dyDescent="0.2">
      <c r="A45" s="398" t="s">
        <v>308</v>
      </c>
      <c r="B45" s="398">
        <v>2018</v>
      </c>
      <c r="C45" s="399">
        <f t="shared" si="0"/>
        <v>-2.8529397589045428E-2</v>
      </c>
      <c r="D45" s="399">
        <f t="shared" si="0"/>
        <v>-2.5393651957446814</v>
      </c>
      <c r="E45" s="399">
        <f t="shared" si="0"/>
        <v>-5.1170019893617047</v>
      </c>
      <c r="F45" s="399">
        <f t="shared" si="0"/>
        <v>-4.3906439955586141</v>
      </c>
      <c r="H45" s="400" t="s">
        <v>351</v>
      </c>
      <c r="I45">
        <v>-0.14729999999999999</v>
      </c>
      <c r="J45">
        <v>-0.15701333207855009</v>
      </c>
      <c r="K45">
        <v>1.8222671880016462E-2</v>
      </c>
      <c r="L45">
        <v>-0.53557988995388239</v>
      </c>
      <c r="N45" s="401">
        <v>2018</v>
      </c>
      <c r="O45">
        <v>3.1643695785701351E-2</v>
      </c>
      <c r="P45">
        <v>9.2092099999999996E-2</v>
      </c>
      <c r="Q45">
        <v>1.4786862000000001</v>
      </c>
      <c r="R45">
        <v>-2.9983466260033759E-2</v>
      </c>
      <c r="S45">
        <f t="shared" si="1"/>
        <v>0.98366021732642572</v>
      </c>
    </row>
    <row r="46" spans="1:19" ht="15" x14ac:dyDescent="0.2">
      <c r="A46" s="398" t="s">
        <v>308</v>
      </c>
      <c r="B46" s="398">
        <v>2019</v>
      </c>
      <c r="C46" s="399">
        <f t="shared" si="0"/>
        <v>-3.2776771917721589E-2</v>
      </c>
      <c r="D46" s="399">
        <f t="shared" si="0"/>
        <v>-2.7156737957446815</v>
      </c>
      <c r="E46" s="399">
        <f t="shared" si="0"/>
        <v>-5.2263228893617049</v>
      </c>
      <c r="F46" s="399">
        <f t="shared" si="0"/>
        <v>-3.5476795155321019</v>
      </c>
      <c r="H46" s="400" t="s">
        <v>352</v>
      </c>
      <c r="I46">
        <v>-5.9766666666666968E-2</v>
      </c>
      <c r="J46">
        <v>-0.13900824954348989</v>
      </c>
      <c r="K46">
        <v>5.3559887718800922E-2</v>
      </c>
      <c r="L46">
        <v>0.61570636412374347</v>
      </c>
      <c r="N46" s="401">
        <v>2019</v>
      </c>
      <c r="O46">
        <v>2.7396321457025193E-2</v>
      </c>
      <c r="P46">
        <v>-8.42165E-2</v>
      </c>
      <c r="Q46">
        <v>1.3693652999999999</v>
      </c>
      <c r="R46">
        <v>0.81298101376647847</v>
      </c>
      <c r="S46">
        <f t="shared" si="1"/>
        <v>0.98666272384780163</v>
      </c>
    </row>
    <row r="47" spans="1:19" ht="15" x14ac:dyDescent="0.2">
      <c r="A47" s="398" t="s">
        <v>308</v>
      </c>
      <c r="B47" s="398">
        <v>2020</v>
      </c>
      <c r="C47" s="399">
        <f t="shared" si="0"/>
        <v>-6.7760916169900556E-2</v>
      </c>
      <c r="D47" s="399">
        <f t="shared" si="0"/>
        <v>-7.4920257957446816</v>
      </c>
      <c r="E47" s="399">
        <f t="shared" si="0"/>
        <v>-5.5096606893617048</v>
      </c>
      <c r="F47" s="399">
        <f t="shared" si="0"/>
        <v>-0.56714856902333066</v>
      </c>
      <c r="H47" s="400" t="s">
        <v>353</v>
      </c>
      <c r="I47">
        <v>2.413333333333401E-2</v>
      </c>
      <c r="J47">
        <v>-0.27296519922996021</v>
      </c>
      <c r="K47">
        <v>4.2196865378010387E-2</v>
      </c>
      <c r="L47">
        <v>1.166688330468586</v>
      </c>
      <c r="N47" s="401">
        <v>2020</v>
      </c>
      <c r="O47">
        <v>-7.5878227951537711E-3</v>
      </c>
      <c r="P47">
        <v>-4.8605685000000003</v>
      </c>
      <c r="Q47">
        <v>1.0860274999999999</v>
      </c>
      <c r="R47">
        <v>3.7935119602752496</v>
      </c>
      <c r="S47">
        <f t="shared" si="1"/>
        <v>1.0185891489634007</v>
      </c>
    </row>
    <row r="48" spans="1:19" ht="15" x14ac:dyDescent="0.2">
      <c r="A48" s="398" t="s">
        <v>308</v>
      </c>
      <c r="B48" s="398">
        <v>2021</v>
      </c>
      <c r="C48" s="399">
        <f t="shared" si="0"/>
        <v>-6.043080519656456E-3</v>
      </c>
      <c r="D48" s="399">
        <f t="shared" si="0"/>
        <v>-4.8875278957446815</v>
      </c>
      <c r="E48" s="399">
        <f t="shared" si="0"/>
        <v>-5.862716889361705</v>
      </c>
      <c r="F48" s="399">
        <f t="shared" si="0"/>
        <v>-5.5283494219070697</v>
      </c>
      <c r="H48" s="400" t="s">
        <v>354</v>
      </c>
      <c r="I48">
        <v>0.18866666666666601</v>
      </c>
      <c r="J48">
        <v>-0.41990028860029011</v>
      </c>
      <c r="K48">
        <v>-5.2436923370206045E-3</v>
      </c>
      <c r="L48">
        <v>0.62160731810611636</v>
      </c>
      <c r="N48" s="401">
        <v>2021</v>
      </c>
      <c r="O48">
        <v>5.4130012855090323E-2</v>
      </c>
      <c r="P48">
        <v>-2.2560706000000001</v>
      </c>
      <c r="Q48">
        <v>0.73297129999999999</v>
      </c>
      <c r="R48">
        <v>-1.1676888926084894</v>
      </c>
      <c r="S48">
        <f t="shared" si="1"/>
        <v>0.95560291493045291</v>
      </c>
    </row>
    <row r="49" spans="1:19" ht="15" x14ac:dyDescent="0.2">
      <c r="A49" s="398" t="s">
        <v>308</v>
      </c>
      <c r="B49" s="398">
        <v>2022</v>
      </c>
      <c r="C49" s="399">
        <f t="shared" si="0"/>
        <v>1.0454150839613728E-2</v>
      </c>
      <c r="D49" s="399">
        <f t="shared" si="0"/>
        <v>-2.8615006957446814</v>
      </c>
      <c r="E49" s="399">
        <f t="shared" si="0"/>
        <v>-5.7828006893617054</v>
      </c>
      <c r="F49" s="399">
        <f t="shared" si="0"/>
        <v>0.41888124516213932</v>
      </c>
      <c r="H49" s="400" t="s">
        <v>355</v>
      </c>
      <c r="I49">
        <v>0.14553333333333701</v>
      </c>
      <c r="J49">
        <v>0.19511544011543999</v>
      </c>
      <c r="K49">
        <v>3.472908674640976E-2</v>
      </c>
      <c r="L49">
        <v>0.6306853077874075</v>
      </c>
      <c r="N49" s="401">
        <v>2022</v>
      </c>
      <c r="O49">
        <v>7.0627244214360507E-2</v>
      </c>
      <c r="P49">
        <v>-0.23004340000000001</v>
      </c>
      <c r="Q49">
        <v>0.81288749999999999</v>
      </c>
      <c r="R49">
        <v>4.7795417744607196</v>
      </c>
      <c r="S49">
        <f t="shared" si="1"/>
        <v>0.94162452940358088</v>
      </c>
    </row>
    <row r="50" spans="1:19" ht="15" x14ac:dyDescent="0.2">
      <c r="H50" s="400" t="s">
        <v>356</v>
      </c>
      <c r="I50">
        <v>7.2666666666659996E-2</v>
      </c>
      <c r="J50">
        <v>0.49521618043792032</v>
      </c>
      <c r="K50">
        <v>5.0582614284287782E-3</v>
      </c>
      <c r="L50">
        <v>-5.3325320488528893E-2</v>
      </c>
    </row>
    <row r="51" spans="1:19" ht="15" x14ac:dyDescent="0.2">
      <c r="B51" t="s">
        <v>357</v>
      </c>
      <c r="C51" s="399">
        <f>_xlfn.STDEV.P(C3:C49)</f>
        <v>4.9398524090802365E-2</v>
      </c>
      <c r="D51" s="399">
        <f>_xlfn.STDEV.P(D3:D49)</f>
        <v>3.6579474585785392</v>
      </c>
      <c r="E51" s="399">
        <f>_xlfn.STDEV.P(E3:E49)</f>
        <v>3.9331375696395168</v>
      </c>
      <c r="H51" s="400" t="s">
        <v>358</v>
      </c>
      <c r="I51">
        <v>0.31850000000000001</v>
      </c>
      <c r="J51">
        <v>1.4542621870889951E-2</v>
      </c>
      <c r="K51">
        <v>-2.4187858235416262E-2</v>
      </c>
      <c r="L51">
        <v>0.90263505450942649</v>
      </c>
    </row>
    <row r="52" spans="1:19" ht="15" x14ac:dyDescent="0.2">
      <c r="H52" s="400" t="s">
        <v>359</v>
      </c>
      <c r="I52">
        <v>0.15043333333334011</v>
      </c>
      <c r="J52">
        <v>-0.65813457870632019</v>
      </c>
      <c r="K52">
        <v>6.6783284455540579E-3</v>
      </c>
      <c r="L52">
        <v>0.69920202311433466</v>
      </c>
    </row>
    <row r="53" spans="1:19" ht="15" x14ac:dyDescent="0.2">
      <c r="H53" s="400" t="s">
        <v>360</v>
      </c>
      <c r="I53">
        <v>-6.6500000000000004E-2</v>
      </c>
      <c r="J53">
        <v>-0.20894211682038</v>
      </c>
      <c r="K53">
        <v>-2.6584369717756861E-2</v>
      </c>
      <c r="L53">
        <v>-1.8570519515610411</v>
      </c>
    </row>
    <row r="54" spans="1:19" ht="15" x14ac:dyDescent="0.2">
      <c r="H54" s="400" t="s">
        <v>361</v>
      </c>
      <c r="I54">
        <v>-0.45256666666667011</v>
      </c>
      <c r="J54">
        <v>-0.21627734483693969</v>
      </c>
      <c r="K54">
        <v>-2.094569529639045E-3</v>
      </c>
      <c r="L54">
        <v>1.1577850752457679</v>
      </c>
    </row>
    <row r="55" spans="1:19" ht="15" x14ac:dyDescent="0.2">
      <c r="H55" s="400" t="s">
        <v>362</v>
      </c>
      <c r="I55">
        <v>-0.34696666666666698</v>
      </c>
      <c r="J55">
        <v>-0.39809773300000018</v>
      </c>
      <c r="K55">
        <v>-1.2696055806227659E-2</v>
      </c>
      <c r="L55">
        <v>-1.779717433915341</v>
      </c>
    </row>
    <row r="56" spans="1:19" ht="15" x14ac:dyDescent="0.2">
      <c r="H56" s="400" t="s">
        <v>363</v>
      </c>
      <c r="I56">
        <v>-0.33746666666666603</v>
      </c>
      <c r="J56">
        <v>-0.27273834533333008</v>
      </c>
      <c r="K56">
        <v>-4.9316673403978937E-3</v>
      </c>
      <c r="L56">
        <v>-0.40114161041281138</v>
      </c>
    </row>
    <row r="57" spans="1:19" ht="15" x14ac:dyDescent="0.2">
      <c r="H57" s="400" t="s">
        <v>364</v>
      </c>
      <c r="I57">
        <v>-0.16343333333333401</v>
      </c>
      <c r="J57">
        <v>4.6695981515149983E-2</v>
      </c>
      <c r="K57">
        <v>-1.4425296231014781E-3</v>
      </c>
      <c r="L57">
        <v>0.42851548136691758</v>
      </c>
    </row>
    <row r="58" spans="1:19" ht="15" x14ac:dyDescent="0.2">
      <c r="H58" s="400" t="s">
        <v>365</v>
      </c>
      <c r="I58">
        <v>1.6333333333334001E-2</v>
      </c>
      <c r="J58">
        <v>3.7633531121210151E-2</v>
      </c>
      <c r="K58">
        <v>-7.3395040591002214E-3</v>
      </c>
      <c r="L58">
        <v>-0.37855205821009791</v>
      </c>
    </row>
    <row r="59" spans="1:19" ht="15" x14ac:dyDescent="0.2">
      <c r="H59" s="400" t="s">
        <v>366</v>
      </c>
      <c r="I59">
        <v>-4.6666666666669854E-3</v>
      </c>
      <c r="J59">
        <v>-5.7742503987240117E-2</v>
      </c>
      <c r="K59">
        <v>1.646785477173935E-2</v>
      </c>
      <c r="L59">
        <v>0.25679197440655538</v>
      </c>
    </row>
    <row r="60" spans="1:19" ht="15" x14ac:dyDescent="0.2">
      <c r="H60" s="400" t="s">
        <v>367</v>
      </c>
      <c r="I60">
        <v>1.6699999999999989E-2</v>
      </c>
      <c r="J60">
        <v>0.39280133139172019</v>
      </c>
      <c r="K60">
        <v>5.0130722310493068E-3</v>
      </c>
      <c r="L60">
        <v>-8.0271888539100722E-2</v>
      </c>
    </row>
    <row r="61" spans="1:19" ht="15" x14ac:dyDescent="0.2">
      <c r="H61" s="400" t="s">
        <v>368</v>
      </c>
      <c r="I61">
        <v>1.7399999999999999E-2</v>
      </c>
      <c r="J61">
        <v>-5.2678524374180302E-2</v>
      </c>
      <c r="K61">
        <v>-5.3655800525504555E-4</v>
      </c>
      <c r="L61">
        <v>0.124058763432302</v>
      </c>
    </row>
    <row r="62" spans="1:19" ht="15" x14ac:dyDescent="0.2">
      <c r="H62" s="400" t="s">
        <v>369</v>
      </c>
      <c r="I62">
        <v>5.4233333333333023E-2</v>
      </c>
      <c r="J62">
        <v>-6.3333333333329911E-2</v>
      </c>
      <c r="K62">
        <v>-4.4347483223671699E-3</v>
      </c>
      <c r="L62">
        <v>-0.1159689717101253</v>
      </c>
    </row>
    <row r="63" spans="1:19" ht="15" x14ac:dyDescent="0.2">
      <c r="H63" s="400" t="s">
        <v>370</v>
      </c>
      <c r="I63">
        <v>3.433333333333954E-3</v>
      </c>
      <c r="J63">
        <v>-0.24</v>
      </c>
      <c r="K63">
        <v>-6.1705566290856948E-3</v>
      </c>
      <c r="L63">
        <v>-0.20014362833535021</v>
      </c>
    </row>
    <row r="64" spans="1:19" ht="15" x14ac:dyDescent="0.2">
      <c r="H64" s="400" t="s">
        <v>371</v>
      </c>
      <c r="I64">
        <v>-0.13400000000000001</v>
      </c>
      <c r="J64">
        <v>-0.4766666666666699</v>
      </c>
      <c r="K64">
        <v>-4.4491523065914866E-6</v>
      </c>
      <c r="L64">
        <v>-0.29510323897536672</v>
      </c>
    </row>
    <row r="65" spans="8:12" ht="15" x14ac:dyDescent="0.2">
      <c r="H65" s="400" t="s">
        <v>372</v>
      </c>
      <c r="I65">
        <v>-8.3099999999999993E-2</v>
      </c>
      <c r="J65">
        <v>-0.28956899999999608</v>
      </c>
      <c r="K65">
        <v>-2.6649764978803597E-3</v>
      </c>
      <c r="L65">
        <v>-0.85151284668067162</v>
      </c>
    </row>
    <row r="66" spans="8:12" ht="15" x14ac:dyDescent="0.2">
      <c r="H66" s="400" t="s">
        <v>373</v>
      </c>
      <c r="I66">
        <v>-3.5433333333333997E-2</v>
      </c>
      <c r="J66">
        <v>-0.44013627272727301</v>
      </c>
      <c r="K66">
        <v>3.7335401489293927E-3</v>
      </c>
      <c r="L66">
        <v>0.84800311281623109</v>
      </c>
    </row>
    <row r="67" spans="8:12" ht="15" x14ac:dyDescent="0.2">
      <c r="H67" s="400" t="s">
        <v>374</v>
      </c>
      <c r="I67">
        <v>-5.2566666666666012E-2</v>
      </c>
      <c r="J67">
        <v>0.17213384415584199</v>
      </c>
      <c r="K67">
        <v>1.3210427142459048E-2</v>
      </c>
      <c r="L67">
        <v>0.93148685322153457</v>
      </c>
    </row>
    <row r="68" spans="8:12" ht="15" x14ac:dyDescent="0.2">
      <c r="H68" s="400" t="s">
        <v>375</v>
      </c>
      <c r="I68">
        <v>-2.1266666666666999E-2</v>
      </c>
      <c r="J68">
        <v>0.24214437543133399</v>
      </c>
      <c r="K68">
        <v>-5.1036855982164297E-3</v>
      </c>
      <c r="L68">
        <v>7.2424583494123951E-3</v>
      </c>
    </row>
    <row r="69" spans="8:12" ht="15" x14ac:dyDescent="0.2">
      <c r="H69" s="400" t="s">
        <v>376</v>
      </c>
      <c r="I69">
        <v>-6.1366666666667007E-2</v>
      </c>
      <c r="J69">
        <v>-8.2670464897422025E-2</v>
      </c>
      <c r="K69">
        <v>5.5665386112366379E-3</v>
      </c>
      <c r="L69">
        <v>-0.92295498111213847</v>
      </c>
    </row>
    <row r="70" spans="8:12" ht="15" x14ac:dyDescent="0.2">
      <c r="H70" s="400" t="s">
        <v>377</v>
      </c>
      <c r="I70">
        <v>-9.6899999999999986E-2</v>
      </c>
      <c r="J70">
        <v>-0.21523898989899001</v>
      </c>
      <c r="K70">
        <v>8.3565879114802042E-3</v>
      </c>
      <c r="L70">
        <v>1.302179117213919</v>
      </c>
    </row>
    <row r="71" spans="8:12" ht="15" x14ac:dyDescent="0.2">
      <c r="H71" s="400" t="s">
        <v>378</v>
      </c>
      <c r="I71">
        <v>-7.2033333333333005E-2</v>
      </c>
      <c r="J71">
        <v>-0.19720317460317399</v>
      </c>
      <c r="K71">
        <v>-1.45000131762751E-2</v>
      </c>
      <c r="L71">
        <v>-1.045232841927259</v>
      </c>
    </row>
    <row r="72" spans="8:12" ht="15" x14ac:dyDescent="0.2">
      <c r="H72" s="400" t="s">
        <v>379</v>
      </c>
      <c r="I72">
        <v>-3.999999999999998E-2</v>
      </c>
      <c r="J72">
        <v>-0.32876548089591601</v>
      </c>
      <c r="K72">
        <v>1.120692177141905E-2</v>
      </c>
      <c r="L72">
        <v>0.65366241752405951</v>
      </c>
    </row>
    <row r="73" spans="8:12" ht="15" x14ac:dyDescent="0.2">
      <c r="H73" s="400" t="s">
        <v>380</v>
      </c>
      <c r="I73">
        <v>-1.440000000000002E-2</v>
      </c>
      <c r="J73">
        <v>0.26181043039086499</v>
      </c>
      <c r="K73">
        <v>-2.321537615477496E-3</v>
      </c>
      <c r="L73">
        <v>1.1450898645591261</v>
      </c>
    </row>
    <row r="74" spans="8:12" ht="15" x14ac:dyDescent="0.2">
      <c r="H74" s="400" t="s">
        <v>381</v>
      </c>
      <c r="I74">
        <v>-1.529999999999998E-2</v>
      </c>
      <c r="J74">
        <v>0.1662047951568871</v>
      </c>
      <c r="K74">
        <v>3.5740417120086933E-3</v>
      </c>
      <c r="L74">
        <v>-0.24247187548879059</v>
      </c>
    </row>
    <row r="75" spans="8:12" ht="15" x14ac:dyDescent="0.2">
      <c r="H75" s="400" t="s">
        <v>382</v>
      </c>
      <c r="I75">
        <v>-2.1666666666670391E-3</v>
      </c>
      <c r="J75">
        <v>-3.377810444049606E-2</v>
      </c>
      <c r="K75">
        <v>1.165429564071147E-2</v>
      </c>
      <c r="L75">
        <v>1.349063040286653</v>
      </c>
    </row>
    <row r="76" spans="8:12" ht="15" x14ac:dyDescent="0.2">
      <c r="H76" s="400" t="s">
        <v>383</v>
      </c>
      <c r="I76">
        <v>3.3333333333401832E-4</v>
      </c>
      <c r="J76">
        <v>0.18477128594352299</v>
      </c>
      <c r="K76">
        <v>-7.7196573193805303E-3</v>
      </c>
      <c r="L76">
        <v>-2.4682211748780429</v>
      </c>
    </row>
    <row r="77" spans="8:12" ht="15" x14ac:dyDescent="0.2">
      <c r="H77" s="400" t="s">
        <v>384</v>
      </c>
      <c r="I77">
        <v>8.3333333333301951E-4</v>
      </c>
      <c r="J77">
        <v>-0.12387404372145901</v>
      </c>
      <c r="K77">
        <v>1.030107599081518E-2</v>
      </c>
      <c r="L77">
        <v>1.944309378815765</v>
      </c>
    </row>
    <row r="78" spans="8:12" ht="15" x14ac:dyDescent="0.2">
      <c r="H78" s="400" t="s">
        <v>385</v>
      </c>
      <c r="I78">
        <v>5.0000000000000044E-4</v>
      </c>
      <c r="J78">
        <v>0.204998635603555</v>
      </c>
      <c r="K78">
        <v>-7.3103014412437516E-3</v>
      </c>
      <c r="L78">
        <v>-8.8338953150961519E-3</v>
      </c>
    </row>
    <row r="79" spans="8:12" ht="15" x14ac:dyDescent="0.2">
      <c r="H79" s="400" t="s">
        <v>386</v>
      </c>
      <c r="I79">
        <v>3.0666666666669951E-3</v>
      </c>
      <c r="J79">
        <v>-0.160827835497277</v>
      </c>
      <c r="K79">
        <v>-9.1550947300720505E-3</v>
      </c>
      <c r="L79">
        <v>-1.1492522642131291</v>
      </c>
    </row>
    <row r="80" spans="8:12" ht="15" x14ac:dyDescent="0.2">
      <c r="H80" s="400" t="s">
        <v>387</v>
      </c>
      <c r="I80">
        <v>5.7333333333329786E-3</v>
      </c>
      <c r="J80">
        <v>6.3333333333333908E-2</v>
      </c>
      <c r="K80">
        <v>1.199023787906128E-4</v>
      </c>
      <c r="L80">
        <v>8.4454085129835432E-2</v>
      </c>
    </row>
    <row r="81" spans="8:12" ht="15" x14ac:dyDescent="0.2">
      <c r="H81" s="400" t="s">
        <v>388</v>
      </c>
      <c r="I81">
        <v>4.1666666666669849E-3</v>
      </c>
      <c r="J81">
        <v>-0.22666666666666699</v>
      </c>
      <c r="K81">
        <v>-5.4142138584131775E-3</v>
      </c>
      <c r="L81">
        <v>-1.7418999003766981E-2</v>
      </c>
    </row>
    <row r="82" spans="8:12" ht="15" x14ac:dyDescent="0.2">
      <c r="H82" s="400" t="s">
        <v>389</v>
      </c>
      <c r="I82">
        <v>6.8000000000000282E-3</v>
      </c>
      <c r="J82">
        <v>-0.206666666666667</v>
      </c>
      <c r="K82">
        <v>-1.7067739278157029E-3</v>
      </c>
      <c r="L82">
        <v>-0.53874274632257346</v>
      </c>
    </row>
    <row r="83" spans="8:12" ht="15" x14ac:dyDescent="0.2">
      <c r="H83" s="400" t="s">
        <v>390</v>
      </c>
      <c r="I83">
        <v>-8.5666666666669999E-3</v>
      </c>
      <c r="J83">
        <v>-0.46</v>
      </c>
      <c r="K83">
        <v>8.2224216286421389E-3</v>
      </c>
      <c r="L83">
        <v>0.96914851416178593</v>
      </c>
    </row>
    <row r="84" spans="8:12" ht="15" x14ac:dyDescent="0.2">
      <c r="H84" s="400" t="s">
        <v>391</v>
      </c>
      <c r="I84">
        <v>-7.9633333333333001E-2</v>
      </c>
      <c r="J84">
        <v>0.14000000000000001</v>
      </c>
      <c r="K84">
        <v>-3.066892273785982E-3</v>
      </c>
      <c r="L84">
        <v>-0.9977550930007012</v>
      </c>
    </row>
    <row r="85" spans="8:12" ht="15" x14ac:dyDescent="0.2">
      <c r="H85" s="400" t="s">
        <v>392</v>
      </c>
      <c r="I85">
        <v>-6.2333333333339791E-3</v>
      </c>
      <c r="J85">
        <v>-3.3333333333333007E-2</v>
      </c>
      <c r="K85">
        <v>-2.8597644930218281E-3</v>
      </c>
      <c r="L85">
        <v>1.677238085009541</v>
      </c>
    </row>
    <row r="86" spans="8:12" ht="15" x14ac:dyDescent="0.2">
      <c r="H86" s="400" t="s">
        <v>393</v>
      </c>
      <c r="I86">
        <v>-2.5333333333330539E-3</v>
      </c>
      <c r="J86">
        <v>5.3333333333333011E-2</v>
      </c>
      <c r="K86">
        <v>5.7715503788713818E-4</v>
      </c>
      <c r="L86">
        <v>-1.9098381126024451</v>
      </c>
    </row>
    <row r="87" spans="8:12" ht="15" x14ac:dyDescent="0.2">
      <c r="H87" s="400" t="s">
        <v>394</v>
      </c>
      <c r="I87">
        <v>0.104833333333333</v>
      </c>
      <c r="J87">
        <v>-0.16666666666666599</v>
      </c>
      <c r="K87">
        <v>-7.1442096254018428E-2</v>
      </c>
      <c r="L87">
        <v>-6.2611390550340804</v>
      </c>
    </row>
    <row r="88" spans="8:12" ht="15" x14ac:dyDescent="0.2">
      <c r="H88" s="400" t="s">
        <v>395</v>
      </c>
      <c r="I88">
        <v>-0.17106666666666601</v>
      </c>
      <c r="J88">
        <v>-0.14333333333333401</v>
      </c>
      <c r="K88">
        <v>3.7295644066982589E-2</v>
      </c>
      <c r="L88">
        <v>2.2731848768205798</v>
      </c>
    </row>
    <row r="89" spans="8:12" ht="15" x14ac:dyDescent="0.2">
      <c r="H89" s="400" t="s">
        <v>396</v>
      </c>
      <c r="I89">
        <v>-5.0966666666667049E-2</v>
      </c>
      <c r="J89">
        <v>0.15668848966666701</v>
      </c>
      <c r="K89">
        <v>2.2772025927555719E-3</v>
      </c>
      <c r="L89">
        <v>-1.5066466632789319</v>
      </c>
    </row>
    <row r="90" spans="8:12" ht="15" x14ac:dyDescent="0.2">
      <c r="H90" s="400" t="s">
        <v>397</v>
      </c>
      <c r="I90">
        <v>-1.9766666666666929E-2</v>
      </c>
      <c r="J90">
        <v>0.22405262133333301</v>
      </c>
      <c r="K90">
        <v>-2.1663832346470709E-3</v>
      </c>
      <c r="L90">
        <v>1.7755965612050559</v>
      </c>
    </row>
    <row r="91" spans="8:12" ht="15" x14ac:dyDescent="0.2">
      <c r="H91" s="400" t="s">
        <v>398</v>
      </c>
      <c r="I91">
        <v>2.0666666666669942E-3</v>
      </c>
      <c r="J91">
        <v>-0.115589595666666</v>
      </c>
      <c r="K91">
        <v>9.2427726261874177E-2</v>
      </c>
      <c r="L91">
        <v>2.236351980895579</v>
      </c>
    </row>
    <row r="92" spans="8:12" ht="15" x14ac:dyDescent="0.2">
      <c r="H92" s="400" t="s">
        <v>399</v>
      </c>
      <c r="I92">
        <v>-5.3999999999999604E-3</v>
      </c>
      <c r="J92">
        <v>0.13862988833333301</v>
      </c>
      <c r="K92">
        <v>-2.523925131216672E-2</v>
      </c>
      <c r="L92">
        <v>1.0099715864981631</v>
      </c>
    </row>
    <row r="93" spans="8:12" ht="15" x14ac:dyDescent="0.2">
      <c r="H93" s="400" t="s">
        <v>400</v>
      </c>
      <c r="I93">
        <v>-2.0600000000000059E-2</v>
      </c>
      <c r="J93">
        <v>0.46146105999999998</v>
      </c>
      <c r="K93">
        <v>1.5640839591229111E-2</v>
      </c>
      <c r="L93">
        <v>0.96286762733457942</v>
      </c>
    </row>
    <row r="94" spans="8:12" ht="15" x14ac:dyDescent="0.2">
      <c r="H94" s="400" t="s">
        <v>401</v>
      </c>
      <c r="I94">
        <v>3.7399999999999989E-2</v>
      </c>
      <c r="J94">
        <v>1.0985035679999999</v>
      </c>
      <c r="K94">
        <v>1.8827055753989441E-3</v>
      </c>
      <c r="L94">
        <v>-0.4714474593078134</v>
      </c>
    </row>
    <row r="95" spans="8:12" ht="15" x14ac:dyDescent="0.2">
      <c r="H95" s="400" t="s">
        <v>402</v>
      </c>
      <c r="I95">
        <v>0.17140000000000011</v>
      </c>
      <c r="J95">
        <v>0.35278658666667018</v>
      </c>
      <c r="K95">
        <v>-8.4840386975130848E-3</v>
      </c>
      <c r="L95">
        <v>0.8994413714817826</v>
      </c>
    </row>
    <row r="96" spans="8:12" ht="15" x14ac:dyDescent="0.2">
      <c r="H96" s="400" t="s">
        <v>403</v>
      </c>
      <c r="I96">
        <v>0.83833333333333293</v>
      </c>
      <c r="J96">
        <v>0.84422655899999999</v>
      </c>
      <c r="K96">
        <v>-4.0498046221773623E-3</v>
      </c>
      <c r="L96">
        <v>0.55486389354915855</v>
      </c>
    </row>
    <row r="97" spans="8:12" ht="15" x14ac:dyDescent="0.2">
      <c r="H97" s="400" t="s">
        <v>404</v>
      </c>
      <c r="I97">
        <v>1.291399999999997</v>
      </c>
      <c r="J97">
        <v>0.13390630233333001</v>
      </c>
      <c r="K97">
        <v>-1.7208911078923278E-2</v>
      </c>
      <c r="L97">
        <v>-1.1847956578460701</v>
      </c>
    </row>
  </sheetData>
  <mergeCells count="3">
    <mergeCell ref="C1:F1"/>
    <mergeCell ref="I1:L1"/>
    <mergeCell ref="O1:R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-0.3391101166058319</v>
      </c>
      <c r="F12" s="2">
        <f>'Input data'!F13</f>
        <v>-0.3744433445451063</v>
      </c>
      <c r="G12" s="3">
        <f>'Adjust. no safeguard'!G12</f>
        <v>-0.27444334454510633</v>
      </c>
      <c r="H12" s="3">
        <f>'Adjust. no safeguard'!H12</f>
        <v>-0.17444334454510632</v>
      </c>
      <c r="I12" s="3">
        <f>'Adjust. no safeguard'!I12</f>
        <v>-7.4443344545106316E-2</v>
      </c>
      <c r="J12" s="3">
        <f>'Adjust. no safeguard'!J12</f>
        <v>2.555665545489369E-2</v>
      </c>
      <c r="K12" s="119">
        <f>'Adjust. no safeguard'!K12</f>
        <v>0.1255566554548937</v>
      </c>
      <c r="L12" s="119">
        <f>'Adjust. no safeguard'!L12</f>
        <v>0.2255566554548937</v>
      </c>
      <c r="M12" s="119">
        <f>'Adjust. no safeguard'!M12</f>
        <v>0.32555665545489371</v>
      </c>
      <c r="N12" s="119">
        <f>IF(N10&lt;=$C$6,M12+'Criteria results'!$F$6,M12)</f>
        <v>0.32555665545489371</v>
      </c>
      <c r="O12" s="119">
        <f>IF(O10&lt;=$C$6,N12+'Criteria results'!$F$6,N12)</f>
        <v>0.32555665545489371</v>
      </c>
      <c r="P12" s="119">
        <f>IF(P10&lt;=$C$6,O12+'Criteria results'!$F$6,O12)</f>
        <v>0.32555665545489371</v>
      </c>
      <c r="Q12" s="119">
        <f>IF(Q10&lt;=$C$6,P12+'Criteria results'!$F$6,P12)</f>
        <v>0.32555665545489371</v>
      </c>
      <c r="R12" s="119">
        <f>IF(R10&lt;=$C$6,Q12+'Criteria results'!$F$6,Q12)</f>
        <v>0.32555665545489371</v>
      </c>
      <c r="S12" s="119">
        <f>IF(S10&lt;=$C$6,R12+'Criteria results'!$F$6,R12)</f>
        <v>0.32555665545489371</v>
      </c>
      <c r="T12" s="119">
        <f>IF(T10&lt;=$C$6,S12+'Criteria results'!$F$6,S12)</f>
        <v>0.32555665545489371</v>
      </c>
      <c r="U12" s="119">
        <f>IF(U10&lt;=$C$6,T12+'Criteria results'!$F$6,T12)</f>
        <v>0.32555665545489371</v>
      </c>
      <c r="V12" s="119">
        <f>IF(V10&lt;=$C$6,U12+'Criteria results'!$F$6,U12)</f>
        <v>0.32555665545489371</v>
      </c>
      <c r="W12" s="119">
        <f>IF(W10&lt;=$C$6,V12+'Criteria results'!$F$6,V12)</f>
        <v>0.32555665545489371</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5.1764349999999997</v>
      </c>
      <c r="E14" s="2">
        <f>'Input data'!E15</f>
        <v>2.1420457294413482</v>
      </c>
      <c r="F14" s="2">
        <f>'Input data'!F15</f>
        <v>2.543156615765406</v>
      </c>
      <c r="G14" s="2">
        <f>'Input data'!G15</f>
        <v>1.2833361388111759</v>
      </c>
      <c r="H14" s="2">
        <f>'Input data'!H15</f>
        <v>1.726862012716794</v>
      </c>
      <c r="I14" s="2">
        <f>'Input data'!I15</f>
        <v>1.4444254457205716</v>
      </c>
      <c r="J14" s="2">
        <f>'Input data'!J15</f>
        <v>1.3768241518246929</v>
      </c>
      <c r="K14" s="2">
        <f>'Input data'!K15</f>
        <v>1.0241608740131771</v>
      </c>
      <c r="L14" s="2">
        <f>'Input data'!L15</f>
        <v>1.0623847406019649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'Baseline NFPC'!D22</f>
        <v>233.63499929652002</v>
      </c>
      <c r="E22" s="100">
        <f>'Baseline NFPC'!E22</f>
        <v>230.925987709618</v>
      </c>
      <c r="F22" s="100">
        <f>'Baseline NFPC'!F22</f>
        <v>230.41386109822847</v>
      </c>
      <c r="G22" s="34">
        <f>IF(AND(G49&gt;1,F49&gt;1),IF(AND(G49&gt;0,F49&gt;0),G26*(G50/100+1),0)+IF(G49&gt;0,F22*(1+G51/100),0)-F22*(1+'Input data'!G30/100),IF(G49=1,G26,F22*(1+G51/100)))</f>
        <v>234.46960588127945</v>
      </c>
      <c r="H22" s="34">
        <f>IF(AND(H49&gt;1,G49&gt;1),IF(AND(H49&gt;0,G49&gt;0),H26*(H50/100+1),0)+IF(H49&gt;0,G22*(1+H51/100),0)-G22*(1+'Input data'!H30/100),IF(H49=1,H26,G22*(1+H51/100)))</f>
        <v>238.67522075670908</v>
      </c>
      <c r="I22" s="34">
        <f>IF(AND(I49&gt;1,H49&gt;1),IF(AND(I49&gt;0,H49&gt;0),I26*(I50/100+1),0)+IF(I49&gt;0,H22*(1+I51/100),0)-H22*(1+'Input data'!I30/100),IF(I49=1,I26,H22*(1+I51/100)))</f>
        <v>242.26017225654377</v>
      </c>
      <c r="J22" s="34">
        <f>IF(AND(J49&gt;1,I49&gt;1),IF(AND(J49&gt;0,I49&gt;0),J26*(J50/100+1),0)+IF(J49&gt;0,I22*(1+J51/100),0)-I22*(1+'Input data'!J30/100),IF(J49=1,J26,I22*(1+J51/100)))</f>
        <v>245.43503386538961</v>
      </c>
      <c r="K22" s="34">
        <f>IF(AND(K49&gt;1,J49&gt;1),IF(AND(K49&gt;0,J49&gt;0),K26*(K50/100+1),0)+IF(K49&gt;0,J22*(1+K51/100),0)-J22*(1+'Input data'!K30/100),IF(K49=1,K26,J22*(1+K51/100)))</f>
        <v>248.34140898438642</v>
      </c>
      <c r="L22" s="34">
        <f>IF(AND(L49&gt;1,K49&gt;1),IF(AND(L49&gt;0,K49&gt;0),L26*(L50/100+1),0)+IF(L49&gt;0,K22*(1+L51/100),0)-K22*(1+'Input data'!L30/100),IF(L49=1,L26,K22*(1+L51/100)))</f>
        <v>251.07454334699847</v>
      </c>
      <c r="M22" s="34">
        <f>IF(AND(M49&gt;1,L49&gt;1),IF(AND(M49&gt;0,L49&gt;0),M26*(M50/100+1),0)+IF(M49&gt;0,L22*(1+M51/100),0)-L22*(1+'Input data'!M30/100),IF(M49=1,M26,L22*(1+M51/100)))</f>
        <v>253.69852397516036</v>
      </c>
      <c r="N22" s="34">
        <f>IF(AND(N49&gt;1,M49&gt;1),IF(AND(N49&gt;0,M49&gt;0),N26*(N50/100+1),0)+IF(N49&gt;0,M22*(1+N51/100),0)-M22*(1+'Input data'!N30/100),IF(N49=1,N26,M22*(1+N51/100)))</f>
        <v>256.44676906661505</v>
      </c>
      <c r="O22" s="34">
        <f>IF(AND(O49&gt;1,N49&gt;1),IF(AND(O49&gt;0,N49&gt;0),O26*(O50/100+1),0)+IF(O49&gt;0,N22*(1+O51/100),0)-N22*(1+'Input data'!O30/100),IF(O49=1,O26,N22*(1+O51/100)))</f>
        <v>259.22422813414181</v>
      </c>
      <c r="P22" s="34">
        <f>IF(AND(P49&gt;1,O49&gt;1),IF(AND(P49&gt;0,O49&gt;0),P26*(P50/100+1),0)+IF(P49&gt;0,O22*(1+P51/100),0)-O22*(1+'Input data'!P30/100),IF(P49=1,P26,O22*(1+P51/100)))</f>
        <v>262.0312072276696</v>
      </c>
      <c r="Q22" s="34">
        <f>IF(AND(Q49&gt;1,P49&gt;1),IF(AND(Q49&gt;0,P49&gt;0),Q26*(Q50/100+1),0)+IF(Q49&gt;0,P22*(1+Q51/100),0)-P22*(1+'Input data'!Q30/100),IF(Q49=1,Q26,P22*(1+Q51/100)))</f>
        <v>264.48142035883194</v>
      </c>
      <c r="R22" s="34">
        <f>IF(AND(R49&gt;1,Q49&gt;1),IF(AND(R49&gt;0,Q49&gt;0),R26*(R50/100+1),0)+IF(R49&gt;0,Q22*(1+R51/100),0)-Q22*(1+'Input data'!R30/100),IF(R49=1,R26,Q22*(1+R51/100)))</f>
        <v>266.95455034214859</v>
      </c>
      <c r="S22" s="34">
        <f>IF(AND(S49&gt;1,R49&gt;1),IF(AND(S49&gt;0,R49&gt;0),S26*(S50/100+1),0)+IF(S49&gt;0,R22*(1+S51/100),0)-R22*(1+'Input data'!S30/100),IF(S49=1,S26,R22*(1+S51/100)))</f>
        <v>269.4507982207432</v>
      </c>
      <c r="T22" s="34">
        <f>IF(AND(T49&gt;1,S49&gt;1),IF(AND(T49&gt;0,S49&gt;0),T26*(T50/100+1),0)+IF(T49&gt;0,S22*(1+T51/100),0)-S22*(1+'Input data'!T30/100),IF(T49=1,T26,S22*(1+T51/100)))</f>
        <v>271.97040426772412</v>
      </c>
      <c r="U22" s="34">
        <f>IF(AND(U49&gt;1,T49&gt;1),IF(AND(U49&gt;0,T49&gt;0),U26*(U50/100+1),0)+IF(U49&gt;0,T22*(1+U51/100),0)-T22*(1+'Input data'!U30/100),IF(U49=1,U26,T22*(1+U51/100)))</f>
        <v>274.51356272647968</v>
      </c>
      <c r="V22" s="34">
        <f>IF(AND(V49&gt;1,U49&gt;1),IF(AND(V49&gt;0,U49&gt;0),V26*(V50/100+1),0)+IF(V49&gt;0,U22*(1+V51/100),0)-U22*(1+'Input data'!V30/100),IF(V49=1,V26,U22*(1+V51/100)))</f>
        <v>277.08051564162838</v>
      </c>
      <c r="W22" s="34">
        <f>IF(AND(W49&gt;1,V49&gt;1),IF(AND(W49&gt;0,V49&gt;0),W26*(W50/100+1),0)+IF(W49&gt;0,V22*(1+W51/100),0)-V22*(1+'Input data'!W30/100),IF(W49=1,W26,V22*(1+W51/100)))</f>
        <v>279.67146360216714</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'Baseline NFPC'!D23</f>
        <v>1.335467</v>
      </c>
      <c r="E23" s="100">
        <f>'Baseline NFPC'!E23</f>
        <v>-1.1595058938339342</v>
      </c>
      <c r="F23" s="100">
        <f>'Baseline NFPC'!F23</f>
        <v>-0.22177088705733761</v>
      </c>
      <c r="G23" s="34">
        <f t="shared" ref="G23:T23" si="0">100*(G22/F22-1)</f>
        <v>1.7601999999999896</v>
      </c>
      <c r="H23" s="34">
        <f t="shared" si="0"/>
        <v>1.7936716614600723</v>
      </c>
      <c r="I23" s="34">
        <f t="shared" si="0"/>
        <v>1.5020208166012239</v>
      </c>
      <c r="J23" s="34">
        <f t="shared" si="0"/>
        <v>1.3105173579600171</v>
      </c>
      <c r="K23" s="34">
        <f t="shared" si="0"/>
        <v>1.184172884051593</v>
      </c>
      <c r="L23" s="34">
        <f t="shared" si="0"/>
        <v>1.1005552291055487</v>
      </c>
      <c r="M23" s="34">
        <f t="shared" si="0"/>
        <v>1.0451002292715117</v>
      </c>
      <c r="N23" s="34">
        <f t="shared" si="0"/>
        <v>1.0832720066293211</v>
      </c>
      <c r="O23" s="34">
        <f t="shared" si="0"/>
        <v>1.0830548100238646</v>
      </c>
      <c r="P23" s="34">
        <f t="shared" si="0"/>
        <v>1.0828382492377386</v>
      </c>
      <c r="Q23" s="34">
        <f t="shared" si="0"/>
        <v>0.93508447222221402</v>
      </c>
      <c r="R23" s="34">
        <f t="shared" si="0"/>
        <v>0.93508647222222407</v>
      </c>
      <c r="S23" s="34">
        <f t="shared" si="0"/>
        <v>0.9350834722222201</v>
      </c>
      <c r="T23" s="34">
        <f t="shared" si="0"/>
        <v>0.93508947222222805</v>
      </c>
      <c r="U23" s="34">
        <f>100*(U22/T22-1)</f>
        <v>0.93508647222222407</v>
      </c>
      <c r="V23" s="34">
        <f>100*(V22/U22-1)</f>
        <v>0.93509147222221589</v>
      </c>
      <c r="W23" s="34">
        <f>100*(W22/V22-1)</f>
        <v>0.93508847222221192</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ht="15" x14ac:dyDescent="0.2">
      <c r="A25" s="223"/>
      <c r="B25" s="30" t="s">
        <v>90</v>
      </c>
      <c r="C25" s="222"/>
      <c r="D25" s="222"/>
      <c r="E25" s="222"/>
      <c r="F25" s="222"/>
    </row>
    <row r="26" spans="1:50" x14ac:dyDescent="0.2">
      <c r="B26" s="26" t="s">
        <v>61</v>
      </c>
      <c r="C26" s="34">
        <f>'Input data'!C34</f>
        <v>231.15090000000001</v>
      </c>
      <c r="D26" s="100">
        <f>+C26*(1+'Input data'!D33/100)</f>
        <v>233.97713813562902</v>
      </c>
      <c r="E26" s="100">
        <f>+D26*(1+'Input data'!E33/100)</f>
        <v>236.531302768659</v>
      </c>
      <c r="F26" s="100">
        <f>+E26*(1+'Input data'!F33/100)</f>
        <v>238.74310698084875</v>
      </c>
      <c r="G26" s="34">
        <f>+F26*(1+'Input data'!G33/100)</f>
        <v>240.9755937742267</v>
      </c>
      <c r="H26" s="34">
        <f>+G26*(1+'Input data'!H33/100)</f>
        <v>243.22895655160951</v>
      </c>
      <c r="I26" s="34">
        <f>+H26*(1+'Input data'!I33/100)</f>
        <v>245.50339052432363</v>
      </c>
      <c r="J26" s="34">
        <f>+I26*(1+'Input data'!J33/100)</f>
        <v>247.79909272911661</v>
      </c>
      <c r="K26" s="34">
        <f>+J26*(1+'Input data'!K33/100)</f>
        <v>250.11626204522659</v>
      </c>
      <c r="L26" s="34">
        <f>+K26*(1+'Input data'!L33/100)</f>
        <v>252.45509921161153</v>
      </c>
      <c r="M26" s="34">
        <f>+L26*(1+'Input data'!M33/100)</f>
        <v>254.81580684433933</v>
      </c>
      <c r="N26" s="34">
        <f>+M26*(1+'Input data'!N33/100)</f>
        <v>257.1985894541408</v>
      </c>
      <c r="O26" s="34">
        <f>+N26*(1+'Input data'!O33/100)</f>
        <v>259.60365346412652</v>
      </c>
      <c r="P26" s="34">
        <f>+O26*(1+'Input data'!P33/100)</f>
        <v>262.0312072276696</v>
      </c>
      <c r="Q26" s="34">
        <f>+P26*(1+'Input data'!Q33/100)</f>
        <v>264.48146104645554</v>
      </c>
      <c r="R26" s="34">
        <f>+Q26*(1+'Input data'!R33/100)</f>
        <v>266.95462718870095</v>
      </c>
      <c r="S26" s="34">
        <f>+R26*(1+'Input data'!S33/100)</f>
        <v>269.45091990754253</v>
      </c>
      <c r="T26" s="34">
        <f>+S26*(1+'Input data'!T33/100)</f>
        <v>271.97055545959796</v>
      </c>
      <c r="U26" s="34">
        <f>+T26*(1+'Input data'!U33/100)</f>
        <v>274.51375212370067</v>
      </c>
      <c r="V26" s="34">
        <f>+U26*(1+'Input data'!V33/100)</f>
        <v>277.08073021980942</v>
      </c>
      <c r="W26" s="34">
        <f>+V26*(1+'Input data'!W33/100)</f>
        <v>279.6717121280949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100*(C22/C26-1)</f>
        <v>-0.25736434510962303</v>
      </c>
      <c r="D29" s="100">
        <f t="shared" ref="D29:T29" si="1">100*(D22/D26-1)</f>
        <v>-0.14622746557002575</v>
      </c>
      <c r="E29" s="100">
        <f t="shared" si="1"/>
        <v>-2.3697984129074534</v>
      </c>
      <c r="F29" s="100">
        <f t="shared" si="1"/>
        <v>-3.4887901007707112</v>
      </c>
      <c r="G29" s="34">
        <f t="shared" si="1"/>
        <v>-2.6998534544717345</v>
      </c>
      <c r="H29" s="34">
        <f t="shared" si="1"/>
        <v>-1.8722013445525709</v>
      </c>
      <c r="I29" s="34">
        <f t="shared" si="1"/>
        <v>-1.3210482595997108</v>
      </c>
      <c r="J29" s="34">
        <f t="shared" si="1"/>
        <v>-0.95402240488074996</v>
      </c>
      <c r="K29" s="34">
        <f t="shared" si="1"/>
        <v>-0.70961122092862983</v>
      </c>
      <c r="L29" s="34">
        <f t="shared" si="1"/>
        <v>-0.54685204177866709</v>
      </c>
      <c r="M29" s="34">
        <f t="shared" si="1"/>
        <v>-0.43846686083390818</v>
      </c>
      <c r="N29" s="34">
        <f t="shared" si="1"/>
        <v>-0.29231124055593138</v>
      </c>
      <c r="O29" s="34">
        <f t="shared" si="1"/>
        <v>-0.14615562027795459</v>
      </c>
      <c r="P29" s="34">
        <f t="shared" si="1"/>
        <v>0</v>
      </c>
      <c r="Q29" s="34">
        <f t="shared" si="1"/>
        <v>-1.5383922724598875E-5</v>
      </c>
      <c r="R29" s="34">
        <f t="shared" si="1"/>
        <v>-2.878637211933821E-5</v>
      </c>
      <c r="S29" s="34">
        <f t="shared" si="1"/>
        <v>-4.5161025752360473E-5</v>
      </c>
      <c r="T29" s="34">
        <f t="shared" si="1"/>
        <v>-5.5591265601950823E-5</v>
      </c>
      <c r="U29" s="34">
        <f>100*(U22/U26-1)</f>
        <v>-6.8993709612108489E-5</v>
      </c>
      <c r="V29" s="34">
        <f>100*(V22/V26-1)</f>
        <v>-7.7442477097733331E-5</v>
      </c>
      <c r="W29" s="34">
        <f>100*(W22/W26-1)</f>
        <v>-8.8863448455267502E-5</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2">100*((1+C23/100)*(1+C41/100)-1)</f>
        <v>5.3041963643644108</v>
      </c>
      <c r="D32" s="2">
        <f t="shared" si="2"/>
        <v>6.7911638456366497</v>
      </c>
      <c r="E32" s="2">
        <f t="shared" si="2"/>
        <v>2.6964325799547773</v>
      </c>
      <c r="F32" s="2">
        <f t="shared" si="2"/>
        <v>1.4650542597770766</v>
      </c>
      <c r="G32" s="1">
        <f t="shared" si="2"/>
        <v>3.9332641798379031</v>
      </c>
      <c r="H32" s="1">
        <f t="shared" si="2"/>
        <v>4.0201955789893606</v>
      </c>
      <c r="I32" s="1">
        <f t="shared" si="2"/>
        <v>3.7747593192035245</v>
      </c>
      <c r="J32" s="1">
        <f t="shared" si="2"/>
        <v>3.6314625033281756</v>
      </c>
      <c r="K32" s="1">
        <f t="shared" si="2"/>
        <v>3.5546527191615329</v>
      </c>
      <c r="L32" s="1">
        <f t="shared" si="2"/>
        <v>3.5214619382351264</v>
      </c>
      <c r="M32" s="1">
        <f t="shared" si="2"/>
        <v>3.5170361209442502</v>
      </c>
      <c r="N32" s="1">
        <f t="shared" si="2"/>
        <v>3.6085185817922527</v>
      </c>
      <c r="O32" s="1">
        <f t="shared" si="2"/>
        <v>3.6606727076794909</v>
      </c>
      <c r="P32" s="1">
        <f t="shared" si="2"/>
        <v>3.6326528440747685</v>
      </c>
      <c r="Q32" s="1">
        <f t="shared" si="2"/>
        <v>3.4534148298041689</v>
      </c>
      <c r="R32" s="1">
        <f t="shared" si="2"/>
        <v>3.425659730924302</v>
      </c>
      <c r="S32" s="1">
        <f t="shared" si="2"/>
        <v>3.3978995089444464</v>
      </c>
      <c r="T32" s="1">
        <f t="shared" si="2"/>
        <v>3.3701485057395786</v>
      </c>
      <c r="U32" s="1">
        <f t="shared" si="2"/>
        <v>3.3423882845847075</v>
      </c>
      <c r="V32" s="1">
        <f t="shared" si="2"/>
        <v>3.3146362536798479</v>
      </c>
      <c r="W32" s="1">
        <f t="shared" si="2"/>
        <v>3.286876033625008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H92</f>
        <v>1.9854717385163656</v>
      </c>
      <c r="I35" s="34">
        <f t="shared" ref="I35:W35" si="3">I92</f>
        <v>2.0745438140806316</v>
      </c>
      <c r="J35" s="34">
        <f t="shared" si="3"/>
        <v>2.1513437547152869</v>
      </c>
      <c r="K35" s="34">
        <f>K92</f>
        <v>2.221061078171136</v>
      </c>
      <c r="L35" s="34">
        <f t="shared" si="3"/>
        <v>2.2825617644185887</v>
      </c>
      <c r="M35" s="34">
        <f t="shared" si="3"/>
        <v>2.3409157047574327</v>
      </c>
      <c r="N35" s="34">
        <f t="shared" si="3"/>
        <v>2.5684898340026767</v>
      </c>
      <c r="O35" s="34">
        <f t="shared" si="3"/>
        <v>2.5200122405369765</v>
      </c>
      <c r="P35" s="34">
        <f t="shared" si="3"/>
        <v>2.5674297226467404</v>
      </c>
      <c r="Q35" s="34">
        <f t="shared" si="3"/>
        <v>2.6120960060401464</v>
      </c>
      <c r="R35" s="34">
        <f t="shared" si="3"/>
        <v>2.654801571780264</v>
      </c>
      <c r="S35" s="34">
        <f t="shared" si="3"/>
        <v>2.6956068004049305</v>
      </c>
      <c r="T35" s="34">
        <f t="shared" si="3"/>
        <v>2.7345402079385281</v>
      </c>
      <c r="U35" s="34">
        <f t="shared" si="3"/>
        <v>2.7716389524741611</v>
      </c>
      <c r="V35" s="34">
        <f t="shared" si="3"/>
        <v>2.8069321591225451</v>
      </c>
      <c r="W35" s="34">
        <f t="shared" si="3"/>
        <v>2.8405300315971833</v>
      </c>
    </row>
    <row r="36" spans="2:51" x14ac:dyDescent="0.2">
      <c r="B36" s="32" t="s">
        <v>94</v>
      </c>
      <c r="C36" s="1"/>
      <c r="D36" s="2">
        <f>'Input data'!D$39</f>
        <v>1.69</v>
      </c>
      <c r="E36" s="2">
        <f>'Input data'!E$39</f>
        <v>3.04</v>
      </c>
      <c r="F36" s="165">
        <f>'Input data'!F$39</f>
        <v>2.9418000000000002</v>
      </c>
      <c r="G36" s="165">
        <f>'Input data'!G$39</f>
        <v>3.0140359999999999</v>
      </c>
      <c r="H36" s="1">
        <f>G36+($O$36-$G$36)/($O$10-$G$10)</f>
        <v>3.041204</v>
      </c>
      <c r="I36" s="1">
        <f>H36+($O$36-$G$36)/($O$10-$G$10)</f>
        <v>3.0683720000000001</v>
      </c>
      <c r="J36" s="1">
        <f>I36+($O$36-$G$36)/($O$10-$G$10)</f>
        <v>3.0955400000000002</v>
      </c>
      <c r="K36" s="1">
        <f>IF('Criteria results'!$F$5=4,IF(J56&gt;90,G36+('Input data'!$C$52-$G$36)/($O$10-$G$10)*(K10-$G$10)+1+0.06*(J56-90),G36+('Input data'!$C$52-$G$36)/($O$10-$G$10)*(K10-$G$10)+1),G36+('Input data'!$C$52-$G$36)/($O$10-$G$10)*(K10-$G$10))</f>
        <v>3.1227080000000003</v>
      </c>
      <c r="L36" s="1">
        <f>$G$36+('Input data'!$C$52-$G$36)/($O$10-$G$10)*(L10-$G$10)</f>
        <v>3.1498759999999999</v>
      </c>
      <c r="M36" s="1">
        <f>$G$36+('Input data'!$C$52-$G$36)/($O$10-$G$10)*(M10-$G$10)</f>
        <v>3.177044</v>
      </c>
      <c r="N36" s="1">
        <f>IF('Criteria results'!$F$5=7,IF(M56&gt;90,G36+('Input data'!$C$52-$G$36)/($O$10-$G$10)*(N10-$G$10)+1+0.06*(M56-90),G36+('Input data'!$C$52-$G$36)/($O$10-$G$10)*(N10-$G$10)+1),G36+('Input data'!$C$52-$G$36)/($O$10-$G$10)*(N10-$G$10))</f>
        <v>4.2042120000000001</v>
      </c>
      <c r="O36" s="251">
        <f>'Baseline NFPC'!O36</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5">
        <f>'Input data'!F$38</f>
        <v>3.5642079999999998</v>
      </c>
      <c r="G37" s="165">
        <f>'Input data'!G$38</f>
        <v>2.8163749999999999</v>
      </c>
      <c r="H37" s="1">
        <f>G37+($O$37-$G$37)/($O$10-$G$10)</f>
        <v>2.8050893749999997</v>
      </c>
      <c r="I37" s="1">
        <f>H37+($O$37-$G$37)/($O$10-$G$10)</f>
        <v>2.7938037499999995</v>
      </c>
      <c r="J37" s="1">
        <f>I37+($O$37-$G$37)/($O$10-$G$10)</f>
        <v>2.7825181249999993</v>
      </c>
      <c r="K37" s="1">
        <f>IF('Criteria results'!$F$5=4,IF(J56&gt;90,G37+('Input data'!$C$53-$G$37)/($O$10-$G$10)*(K10-$G$10)+1+0.06*(J56-90),G37+('Input data'!$C$53-$G$37)/($O$10-$G$10)*(K10-$G$10)+1),G37+('Input data'!$C$53-$G$37)/($O$10-$G$10)*(K10-$G$10))</f>
        <v>2.7712325</v>
      </c>
      <c r="L37" s="1">
        <f>$G$37+('Input data'!$C$53-$G$37)/($O$10-$G$10)*(L10-$G$10)</f>
        <v>2.7599468749999998</v>
      </c>
      <c r="M37" s="1">
        <f>$G$37+('Input data'!$C$53-$G$37)/($O$10-$G$10)*(M10-$G$10)</f>
        <v>2.7486612500000001</v>
      </c>
      <c r="N37" s="1">
        <f>IF('Criteria results'!$F$5=7,IF(M56&gt;90,G37+('Input data'!$C$53-$G$37)/($O$10-$G$10)*(N10-$G$10)+1+0.06*(M56-90),G37+('Input data'!$C$53-$G$37)/($O$10-$G$10)*(N10-$G$10)+1),G37+('Input data'!$C$53-$G$37)/($O$10-$G$10)*(N10-$G$10))</f>
        <v>3.7373756250000003</v>
      </c>
      <c r="O37" s="251">
        <f>'Baseline NFPC'!O37</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99"/>
      <c r="H39" s="99"/>
      <c r="I39" s="99"/>
      <c r="J39" s="99"/>
      <c r="K39" s="99"/>
      <c r="L39" s="99"/>
      <c r="M39" s="99"/>
      <c r="N39" s="99"/>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99"/>
      <c r="H40" s="99"/>
      <c r="I40" s="99"/>
      <c r="J40" s="99"/>
      <c r="K40" s="99"/>
      <c r="L40" s="99"/>
      <c r="M40" s="99"/>
      <c r="N40" s="99"/>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3.9011728023607306</v>
      </c>
      <c r="F41" s="2">
        <f>'Input data'!F42</f>
        <v>1.6905743485635893</v>
      </c>
      <c r="G41" s="2">
        <f>'Input data'!G42</f>
        <v>2.1354755393935054</v>
      </c>
      <c r="H41" s="1">
        <f>'Baseline NFPC'!H41</f>
        <v>2.1872910969693171</v>
      </c>
      <c r="I41" s="1">
        <f>'Baseline NFPC'!I41</f>
        <v>2.2391066545451288</v>
      </c>
      <c r="J41" s="1">
        <f>'Baseline NFPC'!J41</f>
        <v>2.2909222121209409</v>
      </c>
      <c r="K41" s="1">
        <f>'Baseline NFPC'!K41</f>
        <v>2.3427377696967526</v>
      </c>
      <c r="L41" s="1">
        <f>'Baseline NFPC'!L41</f>
        <v>2.3945533272725643</v>
      </c>
      <c r="M41" s="1">
        <f>'Baseline NFPC'!M41</f>
        <v>2.4463688848483764</v>
      </c>
      <c r="N41" s="1">
        <f>'Baseline NFPC'!N41</f>
        <v>2.4981844424241881</v>
      </c>
      <c r="O41" s="251">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4</v>
      </c>
      <c r="L49" s="34">
        <f>IF(AND(ABS((L12-K12)-('Input data'!L13-'Input data'!K13))&gt;0.0001,ABS(L12-K12)&gt;0.0001,L$10&gt;$C$5),4,IF(K49=4,3,IF(K49=3,2,IF(K49=2,1,0))))</f>
        <v>4</v>
      </c>
      <c r="M49" s="34">
        <f>IF(AND(ABS((M12-L12)-('Input data'!M13-'Input data'!L13))&gt;0.0001,ABS(M12-L12)&gt;0.0001,M$10&gt;$C$5),4,IF(L49=4,3,IF(L49=3,2,IF(L49=2,1,0))))</f>
        <v>4</v>
      </c>
      <c r="N49" s="34">
        <f>IF(AND(ABS((N12-M12)-('Input data'!N13-'Input data'!M13))&gt;0.0001,ABS(N12-M12)&gt;0.0001,N$10&gt;$C$5),4,IF(M49=4,3,IF(M49=3,2,IF(M49=2,1,0))))</f>
        <v>3</v>
      </c>
      <c r="O49" s="34">
        <f>IF(AND(ABS((O12-N12)-('Input data'!O13-'Input data'!N13))&gt;0.0001,ABS(O12-N12)&gt;0.0001,O$10&gt;$C$5),4,IF(N49=4,3,IF(N49=3,2,IF(N49=2,1,0))))</f>
        <v>2</v>
      </c>
      <c r="P49" s="34">
        <f>IF(AND(ABS((P12-O12)-('Input data'!P13-'Input data'!O13))&gt;0.0001,ABS(P12-O12)&gt;0.0001,P$10&gt;$C$5),4,IF(O49=4,3,IF(O49=3,2,IF(O49=2,1,0))))</f>
        <v>1</v>
      </c>
      <c r="Q49" s="34">
        <f>IF(AND(ABS((Q12-P12)-('Input data'!Q13-'Input data'!P13))&gt;0.0001,ABS(Q12-P12)&gt;0.0001,Q$10&gt;$C$5),4,IF(P49=4,3,IF(P49=3,2,IF(P49=2,1,0))))</f>
        <v>0</v>
      </c>
      <c r="R49" s="34">
        <f>IF(AND(ABS((R12-Q12)-('Input data'!R13-'Input data'!Q13))&gt;0.0001,ABS(R12-Q12)&gt;0.0001,R$10&gt;$C$5),4,IF(Q49=4,3,IF(Q49=3,2,IF(Q49=2,1,0))))</f>
        <v>0</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4">IF(C49=4,2/3*C29,IF(C49=3,1/3*B29,0))</f>
        <v>0</v>
      </c>
      <c r="E50" s="34">
        <f t="shared" si="4"/>
        <v>0</v>
      </c>
      <c r="F50" s="34">
        <f t="shared" si="4"/>
        <v>0</v>
      </c>
      <c r="G50" s="34">
        <f t="shared" si="4"/>
        <v>0</v>
      </c>
      <c r="H50" s="34">
        <f t="shared" si="4"/>
        <v>-1.7999023029811563</v>
      </c>
      <c r="I50" s="34">
        <f t="shared" si="4"/>
        <v>-1.2481342297017139</v>
      </c>
      <c r="J50" s="34">
        <f t="shared" si="4"/>
        <v>-0.88069883973314056</v>
      </c>
      <c r="K50" s="34">
        <f t="shared" si="4"/>
        <v>-0.63601493658716657</v>
      </c>
      <c r="L50" s="34">
        <f t="shared" si="4"/>
        <v>-0.4730741472857532</v>
      </c>
      <c r="M50" s="34">
        <f t="shared" si="4"/>
        <v>-0.36456802785244469</v>
      </c>
      <c r="N50" s="34">
        <f t="shared" si="4"/>
        <v>-0.29231124055593877</v>
      </c>
      <c r="O50" s="34">
        <f t="shared" si="4"/>
        <v>-0.14615562027796938</v>
      </c>
      <c r="P50" s="34">
        <f t="shared" si="4"/>
        <v>0</v>
      </c>
      <c r="Q50" s="34">
        <f t="shared" si="4"/>
        <v>0</v>
      </c>
      <c r="R50" s="34">
        <f t="shared" si="4"/>
        <v>0</v>
      </c>
      <c r="S50" s="34">
        <f t="shared" si="4"/>
        <v>0</v>
      </c>
      <c r="T50" s="34">
        <f t="shared" si="4"/>
        <v>0</v>
      </c>
      <c r="U50" s="34">
        <f t="shared" si="4"/>
        <v>0</v>
      </c>
      <c r="V50" s="34">
        <f t="shared" si="4"/>
        <v>0</v>
      </c>
      <c r="W50" s="34">
        <f t="shared" si="4"/>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-1.1595058938339342</v>
      </c>
      <c r="F51" s="34">
        <f>'Input data'!F30-$C$46*((F12-E12)-('Input data'!F13-'Input data'!E13))</f>
        <v>-0.22177088705733761</v>
      </c>
      <c r="G51" s="34">
        <f>'Input data'!G30-$C$46*((G12-F12))</f>
        <v>1.7602</v>
      </c>
      <c r="H51" s="34">
        <f>'Input data'!H30-$C$46*((H12-G12))</f>
        <v>1.7601999999999924</v>
      </c>
      <c r="I51" s="34">
        <f>'Input data'!I30-$C$46*((I12-H12))</f>
        <v>1.7601999999999924</v>
      </c>
      <c r="J51" s="34">
        <f>'Input data'!J30-$C$46*((J12-I12))</f>
        <v>1.7601999999999924</v>
      </c>
      <c r="K51" s="34">
        <f>'Input data'!K30-$C$46*((K12-J12))</f>
        <v>0.86010000000001097</v>
      </c>
      <c r="L51" s="34">
        <f>'Input data'!L30-$C$46*((L12-K12))</f>
        <v>0.86008997222222505</v>
      </c>
      <c r="M51" s="34">
        <f>'Input data'!M30-$C$46*((M12-L12))</f>
        <v>0.86008697222222108</v>
      </c>
      <c r="N51" s="34">
        <f>'Input data'!N30-$C$46*((N12-M12))</f>
        <v>0.93508687222221276</v>
      </c>
      <c r="O51" s="34">
        <f>'Input data'!O30-$C$46*((O12-N12))</f>
        <v>0.93508597222222711</v>
      </c>
      <c r="P51" s="34">
        <f>'Input data'!P30-$C$46*((P12-O12))</f>
        <v>0.93508937222221977</v>
      </c>
      <c r="Q51" s="34">
        <f>'Input data'!Q30-$C$46*((Q12-P12))</f>
        <v>0.93508447222221402</v>
      </c>
      <c r="R51" s="34">
        <f>'Input data'!R30-$C$46*((R12-Q12))</f>
        <v>0.93508647222222407</v>
      </c>
      <c r="S51" s="34">
        <f>'Input data'!S30-$C$46*((S12-R12))</f>
        <v>0.9350834722222201</v>
      </c>
      <c r="T51" s="34">
        <f>'Input data'!T30-$C$46*((T12-S12))</f>
        <v>0.93508947222222805</v>
      </c>
      <c r="U51" s="34">
        <f>'Input data'!U30-$C$46*((U12-T12))</f>
        <v>0.93508647222222407</v>
      </c>
      <c r="V51" s="34">
        <f>'Input data'!V30-$C$46*((V12-U12))</f>
        <v>0.93509147222221589</v>
      </c>
      <c r="W51" s="34">
        <f>'Input data'!W30-$C$46*((W12-V12))</f>
        <v>0.93508847222221192</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+C56+D57</f>
        <v>73.511610584961744</v>
      </c>
      <c r="E56" s="45">
        <f t="shared" ref="E56:T56" si="5">+D56+E57</f>
        <v>76.572506382321123</v>
      </c>
      <c r="F56" s="45">
        <f>+E56+F57</f>
        <v>81.669832373893243</v>
      </c>
      <c r="G56" s="45">
        <f>+F56+G57</f>
        <v>83.193157241487697</v>
      </c>
      <c r="H56" s="45">
        <f>+G56+H57</f>
        <v>84.556754593314608</v>
      </c>
      <c r="I56" s="45">
        <f t="shared" si="5"/>
        <v>85.459120171217933</v>
      </c>
      <c r="J56" s="45">
        <f t="shared" si="5"/>
        <v>86.145056856268312</v>
      </c>
      <c r="K56" s="45">
        <f>+J56+K57</f>
        <v>86.34726643202589</v>
      </c>
      <c r="L56" s="45">
        <f t="shared" si="5"/>
        <v>86.468995590643061</v>
      </c>
      <c r="M56" s="45">
        <f t="shared" si="5"/>
        <v>86.939180456571577</v>
      </c>
      <c r="N56" s="45">
        <f t="shared" si="5"/>
        <v>87.464702047269469</v>
      </c>
      <c r="O56" s="46">
        <f t="shared" si="5"/>
        <v>87.652765585885348</v>
      </c>
      <c r="P56" s="46">
        <f>+O56+P57</f>
        <v>87.65502746154759</v>
      </c>
      <c r="Q56" s="46">
        <f t="shared" si="5"/>
        <v>87.674692866634558</v>
      </c>
      <c r="R56" s="46">
        <f t="shared" si="5"/>
        <v>87.56704083057204</v>
      </c>
      <c r="S56" s="46">
        <f t="shared" si="5"/>
        <v>87.312458612729856</v>
      </c>
      <c r="T56" s="46">
        <f t="shared" si="5"/>
        <v>86.894404458173867</v>
      </c>
      <c r="U56" s="46">
        <f>+T56+U57</f>
        <v>86.297727640047924</v>
      </c>
      <c r="V56" s="46">
        <f>+U56+V57</f>
        <v>85.522330681227032</v>
      </c>
      <c r="W56" s="46">
        <f>+V56+W57</f>
        <v>84.583599309042015</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-D58+D66+D71</f>
        <v>0.92679058496175504</v>
      </c>
      <c r="E57" s="47">
        <f t="shared" ref="E57:S57" si="6">-E58+E66+E71</f>
        <v>3.060895797359378</v>
      </c>
      <c r="F57" s="47">
        <f>-F58+F66+F71</f>
        <v>5.0973259915721227</v>
      </c>
      <c r="G57" s="47">
        <f>-G58+G66+G71</f>
        <v>1.5233248675944475</v>
      </c>
      <c r="H57" s="47">
        <f>-H58+H66+H71</f>
        <v>1.3635973518269109</v>
      </c>
      <c r="I57" s="47">
        <f t="shared" si="6"/>
        <v>0.90236557790332039</v>
      </c>
      <c r="J57" s="47">
        <f t="shared" si="6"/>
        <v>0.6859366850503813</v>
      </c>
      <c r="K57" s="47">
        <f t="shared" si="6"/>
        <v>0.2022095757575848</v>
      </c>
      <c r="L57" s="47">
        <f t="shared" si="6"/>
        <v>0.12172915861717459</v>
      </c>
      <c r="M57" s="47">
        <f t="shared" si="6"/>
        <v>0.47018486592851727</v>
      </c>
      <c r="N57" s="47">
        <f t="shared" si="6"/>
        <v>0.52552159069789361</v>
      </c>
      <c r="O57" s="47">
        <f t="shared" si="6"/>
        <v>0.18806353861587688</v>
      </c>
      <c r="P57" s="47">
        <f>-P58+P66+P71</f>
        <v>2.2618756622410086E-3</v>
      </c>
      <c r="Q57" s="47">
        <f t="shared" si="6"/>
        <v>1.96654050869709E-2</v>
      </c>
      <c r="R57" s="47">
        <f t="shared" si="6"/>
        <v>-0.10765203606251506</v>
      </c>
      <c r="S57" s="47">
        <f t="shared" si="6"/>
        <v>-0.25458221784219059</v>
      </c>
      <c r="T57" s="47">
        <f>-T58+T66+T71</f>
        <v>-0.41805415455598904</v>
      </c>
      <c r="U57" s="47">
        <f>-U58+U66+U71</f>
        <v>-0.59667681812594353</v>
      </c>
      <c r="V57" s="47">
        <f>-V58+V66+V71</f>
        <v>-0.77539695882089454</v>
      </c>
      <c r="W57" s="47">
        <f>-W58+W66+W71</f>
        <v>-0.93873137218501745</v>
      </c>
    </row>
    <row r="58" spans="2:48" outlineLevel="1" x14ac:dyDescent="0.2">
      <c r="B58" s="84" t="s">
        <v>106</v>
      </c>
      <c r="C58" s="48"/>
      <c r="D58" s="48">
        <f>D59+D60-D61-D62-D63-D64-D65</f>
        <v>0.20695241503824502</v>
      </c>
      <c r="E58" s="48">
        <f t="shared" ref="E58:S58" si="7">E59+E60-E61-E62-E63-E64-E65</f>
        <v>-1.7183327929179697</v>
      </c>
      <c r="F58" s="48">
        <f t="shared" si="7"/>
        <v>-2.4049191831936598</v>
      </c>
      <c r="G58" s="48">
        <f t="shared" si="7"/>
        <v>-1.8457580550476558</v>
      </c>
      <c r="H58" s="48">
        <f t="shared" si="7"/>
        <v>-1.2640645270747026</v>
      </c>
      <c r="I58" s="48">
        <f t="shared" si="7"/>
        <v>-0.84329343163213788</v>
      </c>
      <c r="J58" s="48">
        <f t="shared" si="7"/>
        <v>-0.52968438418570274</v>
      </c>
      <c r="K58" s="48">
        <f t="shared" si="7"/>
        <v>-0.28743707512556882</v>
      </c>
      <c r="L58" s="48">
        <f t="shared" si="7"/>
        <v>-9.271123286029051E-2</v>
      </c>
      <c r="M58" s="48">
        <f t="shared" si="7"/>
        <v>7.0368942449559158E-2</v>
      </c>
      <c r="N58" s="48">
        <f t="shared" si="7"/>
        <v>0.12791251345134225</v>
      </c>
      <c r="O58" s="48">
        <f t="shared" si="7"/>
        <v>0.2230150844531279</v>
      </c>
      <c r="P58" s="48">
        <f t="shared" si="7"/>
        <v>0.31767765545489596</v>
      </c>
      <c r="Q58" s="48">
        <f t="shared" si="7"/>
        <v>0.33578870201187261</v>
      </c>
      <c r="R58" s="48">
        <f t="shared" si="7"/>
        <v>0.36987090178631993</v>
      </c>
      <c r="S58" s="48">
        <f t="shared" si="7"/>
        <v>0.42288237173790527</v>
      </c>
      <c r="T58" s="48">
        <f>T59+T60-T61-T62-T63-T64-T65</f>
        <v>0.49163630133831343</v>
      </c>
      <c r="U58" s="48">
        <f>U59+U60-U61-U62-U63-U64-U65</f>
        <v>0.57460850111589823</v>
      </c>
      <c r="V58" s="48">
        <f>V59+V60-V61-V62-V63-V64-V65</f>
        <v>0.6565435839332241</v>
      </c>
      <c r="W58" s="48">
        <f>W59+W60-W61-W62-W63-W64-W65</f>
        <v>0.72176693692789329</v>
      </c>
    </row>
    <row r="59" spans="2:48" outlineLevel="1" x14ac:dyDescent="0.2">
      <c r="B59" s="79" t="s">
        <v>107</v>
      </c>
      <c r="C59" s="1"/>
      <c r="D59" s="1">
        <f>D12</f>
        <v>0.29205680000000001</v>
      </c>
      <c r="E59" s="1">
        <f>E12</f>
        <v>-0.3391101166058319</v>
      </c>
      <c r="F59" s="1">
        <f>F12</f>
        <v>-0.3744433445451063</v>
      </c>
      <c r="G59" s="1">
        <f t="shared" ref="G59:W59" si="8">IF(G12="",F59,G12)</f>
        <v>-0.27444334454510633</v>
      </c>
      <c r="H59" s="1">
        <f t="shared" si="8"/>
        <v>-0.17444334454510632</v>
      </c>
      <c r="I59" s="1">
        <f t="shared" si="8"/>
        <v>-7.4443344545106316E-2</v>
      </c>
      <c r="J59" s="1">
        <f t="shared" si="8"/>
        <v>2.555665545489369E-2</v>
      </c>
      <c r="K59" s="1">
        <f t="shared" si="8"/>
        <v>0.1255566554548937</v>
      </c>
      <c r="L59" s="1">
        <f t="shared" si="8"/>
        <v>0.2255566554548937</v>
      </c>
      <c r="M59" s="1">
        <f t="shared" si="8"/>
        <v>0.32555665545489371</v>
      </c>
      <c r="N59" s="1">
        <f t="shared" si="8"/>
        <v>0.32555665545489371</v>
      </c>
      <c r="O59" s="1">
        <f t="shared" si="8"/>
        <v>0.32555665545489371</v>
      </c>
      <c r="P59" s="1">
        <f t="shared" si="8"/>
        <v>0.32555665545489371</v>
      </c>
      <c r="Q59" s="1">
        <f t="shared" si="8"/>
        <v>0.32555665545489371</v>
      </c>
      <c r="R59" s="1">
        <f t="shared" si="8"/>
        <v>0.32555665545489371</v>
      </c>
      <c r="S59" s="1">
        <f t="shared" si="8"/>
        <v>0.32555665545489371</v>
      </c>
      <c r="T59" s="1">
        <f t="shared" si="8"/>
        <v>0.32555665545489371</v>
      </c>
      <c r="U59" s="1">
        <f t="shared" si="8"/>
        <v>0.32555665545489371</v>
      </c>
      <c r="V59" s="1">
        <f t="shared" si="8"/>
        <v>0.32555665545489371</v>
      </c>
      <c r="W59" s="1">
        <f t="shared" si="8"/>
        <v>0.32555665545489371</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9">-$C$47*D29</f>
        <v>8.5104384961754986E-2</v>
      </c>
      <c r="E61" s="1">
        <f t="shared" si="9"/>
        <v>1.3792226763121378</v>
      </c>
      <c r="F61" s="1">
        <f t="shared" si="9"/>
        <v>2.0304758386485537</v>
      </c>
      <c r="G61" s="1">
        <f t="shared" si="9"/>
        <v>1.5713147105025493</v>
      </c>
      <c r="H61" s="1">
        <f t="shared" si="9"/>
        <v>1.0896211825295963</v>
      </c>
      <c r="I61" s="1">
        <f t="shared" si="9"/>
        <v>0.76885008708703162</v>
      </c>
      <c r="J61" s="1">
        <f t="shared" si="9"/>
        <v>0.55524103964059646</v>
      </c>
      <c r="K61" s="1">
        <f t="shared" si="9"/>
        <v>0.41299373058046251</v>
      </c>
      <c r="L61" s="1">
        <f t="shared" si="9"/>
        <v>0.31826788831518421</v>
      </c>
      <c r="M61" s="1">
        <f t="shared" si="9"/>
        <v>0.25518771300533455</v>
      </c>
      <c r="N61" s="1">
        <f t="shared" si="9"/>
        <v>0.17012514200355205</v>
      </c>
      <c r="O61" s="1">
        <f t="shared" si="9"/>
        <v>8.506257100176956E-2</v>
      </c>
      <c r="P61" s="1">
        <f t="shared" si="9"/>
        <v>0</v>
      </c>
      <c r="Q61" s="1">
        <f t="shared" si="9"/>
        <v>8.9534430257165444E-6</v>
      </c>
      <c r="R61" s="1">
        <f t="shared" si="9"/>
        <v>1.6753668573454839E-5</v>
      </c>
      <c r="S61" s="1">
        <f t="shared" si="9"/>
        <v>2.6283716987873792E-5</v>
      </c>
      <c r="T61" s="1">
        <f t="shared" si="9"/>
        <v>3.2354116580335374E-5</v>
      </c>
      <c r="U61" s="1">
        <f t="shared" si="9"/>
        <v>4.0154338994247138E-5</v>
      </c>
      <c r="V61" s="1">
        <f t="shared" si="9"/>
        <v>4.5071521670880799E-5</v>
      </c>
      <c r="W61" s="1">
        <f t="shared" si="9"/>
        <v>5.1718527000965682E-5</v>
      </c>
    </row>
    <row r="62" spans="2:48" outlineLevel="1" x14ac:dyDescent="0.2">
      <c r="B62" s="79" t="s">
        <v>110</v>
      </c>
      <c r="C62" s="1"/>
      <c r="D62" s="1">
        <f t="shared" ref="D62:W62" si="10">-D13</f>
        <v>0</v>
      </c>
      <c r="E62" s="1">
        <f t="shared" si="10"/>
        <v>0</v>
      </c>
      <c r="F62" s="1">
        <f t="shared" si="10"/>
        <v>0</v>
      </c>
      <c r="G62" s="1">
        <f t="shared" si="10"/>
        <v>0</v>
      </c>
      <c r="H62" s="1">
        <f t="shared" si="10"/>
        <v>0</v>
      </c>
      <c r="I62" s="1">
        <f t="shared" si="10"/>
        <v>0</v>
      </c>
      <c r="J62" s="1">
        <f t="shared" si="10"/>
        <v>0</v>
      </c>
      <c r="K62" s="1">
        <f t="shared" si="10"/>
        <v>0</v>
      </c>
      <c r="L62" s="1">
        <f t="shared" si="10"/>
        <v>0</v>
      </c>
      <c r="M62" s="1">
        <f t="shared" si="10"/>
        <v>0</v>
      </c>
      <c r="N62" s="1">
        <f t="shared" si="10"/>
        <v>0</v>
      </c>
      <c r="O62" s="1">
        <f t="shared" si="10"/>
        <v>0</v>
      </c>
      <c r="P62" s="1">
        <f t="shared" si="10"/>
        <v>0</v>
      </c>
      <c r="Q62" s="1">
        <f t="shared" si="10"/>
        <v>0</v>
      </c>
      <c r="R62" s="1">
        <f t="shared" si="10"/>
        <v>0</v>
      </c>
      <c r="S62" s="1">
        <f t="shared" si="10"/>
        <v>0</v>
      </c>
      <c r="T62" s="1">
        <f t="shared" si="10"/>
        <v>0</v>
      </c>
      <c r="U62" s="1">
        <f t="shared" si="10"/>
        <v>0</v>
      </c>
      <c r="V62" s="1">
        <f t="shared" si="10"/>
        <v>0</v>
      </c>
      <c r="W62" s="1">
        <f t="shared" si="10"/>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v>
      </c>
      <c r="L63" s="1">
        <f>IF(L$55&lt;=$C$6,0,HLOOKUP(L$55,'Input data'!$C$9:$BB$26,12,FALSE)-HLOOKUP($C$6,'Input data'!$C$9:$BB$26,12,FALSE))</f>
        <v>0</v>
      </c>
      <c r="M63" s="1">
        <f>IF(M$55&lt;=$C$6,0,HLOOKUP(M$55,'Input data'!$C$9:$BB$26,12,FALSE)-HLOOKUP($C$6,'Input data'!$C$9:$BB$26,12,FALSE))</f>
        <v>0</v>
      </c>
      <c r="N63" s="1">
        <f>IF(N$55&lt;=$C$6,0,HLOOKUP(N$55,'Input data'!$C$9:$BB$26,12,FALSE)-HLOOKUP($C$6,'Input data'!$C$9:$BB$26,12,FALSE))</f>
        <v>3.416999999999959E-2</v>
      </c>
      <c r="O63" s="1">
        <f>IF(O$55&lt;=$C$6,0,HLOOKUP(O$55,'Input data'!$C$9:$BB$26,12,FALSE)-HLOOKUP($C$6,'Input data'!$C$9:$BB$26,12,FALSE))</f>
        <v>3.0779999999996477E-2</v>
      </c>
      <c r="P63" s="1">
        <f>IF(P$55&lt;=$C$6,0,HLOOKUP(P$55,'Input data'!$C$9:$BB$26,12,FALSE)-HLOOKUP($C$6,'Input data'!$C$9:$BB$26,12,FALSE))</f>
        <v>2.7829999999998023E-2</v>
      </c>
      <c r="Q63" s="1">
        <f>IF(Q$55&lt;=$C$6,0,HLOOKUP(Q$55,'Input data'!$C$9:$BB$26,12,FALSE)-HLOOKUP($C$6,'Input data'!$C$9:$BB$26,12,FALSE))</f>
        <v>1.6359999999995267E-2</v>
      </c>
      <c r="R63" s="1">
        <f>IF(R$55&lt;=$C$6,0,HLOOKUP(R$55,'Input data'!$C$9:$BB$26,12,FALSE)-HLOOKUP($C$6,'Input data'!$C$9:$BB$26,12,FALSE))</f>
        <v>-1.1079999999999757E-2</v>
      </c>
      <c r="S63" s="1">
        <f>IF(S$55&lt;=$C$6,0,HLOOKUP(S$55,'Input data'!$C$9:$BB$26,12,FALSE)-HLOOKUP($C$6,'Input data'!$C$9:$BB$26,12,FALSE))</f>
        <v>-5.7449999999999335E-2</v>
      </c>
      <c r="T63" s="1">
        <f>IF(T$55&lt;=$C$6,0,HLOOKUP(T$55,'Input data'!$C$9:$BB$26,12,FALSE)-HLOOKUP($C$6,'Input data'!$C$9:$BB$26,12,FALSE))</f>
        <v>-0.11955999999999989</v>
      </c>
      <c r="U63" s="1">
        <f>IF(U$55&lt;=$C$6,0,HLOOKUP(U$55,'Input data'!$C$9:$BB$26,12,FALSE)-HLOOKUP($C$6,'Input data'!$C$9:$BB$26,12,FALSE))</f>
        <v>-0.19588999999999857</v>
      </c>
      <c r="V63" s="1">
        <f>IF(V$55&lt;=$C$6,0,HLOOKUP(V$55,'Input data'!$C$9:$BB$26,12,FALSE)-HLOOKUP($C$6,'Input data'!$C$9:$BB$26,12,FALSE))</f>
        <v>-0.27118000000000109</v>
      </c>
      <c r="W63" s="1">
        <f>IF(W$55&lt;=$C$6,0,HLOOKUP(W$55,'Input data'!$C$9:$BB$26,12,FALSE)-HLOOKUP($C$6,'Input data'!$C$9:$BB$26,12,FALSE))</f>
        <v>-0.32976000000000028</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0</v>
      </c>
      <c r="L64" s="1">
        <f>IF(L$55&lt;=$C$6,0,-HLOOKUP(L$55,'Input data'!$C$9:$BB$26,18,FALSE)+HLOOKUP($C$6,'Input data'!$C$9:$BB$26,18,FALSE))</f>
        <v>0</v>
      </c>
      <c r="M64" s="1">
        <f>IF(M$55&lt;=$C$6,0,-HLOOKUP(M$55,'Input data'!$C$9:$BB$26,18,FALSE)+HLOOKUP($C$6,'Input data'!$C$9:$BB$26,18,FALSE))</f>
        <v>0</v>
      </c>
      <c r="N64" s="1">
        <f>IF(N$55&lt;=$C$6,0,-HLOOKUP(N$55,'Input data'!$C$9:$BB$26,18,FALSE)+HLOOKUP($C$6,'Input data'!$C$9:$BB$26,18,FALSE))</f>
        <v>-6.6510000000001845E-3</v>
      </c>
      <c r="O64" s="1">
        <f>IF(O$55&lt;=$C$6,0,-HLOOKUP(O$55,'Input data'!$C$9:$BB$26,18,FALSE)+HLOOKUP($C$6,'Input data'!$C$9:$BB$26,18,FALSE))</f>
        <v>-1.3301000000000229E-2</v>
      </c>
      <c r="P64" s="1">
        <f>IF(P$55&lt;=$C$6,0,-HLOOKUP(P$55,'Input data'!$C$9:$BB$26,18,FALSE)+HLOOKUP($C$6,'Input data'!$C$9:$BB$26,18,FALSE))</f>
        <v>-1.9951000000000274E-2</v>
      </c>
      <c r="Q64" s="1">
        <f>IF(Q$55&lt;=$C$6,0,-HLOOKUP(Q$55,'Input data'!$C$9:$BB$26,18,FALSE)+HLOOKUP($C$6,'Input data'!$C$9:$BB$26,18,FALSE))</f>
        <v>-2.6600999999999875E-2</v>
      </c>
      <c r="R64" s="1">
        <f>IF(R$55&lt;=$C$6,0,-HLOOKUP(R$55,'Input data'!$C$9:$BB$26,18,FALSE)+HLOOKUP($C$6,'Input data'!$C$9:$BB$26,18,FALSE))</f>
        <v>-3.325099999999992E-2</v>
      </c>
      <c r="S64" s="1">
        <f>IF(S$55&lt;=$C$6,0,-HLOOKUP(S$55,'Input data'!$C$9:$BB$26,18,FALSE)+HLOOKUP($C$6,'Input data'!$C$9:$BB$26,18,FALSE))</f>
        <v>-3.9902000000000104E-2</v>
      </c>
      <c r="T64" s="1">
        <f>IF(T$55&lt;=$C$6,0,-HLOOKUP(T$55,'Input data'!$C$9:$BB$26,18,FALSE)+HLOOKUP($C$6,'Input data'!$C$9:$BB$26,18,FALSE))</f>
        <v>-4.6552000000000149E-2</v>
      </c>
      <c r="U64" s="1">
        <f>IF(U$55&lt;=$C$6,0,-HLOOKUP(U$55,'Input data'!$C$9:$BB$26,18,FALSE)+HLOOKUP($C$6,'Input data'!$C$9:$BB$26,18,FALSE))</f>
        <v>-5.3202000000000194E-2</v>
      </c>
      <c r="V64" s="1">
        <f>IF(V$55&lt;=$C$6,0,-HLOOKUP(V$55,'Input data'!$C$9:$BB$26,18,FALSE)+HLOOKUP($C$6,'Input data'!$C$9:$BB$26,18,FALSE))</f>
        <v>-5.9852000000000238E-2</v>
      </c>
      <c r="W64" s="1">
        <f>IF(W$55&lt;=$C$6,0,-HLOOKUP(W$55,'Input data'!$C$9:$BB$26,18,FALSE)+HLOOKUP($C$6,'Input data'!$C$9:$BB$26,18,FALSE))</f>
        <v>-6.6502000000000283E-2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11">SUM(D67:D70)</f>
        <v>-4.0426919999999997</v>
      </c>
      <c r="E66" s="48">
        <f t="shared" si="11"/>
        <v>-0.79948272499993989</v>
      </c>
      <c r="F66" s="48">
        <f t="shared" si="11"/>
        <v>0.14925019261305703</v>
      </c>
      <c r="G66" s="48">
        <f>SUM(G67:G70)</f>
        <v>-1.6057693262643842</v>
      </c>
      <c r="H66" s="48">
        <f>SUM(H67:H70)</f>
        <v>-1.6273291879645857</v>
      </c>
      <c r="I66" s="48">
        <f t="shared" si="11"/>
        <v>-1.3853532994493891</v>
      </c>
      <c r="J66" s="48">
        <f t="shared" si="11"/>
        <v>-1.2205718509600143</v>
      </c>
      <c r="K66" s="48">
        <f t="shared" si="11"/>
        <v>-1.1093883733811611</v>
      </c>
      <c r="L66" s="48">
        <f t="shared" si="11"/>
        <v>-1.0333668148450808</v>
      </c>
      <c r="M66" s="48">
        <f t="shared" si="11"/>
        <v>-0.9824271916219236</v>
      </c>
      <c r="N66" s="48">
        <f t="shared" si="11"/>
        <v>-0.87270089585076427</v>
      </c>
      <c r="O66" s="48">
        <f t="shared" si="11"/>
        <v>-0.96244337693099524</v>
      </c>
      <c r="P66" s="48">
        <f t="shared" si="11"/>
        <v>-0.90096846888286319</v>
      </c>
      <c r="Q66" s="48">
        <f t="shared" si="11"/>
        <v>-0.71284089290115649</v>
      </c>
      <c r="R66" s="48">
        <f t="shared" si="11"/>
        <v>-0.65346213427619504</v>
      </c>
      <c r="S66" s="48">
        <f t="shared" si="11"/>
        <v>-0.59476734610428528</v>
      </c>
      <c r="T66" s="48">
        <f t="shared" si="11"/>
        <v>-0.53687185321767572</v>
      </c>
      <c r="U66" s="48">
        <f>SUM(U67:U70)</f>
        <v>-0.47990881701004517</v>
      </c>
      <c r="V66" s="48">
        <f>SUM(V67:V70)</f>
        <v>-0.42408037488767047</v>
      </c>
      <c r="W66" s="48">
        <f>SUM(W67:W70)</f>
        <v>-0.36957793525712401</v>
      </c>
    </row>
    <row r="67" spans="2:23" outlineLevel="1" x14ac:dyDescent="0.2">
      <c r="B67" s="79" t="s">
        <v>115</v>
      </c>
      <c r="C67" s="34"/>
      <c r="D67" s="34">
        <f>C56*D35/100*(1/(1+D32/100))</f>
        <v>0.57044236264340553</v>
      </c>
      <c r="E67" s="34">
        <f>D56*E35/100*(1/(1+E32/100))</f>
        <v>1.1312999524848377</v>
      </c>
      <c r="F67" s="34">
        <f>E56*F35/100*(1/(1+F32/100))</f>
        <v>1.2546443552845774</v>
      </c>
      <c r="G67" s="34">
        <f>F56*G35/100*(1/(1+G32/100))</f>
        <v>1.4848041163451184</v>
      </c>
      <c r="H67" s="34">
        <f t="shared" ref="H67:W67" si="12">G56*H35/100*(1/(1+H32/100))</f>
        <v>1.5879383962077989</v>
      </c>
      <c r="I67" s="34">
        <f t="shared" si="12"/>
        <v>1.6903599038059536</v>
      </c>
      <c r="J67" s="34">
        <f t="shared" si="12"/>
        <v>1.7740938902402197</v>
      </c>
      <c r="K67" s="34">
        <f t="shared" si="12"/>
        <v>1.8476565546426016</v>
      </c>
      <c r="L67" s="34">
        <f t="shared" si="12"/>
        <v>1.9038850990860254</v>
      </c>
      <c r="M67" s="34">
        <f t="shared" si="12"/>
        <v>1.9553943711858579</v>
      </c>
      <c r="N67" s="34">
        <f t="shared" si="12"/>
        <v>2.1552513657739971</v>
      </c>
      <c r="O67" s="34">
        <f t="shared" si="12"/>
        <v>2.1262848678938759</v>
      </c>
      <c r="P67" s="34">
        <f t="shared" si="12"/>
        <v>2.1715386942374915</v>
      </c>
      <c r="Q67" s="34">
        <f t="shared" si="12"/>
        <v>2.2132024111367001</v>
      </c>
      <c r="R67" s="34">
        <f t="shared" si="12"/>
        <v>2.250494829167605</v>
      </c>
      <c r="S67" s="34">
        <f t="shared" si="12"/>
        <v>2.2828927074462184</v>
      </c>
      <c r="T67" s="34">
        <f t="shared" si="12"/>
        <v>2.309752207787739</v>
      </c>
      <c r="U67" s="34">
        <f t="shared" si="12"/>
        <v>2.3305046471840107</v>
      </c>
      <c r="V67" s="34">
        <f t="shared" si="12"/>
        <v>2.3446035891494637</v>
      </c>
      <c r="W67" s="34">
        <f t="shared" si="12"/>
        <v>2.3519807936985644</v>
      </c>
    </row>
    <row r="68" spans="2:23" outlineLevel="1" x14ac:dyDescent="0.2">
      <c r="B68" s="79" t="s">
        <v>116</v>
      </c>
      <c r="C68" s="34"/>
      <c r="D68" s="34">
        <f t="shared" ref="D68:W68" si="13">-C56*(D23/100)*(1/(1+D32/100))</f>
        <v>-0.90770273794427436</v>
      </c>
      <c r="E68" s="34">
        <f t="shared" si="13"/>
        <v>0.82999130151990808</v>
      </c>
      <c r="F68" s="34">
        <f t="shared" si="13"/>
        <v>0.16736355968562128</v>
      </c>
      <c r="G68" s="34">
        <f t="shared" si="13"/>
        <v>-1.3831494669096829</v>
      </c>
      <c r="H68" s="34">
        <f>-G56*(H23/100)*(1/(1+H32/100))</f>
        <v>-1.4345407422170708</v>
      </c>
      <c r="I68" s="34">
        <f t="shared" si="13"/>
        <v>-1.2238622032621493</v>
      </c>
      <c r="J68" s="34">
        <f t="shared" si="13"/>
        <v>-1.0807109894524101</v>
      </c>
      <c r="K68" s="34">
        <f t="shared" si="13"/>
        <v>-0.98508988003587661</v>
      </c>
      <c r="L68" s="34">
        <f t="shared" si="13"/>
        <v>-0.91797327637658943</v>
      </c>
      <c r="M68" s="34">
        <f t="shared" si="13"/>
        <v>-0.87298449127809208</v>
      </c>
      <c r="N68" s="34">
        <f t="shared" si="13"/>
        <v>-0.90898684545470909</v>
      </c>
      <c r="O68" s="34">
        <f t="shared" si="13"/>
        <v>-0.91383804277185188</v>
      </c>
      <c r="P68" s="34">
        <f t="shared" si="13"/>
        <v>-0.91586738950582336</v>
      </c>
      <c r="Q68" s="34">
        <f t="shared" si="13"/>
        <v>-0.79228757432849317</v>
      </c>
      <c r="R68" s="34">
        <f t="shared" si="13"/>
        <v>-0.79267968383396492</v>
      </c>
      <c r="S68" s="34">
        <f t="shared" si="13"/>
        <v>-0.79191640237327032</v>
      </c>
      <c r="T68" s="34">
        <f t="shared" si="13"/>
        <v>-0.7898311265178205</v>
      </c>
      <c r="U68" s="34">
        <f t="shared" si="13"/>
        <v>-0.78625802508925857</v>
      </c>
      <c r="V68" s="34">
        <f t="shared" si="13"/>
        <v>-0.78107296424314709</v>
      </c>
      <c r="W68" s="34">
        <f t="shared" si="13"/>
        <v>-0.77426047343669169</v>
      </c>
    </row>
    <row r="69" spans="2:23" outlineLevel="1" x14ac:dyDescent="0.2">
      <c r="B69" s="79" t="s">
        <v>117</v>
      </c>
      <c r="C69" s="34"/>
      <c r="D69" s="34">
        <f t="shared" ref="D69:T69" si="14">-C56*D41/100*(1/(1+D41/100))</f>
        <v>-3.7081792093539843</v>
      </c>
      <c r="E69" s="34">
        <f t="shared" si="14"/>
        <v>-2.7601372355757476</v>
      </c>
      <c r="F69" s="34">
        <f t="shared" si="14"/>
        <v>-1.2729942369236147</v>
      </c>
      <c r="G69" s="34">
        <f t="shared" si="14"/>
        <v>-1.7075744585293433</v>
      </c>
      <c r="H69" s="34">
        <f>-G56*H41/100*(1/(1+H41/100))</f>
        <v>-1.7807268419553137</v>
      </c>
      <c r="I69" s="34">
        <f t="shared" si="14"/>
        <v>-1.8518509999931934</v>
      </c>
      <c r="J69" s="34">
        <f t="shared" si="14"/>
        <v>-1.9139547517478239</v>
      </c>
      <c r="K69" s="34">
        <f t="shared" si="14"/>
        <v>-1.971955047987886</v>
      </c>
      <c r="L69" s="34">
        <f t="shared" si="14"/>
        <v>-2.0192786375545166</v>
      </c>
      <c r="M69" s="34">
        <f t="shared" si="14"/>
        <v>-2.0648370715296895</v>
      </c>
      <c r="N69" s="34">
        <f t="shared" si="14"/>
        <v>-2.1189654161700524</v>
      </c>
      <c r="O69" s="34">
        <f t="shared" si="14"/>
        <v>-2.1748902020530192</v>
      </c>
      <c r="P69" s="34">
        <f t="shared" si="14"/>
        <v>-2.1566397736145313</v>
      </c>
      <c r="Q69" s="34">
        <f t="shared" si="14"/>
        <v>-2.1337557297093634</v>
      </c>
      <c r="R69" s="34">
        <f t="shared" si="14"/>
        <v>-2.1112772796098351</v>
      </c>
      <c r="S69" s="34">
        <f>-R56*S41/100*(1/(1+S41/100))</f>
        <v>-2.0857436511772334</v>
      </c>
      <c r="T69" s="34">
        <f t="shared" si="14"/>
        <v>-2.0567929344875941</v>
      </c>
      <c r="U69" s="34">
        <f>-T56*U41/100*(1/(1+U41/100))</f>
        <v>-2.0241554391047973</v>
      </c>
      <c r="V69" s="34">
        <f>-U56*V41/100*(1/(1+V41/100))</f>
        <v>-1.987610999793987</v>
      </c>
      <c r="W69" s="34">
        <f>-V56*W41/100*(1/(1+W41/100))</f>
        <v>-1.9472982555189968</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2.1420457294413482</v>
      </c>
      <c r="F71" s="50">
        <f>'Input data'!F16</f>
        <v>2.543156615765406</v>
      </c>
      <c r="G71" s="50">
        <f>'Input data'!G16</f>
        <v>1.2833361388111759</v>
      </c>
      <c r="H71" s="50">
        <f>'Input data'!H16</f>
        <v>1.726862012716794</v>
      </c>
      <c r="I71" s="50">
        <f>'Input data'!I16</f>
        <v>1.4444254457205716</v>
      </c>
      <c r="J71" s="50">
        <f>'Input data'!J16</f>
        <v>1.3768241518246929</v>
      </c>
      <c r="K71" s="50">
        <f>'Input data'!K16</f>
        <v>1.0241608740131771</v>
      </c>
      <c r="L71" s="50">
        <f>'Input data'!L16</f>
        <v>1.0623847406019649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15">D14</f>
        <v>5.1764349999999997</v>
      </c>
      <c r="E72" s="34">
        <f t="shared" si="15"/>
        <v>2.1420457294413482</v>
      </c>
      <c r="F72" s="34">
        <f t="shared" si="15"/>
        <v>2.543156615765406</v>
      </c>
      <c r="G72" s="34">
        <f t="shared" si="15"/>
        <v>1.2833361388111759</v>
      </c>
      <c r="H72" s="34">
        <f t="shared" si="15"/>
        <v>1.726862012716794</v>
      </c>
      <c r="I72" s="34">
        <f t="shared" si="15"/>
        <v>1.4444254457205716</v>
      </c>
      <c r="J72" s="34">
        <f t="shared" si="15"/>
        <v>1.3768241518246929</v>
      </c>
      <c r="K72" s="34">
        <f t="shared" si="15"/>
        <v>1.0241608740131771</v>
      </c>
      <c r="L72" s="34">
        <f t="shared" si="15"/>
        <v>1.0623847406019649</v>
      </c>
      <c r="M72" s="34">
        <f t="shared" si="15"/>
        <v>1.5229809999999999</v>
      </c>
      <c r="N72" s="34">
        <f t="shared" si="15"/>
        <v>1.526135</v>
      </c>
      <c r="O72" s="34">
        <f t="shared" si="15"/>
        <v>1.3735219999999999</v>
      </c>
      <c r="P72" s="34">
        <f t="shared" si="15"/>
        <v>1.2209080000000001</v>
      </c>
      <c r="Q72" s="34">
        <f t="shared" si="15"/>
        <v>1.068295</v>
      </c>
      <c r="R72" s="34">
        <f t="shared" si="15"/>
        <v>0.91568099999999997</v>
      </c>
      <c r="S72" s="34">
        <f t="shared" si="15"/>
        <v>0.76306750000000001</v>
      </c>
      <c r="T72" s="34">
        <f t="shared" si="15"/>
        <v>0.61045400000000005</v>
      </c>
      <c r="U72" s="34">
        <f t="shared" si="15"/>
        <v>0.45784049999999998</v>
      </c>
      <c r="V72" s="34">
        <f t="shared" si="15"/>
        <v>0.30522700000000003</v>
      </c>
      <c r="W72" s="34">
        <f t="shared" si="15"/>
        <v>0.15261350000000001</v>
      </c>
    </row>
    <row r="73" spans="2:23" outlineLevel="1" x14ac:dyDescent="0.2">
      <c r="B73" s="89" t="s">
        <v>121</v>
      </c>
      <c r="C73" s="49"/>
      <c r="D73" s="49">
        <f>+D71-D72</f>
        <v>0</v>
      </c>
      <c r="E73" s="49">
        <f t="shared" ref="E73:T73" si="16">+E71-E72</f>
        <v>0</v>
      </c>
      <c r="F73" s="49">
        <f t="shared" si="16"/>
        <v>0</v>
      </c>
      <c r="G73" s="49">
        <f t="shared" si="16"/>
        <v>0</v>
      </c>
      <c r="H73" s="49">
        <f t="shared" si="16"/>
        <v>0</v>
      </c>
      <c r="I73" s="49">
        <f t="shared" si="16"/>
        <v>0</v>
      </c>
      <c r="J73" s="49">
        <f t="shared" si="16"/>
        <v>0</v>
      </c>
      <c r="K73" s="49">
        <f t="shared" si="16"/>
        <v>0</v>
      </c>
      <c r="L73" s="49">
        <f t="shared" si="16"/>
        <v>0</v>
      </c>
      <c r="M73" s="49">
        <f t="shared" si="16"/>
        <v>0</v>
      </c>
      <c r="N73" s="49">
        <f t="shared" si="16"/>
        <v>0</v>
      </c>
      <c r="O73" s="49">
        <f t="shared" si="16"/>
        <v>0</v>
      </c>
      <c r="P73" s="49">
        <f t="shared" si="16"/>
        <v>0</v>
      </c>
      <c r="Q73" s="49">
        <f t="shared" si="16"/>
        <v>0</v>
      </c>
      <c r="R73" s="49">
        <f t="shared" si="16"/>
        <v>0</v>
      </c>
      <c r="S73" s="49">
        <f t="shared" si="16"/>
        <v>0</v>
      </c>
      <c r="T73" s="49">
        <f t="shared" si="16"/>
        <v>0</v>
      </c>
      <c r="U73" s="49">
        <f>+U71-U72</f>
        <v>0</v>
      </c>
      <c r="V73" s="49">
        <f>+V71-V72</f>
        <v>0</v>
      </c>
      <c r="W73" s="49">
        <f>+W71-W72</f>
        <v>0</v>
      </c>
    </row>
    <row r="74" spans="2:23" outlineLevel="1" x14ac:dyDescent="0.2">
      <c r="B74" s="79"/>
      <c r="C74" s="34"/>
      <c r="D74" s="34"/>
      <c r="E74" s="34"/>
      <c r="F74" s="34"/>
      <c r="G74" s="34"/>
      <c r="H74" s="34"/>
      <c r="I74" s="34"/>
      <c r="J74" s="34"/>
      <c r="K74" s="34"/>
      <c r="L74" s="34"/>
      <c r="M74" s="34"/>
      <c r="N74" s="34"/>
      <c r="O74" s="34"/>
      <c r="P74" s="34"/>
      <c r="Q74" s="34"/>
      <c r="R74" s="34"/>
      <c r="S74" s="34"/>
      <c r="T74" s="34"/>
      <c r="U74" s="34"/>
      <c r="V74" s="34"/>
      <c r="W74" s="34"/>
    </row>
    <row r="75" spans="2:23" x14ac:dyDescent="0.2">
      <c r="B75" s="51" t="s">
        <v>187</v>
      </c>
      <c r="C75" s="51"/>
      <c r="D75" s="51"/>
      <c r="E75" s="51"/>
      <c r="F75" s="51"/>
      <c r="G75" s="51"/>
      <c r="H75" s="51"/>
      <c r="I75" s="51"/>
      <c r="J75" s="51"/>
      <c r="K75" s="51">
        <f t="shared" ref="K75:W75" si="17">IF(K56&lt;J56,0,1)</f>
        <v>1</v>
      </c>
      <c r="L75" s="51">
        <f t="shared" si="17"/>
        <v>1</v>
      </c>
      <c r="M75" s="51">
        <f t="shared" si="17"/>
        <v>1</v>
      </c>
      <c r="N75" s="51">
        <f t="shared" si="17"/>
        <v>1</v>
      </c>
      <c r="O75" s="51">
        <f t="shared" si="17"/>
        <v>1</v>
      </c>
      <c r="P75" s="51">
        <f t="shared" si="17"/>
        <v>1</v>
      </c>
      <c r="Q75" s="51">
        <f t="shared" si="17"/>
        <v>1</v>
      </c>
      <c r="R75" s="51">
        <f t="shared" si="17"/>
        <v>0</v>
      </c>
      <c r="S75" s="51">
        <f t="shared" si="17"/>
        <v>0</v>
      </c>
      <c r="T75" s="51">
        <f t="shared" si="17"/>
        <v>0</v>
      </c>
      <c r="U75" s="51">
        <f t="shared" si="17"/>
        <v>0</v>
      </c>
      <c r="V75" s="51">
        <f t="shared" si="17"/>
        <v>0</v>
      </c>
      <c r="W75" s="51">
        <f t="shared" si="17"/>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111">
        <f>IF((E83-D83*E42/((1+E23/100)*(1+E41/100)))&gt;0,1,0)</f>
        <v>1</v>
      </c>
      <c r="F79" s="111">
        <f>IF((F83-E83*F42/((1+F23/100)*(1+F41/100)))&gt;0,1,0)</f>
        <v>1</v>
      </c>
      <c r="G79" s="111">
        <f>IF((G83-F83*G42/((1+G23/100)*(1+G41/100)))&gt;0,1,0)</f>
        <v>1</v>
      </c>
      <c r="H79" s="111">
        <f t="shared" ref="H79:W79" si="18">IF((H83-G83*H42/((1+H23/100)*(1+H41/100)))&gt;0,1,0)</f>
        <v>1</v>
      </c>
      <c r="I79" s="111">
        <f t="shared" si="18"/>
        <v>1</v>
      </c>
      <c r="J79" s="111">
        <f t="shared" si="18"/>
        <v>1</v>
      </c>
      <c r="K79" s="111">
        <f t="shared" si="18"/>
        <v>1</v>
      </c>
      <c r="L79" s="111">
        <f t="shared" si="18"/>
        <v>1</v>
      </c>
      <c r="M79" s="111">
        <f t="shared" si="18"/>
        <v>1</v>
      </c>
      <c r="N79" s="111">
        <f t="shared" si="18"/>
        <v>1</v>
      </c>
      <c r="O79" s="111">
        <f t="shared" si="18"/>
        <v>1</v>
      </c>
      <c r="P79" s="111">
        <f t="shared" si="18"/>
        <v>1</v>
      </c>
      <c r="Q79" s="111">
        <f t="shared" si="18"/>
        <v>1</v>
      </c>
      <c r="R79" s="111">
        <f t="shared" si="18"/>
        <v>1</v>
      </c>
      <c r="S79" s="111">
        <f t="shared" si="18"/>
        <v>1</v>
      </c>
      <c r="T79" s="111">
        <f t="shared" si="18"/>
        <v>1</v>
      </c>
      <c r="U79" s="111">
        <f t="shared" si="18"/>
        <v>1</v>
      </c>
      <c r="V79" s="111">
        <f t="shared" si="18"/>
        <v>1</v>
      </c>
      <c r="W79" s="111">
        <f t="shared" si="18"/>
        <v>1</v>
      </c>
    </row>
    <row r="80" spans="2:23" x14ac:dyDescent="0.2">
      <c r="B80" s="26" t="s">
        <v>126</v>
      </c>
      <c r="E80" s="111">
        <f>IF(AND(E79=0,ABS(E83-D83*E42/((1+E23/100)*(1+E41/100)))&lt;((D89*D83*E42/((1+E23/100)*(1+E41/100))+(E38*D83*D90*E42/((1+E23/100)*(1+E41/100)))))),1,0)</f>
        <v>0</v>
      </c>
      <c r="F80" s="111">
        <f>IF(AND(F79=0,ABS(F83-E83*F42/((1+F23/100)*(1+F41/100)))&lt;((E89*E83*F42/((1+F23/100)*(1+F41/100))+(F38*E83*E90*F42/((1+F23/100)*(1+F41/100)))))),1,0)</f>
        <v>0</v>
      </c>
      <c r="G80" s="111">
        <f>IF(AND(G79=0,ABS(G83-F83*G42/((1+G23/100)*(1+G41/100)))&lt;((F89*F83*G42/((1+G23/100)*(1+G41/100))+(G38*F83*F90*G42/((1+G23/100)*(1+G41/100)))))),1,0)</f>
        <v>0</v>
      </c>
      <c r="H80" s="111">
        <f t="shared" ref="H80:W80" si="19">IF(AND(H79=0,ABS(H83-G83*H42/((1+H23/100)*(1+H41/100)))&lt;((G89*G83*H42/((1+H23/100)*(1+H41/100))+(H38*G83*G90*H42/((1+H23/100)*(1+H41/100)))))),1,0)</f>
        <v>0</v>
      </c>
      <c r="I80" s="111">
        <f t="shared" si="19"/>
        <v>0</v>
      </c>
      <c r="J80" s="111">
        <f t="shared" si="19"/>
        <v>0</v>
      </c>
      <c r="K80" s="111">
        <f t="shared" si="19"/>
        <v>0</v>
      </c>
      <c r="L80" s="111">
        <f t="shared" si="19"/>
        <v>0</v>
      </c>
      <c r="M80" s="111">
        <f t="shared" si="19"/>
        <v>0</v>
      </c>
      <c r="N80" s="111">
        <f t="shared" si="19"/>
        <v>0</v>
      </c>
      <c r="O80" s="111">
        <f t="shared" si="19"/>
        <v>0</v>
      </c>
      <c r="P80" s="111">
        <f t="shared" si="19"/>
        <v>0</v>
      </c>
      <c r="Q80" s="111">
        <f t="shared" si="19"/>
        <v>0</v>
      </c>
      <c r="R80" s="111">
        <f t="shared" si="19"/>
        <v>0</v>
      </c>
      <c r="S80" s="111">
        <f t="shared" si="19"/>
        <v>0</v>
      </c>
      <c r="T80" s="111">
        <f t="shared" si="19"/>
        <v>0</v>
      </c>
      <c r="U80" s="111">
        <f t="shared" si="19"/>
        <v>0</v>
      </c>
      <c r="V80" s="111">
        <f t="shared" si="19"/>
        <v>0</v>
      </c>
      <c r="W80" s="111">
        <f t="shared" si="19"/>
        <v>0</v>
      </c>
    </row>
    <row r="82" spans="2:23"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3" x14ac:dyDescent="0.2">
      <c r="B83" s="106" t="s">
        <v>104</v>
      </c>
      <c r="C83" s="110">
        <f>C56</f>
        <v>72.584819999999993</v>
      </c>
      <c r="D83" s="110">
        <f>D56</f>
        <v>73.511610584961744</v>
      </c>
      <c r="E83" s="110">
        <f>E56</f>
        <v>76.572506382321123</v>
      </c>
      <c r="F83" s="110">
        <f>F56</f>
        <v>81.669832373893243</v>
      </c>
      <c r="G83" s="110">
        <f>G56</f>
        <v>83.193157241487697</v>
      </c>
      <c r="H83" s="110">
        <f>G83*(1+H97/100)*H42-H59-H60+H61+H62+H63+H64+H65+H71</f>
        <v>84.556754593314622</v>
      </c>
      <c r="I83" s="110">
        <f t="shared" ref="I83:T83" si="20">H83*(1+I97/100)*I42-I59-I60+I61+I62+I63+I64+I65+I71</f>
        <v>85.459120171217933</v>
      </c>
      <c r="J83" s="110">
        <f t="shared" si="20"/>
        <v>86.145056856268297</v>
      </c>
      <c r="K83" s="110">
        <f t="shared" si="20"/>
        <v>86.347266432025876</v>
      </c>
      <c r="L83" s="110">
        <f t="shared" si="20"/>
        <v>86.468995590643075</v>
      </c>
      <c r="M83" s="110">
        <f t="shared" si="20"/>
        <v>86.93918045657162</v>
      </c>
      <c r="N83" s="110">
        <f t="shared" si="20"/>
        <v>87.464702047269526</v>
      </c>
      <c r="O83" s="110">
        <f t="shared" si="20"/>
        <v>87.652765585885376</v>
      </c>
      <c r="P83" s="110">
        <f t="shared" si="20"/>
        <v>87.655027461547604</v>
      </c>
      <c r="Q83" s="110">
        <f t="shared" si="20"/>
        <v>87.674692866634587</v>
      </c>
      <c r="R83" s="110">
        <f t="shared" si="20"/>
        <v>87.567040830572068</v>
      </c>
      <c r="S83" s="110">
        <f t="shared" si="20"/>
        <v>87.312458612729884</v>
      </c>
      <c r="T83" s="110">
        <f t="shared" si="20"/>
        <v>86.894404458173923</v>
      </c>
      <c r="U83" s="110">
        <f>T83*(1+U97/100)*U42-U59-U60+U61+U62+U63+U64+U65+U71</f>
        <v>86.297727640048009</v>
      </c>
      <c r="V83" s="110">
        <f>U83*(1+V97/100)*V42-V59-V60+V61+V62+V63+V64+V65+V71</f>
        <v>85.522330681227132</v>
      </c>
      <c r="W83" s="110">
        <f>V83*(1+W97/100)*W42-W59-W60+W61+W62+W63+W64+W65+W71</f>
        <v>84.5835993090421</v>
      </c>
    </row>
    <row r="84" spans="2:23" x14ac:dyDescent="0.2">
      <c r="B84" s="26" t="s">
        <v>127</v>
      </c>
      <c r="C84" s="34"/>
      <c r="D84" s="253">
        <f>'Input data'!C66*$D$83</f>
        <v>59.051128502792025</v>
      </c>
      <c r="E84" s="34">
        <f>IF(E83=0,0,IF(E79=1,D83*E42/((1+E23/100)*(1+E41/100))-E85-E86,IF(AND(E79=0,E80=1),(1-D89-E38*D90)*D83*E42/((1+E23/100)*(1+E41/100)),E83)))</f>
        <v>61.999403317237508</v>
      </c>
      <c r="F84" s="34">
        <f>IF(F83=0,0,IF(F79=1,E83*F42/((1+F23/100)*(1+F41/100))-F85-F86,IF(AND(F79=0,F80=1),(1-E89-F38*E90)*E83*F42/((1+F23/100)*(1+F41/100)),F83)))</f>
        <v>65.885197792321179</v>
      </c>
      <c r="G84" s="34">
        <f>IF(G83=0,0,IF(G79=1,F83*G42/((1+G23/100)*(1+G41/100))-G85-G86,IF(AND(G79=0,G80=1),(1-F89-G38*F90)*F83*G42/((1+G23/100)*(1+G41/100)),G83)))</f>
        <v>68.491860558301511</v>
      </c>
      <c r="H84" s="34">
        <f t="shared" ref="H84:W84" si="21">IF(H83=0,0,IF(H79=1,G83*H42/((1+H23/100)*(1+H41/100))-H85-H86,IF(AND(H79=0,H80=1),(1-G89-H38*G90)*G83*H42/((1+H23/100)*(1+H41/100)),H83)))</f>
        <v>69.616543929920013</v>
      </c>
      <c r="I84" s="34">
        <f t="shared" si="21"/>
        <v>70.838950702893456</v>
      </c>
      <c r="J84" s="34">
        <f t="shared" si="21"/>
        <v>71.61382888404755</v>
      </c>
      <c r="K84" s="34">
        <f t="shared" si="21"/>
        <v>72.165206073980471</v>
      </c>
      <c r="L84" s="34">
        <f t="shared" si="21"/>
        <v>72.285431300798592</v>
      </c>
      <c r="M84" s="34">
        <f t="shared" si="21"/>
        <v>72.319486453767439</v>
      </c>
      <c r="N84" s="34">
        <f t="shared" si="21"/>
        <v>72.575888011633324</v>
      </c>
      <c r="O84" s="34">
        <f t="shared" si="21"/>
        <v>72.90493160303194</v>
      </c>
      <c r="P84" s="34">
        <f t="shared" si="21"/>
        <v>73.062179894764313</v>
      </c>
      <c r="Q84" s="34">
        <f t="shared" si="21"/>
        <v>73.173221987544323</v>
      </c>
      <c r="R84" s="34">
        <f t="shared" si="21"/>
        <v>73.193162193871899</v>
      </c>
      <c r="S84" s="34">
        <f t="shared" si="21"/>
        <v>73.10812845288126</v>
      </c>
      <c r="T84" s="34">
        <f t="shared" si="21"/>
        <v>72.901718040546385</v>
      </c>
      <c r="U84" s="34">
        <f t="shared" si="21"/>
        <v>72.560084744405515</v>
      </c>
      <c r="V84" s="34">
        <f t="shared" si="21"/>
        <v>72.070498821918278</v>
      </c>
      <c r="W84" s="34">
        <f t="shared" si="21"/>
        <v>71.432745853851543</v>
      </c>
    </row>
    <row r="85" spans="2:23" x14ac:dyDescent="0.2">
      <c r="B85" s="105" t="s">
        <v>128</v>
      </c>
      <c r="C85" s="34"/>
      <c r="D85" s="253">
        <f>'Input data'!C67*$D$83</f>
        <v>2.5660693694891989</v>
      </c>
      <c r="E85" s="34">
        <f>IF(E83=0,0,IF(E79=1,E38*D83*D90*E42/((1+E23/100)*(1+E41/100)),IF(AND(E79=0,E80=1),(E38*D83*D90*E42/((1+E23/100)*(1+E41/100)))*(1-ABS(E83-D83*E42/((1+E23/100)*(1+E41/100)))/((E38*D83*D90*E42/((1+E23/100)*(1+E41/100)))+(D89*D83*E42/((1+E23/100)*(1+E41/100))))),0)))</f>
        <v>2.5449751617705147</v>
      </c>
      <c r="F85" s="34">
        <f>IF(F83=0,0,IF(F79=1,F38*E83*E90*F42/((1+F23/100)*(1+F41/100)),IF(AND(F79=0,F80=1),(F38*E83*E90*F42/((1+F23/100)*(1+F41/100)))*(1-ABS(F83-E83*F42/((1+F23/100)*(1+F41/100)))/((F38*E83*E90*F42/((1+F23/100)*(1+F41/100)))+(E89*E83*F42/((1+F23/100)*(1+F41/100))))),0)))</f>
        <v>2.1622470266405025</v>
      </c>
      <c r="G85" s="34">
        <f>IF(G83=0,0,IF(G79=1,G38*F83*F90*G42/((1+G23/100)*(1+G41/100)),IF(AND(G79=0,G80=1),(G38*F83*F90*G42/((1+G23/100)*(1+G41/100)))*(1-ABS(G83-F83*G42/((1+G23/100)*(1+G41/100)))/((G38*F83*F90*G42/((1+G23/100)*(1+G41/100)))+(F89*F83*G42/((1+G23/100)*(1+G41/100))))),0)))</f>
        <v>2.2971345903114284</v>
      </c>
      <c r="H85" s="34">
        <f t="shared" ref="H85:W85" si="22">IF(H83=0,0,IF(H79=1,H38*G83*G90*H42/((1+H23/100)*(1+H41/100)),IF(AND(H79=0,H80=1),(H38*G83*G90*H42/((1+H23/100)*(1+H41/100)))*(1-ABS(H83-G83*H42/((1+H23/100)*(1+H41/100)))/((H38*G83*G90*H42/((1+H23/100)*(1+H41/100)))+(G89*G83*H42/((1+H23/100)*(1+H41/100))))),0)))</f>
        <v>2.3850763937322847</v>
      </c>
      <c r="I85" s="34">
        <f t="shared" si="22"/>
        <v>2.4781307961320023</v>
      </c>
      <c r="J85" s="34">
        <f t="shared" si="22"/>
        <v>2.557044656257784</v>
      </c>
      <c r="K85" s="34">
        <f t="shared" si="22"/>
        <v>2.6290106512498208</v>
      </c>
      <c r="L85" s="34">
        <f t="shared" si="22"/>
        <v>2.6858294215076675</v>
      </c>
      <c r="M85" s="34">
        <f t="shared" si="22"/>
        <v>2.7396318821662429</v>
      </c>
      <c r="N85" s="34">
        <f t="shared" si="22"/>
        <v>2.8021422614542328</v>
      </c>
      <c r="O85" s="34">
        <f t="shared" si="22"/>
        <v>2.8679576362441646</v>
      </c>
      <c r="P85" s="34">
        <f t="shared" si="22"/>
        <v>2.8741435200951475</v>
      </c>
      <c r="Q85" s="34">
        <f t="shared" si="22"/>
        <v>2.8785117296377747</v>
      </c>
      <c r="R85" s="34">
        <f t="shared" si="22"/>
        <v>2.8792961438844933</v>
      </c>
      <c r="S85" s="34">
        <f t="shared" si="22"/>
        <v>2.8759510592454953</v>
      </c>
      <c r="T85" s="34">
        <f t="shared" si="22"/>
        <v>2.8678312200900389</v>
      </c>
      <c r="U85" s="34">
        <f t="shared" si="22"/>
        <v>2.8543919396611455</v>
      </c>
      <c r="V85" s="34">
        <f t="shared" si="22"/>
        <v>2.835132451254514</v>
      </c>
      <c r="W85" s="34">
        <f t="shared" si="22"/>
        <v>2.8100443199774201</v>
      </c>
    </row>
    <row r="86" spans="2:23" x14ac:dyDescent="0.2">
      <c r="B86" s="105" t="s">
        <v>129</v>
      </c>
      <c r="C86" s="34"/>
      <c r="D86" s="253">
        <f>'Input data'!C68*$D$83</f>
        <v>6.679115961728173</v>
      </c>
      <c r="E86" s="34">
        <f>IF(E83=0,0,IF(E79=1,(1-D90)*D83*E42/((1+E23/100)*(1+E41/100)),IF(AND(E79=0,E80=1),(D89*D83*E42/((1+E23/100)*(1+E41/100)))*(1-ABS(E83-D83*E42/((1+E23/100)*(1+E41/100)))/((E38*D83*D90*E42/((1+E23/100)*(1+E41/100)))+(D89*D83*E42/((1+E23/100)*(1+E41/100))))),0)))</f>
        <v>6.9964135836832329</v>
      </c>
      <c r="F86" s="34">
        <f>IF(F83=0,0,IF(F79=1,(1-E90)*E83*F42/((1+F23/100)*(1+F41/100)),IF(AND(F79=0,F80=1),(E89*E83*F42/((1+F23/100)*(1+F41/100)))*(1-ABS(F83-E83*F42/((1+F23/100)*(1+F41/100)))/((F38*E83*E90*F42/((1+F23/100)*(1+F41/100)))+(E89*E83*F42/((1+F23/100)*(1+F41/100))))),0)))</f>
        <v>7.4338450593811274</v>
      </c>
      <c r="G86" s="34">
        <f>IF(G83=0,0,IF(G79=1,(1-F90)*F83*G42/((1+G23/100)*(1+G41/100)),IF(AND(G79=0,G80=1),(F89*F83*G42/((1+G23/100)*(1+G41/100)))*(1-ABS(G83-F83*G42/((1+G23/100)*(1+G41/100)))/((G38*F83*F90*G42/((1+G23/100)*(1+G41/100)))+(F89*F83*G42/((1+G23/100)*(1+G41/100))))),0)))</f>
        <v>7.7981283689030221</v>
      </c>
      <c r="H86" s="34">
        <f t="shared" ref="H86:W86" si="23">IF(H83=0,0,IF(H79=1,(1-G90)*G83*H42/((1+H23/100)*(1+H41/100)),IF(AND(H79=0,H80=1),(G89*G83*H42/((1+H23/100)*(1+H41/100)))*(1-ABS(H83-G83*H42/((1+H23/100)*(1+H41/100)))/((H38*G83*G90*H42/((1+H23/100)*(1+H41/100)))+(G89*G83*H42/((1+H23/100)*(1+H41/100))))),0)))</f>
        <v>7.9762693336630104</v>
      </c>
      <c r="I86" s="34">
        <f t="shared" si="23"/>
        <v>8.1639598910338105</v>
      </c>
      <c r="J86" s="34">
        <f t="shared" si="23"/>
        <v>8.2935808897123628</v>
      </c>
      <c r="K86" s="34">
        <f t="shared" si="23"/>
        <v>8.3937952030142498</v>
      </c>
      <c r="L86" s="34">
        <f t="shared" si="23"/>
        <v>8.4387537957885215</v>
      </c>
      <c r="M86" s="34">
        <f t="shared" si="23"/>
        <v>8.4720556919016232</v>
      </c>
      <c r="N86" s="34">
        <f t="shared" si="23"/>
        <v>8.5331979218592942</v>
      </c>
      <c r="O86" s="34">
        <f t="shared" si="23"/>
        <v>8.6030845631685278</v>
      </c>
      <c r="P86" s="34">
        <f t="shared" si="23"/>
        <v>8.6439350079055544</v>
      </c>
      <c r="Q86" s="34">
        <f t="shared" si="23"/>
        <v>8.6772504403276365</v>
      </c>
      <c r="R86" s="34">
        <f t="shared" si="23"/>
        <v>8.6982775654344024</v>
      </c>
      <c r="S86" s="34">
        <f t="shared" si="23"/>
        <v>8.7053012648947945</v>
      </c>
      <c r="T86" s="34">
        <f t="shared" si="23"/>
        <v>8.6962852910880581</v>
      </c>
      <c r="U86" s="34">
        <f t="shared" si="23"/>
        <v>8.669514309913227</v>
      </c>
      <c r="V86" s="34">
        <f t="shared" si="23"/>
        <v>8.6234124028380794</v>
      </c>
      <c r="W86" s="34">
        <f t="shared" si="23"/>
        <v>8.557981778442457</v>
      </c>
    </row>
    <row r="87" spans="2:23" x14ac:dyDescent="0.2">
      <c r="B87" s="105" t="s">
        <v>130</v>
      </c>
      <c r="C87" s="34"/>
      <c r="D87" s="253">
        <f>'Input data'!C69*$D$83</f>
        <v>4.7052606775120811</v>
      </c>
      <c r="E87" s="34">
        <f>IF(E83=0,0,IF(E79=1,'Input data'!$C$58*(E83-D83*E42/((1+E23/100)*(1+E41/100))),0))</f>
        <v>4.4868133712998963</v>
      </c>
      <c r="F87" s="34">
        <f>IF(F83=0,0,IF(F79=1,'Input data'!$C$58*(F83-E83*F42/((1+F23/100)*(1+F41/100))),0))</f>
        <v>5.5183648065170443</v>
      </c>
      <c r="G87" s="34">
        <f>IF(G83=0,0,IF(G79=1,'Input data'!$C$58*(G83-F83*G42/((1+G23/100)*(1+G41/100))),0))</f>
        <v>4.1072311320915462</v>
      </c>
      <c r="H87" s="34">
        <f>IF(H83=0,0,IF(H79=1,'Input data'!$C$58*(H83-G83*H42/((1+H23/100)*(1+H41/100))),0))</f>
        <v>4.0830045418256518</v>
      </c>
      <c r="I87" s="34">
        <f>IF(I83=0,0,IF(I79=1,'Input data'!$C$58*(I83-H83*I42/((1+I23/100)*(1+I41/100))),0))</f>
        <v>3.5472795022870089</v>
      </c>
      <c r="J87" s="34">
        <f>IF(J83=0,0,IF(J79=1,'Input data'!$C$58*(J83-I83*J42/((1+J23/100)*(1+J41/100))),0))</f>
        <v>3.2820178435239171</v>
      </c>
      <c r="K87" s="34">
        <f>IF(K83=0,0,IF(K79=1,'Input data'!$C$58*(K83-J83*K42/((1+K23/100)*(1+K41/100))),0))</f>
        <v>2.8171284080269969</v>
      </c>
      <c r="L87" s="34">
        <f>IF(L83=0,0,IF(L79=1,'Input data'!$C$58*(L83-K83*L42/((1+L23/100)*(1+L41/100))),0))</f>
        <v>2.7277139175645106</v>
      </c>
      <c r="M87" s="34">
        <f>IF(M83=0,0,IF(M79=1,'Input data'!$C$58*(M83-L83*M42/((1+M23/100)*(1+M41/100))),0))</f>
        <v>3.038942166147244</v>
      </c>
      <c r="N87" s="34">
        <f>IF(N83=0,0,IF(N79=1,'Input data'!$C$58*(N83-M83*N42/((1+N23/100)*(1+N41/100))),0))</f>
        <v>3.1686564423909336</v>
      </c>
      <c r="O87" s="34">
        <f>IF(O83=0,0,IF(O79=1,'Input data'!$C$58*(O83-N83*O42/((1+O23/100)*(1+O41/100))),0))</f>
        <v>2.9219371877990592</v>
      </c>
      <c r="P87" s="34">
        <f>IF(P83=0,0,IF(P79=1,'Input data'!$C$58*(P83-O83*P42/((1+P23/100)*(1+P41/100))),0))</f>
        <v>2.7417921528349964</v>
      </c>
      <c r="Q87" s="34">
        <f>IF(Q83=0,0,IF(Q79=1,'Input data'!$C$58*(Q83-P83*Q42/((1+Q23/100)*(1+Q41/100))),0))</f>
        <v>2.6267081921749744</v>
      </c>
      <c r="R87" s="34">
        <f>IF(R83=0,0,IF(R79=1,'Input data'!$C$58*(R83-Q83*R42/((1+R23/100)*(1+R41/100))),0))</f>
        <v>2.4934838389888929</v>
      </c>
      <c r="S87" s="34">
        <f>IF(S83=0,0,IF(S79=1,'Input data'!$C$58*(S83-R83*S42/((1+S23/100)*(1+S41/100))),0))</f>
        <v>2.3390160807226166</v>
      </c>
      <c r="T87" s="34">
        <f>IF(T83=0,0,IF(T79=1,'Input data'!$C$58*(T83-S83*T42/((1+T23/100)*(1+T41/100))),0))</f>
        <v>2.1655720569993382</v>
      </c>
      <c r="U87" s="34">
        <f>IF(U83=0,0,IF(U79=1,'Input data'!$C$58*(U83-T83*U42/((1+U23/100)*(1+U41/100))),0))</f>
        <v>1.9740037993344781</v>
      </c>
      <c r="V87" s="34">
        <f>IF(V83=0,0,IF(V79=1,'Input data'!$C$58*(V83-U83*V42/((1+V23/100)*(1+V41/100))),0))</f>
        <v>1.7774273775742739</v>
      </c>
      <c r="W87" s="34">
        <f>IF(W83=0,0,IF(W79=1,'Input data'!$C$58*(W83-V83*W42/((1+W23/100)*(1+W41/100))),0))</f>
        <v>1.5897590989757071</v>
      </c>
    </row>
    <row r="88" spans="2:23" x14ac:dyDescent="0.2">
      <c r="B88" s="107" t="s">
        <v>131</v>
      </c>
      <c r="C88" s="49"/>
      <c r="D88" s="254">
        <f>'Input data'!C70*$D$83</f>
        <v>0.51003587344023849</v>
      </c>
      <c r="E88" s="49">
        <f>IF(E83=0,0,IF(E79=1,'Input data'!$C$57*(E83-D83*E42/((1+E23/100)*(1+E41/100))),0))</f>
        <v>0.54490094832997338</v>
      </c>
      <c r="F88" s="49">
        <f>IF(F83=0,0,IF(F79=1,'Input data'!$C$57*(F83-E83*F42/((1+F23/100)*(1+F41/100))),0))</f>
        <v>0.67017768903339203</v>
      </c>
      <c r="G88" s="49">
        <f>IF(G83=0,0,IF(G79=1,'Input data'!$C$57*(G83-F83*G42/((1+G23/100)*(1+G41/100))),0))</f>
        <v>0.49880259188018816</v>
      </c>
      <c r="H88" s="49">
        <f>IF(H83=0,0,IF(H79=1,'Input data'!$C$57*(H83-G83*H42/((1+H23/100)*(1+H41/100))),0))</f>
        <v>0.49586039417365363</v>
      </c>
      <c r="I88" s="49">
        <f>IF(I83=0,0,IF(I79=1,'Input data'!$C$57*(I83-H83*I42/((1+I23/100)*(1+I41/100))),0))</f>
        <v>0.43079927887164887</v>
      </c>
      <c r="J88" s="49">
        <f>IF(J83=0,0,IF(J79=1,'Input data'!$C$57*(J83-I83*J42/((1+J23/100)*(1+J41/100))),0))</f>
        <v>0.39858458272668423</v>
      </c>
      <c r="K88" s="49">
        <f>IF(K83=0,0,IF(K79=1,'Input data'!$C$57*(K83-J83*K42/((1+K23/100)*(1+K41/100))),0))</f>
        <v>0.34212609575434388</v>
      </c>
      <c r="L88" s="49">
        <f>IF(L83=0,0,IF(L79=1,'Input data'!$C$57*(L83-K83*L42/((1+L23/100)*(1+L41/100))),0))</f>
        <v>0.3312671549837955</v>
      </c>
      <c r="M88" s="49">
        <f>IF(M83=0,0,IF(M79=1,'Input data'!$C$57*(M83-L83*M42/((1+M23/100)*(1+M41/100))),0))</f>
        <v>0.36906426258907027</v>
      </c>
      <c r="N88" s="49">
        <f>IF(N83=0,0,IF(N79=1,'Input data'!$C$57*(N83-M83*N42/((1+N23/100)*(1+N41/100))),0))</f>
        <v>0.38481740993173436</v>
      </c>
      <c r="O88" s="49">
        <f>IF(O83=0,0,IF(O79=1,'Input data'!$C$57*(O83-N83*O42/((1+O23/100)*(1+O41/100))),0))</f>
        <v>0.35485459564168337</v>
      </c>
      <c r="P88" s="49">
        <f>IF(P83=0,0,IF(P79=1,'Input data'!$C$57*(P83-O83*P42/((1+P23/100)*(1+P41/100))),0))</f>
        <v>0.33297688594759478</v>
      </c>
      <c r="Q88" s="49">
        <f>IF(Q83=0,0,IF(Q79=1,'Input data'!$C$57*(Q83-P83*Q42/((1+Q23/100)*(1+Q41/100))),0))</f>
        <v>0.31900051694986947</v>
      </c>
      <c r="R88" s="49">
        <f>IF(R83=0,0,IF(R79=1,'Input data'!$C$57*(R83-Q83*R42/((1+R23/100)*(1+R41/100))),0))</f>
        <v>0.30282108839237826</v>
      </c>
      <c r="S88" s="49">
        <f>IF(S83=0,0,IF(S79=1,'Input data'!$C$57*(S83-R83*S42/((1+S23/100)*(1+S41/100))),0))</f>
        <v>0.28406175498571284</v>
      </c>
      <c r="T88" s="49">
        <f>IF(T83=0,0,IF(T79=1,'Input data'!$C$57*(T83-S83*T42/((1+T23/100)*(1+T41/100))),0))</f>
        <v>0.26299784945010107</v>
      </c>
      <c r="U88" s="49">
        <f>IF(U83=0,0,IF(U79=1,'Input data'!$C$57*(U83-T83*U42/((1+U23/100)*(1+U41/100))),0))</f>
        <v>0.23973284673364958</v>
      </c>
      <c r="V88" s="49">
        <f>IF(V83=0,0,IF(V79=1,'Input data'!$C$57*(V83-U83*V42/((1+V23/100)*(1+V41/100))),0))</f>
        <v>0.21585962764198599</v>
      </c>
      <c r="W88" s="49">
        <f>IF(W83=0,0,IF(W79=1,'Input data'!$C$57*(W83-V83*W42/((1+W23/100)*(1+W41/100))),0))</f>
        <v>0.19306825779497444</v>
      </c>
    </row>
    <row r="89" spans="2:23" x14ac:dyDescent="0.2">
      <c r="B89" s="26" t="s">
        <v>73</v>
      </c>
      <c r="C89" s="36"/>
      <c r="D89" s="259">
        <f>'Baseline NFPC'!$D$93</f>
        <v>9.7796141283269952E-2</v>
      </c>
      <c r="E89" s="36">
        <f>IF(E83&lt;&gt;0,(E86+E88)/(E84+E85+E86+E87+E88),0)</f>
        <v>9.8485930372449279E-2</v>
      </c>
      <c r="F89" s="36">
        <f>IF(F83&lt;&gt;0,(F86+F88)/(F84+F85+F86+F87+F88),0)</f>
        <v>9.9229085120604091E-2</v>
      </c>
      <c r="G89" s="36">
        <f>IF(G83&lt;&gt;0,(G86+G88)/(G84+G85+G86+G87+G88),0)</f>
        <v>9.9730930233834239E-2</v>
      </c>
      <c r="H89" s="36">
        <f>IF(H83&lt;&gt;0,(H86+H88)/(H84+H85+H86+H87+H88),0)</f>
        <v>0.10019459437137036</v>
      </c>
      <c r="I89" s="36">
        <f t="shared" ref="I89:W89" si="24">IF(I83&lt;&gt;0,(I86+I88)/(I84+I85+I86+I87+I88),0)</f>
        <v>0.1005715850184954</v>
      </c>
      <c r="J89" s="36">
        <f t="shared" si="24"/>
        <v>0.10090150020960334</v>
      </c>
      <c r="K89" s="36">
        <f t="shared" si="24"/>
        <v>0.10117194972982345</v>
      </c>
      <c r="L89" s="36">
        <f t="shared" si="24"/>
        <v>0.10142387905476412</v>
      </c>
      <c r="M89" s="36">
        <f t="shared" si="24"/>
        <v>0.10169315960951648</v>
      </c>
      <c r="N89" s="36">
        <f t="shared" si="24"/>
        <v>0.10196130693924237</v>
      </c>
      <c r="O89" s="36">
        <f t="shared" si="24"/>
        <v>0.10219802078044983</v>
      </c>
      <c r="P89" s="36">
        <f t="shared" si="24"/>
        <v>0.10241183140112675</v>
      </c>
      <c r="Q89" s="36">
        <f t="shared" si="24"/>
        <v>0.10260943794764192</v>
      </c>
      <c r="R89" s="36">
        <f t="shared" si="24"/>
        <v>0.10279094244194499</v>
      </c>
      <c r="S89" s="36">
        <f t="shared" si="24"/>
        <v>0.1029562465965182</v>
      </c>
      <c r="T89" s="36">
        <f t="shared" si="24"/>
        <v>0.10310540933450617</v>
      </c>
      <c r="U89" s="36">
        <f t="shared" si="24"/>
        <v>0.10323849074923244</v>
      </c>
      <c r="V89" s="36">
        <f t="shared" si="24"/>
        <v>0.1033563042549349</v>
      </c>
      <c r="W89" s="36">
        <f t="shared" si="24"/>
        <v>0.10346036474829859</v>
      </c>
    </row>
    <row r="90" spans="2:23" x14ac:dyDescent="0.2">
      <c r="B90" s="35" t="s">
        <v>74</v>
      </c>
      <c r="C90" s="108"/>
      <c r="D90" s="260">
        <f>'Baseline NFPC'!$D$94</f>
        <v>0.90220385626214106</v>
      </c>
      <c r="E90" s="108">
        <f>IF(E83&lt;&gt;0,(E84+E85+E87)/(E84+E85+E86+E87+E88),1)</f>
        <v>0.90151406962755076</v>
      </c>
      <c r="F90" s="108">
        <f>IF(F83&lt;&gt;0,(F84+F85+F87)/(F84+F85+F86+F87+F88),1)</f>
        <v>0.90077091487939587</v>
      </c>
      <c r="G90" s="108">
        <f>IF(G83&lt;&gt;0,(G84+G85+G87)/(G84+G85+G86+G87+G88),1)</f>
        <v>0.90026906976616572</v>
      </c>
      <c r="H90" s="108">
        <f>IF(H83&lt;&gt;0,(H84+H85+H87)/(H84+H85+H86+H87+H88),1)</f>
        <v>0.89980540562862987</v>
      </c>
      <c r="I90" s="108">
        <f t="shared" ref="I90:W90" si="25">IF(I83&lt;&gt;0,(I84+I85+I87)/(I84+I85+I86+I87+I88),1)</f>
        <v>0.89942841498150461</v>
      </c>
      <c r="J90" s="108">
        <f t="shared" si="25"/>
        <v>0.89909849979039669</v>
      </c>
      <c r="K90" s="108">
        <f t="shared" si="25"/>
        <v>0.89882805027017665</v>
      </c>
      <c r="L90" s="108">
        <f t="shared" si="25"/>
        <v>0.89857612094523587</v>
      </c>
      <c r="M90" s="108">
        <f t="shared" si="25"/>
        <v>0.89830684039048347</v>
      </c>
      <c r="N90" s="108">
        <f t="shared" si="25"/>
        <v>0.89803869306075768</v>
      </c>
      <c r="O90" s="108">
        <f t="shared" si="25"/>
        <v>0.89780197921955018</v>
      </c>
      <c r="P90" s="108">
        <f t="shared" si="25"/>
        <v>0.89758816859887314</v>
      </c>
      <c r="Q90" s="108">
        <f t="shared" si="25"/>
        <v>0.89739056205235801</v>
      </c>
      <c r="R90" s="108">
        <f t="shared" si="25"/>
        <v>0.89720905755805491</v>
      </c>
      <c r="S90" s="108">
        <f t="shared" si="25"/>
        <v>0.89704375340348175</v>
      </c>
      <c r="T90" s="108">
        <f t="shared" si="25"/>
        <v>0.89689459066549382</v>
      </c>
      <c r="U90" s="108">
        <f t="shared" si="25"/>
        <v>0.89676150925076759</v>
      </c>
      <c r="V90" s="108">
        <f t="shared" si="25"/>
        <v>0.89664369574506497</v>
      </c>
      <c r="W90" s="108">
        <f t="shared" si="25"/>
        <v>0.89653963525170144</v>
      </c>
    </row>
    <row r="92" spans="2:23" x14ac:dyDescent="0.2">
      <c r="B92" s="113" t="s">
        <v>132</v>
      </c>
      <c r="C92" s="113"/>
      <c r="D92" s="113"/>
      <c r="E92" s="115">
        <f>E94+E95</f>
        <v>1.5804370000000001</v>
      </c>
      <c r="F92" s="115">
        <f>F94+F95</f>
        <v>1.6625099999999997</v>
      </c>
      <c r="G92" s="115">
        <f>G94+G95</f>
        <v>1.8895660000000001</v>
      </c>
      <c r="H92" s="115">
        <f t="shared" ref="H92:W92" si="26">H94+H95</f>
        <v>1.9854717385163656</v>
      </c>
      <c r="I92" s="115">
        <f t="shared" si="26"/>
        <v>2.0745438140806316</v>
      </c>
      <c r="J92" s="115">
        <f>J94+J95</f>
        <v>2.1513437547152869</v>
      </c>
      <c r="K92" s="115">
        <f t="shared" si="26"/>
        <v>2.221061078171136</v>
      </c>
      <c r="L92" s="115">
        <f t="shared" si="26"/>
        <v>2.2825617644185887</v>
      </c>
      <c r="M92" s="115">
        <f t="shared" si="26"/>
        <v>2.3409157047574327</v>
      </c>
      <c r="N92" s="115">
        <f t="shared" si="26"/>
        <v>2.5684898340026767</v>
      </c>
      <c r="O92" s="115">
        <f t="shared" si="26"/>
        <v>2.5200122405369765</v>
      </c>
      <c r="P92" s="115">
        <f t="shared" si="26"/>
        <v>2.5674297226467404</v>
      </c>
      <c r="Q92" s="115">
        <f t="shared" si="26"/>
        <v>2.6120960060401464</v>
      </c>
      <c r="R92" s="115">
        <f t="shared" si="26"/>
        <v>2.654801571780264</v>
      </c>
      <c r="S92" s="115">
        <f t="shared" si="26"/>
        <v>2.6956068004049305</v>
      </c>
      <c r="T92" s="115">
        <f t="shared" si="26"/>
        <v>2.7345402079385281</v>
      </c>
      <c r="U92" s="115">
        <f t="shared" si="26"/>
        <v>2.7716389524741611</v>
      </c>
      <c r="V92" s="115">
        <f t="shared" si="26"/>
        <v>2.8069321591225451</v>
      </c>
      <c r="W92" s="115">
        <f t="shared" si="26"/>
        <v>2.8405300315971833</v>
      </c>
    </row>
    <row r="93" spans="2:23" x14ac:dyDescent="0.2">
      <c r="B93" s="33" t="s">
        <v>133</v>
      </c>
      <c r="C93" s="97"/>
      <c r="D93" s="97"/>
      <c r="E93" s="265">
        <f>((E35*D83)-(E37*(D86+D88)))/(D84+D85+D87)</f>
        <v>1.3799500275570342</v>
      </c>
      <c r="F93" s="265">
        <f>((F35*E83)-(F37*(E86+E88)))/(E84+E85+E87)</f>
        <v>1.4547589474903004</v>
      </c>
      <c r="G93" s="265">
        <f>((G35*F83)-(G37*(F86+F88)))/(F84+F85+F87)</f>
        <v>1.7874685547645983</v>
      </c>
      <c r="H93" s="34">
        <f t="shared" ref="H93:W93" si="27">IF(G83&gt;0,(G93*G84+H36*(G87+G85))/(G84+G85+G87),H36)</f>
        <v>1.8946752954665109</v>
      </c>
      <c r="I93" s="34">
        <f t="shared" si="27"/>
        <v>1.9944532110722271</v>
      </c>
      <c r="J93" s="34">
        <f t="shared" si="27"/>
        <v>2.0807675912483039</v>
      </c>
      <c r="K93" s="34">
        <f t="shared" si="27"/>
        <v>2.1593179856757927</v>
      </c>
      <c r="L93" s="34">
        <f t="shared" si="27"/>
        <v>2.228827368395911</v>
      </c>
      <c r="M93" s="34">
        <f t="shared" si="27"/>
        <v>2.294892742537717</v>
      </c>
      <c r="N93" s="34">
        <f t="shared" si="27"/>
        <v>2.4361656837629697</v>
      </c>
      <c r="O93" s="34">
        <f t="shared" si="27"/>
        <v>2.4966146321172924</v>
      </c>
      <c r="P93" s="34">
        <f t="shared" si="27"/>
        <v>2.5535017980419998</v>
      </c>
      <c r="Q93" s="34">
        <f t="shared" si="27"/>
        <v>2.6073741155649532</v>
      </c>
      <c r="R93" s="34">
        <f t="shared" si="27"/>
        <v>2.6591036980019656</v>
      </c>
      <c r="S93" s="34">
        <f t="shared" si="27"/>
        <v>2.7087516724558331</v>
      </c>
      <c r="T93" s="34">
        <f t="shared" si="27"/>
        <v>2.7563439124857356</v>
      </c>
      <c r="U93" s="34">
        <f t="shared" si="27"/>
        <v>2.8019161842373324</v>
      </c>
      <c r="V93" s="34">
        <f t="shared" si="27"/>
        <v>2.845495561601151</v>
      </c>
      <c r="W93" s="34">
        <f t="shared" si="27"/>
        <v>2.887200175497004</v>
      </c>
    </row>
    <row r="94" spans="2:23" x14ac:dyDescent="0.2">
      <c r="B94" s="26" t="s">
        <v>134</v>
      </c>
      <c r="C94" s="97"/>
      <c r="D94" s="97"/>
      <c r="E94" s="34">
        <f>(E93*(D84+D85+D87)+E37*(D86+D88))/D83</f>
        <v>1.5804370000000001</v>
      </c>
      <c r="F94" s="34">
        <f>(F93*(E84+E85+E87)+F37*(E86+E88))/E83</f>
        <v>1.6625099999999997</v>
      </c>
      <c r="G94" s="34">
        <f>(G93*(F84+F85+F87)+G37*(F86+F88))/F83</f>
        <v>1.8895660000000001</v>
      </c>
      <c r="H94" s="34">
        <f t="shared" ref="H94:W94" si="28">(H93*(G84+G85+G87)+H37*(G86+G88))/G83</f>
        <v>1.9854717385163656</v>
      </c>
      <c r="I94" s="34">
        <f t="shared" si="28"/>
        <v>2.0745438140806316</v>
      </c>
      <c r="J94" s="34">
        <f>(J93*(I84+I85+I87)+J37*(I86+I88))/I83</f>
        <v>2.1513437547152869</v>
      </c>
      <c r="K94" s="34">
        <f>(K93*(J84+J85+J87)+K37*(J86+J88))/J83</f>
        <v>2.221061078171136</v>
      </c>
      <c r="L94" s="34">
        <f t="shared" si="28"/>
        <v>2.2825617644185887</v>
      </c>
      <c r="M94" s="34">
        <f t="shared" si="28"/>
        <v>2.3409157047574327</v>
      </c>
      <c r="N94" s="34">
        <f t="shared" si="28"/>
        <v>2.5684898340026767</v>
      </c>
      <c r="O94" s="34">
        <f t="shared" si="28"/>
        <v>2.5200122405369765</v>
      </c>
      <c r="P94" s="34">
        <f t="shared" si="28"/>
        <v>2.5674297226467404</v>
      </c>
      <c r="Q94" s="34">
        <f t="shared" si="28"/>
        <v>2.6120960060401464</v>
      </c>
      <c r="R94" s="34">
        <f t="shared" si="28"/>
        <v>2.654801571780264</v>
      </c>
      <c r="S94" s="34">
        <f t="shared" si="28"/>
        <v>2.6956068004049305</v>
      </c>
      <c r="T94" s="34">
        <f t="shared" si="28"/>
        <v>2.7345402079385281</v>
      </c>
      <c r="U94" s="97">
        <f t="shared" si="28"/>
        <v>2.7716389524741611</v>
      </c>
      <c r="V94" s="97">
        <f t="shared" si="28"/>
        <v>2.8069321591225451</v>
      </c>
      <c r="W94" s="97">
        <f t="shared" si="28"/>
        <v>2.8405300315971833</v>
      </c>
    </row>
    <row r="95" spans="2:23" x14ac:dyDescent="0.2">
      <c r="B95" s="35" t="s">
        <v>135</v>
      </c>
      <c r="C95" s="35"/>
      <c r="D95" s="35"/>
      <c r="E95" s="49">
        <f>IF('Criteria results'!$F$5=4,E104,E109)</f>
        <v>0</v>
      </c>
      <c r="F95" s="49">
        <f>IF('Criteria results'!$F$5=4,F104,F109)</f>
        <v>0</v>
      </c>
      <c r="G95" s="49">
        <f>IF('Criteria results'!$F$5=4,G104,G109)</f>
        <v>0</v>
      </c>
      <c r="H95" s="49">
        <f>IF('Criteria results'!$F$5=4,H104,H109)</f>
        <v>0</v>
      </c>
      <c r="I95" s="49">
        <f>IF('Criteria results'!$F$5=4,I104,I109)</f>
        <v>0</v>
      </c>
      <c r="J95" s="49">
        <f>IF('Criteria results'!$F$5=4,J104,J109)</f>
        <v>0</v>
      </c>
      <c r="K95" s="49">
        <f>IF('Criteria results'!$F$5=4,K104,K109)</f>
        <v>0</v>
      </c>
      <c r="L95" s="49">
        <f>IF('Criteria results'!$F$5=4,L104,L109)</f>
        <v>0</v>
      </c>
      <c r="M95" s="49">
        <f>IF('Criteria results'!$F$5=4,M104,M109)</f>
        <v>0</v>
      </c>
      <c r="N95" s="49">
        <f>IF('Criteria results'!$F$5=4,N104,N109)</f>
        <v>0</v>
      </c>
      <c r="O95" s="49">
        <f>IF('Criteria results'!$F$5=4,O104,O109)</f>
        <v>0</v>
      </c>
      <c r="P95" s="49">
        <f>IF('Criteria results'!$F$5=4,P104,P109)</f>
        <v>0</v>
      </c>
      <c r="Q95" s="49">
        <f>IF('Criteria results'!$F$5=4,Q104,Q109)</f>
        <v>0</v>
      </c>
      <c r="R95" s="49">
        <f>IF('Criteria results'!$F$5=4,R104,R109)</f>
        <v>0</v>
      </c>
      <c r="S95" s="49">
        <f>IF('Criteria results'!$F$5=4,S104,S109)</f>
        <v>0</v>
      </c>
      <c r="T95" s="49">
        <f>IF('Criteria results'!$F$5=4,T104,T109)</f>
        <v>0</v>
      </c>
      <c r="U95" s="49">
        <f>IF('Criteria results'!$F$5=4,U104,U109)</f>
        <v>0</v>
      </c>
      <c r="V95" s="49">
        <f>IF('Criteria results'!$F$5=4,V104,V109)</f>
        <v>0</v>
      </c>
      <c r="W95" s="49">
        <f>IF('Criteria results'!$F$5=4,W104,W109)</f>
        <v>0</v>
      </c>
    </row>
    <row r="97" spans="1:54" x14ac:dyDescent="0.2">
      <c r="B97" s="113" t="s">
        <v>186</v>
      </c>
      <c r="C97" s="115">
        <f t="shared" ref="C97:T97" si="29">((1+C92/100)/((1+C23/100)*(1+C41/100))-1)*100</f>
        <v>-5.0370227849337539</v>
      </c>
      <c r="D97" s="115">
        <f t="shared" si="29"/>
        <v>-6.3592937852546161</v>
      </c>
      <c r="E97" s="115">
        <f>((1+E92/100)/((1+E23/100)*(1+E41/100))-1)*100</f>
        <v>-1.0866936191633814</v>
      </c>
      <c r="F97" s="115">
        <f t="shared" si="29"/>
        <v>0.19460467612562038</v>
      </c>
      <c r="G97" s="115">
        <f t="shared" si="29"/>
        <v>-1.9663561959351483</v>
      </c>
      <c r="H97" s="115">
        <f t="shared" si="29"/>
        <v>-1.956085382408157</v>
      </c>
      <c r="I97" s="115">
        <f t="shared" si="29"/>
        <v>-1.6383709451863515</v>
      </c>
      <c r="J97" s="115">
        <f t="shared" si="29"/>
        <v>-1.4282523018193993</v>
      </c>
      <c r="K97" s="115">
        <f t="shared" si="29"/>
        <v>-1.2878143144442578</v>
      </c>
      <c r="L97" s="115">
        <f t="shared" si="29"/>
        <v>-1.1967568372978632</v>
      </c>
      <c r="M97" s="115">
        <f t="shared" si="29"/>
        <v>-1.1361612158337864</v>
      </c>
      <c r="N97" s="115">
        <f t="shared" si="29"/>
        <v>-1.0038062140310666</v>
      </c>
      <c r="O97" s="115">
        <f t="shared" si="29"/>
        <v>-1.1003791865784596</v>
      </c>
      <c r="P97" s="115">
        <f t="shared" si="29"/>
        <v>-1.0278836758437104</v>
      </c>
      <c r="Q97" s="115">
        <f t="shared" si="29"/>
        <v>-0.81323446417704837</v>
      </c>
      <c r="R97" s="115">
        <f t="shared" si="29"/>
        <v>-0.74532583224465876</v>
      </c>
      <c r="S97" s="115">
        <f t="shared" si="29"/>
        <v>-0.67921370924829416</v>
      </c>
      <c r="T97" s="115">
        <f t="shared" si="29"/>
        <v>-0.61488573537819002</v>
      </c>
      <c r="U97" s="115">
        <f>((1+U92/100)/((1+U23/100)*(1+U41/100))-1)*100</f>
        <v>-0.55228966698428472</v>
      </c>
      <c r="V97" s="115">
        <f>((1+V92/100)/((1+V23/100)*(1+V41/100))-1)*100</f>
        <v>-0.49141545957793742</v>
      </c>
      <c r="W97" s="115">
        <f>((1+W92/100)/((1+W23/100)*(1+W41/100))-1)*100</f>
        <v>-0.43214202923759215</v>
      </c>
    </row>
    <row r="98" spans="1:54" ht="15" x14ac:dyDescent="0.2">
      <c r="A98" s="223"/>
      <c r="F98" s="222"/>
      <c r="G98" s="222"/>
      <c r="H98" s="222"/>
      <c r="I98" s="222"/>
      <c r="J98" s="222"/>
      <c r="K98" s="222"/>
      <c r="L98" s="222"/>
      <c r="M98" s="222"/>
      <c r="N98" s="222"/>
      <c r="O98" s="222"/>
      <c r="P98" s="222"/>
      <c r="Q98" s="222"/>
      <c r="R98" s="222"/>
      <c r="S98" s="222"/>
      <c r="T98" s="222"/>
      <c r="U98" s="77"/>
      <c r="V98" s="77"/>
      <c r="W98" s="77"/>
    </row>
    <row r="99" spans="1:54" s="25" customFormat="1" ht="12.75" outlineLevel="1" x14ac:dyDescent="0.2">
      <c r="B99" s="25" t="s">
        <v>136</v>
      </c>
      <c r="C99" s="112"/>
      <c r="D99" s="112"/>
      <c r="E99" s="112"/>
      <c r="F99" s="112"/>
      <c r="G99" s="112"/>
      <c r="H99" s="112"/>
      <c r="I99" s="112"/>
      <c r="J99" s="112"/>
      <c r="K99" s="112"/>
      <c r="L99" s="112"/>
      <c r="M99" s="112"/>
      <c r="N99" s="112"/>
      <c r="O99" s="112"/>
      <c r="P99" s="112"/>
      <c r="Q99" s="112"/>
      <c r="R99" s="112"/>
      <c r="S99" s="112"/>
      <c r="T99" s="112"/>
      <c r="U99" s="112"/>
      <c r="V99" s="112"/>
      <c r="W99" s="112"/>
    </row>
    <row r="100" spans="1:54" s="127" customFormat="1" ht="12.75" outlineLevel="1" x14ac:dyDescent="0.2">
      <c r="C100" s="128"/>
      <c r="D100" s="128"/>
      <c r="E100" s="128"/>
      <c r="F100" s="128"/>
      <c r="G100" s="128"/>
      <c r="H100" s="128"/>
      <c r="I100" s="128"/>
      <c r="J100" s="128"/>
      <c r="K100" s="128"/>
      <c r="L100" s="128"/>
      <c r="M100" s="128"/>
      <c r="N100" s="128"/>
      <c r="O100" s="128"/>
      <c r="P100" s="128"/>
      <c r="Q100" s="128"/>
      <c r="R100" s="128"/>
      <c r="S100" s="128"/>
      <c r="T100" s="128"/>
      <c r="U100" s="128"/>
      <c r="V100" s="128"/>
      <c r="W100" s="128"/>
    </row>
    <row r="101" spans="1:54" s="127" customFormat="1" ht="12.75" outlineLevel="1" x14ac:dyDescent="0.2">
      <c r="B101" s="106" t="s">
        <v>293</v>
      </c>
      <c r="C101" s="129"/>
      <c r="D101" s="129"/>
      <c r="E101" s="129"/>
      <c r="F101" s="129"/>
      <c r="G101" s="129"/>
      <c r="H101" s="129"/>
      <c r="I101" s="129"/>
      <c r="J101" s="129"/>
      <c r="K101" s="129"/>
      <c r="L101" s="129"/>
      <c r="M101" s="129"/>
      <c r="N101" s="129"/>
      <c r="O101" s="129"/>
      <c r="P101" s="129"/>
      <c r="Q101" s="129"/>
      <c r="R101" s="129"/>
      <c r="S101" s="129"/>
      <c r="T101" s="129"/>
      <c r="U101" s="129"/>
      <c r="V101" s="129"/>
      <c r="W101" s="129"/>
    </row>
    <row r="102" spans="1:54" outlineLevel="1" x14ac:dyDescent="0.2">
      <c r="B102" s="120" t="s">
        <v>43</v>
      </c>
      <c r="C102" s="34">
        <v>72.584815979003906</v>
      </c>
      <c r="D102" s="34">
        <v>73.511604309082031</v>
      </c>
      <c r="E102" s="34">
        <v>75.830703735351563</v>
      </c>
      <c r="F102" s="34">
        <v>80.487434387207031</v>
      </c>
      <c r="G102" s="34">
        <v>82.262153625488281</v>
      </c>
      <c r="H102" s="34">
        <v>83.381324768066406</v>
      </c>
      <c r="I102" s="34">
        <v>83.9129638671875</v>
      </c>
      <c r="J102" s="34">
        <v>83.675552368164063</v>
      </c>
      <c r="K102" s="34">
        <v>82.955322265625</v>
      </c>
      <c r="L102" s="34">
        <v>81.877853393554688</v>
      </c>
      <c r="M102" s="34">
        <v>80.490516662597656</v>
      </c>
      <c r="N102" s="34">
        <v>79.539299011230469</v>
      </c>
      <c r="O102" s="34">
        <v>78.404678344726563</v>
      </c>
      <c r="P102" s="34">
        <v>77.009315490722656</v>
      </c>
      <c r="Q102" s="34">
        <v>75.349700927734375</v>
      </c>
      <c r="R102" s="34">
        <v>73.416038513183594</v>
      </c>
      <c r="S102" s="34">
        <v>71.290458679199219</v>
      </c>
      <c r="T102" s="34">
        <v>68.976165771484375</v>
      </c>
      <c r="U102" s="34">
        <v>66.450340270996094</v>
      </c>
      <c r="V102" s="34">
        <v>63.724891662597656</v>
      </c>
      <c r="W102" s="34">
        <v>60.875217437744141</v>
      </c>
      <c r="X102" s="34"/>
      <c r="Y102" s="34"/>
      <c r="Z102" s="34"/>
    </row>
    <row r="103" spans="1:54" s="5" customFormat="1" ht="12.75" x14ac:dyDescent="0.2">
      <c r="A103" s="26"/>
      <c r="B103" s="26" t="s">
        <v>132</v>
      </c>
      <c r="C103" s="1">
        <v>0.73297137022018433</v>
      </c>
      <c r="D103" s="1">
        <v>0.83926922082901001</v>
      </c>
      <c r="E103" s="1">
        <v>1.580437183380127</v>
      </c>
      <c r="F103" s="1">
        <v>1.6625103950500488</v>
      </c>
      <c r="G103" s="1">
        <v>1.88956618309021</v>
      </c>
      <c r="H103" s="1">
        <v>1.9827291965484619</v>
      </c>
      <c r="I103" s="1">
        <v>2.0615065097808838</v>
      </c>
      <c r="J103" s="1">
        <v>2.1287131309509277</v>
      </c>
      <c r="K103" s="1">
        <v>2.3405036926269531</v>
      </c>
      <c r="L103" s="1">
        <v>2.29095458984375</v>
      </c>
      <c r="M103" s="1">
        <v>2.3375670909881592</v>
      </c>
      <c r="N103" s="1">
        <v>2.3808760643005371</v>
      </c>
      <c r="O103" s="1">
        <v>2.4241867065429688</v>
      </c>
      <c r="P103" s="1">
        <v>2.4636597633361816</v>
      </c>
      <c r="Q103" s="1">
        <v>2.5013077259063721</v>
      </c>
      <c r="R103" s="1">
        <v>2.5370752811431885</v>
      </c>
      <c r="S103" s="1">
        <v>2.5707998275756836</v>
      </c>
      <c r="T103" s="1">
        <v>2.6022579669952393</v>
      </c>
      <c r="U103" s="99">
        <v>2.6312050819396973</v>
      </c>
      <c r="V103" s="99">
        <v>2.6573348045349121</v>
      </c>
      <c r="W103" s="99">
        <v>2.6828005313873291</v>
      </c>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s="5" customFormat="1" ht="12.75" x14ac:dyDescent="0.2">
      <c r="B104" s="26" t="s">
        <v>185</v>
      </c>
      <c r="C104" s="1"/>
      <c r="D104" s="1"/>
      <c r="E104" s="1"/>
      <c r="F104" s="1"/>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c r="C105" s="1"/>
      <c r="D105" s="1"/>
      <c r="E105" s="1"/>
      <c r="F105" s="1"/>
      <c r="G105" s="221"/>
      <c r="H105" s="221"/>
      <c r="I105" s="221"/>
      <c r="J105" s="221"/>
      <c r="K105" s="221"/>
      <c r="L105" s="221"/>
      <c r="M105" s="221"/>
      <c r="N105" s="221"/>
      <c r="O105" s="221"/>
      <c r="P105" s="221"/>
      <c r="Q105" s="221"/>
      <c r="R105" s="221"/>
      <c r="S105" s="221"/>
      <c r="T105" s="221"/>
      <c r="U105" s="221"/>
      <c r="V105" s="221"/>
      <c r="W105" s="22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106" t="s">
        <v>294</v>
      </c>
      <c r="C106" s="37"/>
      <c r="D106" s="37"/>
      <c r="E106" s="37"/>
      <c r="F106" s="37"/>
      <c r="G106" s="224"/>
      <c r="H106" s="224"/>
      <c r="I106" s="224"/>
      <c r="J106" s="224"/>
      <c r="K106" s="224"/>
      <c r="L106" s="224"/>
      <c r="M106" s="224"/>
      <c r="N106" s="224"/>
      <c r="O106" s="224"/>
      <c r="P106" s="224"/>
      <c r="Q106" s="224"/>
      <c r="R106" s="224"/>
      <c r="S106" s="224"/>
      <c r="T106" s="224"/>
      <c r="U106" s="37"/>
      <c r="V106" s="37"/>
      <c r="W106" s="37"/>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outlineLevel="1" x14ac:dyDescent="0.2">
      <c r="B107" s="120" t="s">
        <v>43</v>
      </c>
      <c r="C107" s="34">
        <v>72.584815979003906</v>
      </c>
      <c r="D107" s="34">
        <v>73.511604309082031</v>
      </c>
      <c r="E107" s="34">
        <v>75.830703735351563</v>
      </c>
      <c r="F107" s="34">
        <v>80.487434387207031</v>
      </c>
      <c r="G107" s="34">
        <v>82.259086608886719</v>
      </c>
      <c r="H107" s="34">
        <v>83.703659057617188</v>
      </c>
      <c r="I107" s="34">
        <v>84.899864196777344</v>
      </c>
      <c r="J107" s="34">
        <v>85.673782348632813</v>
      </c>
      <c r="K107" s="34">
        <v>86.113090515136719</v>
      </c>
      <c r="L107" s="34">
        <v>86.220924377441406</v>
      </c>
      <c r="M107" s="34">
        <v>85.980087280273438</v>
      </c>
      <c r="N107" s="34">
        <v>85.514350891113281</v>
      </c>
      <c r="O107" s="34">
        <v>84.62701416015625</v>
      </c>
      <c r="P107" s="34">
        <v>83.319770812988281</v>
      </c>
      <c r="Q107" s="34">
        <v>81.957695007324219</v>
      </c>
      <c r="R107" s="34">
        <v>80.308700561523438</v>
      </c>
      <c r="S107" s="34">
        <v>78.463096618652344</v>
      </c>
      <c r="T107" s="34">
        <v>76.425872802734375</v>
      </c>
      <c r="U107" s="34">
        <v>74.173370361328125</v>
      </c>
      <c r="V107" s="34">
        <v>71.718696594238281</v>
      </c>
      <c r="W107" s="34">
        <v>69.143104553222656</v>
      </c>
      <c r="X107" s="34"/>
      <c r="Y107" s="34"/>
      <c r="Z107" s="34"/>
    </row>
    <row r="108" spans="1:54" x14ac:dyDescent="0.2">
      <c r="B108" s="26" t="s">
        <v>132</v>
      </c>
      <c r="C108" s="1">
        <v>0.73297137022018433</v>
      </c>
      <c r="D108" s="1">
        <v>0.83926922082901001</v>
      </c>
      <c r="E108" s="1">
        <v>1.580437183380127</v>
      </c>
      <c r="F108" s="1">
        <v>1.6625103950500488</v>
      </c>
      <c r="G108" s="1">
        <v>1.88956618309021</v>
      </c>
      <c r="H108" s="1">
        <v>1.9854403734207153</v>
      </c>
      <c r="I108" s="1">
        <v>2.0695152282714844</v>
      </c>
      <c r="J108" s="1">
        <v>2.1444764137268066</v>
      </c>
      <c r="K108" s="1">
        <v>2.2115991115570068</v>
      </c>
      <c r="L108" s="1">
        <v>2.27219557762146</v>
      </c>
      <c r="M108" s="1">
        <v>2.3275411128997803</v>
      </c>
      <c r="N108" s="1">
        <v>2.5363829135894775</v>
      </c>
      <c r="O108" s="1">
        <v>2.4815411567687988</v>
      </c>
      <c r="P108" s="1">
        <v>2.522362232208252</v>
      </c>
      <c r="Q108" s="1">
        <v>2.5602743625640869</v>
      </c>
      <c r="R108" s="1">
        <v>2.5965721607208252</v>
      </c>
      <c r="S108" s="1">
        <v>2.631159782409668</v>
      </c>
      <c r="T108" s="1">
        <v>2.6638956069946289</v>
      </c>
      <c r="U108" s="1">
        <v>2.6946325302124023</v>
      </c>
      <c r="V108" s="1">
        <v>2.7231910228729248</v>
      </c>
      <c r="W108" s="1">
        <v>2.7494747638702393</v>
      </c>
      <c r="X108" s="1"/>
      <c r="Y108" s="1"/>
      <c r="Z108" s="1"/>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60"/>
    </row>
    <row r="109" spans="1:54" x14ac:dyDescent="0.2">
      <c r="B109" s="26" t="s">
        <v>185</v>
      </c>
      <c r="C109" s="34"/>
      <c r="D109" s="34"/>
      <c r="E109" s="34"/>
      <c r="F109" s="34"/>
      <c r="G109" s="34">
        <v>0</v>
      </c>
      <c r="H109" s="34">
        <v>0</v>
      </c>
      <c r="I109" s="34">
        <v>0</v>
      </c>
      <c r="J109" s="34">
        <v>0</v>
      </c>
      <c r="K109" s="34">
        <v>0</v>
      </c>
      <c r="L109" s="34">
        <v>0</v>
      </c>
      <c r="M109" s="34">
        <v>0</v>
      </c>
      <c r="N109" s="34">
        <v>0</v>
      </c>
      <c r="O109" s="34">
        <v>0</v>
      </c>
      <c r="P109" s="34">
        <v>0</v>
      </c>
      <c r="Q109" s="34">
        <v>0</v>
      </c>
      <c r="R109" s="34">
        <v>0</v>
      </c>
      <c r="S109" s="34">
        <v>0</v>
      </c>
      <c r="T109" s="34">
        <v>0</v>
      </c>
      <c r="U109" s="34">
        <v>0</v>
      </c>
      <c r="V109" s="34">
        <v>0</v>
      </c>
      <c r="W109" s="34">
        <v>0</v>
      </c>
    </row>
    <row r="112" spans="1:54" x14ac:dyDescent="0.2">
      <c r="E112" s="34"/>
      <c r="F112" s="34"/>
      <c r="G112" s="121"/>
      <c r="H112" s="121"/>
      <c r="I112" s="121"/>
      <c r="J112" s="121"/>
      <c r="K112" s="121"/>
      <c r="L112" s="121"/>
      <c r="M112" s="121"/>
      <c r="N112" s="121"/>
      <c r="O112" s="121"/>
      <c r="P112" s="121"/>
      <c r="Q112" s="121"/>
      <c r="R112" s="121"/>
      <c r="S112" s="121"/>
      <c r="T112" s="121"/>
      <c r="U112" s="121"/>
      <c r="V112" s="121"/>
      <c r="W112" s="121"/>
    </row>
    <row r="113" spans="5:23" x14ac:dyDescent="0.2">
      <c r="E113" s="34"/>
      <c r="F113" s="34"/>
      <c r="G113" s="121"/>
      <c r="H113" s="121"/>
      <c r="I113" s="121"/>
      <c r="J113" s="121"/>
      <c r="K113" s="121"/>
      <c r="L113" s="121"/>
      <c r="M113" s="121"/>
      <c r="N113" s="121"/>
      <c r="O113" s="121"/>
      <c r="P113" s="121"/>
      <c r="Q113" s="121"/>
      <c r="R113" s="121"/>
      <c r="S113" s="121"/>
      <c r="T113" s="121"/>
      <c r="U113" s="121"/>
      <c r="V113" s="121"/>
      <c r="W113"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6" spans="5:23" x14ac:dyDescent="0.2">
      <c r="E116" s="34"/>
      <c r="F116" s="34"/>
      <c r="G116" s="121"/>
      <c r="H116" s="121"/>
      <c r="I116" s="121"/>
      <c r="J116" s="121"/>
      <c r="K116" s="121"/>
      <c r="L116" s="121"/>
      <c r="M116" s="121"/>
      <c r="N116" s="121"/>
      <c r="O116" s="121"/>
      <c r="P116" s="121"/>
      <c r="Q116" s="121"/>
      <c r="R116" s="121"/>
      <c r="S116" s="121"/>
      <c r="T116" s="121"/>
      <c r="U116" s="121"/>
      <c r="V116" s="121"/>
      <c r="W116" s="121"/>
    </row>
    <row r="117" spans="5:23" x14ac:dyDescent="0.2">
      <c r="G117" s="53"/>
      <c r="H117" s="53"/>
      <c r="I117" s="53"/>
      <c r="J117" s="53"/>
      <c r="K117" s="53"/>
      <c r="L117" s="53"/>
      <c r="M117" s="53"/>
      <c r="N117" s="53"/>
      <c r="O117" s="53"/>
      <c r="P117" s="53"/>
      <c r="Q117" s="53"/>
      <c r="R117" s="53"/>
      <c r="S117" s="53"/>
      <c r="T117" s="53"/>
      <c r="U117" s="53"/>
      <c r="V117" s="53"/>
      <c r="W117" s="53"/>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E119" s="34"/>
      <c r="F119" s="34"/>
      <c r="G119" s="121"/>
      <c r="H119" s="121"/>
      <c r="I119" s="121"/>
      <c r="J119" s="121"/>
      <c r="K119" s="121"/>
      <c r="L119" s="121"/>
      <c r="M119" s="121"/>
      <c r="N119" s="121"/>
      <c r="O119" s="121"/>
      <c r="P119" s="121"/>
      <c r="Q119" s="121"/>
      <c r="R119" s="121"/>
      <c r="S119" s="121"/>
      <c r="T119" s="121"/>
      <c r="U119" s="121"/>
      <c r="V119" s="121"/>
      <c r="W119" s="121"/>
    </row>
    <row r="120" spans="5:23" x14ac:dyDescent="0.2">
      <c r="G120" s="53"/>
      <c r="H120" s="53"/>
      <c r="I120" s="53"/>
      <c r="J120" s="53"/>
      <c r="K120" s="53"/>
      <c r="L120" s="53"/>
      <c r="M120" s="53"/>
      <c r="N120" s="53"/>
      <c r="O120" s="53"/>
      <c r="P120" s="53"/>
      <c r="Q120" s="53"/>
      <c r="R120" s="53"/>
      <c r="S120" s="53"/>
      <c r="T120" s="53"/>
      <c r="U120" s="53"/>
      <c r="V120" s="53"/>
      <c r="W120" s="53"/>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E122" s="34"/>
      <c r="F122" s="34"/>
      <c r="G122" s="121"/>
      <c r="H122" s="121"/>
      <c r="I122" s="121"/>
      <c r="J122" s="121"/>
      <c r="K122" s="121"/>
      <c r="L122" s="121"/>
      <c r="M122" s="121"/>
      <c r="N122" s="121"/>
      <c r="O122" s="121"/>
      <c r="P122" s="121"/>
      <c r="Q122" s="121"/>
      <c r="R122" s="121"/>
      <c r="S122" s="121"/>
      <c r="T122" s="121"/>
      <c r="U122" s="121"/>
      <c r="V122" s="121"/>
      <c r="W122" s="121"/>
    </row>
    <row r="123" spans="5:23" x14ac:dyDescent="0.2">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E125" s="34"/>
      <c r="F125" s="34"/>
      <c r="G125" s="121"/>
      <c r="H125" s="121"/>
      <c r="I125" s="121"/>
      <c r="J125" s="121"/>
      <c r="K125" s="121"/>
      <c r="L125" s="121"/>
      <c r="M125" s="121"/>
      <c r="N125" s="121"/>
      <c r="O125" s="121"/>
      <c r="P125" s="121"/>
      <c r="Q125" s="121"/>
      <c r="R125" s="121"/>
      <c r="S125" s="121"/>
      <c r="T125" s="121"/>
      <c r="U125" s="121"/>
      <c r="V125" s="121"/>
      <c r="W125" s="121"/>
    </row>
    <row r="126" spans="5:23" x14ac:dyDescent="0.2">
      <c r="G126" s="121"/>
      <c r="H126" s="121"/>
      <c r="I126" s="121"/>
      <c r="J126" s="121"/>
      <c r="K126" s="121"/>
      <c r="L126" s="121"/>
      <c r="M126" s="121"/>
      <c r="N126" s="121"/>
      <c r="O126" s="121"/>
      <c r="P126" s="121"/>
      <c r="Q126" s="121"/>
      <c r="R126" s="121"/>
      <c r="S126" s="121"/>
      <c r="T126" s="121"/>
      <c r="U126" s="121"/>
      <c r="V126" s="121"/>
      <c r="W126" s="121"/>
    </row>
    <row r="127" spans="5:23" x14ac:dyDescent="0.2">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28" priority="50">
      <formula>AND(G10&gt;$C$5,G10&lt;=$C$6)</formula>
    </cfRule>
  </conditionalFormatting>
  <conditionalFormatting sqref="K36:N36">
    <cfRule type="expression" dxfId="25" priority="8">
      <formula>K10=$C$6+1</formula>
    </cfRule>
  </conditionalFormatting>
  <conditionalFormatting sqref="K37:N37">
    <cfRule type="expression" dxfId="24" priority="9">
      <formula>K10=$C$6+1</formula>
    </cfRule>
  </conditionalFormatting>
  <conditionalFormatting sqref="U10:W43 U45:W52 U54:W76 U78:W98 U100:W130">
    <cfRule type="expression" dxfId="18" priority="3">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5" id="{47F7DBED-0C23-454F-801E-ED2E3DAA754C}">
            <xm:f>'Criteria results'!$F$5=7</xm:f>
            <x14:dxf>
              <fill>
                <patternFill>
                  <bgColor theme="0"/>
                </patternFill>
              </fill>
            </x14:dxf>
          </x14:cfRule>
          <xm:sqref>K35:M35</xm:sqref>
        </x14:conditionalFormatting>
        <x14:conditionalFormatting xmlns:xm="http://schemas.microsoft.com/office/excel/2006/main">
          <x14:cfRule type="expression" priority="55" id="{8951C7CF-B485-425C-9942-73B06456B0B5}">
            <xm:f>OR('Criteria results'!#REF!=7,'Criteria results'!#REF!=10)</xm:f>
            <x14:dxf>
              <font>
                <color theme="0"/>
              </font>
            </x14:dxf>
          </x14:cfRule>
          <xm:sqref>K75:M75</xm:sqref>
        </x14:conditionalFormatting>
        <x14:conditionalFormatting xmlns:xm="http://schemas.microsoft.com/office/excel/2006/main">
          <x14:cfRule type="expression" priority="52" id="{6869C80F-226A-4E6B-8E82-1C590454F27E}">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7" id="{61052BD5-AD8A-4BB2-862D-CE762EAD4EEA}">
            <xm:f>'Criteria results'!$F$5=7</xm:f>
            <x14:dxf>
              <fill>
                <patternFill>
                  <bgColor theme="0" tint="-0.34998626667073579"/>
                </patternFill>
              </fill>
            </x14:dxf>
          </x14:cfRule>
          <xm:sqref>N36:N37</xm:sqref>
        </x14:conditionalFormatting>
        <x14:conditionalFormatting xmlns:xm="http://schemas.microsoft.com/office/excel/2006/main">
          <x14:cfRule type="expression" priority="56" id="{116E26F3-65D6-4A9D-BBEB-1F21709D15A5}">
            <xm:f>OR('Criteria results'!#REF!=10)</xm:f>
            <x14:dxf>
              <font>
                <color theme="0"/>
              </font>
            </x14:dxf>
          </x14:cfRule>
          <xm:sqref>N75:P75</xm:sqref>
        </x14:conditionalFormatting>
        <x14:conditionalFormatting xmlns:xm="http://schemas.microsoft.com/office/excel/2006/main">
          <x14:cfRule type="expression" priority="53" id="{EF89FFEC-805B-44CB-80CA-34B558135CB5}">
            <xm:f>AND($O$10&gt;2024,$O$10&lt;=2024+'Criteria results'!#REF!)</xm:f>
            <x14:dxf>
              <fill>
                <patternFill>
                  <bgColor theme="0" tint="-0.14996795556505021"/>
                </patternFill>
              </fill>
            </x14:dxf>
          </x14:cfRule>
          <xm:sqref>O12</xm:sqref>
        </x14:conditionalFormatting>
        <x14:conditionalFormatting xmlns:xm="http://schemas.microsoft.com/office/excel/2006/main">
          <x14:cfRule type="expression" priority="54" id="{FBE5528E-1123-4677-9DE6-5E90CA8A7C56}">
            <xm:f>AND($P$10&gt;2024,$P$10&lt;=2024+'Criteria results'!#REF!)</xm:f>
            <x14:dxf>
              <fill>
                <patternFill>
                  <bgColor theme="0" tint="-0.14996795556505021"/>
                </patternFill>
              </fill>
            </x14:dxf>
          </x14:cfRule>
          <xm:sqref>P12</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rgb="FF92D050"/>
  </sheetPr>
  <dimension ref="A1:BB129"/>
  <sheetViews>
    <sheetView zoomScaleNormal="100" workbookViewId="0"/>
  </sheetViews>
  <sheetFormatPr defaultColWidth="9.28515625" defaultRowHeight="11.25" outlineLevelRow="1" x14ac:dyDescent="0.2"/>
  <cols>
    <col min="1" max="1" width="9.28515625" style="26" customWidth="1"/>
    <col min="2" max="2" width="57.42578125"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c r="K5" s="80"/>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'VM suunnitelma'!C12</f>
        <v>-2.1345519999999998</v>
      </c>
      <c r="D12" s="2">
        <f>'VM suunnitelma'!D12</f>
        <v>0.29205680000000001</v>
      </c>
      <c r="E12" s="2">
        <f>'VM suunnitelma'!E12</f>
        <v>-0.3391101166058319</v>
      </c>
      <c r="F12" s="2">
        <f>'Adjust. no safeguard'!F12</f>
        <v>-0.3744433445451063</v>
      </c>
      <c r="G12" s="3">
        <f>'Adjust. no safeguard'!G12</f>
        <v>-0.27444334454510633</v>
      </c>
      <c r="H12" s="3">
        <f>'Adjust. no safeguard'!H12</f>
        <v>-0.17444334454510632</v>
      </c>
      <c r="I12" s="3">
        <f>'Adjust. no safeguard'!I12</f>
        <v>-7.4443344545106316E-2</v>
      </c>
      <c r="J12" s="3">
        <f>'Adjust. no safeguard'!J12</f>
        <v>2.555665545489369E-2</v>
      </c>
      <c r="K12" s="3">
        <f>IF(AND('Criteria results'!$F$5=4,'Criteria results'!$F$5=4),'Adjust. no safeguard'!K12-0.25,IF(AND('Criteria results'!$F$5=4,'Criteria results'!$F$5=7),'Adjust. no safeguard'!K12-0.5/3,IF(AND('Criteria results'!$F$5=7,'Criteria results'!$F$5=7),'Adjust. no safeguard'!K12,'Adjust. no safeguard'!K12)))</f>
        <v>0.1255566554548937</v>
      </c>
      <c r="L12" s="3">
        <f>IF(AND('Criteria results'!$F$5=4,'Criteria results'!$F$5=4),'Adjust. no safeguard'!L12-0.5,IF(AND('Criteria results'!$F$5=4,'Criteria results'!$F$5=7),'Adjust. no safeguard'!L12-0.5*2/3,IF(AND('Criteria results'!$F$5=7,'Criteria results'!$F$5=7),'Adjust. no safeguard'!L12,'Adjust. no safeguard'!L12)))</f>
        <v>0.2255566554548937</v>
      </c>
      <c r="M12" s="3">
        <f>IF('Criteria results'!$F$5=4,'Adjust. no safeguard'!M12-0.5,'Adjust. no safeguard'!M12)</f>
        <v>0.32555665545489371</v>
      </c>
      <c r="N12" s="3">
        <f>IF('Criteria results'!$F$5=4,'Adjust. no safeguard'!N12-0.5,IF(AND('Criteria results'!$F$5=7,'Criteria results'!$F$5=7),'Adjust. no safeguard'!N12-0.25,'Adjust. no safeguard'!N12-1/3*0.5))</f>
        <v>7.5556655454893706E-2</v>
      </c>
      <c r="O12" s="3">
        <f>IF('Criteria results'!$F$5=4,'Adjust. no safeguard'!N12-0.5,IF(AND('Criteria results'!$F$5=7,'Criteria results'!$F$5=7),'Adjust. no safeguard'!O12-0.5,'Adjust. no safeguard'!O12-2/3*0.5))</f>
        <v>-0.17444334454510629</v>
      </c>
      <c r="P12" s="3">
        <f>'Adjust. no safeguard'!P12-0.5</f>
        <v>-0.17444334454510629</v>
      </c>
      <c r="Q12" s="3">
        <f>'Adjust. no safeguard'!Q12-0.5</f>
        <v>-0.17444334454510629</v>
      </c>
      <c r="R12" s="3">
        <f>'Adjust. no safeguard'!R12-0.5</f>
        <v>-0.17444334454510629</v>
      </c>
      <c r="S12" s="3">
        <f>'Adjust. no safeguard'!S12-0.5</f>
        <v>-0.17444334454510629</v>
      </c>
      <c r="T12" s="3">
        <f>'Adjust. no safeguard'!T12-0.5</f>
        <v>-0.17444334454510629</v>
      </c>
      <c r="U12" s="3">
        <f>'Adjust. no safeguard'!U12-0.5</f>
        <v>-0.17444334454510629</v>
      </c>
      <c r="V12" s="3">
        <f>'Adjust. no safeguard'!V12-0.5</f>
        <v>-0.17444334454510629</v>
      </c>
      <c r="W12" s="3">
        <f>'Adjust. no safeguard'!W12-0.5</f>
        <v>-0.17444334454510629</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5.1764349999999997</v>
      </c>
      <c r="E14" s="2">
        <f>'Input data'!E15</f>
        <v>2.1420457294413482</v>
      </c>
      <c r="F14" s="2">
        <f>'Input data'!F15</f>
        <v>2.543156615765406</v>
      </c>
      <c r="G14" s="2">
        <f>'Input data'!G15</f>
        <v>1.2833361388111759</v>
      </c>
      <c r="H14" s="2">
        <f>'Input data'!H15</f>
        <v>1.726862012716794</v>
      </c>
      <c r="I14" s="2">
        <f>'Input data'!I15</f>
        <v>1.4444254457205716</v>
      </c>
      <c r="J14" s="2">
        <f>'Input data'!J15</f>
        <v>1.3768241518246929</v>
      </c>
      <c r="K14" s="2">
        <f>'Input data'!K15</f>
        <v>1.0241608740131771</v>
      </c>
      <c r="L14" s="2">
        <f>'Input data'!L15</f>
        <v>1.0623847406019649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0" x14ac:dyDescent="0.2">
      <c r="A17" s="61"/>
      <c r="B17" s="26" t="s">
        <v>52</v>
      </c>
      <c r="C17" s="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0" x14ac:dyDescent="0.2">
      <c r="A18" s="61"/>
      <c r="B18" s="26" t="s">
        <v>58</v>
      </c>
      <c r="C18" s="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20" spans="1:50" x14ac:dyDescent="0.2">
      <c r="B20" s="28" t="s">
        <v>88</v>
      </c>
    </row>
    <row r="21" spans="1:50" ht="10.5" customHeight="1" x14ac:dyDescent="0.2">
      <c r="B21" s="30" t="s">
        <v>89</v>
      </c>
    </row>
    <row r="22" spans="1:50" x14ac:dyDescent="0.2">
      <c r="B22" s="26" t="s">
        <v>61</v>
      </c>
      <c r="C22" s="34">
        <f>'Input data'!C31</f>
        <v>230.55600000000001</v>
      </c>
      <c r="D22" s="100">
        <f>IF(AND(D49&gt;1,C49&gt;1),IF(AND(D49&gt;0,C49&gt;0),D26*(D50/100+1),0)+IF(D49&gt;0,C22*(1+D51/100),0)-C22*(1+'Input data'!D30/100),IF(D49=1,D26,C22*(1+D51/100)))</f>
        <v>233.63499929652002</v>
      </c>
      <c r="E22" s="100">
        <f>IF(AND(E49&gt;1,D49&gt;1),IF(AND(E49&gt;0,D49&gt;0),E26*(E50/100+1),0)+IF(E49&gt;0,D22*(1+E51/100),0)-D22*(1+'Input data'!E30/100),IF(E49=1,E26,D22*(1+E51/100)))</f>
        <v>230.925987709618</v>
      </c>
      <c r="F22" s="100">
        <f>IF(AND(F49&gt;1,E49&gt;1),IF(AND(F49&gt;0,E49&gt;0),F26*(F50/100+1),0)+IF(F49&gt;0,E22*(1+F51/100),0)-E22*(1+'Input data'!F30/100),IF(F49=1,F26,E22*(1+F51/100)))</f>
        <v>230.41386109822847</v>
      </c>
      <c r="G22" s="34">
        <f>IF(AND(G49&gt;1,F49&gt;1),IF(AND(G49&gt;0,F49&gt;0),G26*(G50/100+1),0)+IF(G49&gt;0,F22*(1+G51/100),0)-F22*(1+'Input data'!G30/100),IF(G49=1,G26,F22*(1+G51/100)))</f>
        <v>234.46960588127945</v>
      </c>
      <c r="H22" s="34">
        <f>IF(AND(H49&gt;1,G49&gt;1),IF(AND(H49&gt;0,G49&gt;0),H26*(H50/100+1),0)+IF(H49&gt;0,G22*(1+H51/100),0)-G22*(1+'Input data'!H30/100),IF(H49=1,H26,G22*(1+H51/100)))</f>
        <v>238.67522075670908</v>
      </c>
      <c r="I22" s="34">
        <f>IF(AND(I49&gt;1,H49&gt;1),IF(AND(I49&gt;0,H49&gt;0),I26*(I50/100+1),0)+IF(I49&gt;0,H22*(1+I51/100),0)-H22*(1+'Input data'!I30/100),IF(I49=1,I26,H22*(1+I51/100)))</f>
        <v>242.26017225654377</v>
      </c>
      <c r="J22" s="34">
        <f>IF(AND(J49&gt;1,I49&gt;1),IF(AND(J49&gt;0,I49&gt;0),J26*(J50/100+1),0)+IF(J49&gt;0,I22*(1+J51/100),0)-I22*(1+'Input data'!J30/100),IF(J49=1,J26,I22*(1+J51/100)))</f>
        <v>245.43503386538961</v>
      </c>
      <c r="K22" s="34">
        <f>IF(AND(K49&gt;1,J49&gt;1),IF(AND(K49&gt;0,J49&gt;0),K26*(K50/100+1),0)+IF(K49&gt;0,J22*(1+K51/100),0)-J22*(1+'Input data'!K30/100),IF(K49=1,K26,J22*(1+K51/100)))</f>
        <v>248.34140898438642</v>
      </c>
      <c r="L22" s="34">
        <f>IF(AND(L49&gt;1,K49&gt;1),IF(AND(L49&gt;0,K49&gt;0),L26*(L50/100+1),0)+IF(L49&gt;0,K22*(1+L51/100),0)-K22*(1+'Input data'!L30/100),IF(L49=1,L26,K22*(1+L51/100)))</f>
        <v>251.07454334699847</v>
      </c>
      <c r="M22" s="34">
        <f>IF(AND(M49&gt;1,L49&gt;1),IF(AND(M49&gt;0,L49&gt;0),M26*(M50/100+1),0)+IF(M49&gt;0,L22*(1+M51/100),0)-L22*(1+'Input data'!M30/100),IF(M49=1,M26,L22*(1+M51/100)))</f>
        <v>253.69852397516036</v>
      </c>
      <c r="N22" s="34">
        <f>IF(AND(N49&gt;1,M49&gt;1),IF(AND(N49&gt;0,M49&gt;0),N26*(N50/100+1),0)+IF(N49&gt;0,M22*(1+N51/100),0)-M22*(1+'Input data'!N30/100),IF(N49=1,N26,M22*(1+N51/100)))</f>
        <v>256.92245379906842</v>
      </c>
      <c r="O22" s="34">
        <f>IF(AND(O49&gt;1,N49&gt;1),IF(AND(O49&gt;0,N49&gt;0),O26*(O50/100+1),0)+IF(O49&gt;0,N22*(1+O51/100),0)-N22*(1+'Input data'!O30/100),IF(O49=1,O26,N22*(1+O51/100)))</f>
        <v>259.89957119861111</v>
      </c>
      <c r="P22" s="34">
        <f>IF(AND(P49&gt;1,O49&gt;1),IF(AND(P49&gt;0,O49&gt;0),P26*(P50/100+1),0)+IF(P49&gt;0,O22*(1+P51/100),0)-O22*(1+'Input data'!P30/100),IF(P49=1,P26,O22*(1+P51/100)))</f>
        <v>262.2303304684828</v>
      </c>
      <c r="Q22" s="34">
        <f>IF(AND(Q49&gt;1,P49&gt;1),IF(AND(Q49&gt;0,P49&gt;0),Q26*(Q50/100+1),0)+IF(Q49&gt;0,P22*(1+Q51/100),0)-P22*(1+'Input data'!Q30/100),IF(Q49=1,Q26,P22*(1+Q51/100)))</f>
        <v>264.58195366757451</v>
      </c>
      <c r="R22" s="34">
        <f>IF(AND(R49&gt;1,Q49&gt;1),IF(AND(R49&gt;0,Q49&gt;0),R26*(R50/100+1),0)+IF(R49&gt;0,Q22*(1+R51/100),0)-Q22*(1+'Input data'!R30/100),IF(R49=1,R26,Q22*(1+R51/100)))</f>
        <v>266.95462718870095</v>
      </c>
      <c r="S22" s="34">
        <f>IF(AND(S49&gt;1,R49&gt;1),IF(AND(S49&gt;0,R49&gt;0),S26*(S50/100+1),0)+IF(S49&gt;0,R22*(1+S51/100),0)-R22*(1+'Input data'!S30/100),IF(S49=1,S26,R22*(1+S51/100)))</f>
        <v>269.45087578587493</v>
      </c>
      <c r="T22" s="34">
        <f>IF(AND(T49&gt;1,S49&gt;1),IF(AND(T49&gt;0,S49&gt;0),T26*(T50/100+1),0)+IF(T49&gt;0,S22*(1+T51/100),0)-S22*(1+'Input data'!T30/100),IF(T49=1,T26,S22*(1+T51/100)))</f>
        <v>271.97048255815923</v>
      </c>
      <c r="U22" s="34">
        <f>IF(AND(U49&gt;1,T49&gt;1),IF(AND(U49&gt;0,T49&gt;0),U26*(U50/100+1),0)+IF(U49&gt;0,T22*(1+U51/100),0)-T22*(1+'Input data'!U30/100),IF(U49=1,U26,T22*(1+U51/100)))</f>
        <v>274.51364174899811</v>
      </c>
      <c r="V22" s="34">
        <f>IF(AND(V49&gt;1,U49&gt;1),IF(AND(V49&gt;0,U49&gt;0),V26*(V50/100+1),0)+IF(V49&gt;0,U22*(1+V51/100),0)-U22*(1+'Input data'!V30/100),IF(V49=1,V26,U22*(1+V51/100)))</f>
        <v>277.08059540307966</v>
      </c>
      <c r="W22" s="34">
        <f>IF(AND(W49&gt;1,V49&gt;1),IF(AND(W49&gt;0,V49&gt;0),W26*(W50/100+1),0)+IF(W49&gt;0,V22*(1+W51/100),0)-V22*(1+'Input data'!W30/100),IF(W49=1,W26,V22*(1+W51/100)))</f>
        <v>279.67154410945852</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0" x14ac:dyDescent="0.2">
      <c r="A23" s="61"/>
      <c r="B23" s="62" t="s">
        <v>60</v>
      </c>
      <c r="C23" s="34">
        <f>+'Input data'!C30</f>
        <v>2.8381799999999999</v>
      </c>
      <c r="D23" s="100">
        <f t="shared" ref="D23:T23" si="0">100*(D22/C22-1)</f>
        <v>1.3354670000000013</v>
      </c>
      <c r="E23" s="100">
        <f t="shared" si="0"/>
        <v>-1.1595058938339342</v>
      </c>
      <c r="F23" s="100">
        <f t="shared" si="0"/>
        <v>-0.22177088705733761</v>
      </c>
      <c r="G23" s="34">
        <f t="shared" si="0"/>
        <v>1.7601999999999896</v>
      </c>
      <c r="H23" s="34">
        <f t="shared" si="0"/>
        <v>1.7936716614600723</v>
      </c>
      <c r="I23" s="34">
        <f t="shared" si="0"/>
        <v>1.5020208166012239</v>
      </c>
      <c r="J23" s="34">
        <f t="shared" si="0"/>
        <v>1.3105173579600171</v>
      </c>
      <c r="K23" s="34">
        <f t="shared" si="0"/>
        <v>1.184172884051593</v>
      </c>
      <c r="L23" s="34">
        <f t="shared" si="0"/>
        <v>1.1005552291055487</v>
      </c>
      <c r="M23" s="34">
        <f t="shared" si="0"/>
        <v>1.0451002292715117</v>
      </c>
      <c r="N23" s="34">
        <f>100*(N22/M22-1)</f>
        <v>1.270772006629306</v>
      </c>
      <c r="O23" s="34">
        <f t="shared" si="0"/>
        <v>1.1587610796645276</v>
      </c>
      <c r="P23" s="34">
        <f t="shared" si="0"/>
        <v>0.89679227215444524</v>
      </c>
      <c r="Q23" s="34">
        <f t="shared" si="0"/>
        <v>0.89677772776721731</v>
      </c>
      <c r="R23" s="34">
        <f t="shared" si="0"/>
        <v>0.89676317233167158</v>
      </c>
      <c r="S23" s="34">
        <f t="shared" si="0"/>
        <v>0.9350834722222201</v>
      </c>
      <c r="T23" s="34">
        <f t="shared" si="0"/>
        <v>0.93508947222222805</v>
      </c>
      <c r="U23" s="34">
        <f>100*(U22/T22-1)</f>
        <v>0.93508647222222407</v>
      </c>
      <c r="V23" s="34">
        <f>100*(V22/U22-1)</f>
        <v>0.93509147222221589</v>
      </c>
      <c r="W23" s="34">
        <f>100*(W22/V22-1)</f>
        <v>0.93508847222221192</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0" ht="5.25" customHeight="1" x14ac:dyDescent="0.2">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row>
    <row r="25" spans="1:50" x14ac:dyDescent="0.2">
      <c r="B25" s="30" t="s">
        <v>90</v>
      </c>
    </row>
    <row r="26" spans="1:50" x14ac:dyDescent="0.2">
      <c r="B26" s="26" t="s">
        <v>61</v>
      </c>
      <c r="C26" s="34">
        <f>'Input data'!C34</f>
        <v>231.15090000000001</v>
      </c>
      <c r="D26" s="100">
        <f>+C26*(1+'Input data'!D33/100)</f>
        <v>233.97713813562902</v>
      </c>
      <c r="E26" s="100">
        <f>+D26*(1+'Input data'!E33/100)</f>
        <v>236.531302768659</v>
      </c>
      <c r="F26" s="100">
        <f>+E26*(1+'Input data'!F33/100)</f>
        <v>238.74310698084875</v>
      </c>
      <c r="G26" s="34">
        <f>+F26*(1+'Input data'!G33/100)</f>
        <v>240.9755937742267</v>
      </c>
      <c r="H26" s="34">
        <f>+G26*(1+'Input data'!H33/100)</f>
        <v>243.22895655160951</v>
      </c>
      <c r="I26" s="34">
        <f>+H26*(1+'Input data'!I33/100)</f>
        <v>245.50339052432363</v>
      </c>
      <c r="J26" s="34">
        <f>+I26*(1+'Input data'!J33/100)</f>
        <v>247.79909272911661</v>
      </c>
      <c r="K26" s="34">
        <f>+J26*(1+'Input data'!K33/100)</f>
        <v>250.11626204522659</v>
      </c>
      <c r="L26" s="34">
        <f>+K26*(1+'Input data'!L33/100)</f>
        <v>252.45509921161153</v>
      </c>
      <c r="M26" s="34">
        <f>+L26*(1+'Input data'!M33/100)</f>
        <v>254.81580684433933</v>
      </c>
      <c r="N26" s="34">
        <f>+M26*(1+'Input data'!N33/100)</f>
        <v>257.1985894541408</v>
      </c>
      <c r="O26" s="34">
        <f>+N26*(1+'Input data'!O33/100)</f>
        <v>259.60365346412652</v>
      </c>
      <c r="P26" s="34">
        <f>+O26*(1+'Input data'!P33/100)</f>
        <v>262.0312072276696</v>
      </c>
      <c r="Q26" s="34">
        <f>+P26*(1+'Input data'!Q33/100)</f>
        <v>264.48146104645554</v>
      </c>
      <c r="R26" s="34">
        <f>+Q26*(1+'Input data'!R33/100)</f>
        <v>266.95462718870095</v>
      </c>
      <c r="S26" s="34">
        <f>+R26*(1+'Input data'!S33/100)</f>
        <v>269.45091990754253</v>
      </c>
      <c r="T26" s="34">
        <f>+S26*(1+'Input data'!T33/100)</f>
        <v>271.97055545959796</v>
      </c>
      <c r="U26" s="34">
        <f>+T26*(1+'Input data'!U33/100)</f>
        <v>274.51375212370067</v>
      </c>
      <c r="V26" s="34">
        <f>+U26*(1+'Input data'!V33/100)</f>
        <v>277.08073021980942</v>
      </c>
      <c r="W26" s="34">
        <f>+V26*(1+'Input data'!W33/100)</f>
        <v>279.6717121280949</v>
      </c>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row>
    <row r="27" spans="1:50" ht="5.25" customHeight="1" x14ac:dyDescent="0.2">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0" x14ac:dyDescent="0.2">
      <c r="B28" s="30" t="s">
        <v>91</v>
      </c>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0" x14ac:dyDescent="0.2">
      <c r="B29" s="26" t="s">
        <v>91</v>
      </c>
      <c r="C29" s="34">
        <f t="shared" ref="C29:T29" si="1">100*(C22/C26-1)</f>
        <v>-0.25736434510962303</v>
      </c>
      <c r="D29" s="100">
        <f t="shared" si="1"/>
        <v>-0.14622746557002575</v>
      </c>
      <c r="E29" s="100">
        <f t="shared" si="1"/>
        <v>-2.3697984129074534</v>
      </c>
      <c r="F29" s="100">
        <f t="shared" si="1"/>
        <v>-3.4887901007707112</v>
      </c>
      <c r="G29" s="34">
        <f t="shared" si="1"/>
        <v>-2.6998534544717345</v>
      </c>
      <c r="H29" s="34">
        <f t="shared" si="1"/>
        <v>-1.8722013445525709</v>
      </c>
      <c r="I29" s="34">
        <f t="shared" si="1"/>
        <v>-1.3210482595997108</v>
      </c>
      <c r="J29" s="34">
        <f t="shared" si="1"/>
        <v>-0.95402240488074996</v>
      </c>
      <c r="K29" s="34">
        <f t="shared" si="1"/>
        <v>-0.70961122092862983</v>
      </c>
      <c r="L29" s="34">
        <f t="shared" si="1"/>
        <v>-0.54685204177866709</v>
      </c>
      <c r="M29" s="34">
        <f t="shared" si="1"/>
        <v>-0.43846686083390818</v>
      </c>
      <c r="N29" s="34">
        <f t="shared" si="1"/>
        <v>-0.10736281861359886</v>
      </c>
      <c r="O29" s="34">
        <f t="shared" si="1"/>
        <v>0.11398827810622514</v>
      </c>
      <c r="P29" s="34">
        <f t="shared" si="1"/>
        <v>7.5992185404150092E-2</v>
      </c>
      <c r="Q29" s="34">
        <f t="shared" si="1"/>
        <v>3.7996092702052842E-2</v>
      </c>
      <c r="R29" s="34">
        <f t="shared" si="1"/>
        <v>0</v>
      </c>
      <c r="S29" s="34">
        <f t="shared" si="1"/>
        <v>-1.6374658362572347E-5</v>
      </c>
      <c r="T29" s="34">
        <f t="shared" si="1"/>
        <v>-2.6804901220867094E-5</v>
      </c>
      <c r="U29" s="34">
        <f>100*(U22/U26-1)</f>
        <v>-4.0207349072396426E-5</v>
      </c>
      <c r="V29" s="34">
        <f>100*(V22/V26-1)</f>
        <v>-4.8656118978307461E-5</v>
      </c>
      <c r="W29" s="34">
        <f>100*(W22/W26-1)</f>
        <v>-6.0077093633204015E-5</v>
      </c>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0" ht="5.25" customHeight="1" x14ac:dyDescent="0.2">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0" x14ac:dyDescent="0.2">
      <c r="B31" s="30" t="s">
        <v>92</v>
      </c>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0" x14ac:dyDescent="0.2">
      <c r="B32" s="26" t="s">
        <v>60</v>
      </c>
      <c r="C32" s="1">
        <f t="shared" ref="C32:W32" si="2">100*((1+C23/100)*(1+C41/100)-1)</f>
        <v>5.3041963643644108</v>
      </c>
      <c r="D32" s="2">
        <f t="shared" si="2"/>
        <v>6.7911638456366497</v>
      </c>
      <c r="E32" s="2">
        <f t="shared" si="2"/>
        <v>2.6964325799547773</v>
      </c>
      <c r="F32" s="2">
        <f t="shared" si="2"/>
        <v>1.4650542597770766</v>
      </c>
      <c r="G32" s="1">
        <f t="shared" si="2"/>
        <v>3.9332641798379031</v>
      </c>
      <c r="H32" s="1">
        <f t="shared" si="2"/>
        <v>4.0201955789893606</v>
      </c>
      <c r="I32" s="1">
        <f t="shared" si="2"/>
        <v>3.7747593192035245</v>
      </c>
      <c r="J32" s="1">
        <f t="shared" si="2"/>
        <v>3.6314625033281756</v>
      </c>
      <c r="K32" s="1">
        <f t="shared" si="2"/>
        <v>3.5546527191615329</v>
      </c>
      <c r="L32" s="1">
        <f t="shared" si="2"/>
        <v>3.5214619382351264</v>
      </c>
      <c r="M32" s="1">
        <f t="shared" si="2"/>
        <v>3.5170361209442502</v>
      </c>
      <c r="N32" s="1">
        <f t="shared" si="2"/>
        <v>3.8007026776217812</v>
      </c>
      <c r="O32" s="1">
        <f t="shared" si="2"/>
        <v>3.7383094871959788</v>
      </c>
      <c r="P32" s="1">
        <f t="shared" si="2"/>
        <v>3.4419138572195473</v>
      </c>
      <c r="Q32" s="1">
        <f t="shared" si="2"/>
        <v>3.4141523320750045</v>
      </c>
      <c r="R32" s="1">
        <f t="shared" si="2"/>
        <v>3.3863908036089629</v>
      </c>
      <c r="S32" s="1">
        <f t="shared" si="2"/>
        <v>3.3978995089444464</v>
      </c>
      <c r="T32" s="1">
        <f t="shared" si="2"/>
        <v>3.3701485057395786</v>
      </c>
      <c r="U32" s="1">
        <f t="shared" si="2"/>
        <v>3.3423882845847075</v>
      </c>
      <c r="V32" s="1">
        <f t="shared" si="2"/>
        <v>3.3146362536798479</v>
      </c>
      <c r="W32" s="1">
        <f t="shared" si="2"/>
        <v>3.286876033625008</v>
      </c>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row>
    <row r="34" spans="2:51" x14ac:dyDescent="0.2">
      <c r="B34" s="28" t="s">
        <v>141</v>
      </c>
    </row>
    <row r="35" spans="2:51" x14ac:dyDescent="0.2">
      <c r="B35" s="26" t="s">
        <v>63</v>
      </c>
      <c r="C35" s="34">
        <f>'Input data'!C37</f>
        <v>0.73297140000000005</v>
      </c>
      <c r="D35" s="100">
        <f>'Input data'!D37</f>
        <v>0.83926920000000005</v>
      </c>
      <c r="E35" s="100">
        <f>'Input data'!E37</f>
        <v>1.5804370000000001</v>
      </c>
      <c r="F35" s="100">
        <f>'Input data'!F37</f>
        <v>1.6625099999999999</v>
      </c>
      <c r="G35" s="100">
        <f>'Input data'!G37</f>
        <v>1.8895660000000001</v>
      </c>
      <c r="H35" s="34">
        <f t="shared" ref="H35:W35" si="3">H92</f>
        <v>1.9854717385163656</v>
      </c>
      <c r="I35" s="34">
        <f t="shared" si="3"/>
        <v>2.0745438140806316</v>
      </c>
      <c r="J35" s="34">
        <f t="shared" si="3"/>
        <v>2.1513437547152869</v>
      </c>
      <c r="K35" s="34">
        <f t="shared" si="3"/>
        <v>2.221061078171136</v>
      </c>
      <c r="L35" s="34">
        <f t="shared" si="3"/>
        <v>2.2825617644185887</v>
      </c>
      <c r="M35" s="34">
        <f t="shared" si="3"/>
        <v>2.3409157047574327</v>
      </c>
      <c r="N35" s="34">
        <f t="shared" si="3"/>
        <v>2.4003298177013139</v>
      </c>
      <c r="O35" s="34">
        <f t="shared" si="3"/>
        <v>2.4586500157814744</v>
      </c>
      <c r="P35" s="34">
        <f t="shared" si="3"/>
        <v>2.5129776784473368</v>
      </c>
      <c r="Q35" s="34">
        <f t="shared" si="3"/>
        <v>2.5646574883103792</v>
      </c>
      <c r="R35" s="34">
        <f t="shared" si="3"/>
        <v>2.613883683999163</v>
      </c>
      <c r="S35" s="34">
        <f t="shared" si="3"/>
        <v>2.6607781455937123</v>
      </c>
      <c r="T35" s="34">
        <f t="shared" si="3"/>
        <v>2.705279811670938</v>
      </c>
      <c r="U35" s="34">
        <f t="shared" si="3"/>
        <v>2.7475069213922194</v>
      </c>
      <c r="V35" s="34">
        <f t="shared" si="3"/>
        <v>2.7875665170445041</v>
      </c>
      <c r="W35" s="34">
        <f t="shared" si="3"/>
        <v>2.8256431686545924</v>
      </c>
    </row>
    <row r="36" spans="2:51" x14ac:dyDescent="0.2">
      <c r="B36" s="32" t="s">
        <v>94</v>
      </c>
      <c r="C36" s="1"/>
      <c r="D36" s="2">
        <f>'Input data'!D$39</f>
        <v>1.69</v>
      </c>
      <c r="E36" s="2">
        <f>'Input data'!E$39</f>
        <v>3.04</v>
      </c>
      <c r="F36" s="165">
        <f>'Input data'!F$39</f>
        <v>2.9418000000000002</v>
      </c>
      <c r="G36" s="165">
        <f>'Input data'!G$39</f>
        <v>3.0140359999999999</v>
      </c>
      <c r="H36" s="1">
        <f t="shared" ref="H36:N36" si="4">G36+($O$36-$G$36)/($O$10-$G$10)</f>
        <v>3.041204</v>
      </c>
      <c r="I36" s="1">
        <f t="shared" si="4"/>
        <v>3.0683720000000001</v>
      </c>
      <c r="J36" s="1">
        <f t="shared" si="4"/>
        <v>3.0955400000000002</v>
      </c>
      <c r="K36" s="1">
        <f t="shared" si="4"/>
        <v>3.1227080000000003</v>
      </c>
      <c r="L36" s="1">
        <f t="shared" si="4"/>
        <v>3.1498760000000003</v>
      </c>
      <c r="M36" s="1">
        <f t="shared" si="4"/>
        <v>3.1770440000000004</v>
      </c>
      <c r="N36" s="1">
        <f t="shared" si="4"/>
        <v>3.2042120000000005</v>
      </c>
      <c r="O36" s="251">
        <f>'Input data'!$C$52</f>
        <v>3.2313800000000001</v>
      </c>
      <c r="P36" s="1">
        <f>'Baseline NFPC'!P36</f>
        <v>3.2698110000000002</v>
      </c>
      <c r="Q36" s="1">
        <f>'Baseline NFPC'!Q36</f>
        <v>3.3082419999999999</v>
      </c>
      <c r="R36" s="1">
        <f>'Baseline NFPC'!R36</f>
        <v>3.346673</v>
      </c>
      <c r="S36" s="1">
        <f>'Baseline NFPC'!S36</f>
        <v>3.3851040000000001</v>
      </c>
      <c r="T36" s="1">
        <f>'Baseline NFPC'!T36</f>
        <v>3.4235350000000002</v>
      </c>
      <c r="U36" s="1">
        <f>'Baseline NFPC'!U36</f>
        <v>3.4619660000000003</v>
      </c>
      <c r="V36" s="1">
        <f>'Baseline NFPC'!V36</f>
        <v>3.500397</v>
      </c>
      <c r="W36" s="1">
        <f>'Baseline NFPC'!W36</f>
        <v>3.5388280000000001</v>
      </c>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60"/>
    </row>
    <row r="37" spans="2:51" x14ac:dyDescent="0.2">
      <c r="B37" s="32" t="s">
        <v>95</v>
      </c>
      <c r="C37" s="1"/>
      <c r="D37" s="2">
        <f>'Input data'!D$38</f>
        <v>0.35</v>
      </c>
      <c r="E37" s="2">
        <f>'Input data'!E$38</f>
        <v>3.43</v>
      </c>
      <c r="F37" s="165">
        <f>'Input data'!F$38</f>
        <v>3.5642079999999998</v>
      </c>
      <c r="G37" s="165">
        <f>'Input data'!G$38</f>
        <v>2.8163749999999999</v>
      </c>
      <c r="H37" s="1">
        <f>G37+($O$37-$G$37)/($O$10-$G$10)</f>
        <v>2.8050893749999997</v>
      </c>
      <c r="I37" s="1">
        <f t="shared" ref="I37:N37" si="5">H37+($O$37-$G$37)/($O$10-$G$10)</f>
        <v>2.7938037499999995</v>
      </c>
      <c r="J37" s="1">
        <f t="shared" si="5"/>
        <v>2.7825181249999993</v>
      </c>
      <c r="K37" s="1">
        <f t="shared" si="5"/>
        <v>2.7712324999999991</v>
      </c>
      <c r="L37" s="1">
        <f t="shared" si="5"/>
        <v>2.7599468749999989</v>
      </c>
      <c r="M37" s="1">
        <f t="shared" si="5"/>
        <v>2.7486612499999987</v>
      </c>
      <c r="N37" s="1">
        <f t="shared" si="5"/>
        <v>2.7373756249999985</v>
      </c>
      <c r="O37" s="251">
        <f>'Input data'!$C$53</f>
        <v>2.7260900000000001</v>
      </c>
      <c r="P37" s="1">
        <f>'Baseline NFPC'!P37</f>
        <v>2.6897855000000002</v>
      </c>
      <c r="Q37" s="1">
        <f>'Baseline NFPC'!Q37</f>
        <v>2.6534810000000002</v>
      </c>
      <c r="R37" s="1">
        <f>'Baseline NFPC'!R37</f>
        <v>2.6171765000000002</v>
      </c>
      <c r="S37" s="1">
        <f>'Baseline NFPC'!S37</f>
        <v>2.5808720000000003</v>
      </c>
      <c r="T37" s="1">
        <f>'Baseline NFPC'!T37</f>
        <v>2.5445675000000003</v>
      </c>
      <c r="U37" s="1">
        <f>'Baseline NFPC'!U37</f>
        <v>2.5082629999999999</v>
      </c>
      <c r="V37" s="1">
        <f>'Baseline NFPC'!V37</f>
        <v>2.4719584999999999</v>
      </c>
      <c r="W37" s="1">
        <f>'Baseline NFPC'!W37</f>
        <v>2.435654</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s="5" customFormat="1" ht="12.75" x14ac:dyDescent="0.2">
      <c r="B38" s="26" t="s">
        <v>96</v>
      </c>
      <c r="C38" s="34">
        <f>'Baseline NFPC'!C38</f>
        <v>6.1590999999999998E-3</v>
      </c>
      <c r="D38" s="34">
        <f>'Baseline NFPC'!D38</f>
        <v>4.1645340000000003E-2</v>
      </c>
      <c r="E38" s="34">
        <f>'Baseline NFPC'!E38</f>
        <v>3.9429850000000002E-2</v>
      </c>
      <c r="F38" s="34">
        <f>'Baseline NFPC'!F38</f>
        <v>3.1775579999999998E-2</v>
      </c>
      <c r="G38" s="34">
        <f>'Baseline NFPC'!G38</f>
        <v>3.2450447777777773E-2</v>
      </c>
      <c r="H38" s="34">
        <f>'Baseline NFPC'!H38</f>
        <v>3.3125315555555555E-2</v>
      </c>
      <c r="I38" s="34">
        <f>'Baseline NFPC'!I38</f>
        <v>3.3800183333333331E-2</v>
      </c>
      <c r="J38" s="34">
        <f>'Baseline NFPC'!J38</f>
        <v>3.4475051111111106E-2</v>
      </c>
      <c r="K38" s="34">
        <f>'Baseline NFPC'!K38</f>
        <v>3.5149918888888888E-2</v>
      </c>
      <c r="L38" s="34">
        <f>'Baseline NFPC'!L38</f>
        <v>3.5824786666666664E-2</v>
      </c>
      <c r="M38" s="34">
        <f>'Baseline NFPC'!M38</f>
        <v>3.6499654444444439E-2</v>
      </c>
      <c r="N38" s="34">
        <f>'Baseline NFPC'!N38</f>
        <v>3.7174522222222221E-2</v>
      </c>
      <c r="O38" s="34">
        <f>'Baseline NFPC'!O38</f>
        <v>3.7849389999999997E-2</v>
      </c>
      <c r="P38" s="34">
        <f>'Baseline NFPC'!P38</f>
        <v>3.7849389999999997E-2</v>
      </c>
      <c r="Q38" s="34">
        <f>'Baseline NFPC'!Q38</f>
        <v>3.7849389999999997E-2</v>
      </c>
      <c r="R38" s="34">
        <f>'Baseline NFPC'!R38</f>
        <v>3.7849389999999997E-2</v>
      </c>
      <c r="S38" s="34">
        <f>'Baseline NFPC'!S38</f>
        <v>3.7849389999999997E-2</v>
      </c>
      <c r="T38" s="34">
        <f>'Baseline NFPC'!T38</f>
        <v>3.7849389999999997E-2</v>
      </c>
      <c r="U38" s="34">
        <f>'Baseline NFPC'!U38</f>
        <v>3.7849389999999997E-2</v>
      </c>
      <c r="V38" s="34">
        <f>'Baseline NFPC'!V38</f>
        <v>3.7849389999999997E-2</v>
      </c>
      <c r="W38" s="34">
        <f>'Baseline NFPC'!W38</f>
        <v>3.7849389999999997E-2</v>
      </c>
    </row>
    <row r="39" spans="2:51" x14ac:dyDescent="0.2">
      <c r="C39" s="1"/>
      <c r="D39" s="1"/>
      <c r="E39" s="1"/>
      <c r="F39" s="1"/>
      <c r="G39" s="1"/>
      <c r="H39" s="1"/>
      <c r="I39" s="1"/>
      <c r="J39" s="1"/>
      <c r="K39" s="1"/>
      <c r="L39" s="1"/>
      <c r="M39" s="1"/>
      <c r="N39" s="1"/>
      <c r="O39" s="1"/>
      <c r="P39" s="1"/>
      <c r="Q39" s="1"/>
      <c r="R39" s="1"/>
      <c r="S39" s="1"/>
      <c r="T39" s="1"/>
      <c r="U39" s="1"/>
      <c r="V39" s="1"/>
      <c r="W39" s="1"/>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60"/>
    </row>
    <row r="40" spans="2:51" x14ac:dyDescent="0.2">
      <c r="B40" s="28" t="s">
        <v>97</v>
      </c>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6" t="s">
        <v>142</v>
      </c>
      <c r="C41" s="1">
        <f>'Input data'!C42</f>
        <v>2.397958</v>
      </c>
      <c r="D41" s="2">
        <f>'Input data'!D42</f>
        <v>5.3837979999999996</v>
      </c>
      <c r="E41" s="2">
        <f>'Input data'!E42</f>
        <v>3.9011728023607306</v>
      </c>
      <c r="F41" s="2">
        <f>'Input data'!F42</f>
        <v>1.6905743485635893</v>
      </c>
      <c r="G41" s="2">
        <f>'Input data'!G42</f>
        <v>2.1354755393935054</v>
      </c>
      <c r="H41" s="1">
        <f>'Baseline NFPC'!H41</f>
        <v>2.1872910969693171</v>
      </c>
      <c r="I41" s="1">
        <f>'Baseline NFPC'!I41</f>
        <v>2.2391066545451288</v>
      </c>
      <c r="J41" s="1">
        <f>'Baseline NFPC'!J41</f>
        <v>2.2909222121209409</v>
      </c>
      <c r="K41" s="1">
        <f>'Baseline NFPC'!K41</f>
        <v>2.3427377696967526</v>
      </c>
      <c r="L41" s="1">
        <f>'Baseline NFPC'!L41</f>
        <v>2.3945533272725643</v>
      </c>
      <c r="M41" s="1">
        <f>'Baseline NFPC'!M41</f>
        <v>2.4463688848483764</v>
      </c>
      <c r="N41" s="1">
        <f>'Baseline NFPC'!N41</f>
        <v>2.4981844424241881</v>
      </c>
      <c r="O41" s="251">
        <f>'Baseline NFPC'!O41</f>
        <v>2.5499999999999998</v>
      </c>
      <c r="P41" s="1">
        <f>'Baseline NFPC'!P41</f>
        <v>2.5225</v>
      </c>
      <c r="Q41" s="1">
        <f>'Baseline NFPC'!Q41</f>
        <v>2.4949999999999997</v>
      </c>
      <c r="R41" s="1">
        <f>'Baseline NFPC'!R41</f>
        <v>2.4674999999999998</v>
      </c>
      <c r="S41" s="1">
        <f>'Baseline NFPC'!S41</f>
        <v>2.44</v>
      </c>
      <c r="T41" s="1">
        <f>'Baseline NFPC'!T41</f>
        <v>2.4124999999999996</v>
      </c>
      <c r="U41" s="1">
        <f>'Baseline NFPC'!U41</f>
        <v>2.3849999999999998</v>
      </c>
      <c r="V41" s="1">
        <f>'Baseline NFPC'!V41</f>
        <v>2.3574999999999999</v>
      </c>
      <c r="W41" s="1">
        <f>'Baseline NFPC'!W41</f>
        <v>2.33</v>
      </c>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98</v>
      </c>
      <c r="C42" s="1">
        <f>'Baseline NFPC'!C42</f>
        <v>0.99918229999999997</v>
      </c>
      <c r="D42" s="1">
        <f>'Baseline NFPC'!D42</f>
        <v>1.0048170000000001</v>
      </c>
      <c r="E42" s="1">
        <f>'Baseline NFPC'!E42</f>
        <v>0.99943179999999998</v>
      </c>
      <c r="F42" s="1">
        <f>'Baseline NFPC'!F42</f>
        <v>1.0001910000000001</v>
      </c>
      <c r="G42" s="1">
        <f>'Baseline NFPC'!G42</f>
        <v>1.000102</v>
      </c>
      <c r="H42" s="1">
        <f>'Baseline NFPC'!H42</f>
        <v>1</v>
      </c>
      <c r="I42" s="1">
        <f>'Baseline NFPC'!I42</f>
        <v>1</v>
      </c>
      <c r="J42" s="1">
        <f>'Baseline NFPC'!J42</f>
        <v>1</v>
      </c>
      <c r="K42" s="1">
        <f>'Baseline NFPC'!K42</f>
        <v>1</v>
      </c>
      <c r="L42" s="1">
        <f>'Baseline NFPC'!L42</f>
        <v>1</v>
      </c>
      <c r="M42" s="1">
        <f>'Baseline NFPC'!M42</f>
        <v>1</v>
      </c>
      <c r="N42" s="1">
        <f>'Baseline NFPC'!N42</f>
        <v>1</v>
      </c>
      <c r="O42" s="1">
        <f>'Baseline NFPC'!O42</f>
        <v>1</v>
      </c>
      <c r="P42" s="1">
        <f>'Baseline NFPC'!P42</f>
        <v>1</v>
      </c>
      <c r="Q42" s="1">
        <f>'Baseline NFPC'!Q42</f>
        <v>1</v>
      </c>
      <c r="R42" s="1">
        <f>'Baseline NFPC'!R42</f>
        <v>1</v>
      </c>
      <c r="S42" s="1">
        <f>'Baseline NFPC'!S42</f>
        <v>1</v>
      </c>
      <c r="T42" s="1">
        <f>'Baseline NFPC'!T42</f>
        <v>1</v>
      </c>
      <c r="U42" s="1">
        <f>'Baseline NFPC'!U42</f>
        <v>1</v>
      </c>
      <c r="V42" s="1">
        <f>'Baseline NFPC'!V42</f>
        <v>1</v>
      </c>
      <c r="W42" s="1">
        <f>'Baseline NFPC'!W42</f>
        <v>1</v>
      </c>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0"/>
    </row>
    <row r="43" spans="2:51" x14ac:dyDescent="0.2">
      <c r="C43" s="36"/>
      <c r="U43" s="1"/>
      <c r="V43" s="1"/>
      <c r="W43" s="1"/>
    </row>
    <row r="44" spans="2:51" s="67" customFormat="1" ht="12.75" x14ac:dyDescent="0.2">
      <c r="B44" s="75" t="s">
        <v>99</v>
      </c>
      <c r="C44" s="68"/>
    </row>
    <row r="45" spans="2:51" x14ac:dyDescent="0.2">
      <c r="C45" s="36"/>
    </row>
    <row r="46" spans="2:51" x14ac:dyDescent="0.2">
      <c r="B46" s="54" t="s">
        <v>68</v>
      </c>
      <c r="C46" s="55">
        <f>'Input data'!C49</f>
        <v>0.75</v>
      </c>
    </row>
    <row r="47" spans="2:51" x14ac:dyDescent="0.2">
      <c r="B47" s="56" t="s">
        <v>258</v>
      </c>
      <c r="C47" s="57">
        <f>'Input data'!C50</f>
        <v>0.58199999999999996</v>
      </c>
    </row>
    <row r="48" spans="2:51" x14ac:dyDescent="0.2">
      <c r="C48" s="58"/>
    </row>
    <row r="49" spans="2:48" outlineLevel="1" x14ac:dyDescent="0.2">
      <c r="B49" s="26" t="s">
        <v>100</v>
      </c>
      <c r="C49" s="34">
        <v>0</v>
      </c>
      <c r="D49" s="34">
        <f>IF(AND(ABS((D12-C12)-('Input data'!D13-'Input data'!C13))&gt;0.0001,ABS(D12-C12)&gt;0.0001,D$10&gt;$C$5),4,IF(C49=4,3,IF(C49=3,2,IF(C49=2,1,0))))</f>
        <v>0</v>
      </c>
      <c r="E49" s="34">
        <f>IF(AND(ABS((E12-D12)-('Input data'!E13-'Input data'!D13))&gt;0.0001,ABS(E12-D12)&gt;0.0001,E$10&gt;$C$5),4,IF(D49=4,3,IF(D49=3,2,IF(D49=2,1,0))))</f>
        <v>0</v>
      </c>
      <c r="F49" s="34">
        <f>IF(AND(ABS((F12-E12)-('Input data'!F13-'Input data'!E13))&gt;0.0001,ABS(F12-E12)&gt;0.0001,F$10&gt;$C$5),4,IF(E49=4,3,IF(E49=3,2,IF(E49=2,1,0))))</f>
        <v>0</v>
      </c>
      <c r="G49" s="34">
        <f>IF(AND(ABS((G12-F12)-('Input data'!G13-'Input data'!F13))&gt;0.0001,ABS(G12-F12)&gt;0.0001,G$10&gt;$C$5),4,IF(F49=4,3,IF(F49=3,2,IF(F49=2,1,0))))</f>
        <v>4</v>
      </c>
      <c r="H49" s="34">
        <f>IF(AND(ABS((H12-G12)-('Input data'!H13-'Input data'!G13))&gt;0.0001,ABS(H12-G12)&gt;0.0001,H$10&gt;$C$5),4,IF(G49=4,3,IF(G49=3,2,IF(G49=2,1,0))))</f>
        <v>4</v>
      </c>
      <c r="I49" s="34">
        <f>IF(AND(ABS((I12-H12)-('Input data'!I13-'Input data'!H13))&gt;0.0001,ABS(I12-H12)&gt;0.0001,I$10&gt;$C$5),4,IF(H49=4,3,IF(H49=3,2,IF(H49=2,1,0))))</f>
        <v>4</v>
      </c>
      <c r="J49" s="34">
        <f>IF(AND(ABS((J12-I12)-('Input data'!J13-'Input data'!I13))&gt;0.0001,ABS(J12-I12)&gt;0.0001,J$10&gt;$C$5),4,IF(I49=4,3,IF(I49=3,2,IF(I49=2,1,0))))</f>
        <v>4</v>
      </c>
      <c r="K49" s="34">
        <f>IF(AND(ABS((K12-J12)-('Input data'!K13-'Input data'!J13))&gt;0.0001,ABS(K12-J12)&gt;0.0001,K$10&gt;$C$5),4,IF(J49=4,3,IF(J49=3,2,IF(J49=2,1,0))))</f>
        <v>4</v>
      </c>
      <c r="L49" s="34">
        <f>IF(AND(ABS((L12-K12)-('Input data'!L13-'Input data'!K13))&gt;0.0001,ABS(L12-K12)&gt;0.0001,L$10&gt;$C$5),4,IF(K49=4,3,IF(K49=3,2,IF(K49=2,1,0))))</f>
        <v>4</v>
      </c>
      <c r="M49" s="34">
        <f>IF(AND(ABS((M12-L12)-('Input data'!M13-'Input data'!L13))&gt;0.0001,ABS(M12-L12)&gt;0.0001,M$10&gt;$C$5),4,IF(L49=4,3,IF(L49=3,2,IF(L49=2,1,0))))</f>
        <v>4</v>
      </c>
      <c r="N49" s="34">
        <f>IF(AND(ABS((N12-M12)-('Input data'!N13-'Input data'!M13))&gt;0.0001,ABS(N12-M12)&gt;0.0001,N$10&gt;$C$5),4,IF(M49=4,3,IF(M49=3,2,IF(M49=2,1,0))))</f>
        <v>4</v>
      </c>
      <c r="O49" s="34">
        <f>IF(AND(ABS((O12-N12)-('Input data'!O13-'Input data'!N13))&gt;0.0001,ABS(O12-N12)&gt;0.0001,O$10&gt;$C$5),4,IF(N49=4,3,IF(N49=3,2,IF(N49=2,1,0))))</f>
        <v>4</v>
      </c>
      <c r="P49" s="34">
        <f>IF(AND(ABS((P12-O12)-('Input data'!P13-'Input data'!O13))&gt;0.0001,ABS(P12-O12)&gt;0.0001,P$10&gt;$C$5),4,IF(O49=4,3,IF(O49=3,2,IF(O49=2,1,0))))</f>
        <v>3</v>
      </c>
      <c r="Q49" s="34">
        <f>IF(AND(ABS((Q12-P12)-('Input data'!Q13-'Input data'!P13))&gt;0.0001,ABS(Q12-P12)&gt;0.0001,Q$10&gt;$C$5),4,IF(P49=4,3,IF(P49=3,2,IF(P49=2,1,0))))</f>
        <v>2</v>
      </c>
      <c r="R49" s="34">
        <f>IF(AND(ABS((R12-Q12)-('Input data'!R13-'Input data'!Q13))&gt;0.0001,ABS(R12-Q12)&gt;0.0001,R$10&gt;$C$5),4,IF(Q49=4,3,IF(Q49=3,2,IF(Q49=2,1,0))))</f>
        <v>1</v>
      </c>
      <c r="S49" s="34">
        <f>IF(AND(ABS((S12-R12)-('Input data'!S13-'Input data'!R13))&gt;0.0001,ABS(S12-R12)&gt;0.0001,S$10&gt;$C$5),4,IF(R49=4,3,IF(R49=3,2,IF(R49=2,1,0))))</f>
        <v>0</v>
      </c>
      <c r="T49" s="34">
        <f>IF(AND(ABS((T12-S12)-('Input data'!T13-'Input data'!S13))&gt;0.0001,ABS(T12-S12)&gt;0.0001,T$10&gt;$C$5),4,IF(S49=4,3,IF(S49=3,2,IF(S49=2,1,0))))</f>
        <v>0</v>
      </c>
      <c r="U49" s="34">
        <f>IF(AND(ABS((U12-T12)-('Input data'!U13-'Input data'!T13))&gt;0.0001,ABS(U12-T12)&gt;0.0001,U$10&gt;$C$5),4,IF(T49=4,3,IF(T49=3,2,IF(T49=2,1,0))))</f>
        <v>0</v>
      </c>
      <c r="V49" s="34">
        <f>IF(AND(ABS((V12-U12)-('Input data'!V13-'Input data'!U13))&gt;0.0001,ABS(V12-U12)&gt;0.0001,V$10&gt;$C$5),4,IF(U49=4,3,IF(U49=3,2,IF(U49=2,1,0))))</f>
        <v>0</v>
      </c>
      <c r="W49" s="34">
        <f>IF(AND(ABS((W12-V12)-('Input data'!W13-'Input data'!V13))&gt;0.0001,ABS(W12-V12)&gt;0.0001,W$10&gt;$C$5),4,IF(V49=4,3,IF(V49=3,2,IF(V49=2,1,0))))</f>
        <v>0</v>
      </c>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row>
    <row r="50" spans="2:48" outlineLevel="1" x14ac:dyDescent="0.2">
      <c r="B50" s="26" t="s">
        <v>101</v>
      </c>
      <c r="C50" s="34">
        <v>0</v>
      </c>
      <c r="D50" s="34">
        <f t="shared" ref="D50:W50" si="6">IF(C49=4,2/3*C29,IF(C49=3,1/3*B29,0))</f>
        <v>0</v>
      </c>
      <c r="E50" s="34">
        <f t="shared" si="6"/>
        <v>0</v>
      </c>
      <c r="F50" s="34">
        <f t="shared" si="6"/>
        <v>0</v>
      </c>
      <c r="G50" s="34">
        <f t="shared" si="6"/>
        <v>0</v>
      </c>
      <c r="H50" s="34">
        <f t="shared" si="6"/>
        <v>-1.7999023029811563</v>
      </c>
      <c r="I50" s="34">
        <f t="shared" si="6"/>
        <v>-1.2481342297017139</v>
      </c>
      <c r="J50" s="34">
        <f t="shared" si="6"/>
        <v>-0.88069883973314056</v>
      </c>
      <c r="K50" s="34">
        <f t="shared" si="6"/>
        <v>-0.63601493658716657</v>
      </c>
      <c r="L50" s="34">
        <f t="shared" si="6"/>
        <v>-0.4730741472857532</v>
      </c>
      <c r="M50" s="34">
        <f t="shared" si="6"/>
        <v>-0.36456802785244469</v>
      </c>
      <c r="N50" s="34">
        <f t="shared" si="6"/>
        <v>-0.29231124055593877</v>
      </c>
      <c r="O50" s="34">
        <f t="shared" si="6"/>
        <v>-7.1575212409065905E-2</v>
      </c>
      <c r="P50" s="34">
        <f t="shared" si="6"/>
        <v>7.5992185404150092E-2</v>
      </c>
      <c r="Q50" s="34">
        <f t="shared" si="6"/>
        <v>3.7996092702075046E-2</v>
      </c>
      <c r="R50" s="34">
        <f t="shared" si="6"/>
        <v>0</v>
      </c>
      <c r="S50" s="34">
        <f t="shared" si="6"/>
        <v>0</v>
      </c>
      <c r="T50" s="34">
        <f t="shared" si="6"/>
        <v>0</v>
      </c>
      <c r="U50" s="34">
        <f t="shared" si="6"/>
        <v>0</v>
      </c>
      <c r="V50" s="34">
        <f t="shared" si="6"/>
        <v>0</v>
      </c>
      <c r="W50" s="34">
        <f t="shared" si="6"/>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102</v>
      </c>
      <c r="C51" s="34"/>
      <c r="D51" s="34">
        <f>'Input data'!D30-$C$46*((D12-C12)-('Input data'!D13-'Input data'!C13))</f>
        <v>1.335467</v>
      </c>
      <c r="E51" s="34">
        <f>'Input data'!E30-$C$46*((E12-D12)-('Input data'!E13-'Input data'!D13))</f>
        <v>-1.1595058938339342</v>
      </c>
      <c r="F51" s="34">
        <f>'Input data'!F30-$C$46*((F12-E12)-('Input data'!F13-'Input data'!E13))</f>
        <v>-0.22177088705733761</v>
      </c>
      <c r="G51" s="34">
        <f>'Input data'!G30-$C$46*((G12-F12))</f>
        <v>1.7602</v>
      </c>
      <c r="H51" s="34">
        <f>'Input data'!H30-$C$46*((H12-G12))</f>
        <v>1.7601999999999924</v>
      </c>
      <c r="I51" s="34">
        <f>'Input data'!I30-$C$46*((I12-H12))</f>
        <v>1.7601999999999924</v>
      </c>
      <c r="J51" s="34">
        <f>'Input data'!J30-$C$46*((J12-I12))</f>
        <v>1.7601999999999924</v>
      </c>
      <c r="K51" s="34">
        <f>'Input data'!K30-$C$46*((K12-J12))</f>
        <v>0.86010000000001097</v>
      </c>
      <c r="L51" s="34">
        <f>'Input data'!L30-$C$46*((L12-K12))</f>
        <v>0.86008997222222505</v>
      </c>
      <c r="M51" s="34">
        <f>'Input data'!M30-$C$46*((M12-L12))</f>
        <v>0.86008697222222108</v>
      </c>
      <c r="N51" s="34">
        <f>'Input data'!N30-$C$46*((N12-M12))</f>
        <v>1.1225868722222128</v>
      </c>
      <c r="O51" s="34">
        <f>'Input data'!O30-$C$46*((O12-N12))</f>
        <v>1.1225859722222271</v>
      </c>
      <c r="P51" s="34">
        <f>'Input data'!P30-$C$46*((P12-O12))</f>
        <v>0.93508937222221977</v>
      </c>
      <c r="Q51" s="34">
        <f>'Input data'!Q30-$C$46*((Q12-P12))</f>
        <v>0.93508447222221402</v>
      </c>
      <c r="R51" s="34">
        <f>'Input data'!R30-$C$46*((R12-Q12))</f>
        <v>0.93508647222222407</v>
      </c>
      <c r="S51" s="34">
        <f>'Input data'!S30-$C$46*((S12-R12))</f>
        <v>0.9350834722222201</v>
      </c>
      <c r="T51" s="34">
        <f>'Input data'!T30-$C$46*((T12-S12))</f>
        <v>0.93508947222222805</v>
      </c>
      <c r="U51" s="34">
        <f>'Input data'!U30-$C$46*((U12-T12))</f>
        <v>0.93508647222222407</v>
      </c>
      <c r="V51" s="34">
        <f>'Input data'!V30-$C$46*((V12-U12))</f>
        <v>0.93509147222221589</v>
      </c>
      <c r="W51" s="34">
        <f>'Input data'!W30-$C$46*((W12-V12))</f>
        <v>0.93508847222221192</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x14ac:dyDescent="0.2">
      <c r="C52" s="36"/>
    </row>
    <row r="53" spans="2:48" s="67" customFormat="1" ht="12.75" outlineLevel="1" x14ac:dyDescent="0.2">
      <c r="B53" s="72" t="s">
        <v>103</v>
      </c>
      <c r="C53" s="69"/>
      <c r="E53" s="70"/>
      <c r="F53" s="69"/>
    </row>
    <row r="54" spans="2:48" outlineLevel="1" x14ac:dyDescent="0.2">
      <c r="B54" s="43"/>
      <c r="C54" s="29"/>
      <c r="E54" s="44"/>
      <c r="F54" s="29"/>
    </row>
    <row r="55" spans="2:48" outlineLevel="1" x14ac:dyDescent="0.2">
      <c r="B55" s="85"/>
      <c r="C55" s="86">
        <v>2021</v>
      </c>
      <c r="D55" s="86">
        <v>2022</v>
      </c>
      <c r="E55" s="86">
        <v>2023</v>
      </c>
      <c r="F55" s="86">
        <v>2024</v>
      </c>
      <c r="G55" s="86">
        <v>2025</v>
      </c>
      <c r="H55" s="86">
        <v>2026</v>
      </c>
      <c r="I55" s="86">
        <v>2027</v>
      </c>
      <c r="J55" s="86">
        <v>2028</v>
      </c>
      <c r="K55" s="86">
        <v>2029</v>
      </c>
      <c r="L55" s="86">
        <v>2030</v>
      </c>
      <c r="M55" s="86">
        <v>2031</v>
      </c>
      <c r="N55" s="86">
        <v>2032</v>
      </c>
      <c r="O55" s="86">
        <v>2033</v>
      </c>
      <c r="P55" s="86">
        <v>2034</v>
      </c>
      <c r="Q55" s="86">
        <v>2035</v>
      </c>
      <c r="R55" s="86">
        <v>2036</v>
      </c>
      <c r="S55" s="86">
        <v>2037</v>
      </c>
      <c r="T55" s="86">
        <v>2038</v>
      </c>
      <c r="U55" s="86">
        <v>2039</v>
      </c>
      <c r="V55" s="86">
        <v>2040</v>
      </c>
      <c r="W55" s="86">
        <v>2041</v>
      </c>
    </row>
    <row r="56" spans="2:48" ht="10.5" customHeight="1" outlineLevel="1" x14ac:dyDescent="0.2">
      <c r="B56" s="87" t="s">
        <v>104</v>
      </c>
      <c r="C56" s="45">
        <f>+'Input data'!C12</f>
        <v>72.584819999999993</v>
      </c>
      <c r="D56" s="45">
        <f t="shared" ref="D56:T56" si="7">+C56+D57</f>
        <v>73.511610584961744</v>
      </c>
      <c r="E56" s="45">
        <f t="shared" si="7"/>
        <v>76.572506382321123</v>
      </c>
      <c r="F56" s="45">
        <f t="shared" si="7"/>
        <v>81.669832373893243</v>
      </c>
      <c r="G56" s="45">
        <f t="shared" si="7"/>
        <v>83.193157241487697</v>
      </c>
      <c r="H56" s="45">
        <f t="shared" si="7"/>
        <v>84.556754593314608</v>
      </c>
      <c r="I56" s="45">
        <f t="shared" si="7"/>
        <v>85.459120171217933</v>
      </c>
      <c r="J56" s="45">
        <f t="shared" si="7"/>
        <v>86.145056856268312</v>
      </c>
      <c r="K56" s="45">
        <f t="shared" si="7"/>
        <v>86.34726643202589</v>
      </c>
      <c r="L56" s="45">
        <f t="shared" si="7"/>
        <v>86.468995590643061</v>
      </c>
      <c r="M56" s="45">
        <f t="shared" si="7"/>
        <v>86.939180456571577</v>
      </c>
      <c r="N56" s="45">
        <f t="shared" si="7"/>
        <v>87.306868504821239</v>
      </c>
      <c r="O56" s="46">
        <f t="shared" si="7"/>
        <v>87.72900153623246</v>
      </c>
      <c r="P56" s="46">
        <f t="shared" si="7"/>
        <v>88.300174424421201</v>
      </c>
      <c r="Q56" s="46">
        <f t="shared" si="7"/>
        <v>88.785216866922113</v>
      </c>
      <c r="R56" s="46">
        <f t="shared" si="7"/>
        <v>89.167603629491808</v>
      </c>
      <c r="S56" s="46">
        <f t="shared" si="7"/>
        <v>89.372098108716514</v>
      </c>
      <c r="T56" s="46">
        <f t="shared" si="7"/>
        <v>89.416064722771694</v>
      </c>
      <c r="U56" s="46">
        <f>+T56+U57</f>
        <v>89.284564260755701</v>
      </c>
      <c r="V56" s="46">
        <f>+U56+V57</f>
        <v>88.97773697306026</v>
      </c>
      <c r="W56" s="46">
        <f>+V56+W57</f>
        <v>88.511232115005498</v>
      </c>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row>
    <row r="57" spans="2:48" outlineLevel="1" x14ac:dyDescent="0.2">
      <c r="B57" s="88" t="s">
        <v>105</v>
      </c>
      <c r="C57" s="47"/>
      <c r="D57" s="47">
        <f t="shared" ref="D57:T57" si="8">-D58+D66+D71</f>
        <v>0.92679058496175415</v>
      </c>
      <c r="E57" s="47">
        <f t="shared" si="8"/>
        <v>3.060895797359378</v>
      </c>
      <c r="F57" s="47">
        <f t="shared" si="8"/>
        <v>5.0973259915721227</v>
      </c>
      <c r="G57" s="47">
        <f t="shared" si="8"/>
        <v>1.5233248675944475</v>
      </c>
      <c r="H57" s="47">
        <f t="shared" si="8"/>
        <v>1.3635973518269109</v>
      </c>
      <c r="I57" s="47">
        <f t="shared" si="8"/>
        <v>0.90236557790332039</v>
      </c>
      <c r="J57" s="47">
        <f t="shared" si="8"/>
        <v>0.6859366850503813</v>
      </c>
      <c r="K57" s="47">
        <f t="shared" si="8"/>
        <v>0.2022095757575848</v>
      </c>
      <c r="L57" s="47">
        <f t="shared" si="8"/>
        <v>0.12172915861717459</v>
      </c>
      <c r="M57" s="47">
        <f t="shared" si="8"/>
        <v>0.47018486592851727</v>
      </c>
      <c r="N57" s="47">
        <f t="shared" si="8"/>
        <v>0.36768804824966517</v>
      </c>
      <c r="O57" s="47">
        <f t="shared" si="8"/>
        <v>0.42213303141122482</v>
      </c>
      <c r="P57" s="47">
        <f t="shared" si="8"/>
        <v>0.57117288818874046</v>
      </c>
      <c r="Q57" s="47">
        <f t="shared" si="8"/>
        <v>0.48504244250090633</v>
      </c>
      <c r="R57" s="47">
        <f t="shared" si="8"/>
        <v>0.38238676256969106</v>
      </c>
      <c r="S57" s="47">
        <f t="shared" si="8"/>
        <v>0.20449447922470709</v>
      </c>
      <c r="T57" s="47">
        <f t="shared" si="8"/>
        <v>4.396661405517488E-2</v>
      </c>
      <c r="U57" s="47">
        <f>-U58+U66+U71</f>
        <v>-0.13150046201599919</v>
      </c>
      <c r="V57" s="47">
        <f>-V58+V66+V71</f>
        <v>-0.30682728769544254</v>
      </c>
      <c r="W57" s="47">
        <f>-W58+W66+W71</f>
        <v>-0.46650485805476832</v>
      </c>
    </row>
    <row r="58" spans="2:48" outlineLevel="1" x14ac:dyDescent="0.2">
      <c r="B58" s="84" t="s">
        <v>106</v>
      </c>
      <c r="C58" s="48"/>
      <c r="D58" s="48">
        <f t="shared" ref="D58:T58" si="9">D59+D60-D61-D62-D63-D64-D65</f>
        <v>0.20695241503824502</v>
      </c>
      <c r="E58" s="48">
        <f t="shared" si="9"/>
        <v>-1.7183327929179697</v>
      </c>
      <c r="F58" s="48">
        <f t="shared" si="9"/>
        <v>-2.4049191831936598</v>
      </c>
      <c r="G58" s="48">
        <f t="shared" si="9"/>
        <v>-1.8457580550476558</v>
      </c>
      <c r="H58" s="48">
        <f t="shared" si="9"/>
        <v>-1.2640645270747026</v>
      </c>
      <c r="I58" s="48">
        <f t="shared" si="9"/>
        <v>-0.84329343163213788</v>
      </c>
      <c r="J58" s="48">
        <f t="shared" si="9"/>
        <v>-0.52968438418570274</v>
      </c>
      <c r="K58" s="48">
        <f t="shared" si="9"/>
        <v>-0.28743707512556882</v>
      </c>
      <c r="L58" s="48">
        <f t="shared" si="9"/>
        <v>-9.271123286029051E-2</v>
      </c>
      <c r="M58" s="48">
        <f t="shared" si="9"/>
        <v>7.0368942449559158E-2</v>
      </c>
      <c r="N58" s="48">
        <f t="shared" si="9"/>
        <v>-1.4447504978220234E-2</v>
      </c>
      <c r="O58" s="48">
        <f t="shared" si="9"/>
        <v>-0.12558116668727953</v>
      </c>
      <c r="P58" s="48">
        <f t="shared" si="9"/>
        <v>-0.13809489263988869</v>
      </c>
      <c r="Q58" s="48">
        <f t="shared" si="9"/>
        <v>-0.14208861859250693</v>
      </c>
      <c r="R58" s="48">
        <f t="shared" si="9"/>
        <v>-0.13011234454510662</v>
      </c>
      <c r="S58" s="48">
        <f t="shared" si="9"/>
        <v>-7.7100874596273877E-2</v>
      </c>
      <c r="T58" s="48">
        <f t="shared" si="9"/>
        <v>-8.3469449976167898E-3</v>
      </c>
      <c r="U58" s="48">
        <f>U59+U60-U61-U62-U63-U64-U65</f>
        <v>7.4625254777732325E-2</v>
      </c>
      <c r="V58" s="48">
        <f>V59+V60-V61-V62-V63-V64-V65</f>
        <v>0.15656033759364965</v>
      </c>
      <c r="W58" s="48">
        <f>W59+W60-W61-W62-W63-W64-W65</f>
        <v>0.22178369058639974</v>
      </c>
    </row>
    <row r="59" spans="2:48" outlineLevel="1" x14ac:dyDescent="0.2">
      <c r="B59" s="79" t="s">
        <v>107</v>
      </c>
      <c r="C59" s="1"/>
      <c r="D59" s="1">
        <f>D12</f>
        <v>0.29205680000000001</v>
      </c>
      <c r="E59" s="1">
        <f>E12</f>
        <v>-0.3391101166058319</v>
      </c>
      <c r="F59" s="1">
        <f>F12</f>
        <v>-0.3744433445451063</v>
      </c>
      <c r="G59" s="1">
        <f t="shared" ref="G59:W59" si="10">IF(G12="",F59,G12)</f>
        <v>-0.27444334454510633</v>
      </c>
      <c r="H59" s="1">
        <f t="shared" si="10"/>
        <v>-0.17444334454510632</v>
      </c>
      <c r="I59" s="1">
        <f t="shared" si="10"/>
        <v>-7.4443344545106316E-2</v>
      </c>
      <c r="J59" s="1">
        <f t="shared" si="10"/>
        <v>2.555665545489369E-2</v>
      </c>
      <c r="K59" s="1">
        <f t="shared" si="10"/>
        <v>0.1255566554548937</v>
      </c>
      <c r="L59" s="1">
        <f t="shared" si="10"/>
        <v>0.2255566554548937</v>
      </c>
      <c r="M59" s="1">
        <f t="shared" si="10"/>
        <v>0.32555665545489371</v>
      </c>
      <c r="N59" s="1">
        <f t="shared" si="10"/>
        <v>7.5556655454893706E-2</v>
      </c>
      <c r="O59" s="1">
        <f t="shared" si="10"/>
        <v>-0.17444334454510629</v>
      </c>
      <c r="P59" s="1">
        <f t="shared" si="10"/>
        <v>-0.17444334454510629</v>
      </c>
      <c r="Q59" s="1">
        <f t="shared" si="10"/>
        <v>-0.17444334454510629</v>
      </c>
      <c r="R59" s="1">
        <f t="shared" si="10"/>
        <v>-0.17444334454510629</v>
      </c>
      <c r="S59" s="1">
        <f t="shared" si="10"/>
        <v>-0.17444334454510629</v>
      </c>
      <c r="T59" s="1">
        <f t="shared" si="10"/>
        <v>-0.17444334454510629</v>
      </c>
      <c r="U59" s="1">
        <f t="shared" si="10"/>
        <v>-0.17444334454510629</v>
      </c>
      <c r="V59" s="1">
        <f t="shared" si="10"/>
        <v>-0.17444334454510629</v>
      </c>
      <c r="W59" s="1">
        <f t="shared" si="10"/>
        <v>-0.17444334454510629</v>
      </c>
    </row>
    <row r="60" spans="2:48" outlineLevel="1" x14ac:dyDescent="0.2">
      <c r="B60" s="79" t="s">
        <v>108</v>
      </c>
      <c r="C60" s="1"/>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2:48" outlineLevel="1" x14ac:dyDescent="0.2">
      <c r="B61" s="79" t="s">
        <v>109</v>
      </c>
      <c r="C61" s="1"/>
      <c r="D61" s="1">
        <f t="shared" ref="D61:W61" si="11">-$C$47*D29</f>
        <v>8.5104384961754986E-2</v>
      </c>
      <c r="E61" s="1">
        <f t="shared" si="11"/>
        <v>1.3792226763121378</v>
      </c>
      <c r="F61" s="1">
        <f t="shared" si="11"/>
        <v>2.0304758386485537</v>
      </c>
      <c r="G61" s="1">
        <f t="shared" si="11"/>
        <v>1.5713147105025493</v>
      </c>
      <c r="H61" s="1">
        <f t="shared" si="11"/>
        <v>1.0896211825295963</v>
      </c>
      <c r="I61" s="1">
        <f t="shared" si="11"/>
        <v>0.76885008708703162</v>
      </c>
      <c r="J61" s="1">
        <f t="shared" si="11"/>
        <v>0.55524103964059646</v>
      </c>
      <c r="K61" s="1">
        <f t="shared" si="11"/>
        <v>0.41299373058046251</v>
      </c>
      <c r="L61" s="1">
        <f t="shared" si="11"/>
        <v>0.31826788831518421</v>
      </c>
      <c r="M61" s="1">
        <f t="shared" si="11"/>
        <v>0.25518771300533455</v>
      </c>
      <c r="N61" s="1">
        <f t="shared" si="11"/>
        <v>6.2485160433114535E-2</v>
      </c>
      <c r="O61" s="1">
        <f t="shared" si="11"/>
        <v>-6.6341177857823022E-2</v>
      </c>
      <c r="P61" s="1">
        <f t="shared" si="11"/>
        <v>-4.4227451905215348E-2</v>
      </c>
      <c r="Q61" s="1">
        <f t="shared" si="11"/>
        <v>-2.2113725952594754E-2</v>
      </c>
      <c r="R61" s="1">
        <f t="shared" si="11"/>
        <v>0</v>
      </c>
      <c r="S61" s="1">
        <f t="shared" si="11"/>
        <v>9.5300511670171059E-6</v>
      </c>
      <c r="T61" s="1">
        <f t="shared" si="11"/>
        <v>1.5600452510544646E-5</v>
      </c>
      <c r="U61" s="1">
        <f t="shared" si="11"/>
        <v>2.3400677160134718E-5</v>
      </c>
      <c r="V61" s="1">
        <f t="shared" si="11"/>
        <v>2.831786124537494E-5</v>
      </c>
      <c r="W61" s="1">
        <f t="shared" si="11"/>
        <v>3.4964868494524737E-5</v>
      </c>
    </row>
    <row r="62" spans="2:48" outlineLevel="1" x14ac:dyDescent="0.2">
      <c r="B62" s="79" t="s">
        <v>110</v>
      </c>
      <c r="C62" s="1"/>
      <c r="D62" s="1">
        <f t="shared" ref="D62:W62" si="12">-D13</f>
        <v>0</v>
      </c>
      <c r="E62" s="1">
        <f t="shared" si="12"/>
        <v>0</v>
      </c>
      <c r="F62" s="1">
        <f t="shared" si="12"/>
        <v>0</v>
      </c>
      <c r="G62" s="1">
        <f t="shared" si="12"/>
        <v>0</v>
      </c>
      <c r="H62" s="1">
        <f t="shared" si="12"/>
        <v>0</v>
      </c>
      <c r="I62" s="1">
        <f t="shared" si="12"/>
        <v>0</v>
      </c>
      <c r="J62" s="1">
        <f t="shared" si="12"/>
        <v>0</v>
      </c>
      <c r="K62" s="1">
        <f t="shared" si="12"/>
        <v>0</v>
      </c>
      <c r="L62" s="1">
        <f t="shared" si="12"/>
        <v>0</v>
      </c>
      <c r="M62" s="1">
        <f t="shared" si="12"/>
        <v>0</v>
      </c>
      <c r="N62" s="1">
        <f t="shared" si="12"/>
        <v>0</v>
      </c>
      <c r="O62" s="1">
        <f t="shared" si="12"/>
        <v>0</v>
      </c>
      <c r="P62" s="1">
        <f t="shared" si="12"/>
        <v>0</v>
      </c>
      <c r="Q62" s="1">
        <f t="shared" si="12"/>
        <v>0</v>
      </c>
      <c r="R62" s="1">
        <f t="shared" si="12"/>
        <v>0</v>
      </c>
      <c r="S62" s="1">
        <f t="shared" si="12"/>
        <v>0</v>
      </c>
      <c r="T62" s="1">
        <f t="shared" si="12"/>
        <v>0</v>
      </c>
      <c r="U62" s="1">
        <f t="shared" si="12"/>
        <v>0</v>
      </c>
      <c r="V62" s="1">
        <f t="shared" si="12"/>
        <v>0</v>
      </c>
      <c r="W62" s="1">
        <f t="shared" si="12"/>
        <v>0</v>
      </c>
    </row>
    <row r="63" spans="2:48" outlineLevel="1" x14ac:dyDescent="0.2">
      <c r="B63" s="79" t="s">
        <v>111</v>
      </c>
      <c r="C63" s="1"/>
      <c r="D63" s="1">
        <f>IF(D$55&lt;=$C$6,0,HLOOKUP(D$55,'Input data'!$C$9:$BB$26,12,FALSE)-HLOOKUP($C$6,'Input data'!$C$9:$BB$26,12,FALSE))</f>
        <v>0</v>
      </c>
      <c r="E63" s="1">
        <f>IF(E$55&lt;=$C$6,0,HLOOKUP(E$55,'Input data'!$C$9:$BB$26,12,FALSE)-HLOOKUP($C$6,'Input data'!$C$9:$BB$26,12,FALSE))</f>
        <v>0</v>
      </c>
      <c r="F63" s="1">
        <f>IF(F$55&lt;=$C$6,0,HLOOKUP(F$55,'Input data'!$C$9:$BB$26,12,FALSE)-HLOOKUP($C$6,'Input data'!$C$9:$BB$26,12,FALSE))</f>
        <v>0</v>
      </c>
      <c r="G63" s="1">
        <f>IF(G$55&lt;=$C$6,0,HLOOKUP(G$55,'Input data'!$C$9:$BB$26,12,FALSE)-HLOOKUP($C$6,'Input data'!$C$9:$BB$26,12,FALSE))</f>
        <v>0</v>
      </c>
      <c r="H63" s="1">
        <f>IF(H$55&lt;=$C$6,0,HLOOKUP(H$55,'Input data'!$C$9:$BB$26,12,FALSE)-HLOOKUP($C$6,'Input data'!$C$9:$BB$26,12,FALSE))</f>
        <v>0</v>
      </c>
      <c r="I63" s="1">
        <f>IF(I$55&lt;=$C$6,0,HLOOKUP(I$55,'Input data'!$C$9:$BB$26,12,FALSE)-HLOOKUP($C$6,'Input data'!$C$9:$BB$26,12,FALSE))</f>
        <v>0</v>
      </c>
      <c r="J63" s="1">
        <f>IF(J$55&lt;=$C$6,0,HLOOKUP(J$55,'Input data'!$C$9:$BB$26,12,FALSE)-HLOOKUP($C$6,'Input data'!$C$9:$BB$26,12,FALSE))</f>
        <v>0</v>
      </c>
      <c r="K63" s="1">
        <f>IF(K$55&lt;=$C$6,0,HLOOKUP(K$55,'Input data'!$C$9:$BB$26,12,FALSE)-HLOOKUP($C$6,'Input data'!$C$9:$BB$26,12,FALSE))</f>
        <v>0</v>
      </c>
      <c r="L63" s="1">
        <f>IF(L$55&lt;=$C$6,0,HLOOKUP(L$55,'Input data'!$C$9:$BB$26,12,FALSE)-HLOOKUP($C$6,'Input data'!$C$9:$BB$26,12,FALSE))</f>
        <v>0</v>
      </c>
      <c r="M63" s="1">
        <f>IF(M$55&lt;=$C$6,0,HLOOKUP(M$55,'Input data'!$C$9:$BB$26,12,FALSE)-HLOOKUP($C$6,'Input data'!$C$9:$BB$26,12,FALSE))</f>
        <v>0</v>
      </c>
      <c r="N63" s="1">
        <f>IF(N$55&lt;=$C$6,0,HLOOKUP(N$55,'Input data'!$C$9:$BB$26,12,FALSE)-HLOOKUP($C$6,'Input data'!$C$9:$BB$26,12,FALSE))</f>
        <v>3.416999999999959E-2</v>
      </c>
      <c r="O63" s="1">
        <f>IF(O$55&lt;=$C$6,0,HLOOKUP(O$55,'Input data'!$C$9:$BB$26,12,FALSE)-HLOOKUP($C$6,'Input data'!$C$9:$BB$26,12,FALSE))</f>
        <v>3.0779999999996477E-2</v>
      </c>
      <c r="P63" s="1">
        <f>IF(P$55&lt;=$C$6,0,HLOOKUP(P$55,'Input data'!$C$9:$BB$26,12,FALSE)-HLOOKUP($C$6,'Input data'!$C$9:$BB$26,12,FALSE))</f>
        <v>2.7829999999998023E-2</v>
      </c>
      <c r="Q63" s="1">
        <f>IF(Q$55&lt;=$C$6,0,HLOOKUP(Q$55,'Input data'!$C$9:$BB$26,12,FALSE)-HLOOKUP($C$6,'Input data'!$C$9:$BB$26,12,FALSE))</f>
        <v>1.6359999999995267E-2</v>
      </c>
      <c r="R63" s="1">
        <f>IF(R$55&lt;=$C$6,0,HLOOKUP(R$55,'Input data'!$C$9:$BB$26,12,FALSE)-HLOOKUP($C$6,'Input data'!$C$9:$BB$26,12,FALSE))</f>
        <v>-1.1079999999999757E-2</v>
      </c>
      <c r="S63" s="1">
        <f>IF(S$55&lt;=$C$6,0,HLOOKUP(S$55,'Input data'!$C$9:$BB$26,12,FALSE)-HLOOKUP($C$6,'Input data'!$C$9:$BB$26,12,FALSE))</f>
        <v>-5.7449999999999335E-2</v>
      </c>
      <c r="T63" s="1">
        <f>IF(T$55&lt;=$C$6,0,HLOOKUP(T$55,'Input data'!$C$9:$BB$26,12,FALSE)-HLOOKUP($C$6,'Input data'!$C$9:$BB$26,12,FALSE))</f>
        <v>-0.11955999999999989</v>
      </c>
      <c r="U63" s="1">
        <f>IF(U$55&lt;=$C$6,0,HLOOKUP(U$55,'Input data'!$C$9:$BB$26,12,FALSE)-HLOOKUP($C$6,'Input data'!$C$9:$BB$26,12,FALSE))</f>
        <v>-0.19588999999999857</v>
      </c>
      <c r="V63" s="1">
        <f>IF(V$55&lt;=$C$6,0,HLOOKUP(V$55,'Input data'!$C$9:$BB$26,12,FALSE)-HLOOKUP($C$6,'Input data'!$C$9:$BB$26,12,FALSE))</f>
        <v>-0.27118000000000109</v>
      </c>
      <c r="W63" s="1">
        <f>IF(W$55&lt;=$C$6,0,HLOOKUP(W$55,'Input data'!$C$9:$BB$26,12,FALSE)-HLOOKUP($C$6,'Input data'!$C$9:$BB$26,12,FALSE))</f>
        <v>-0.32976000000000028</v>
      </c>
    </row>
    <row r="64" spans="2:48" outlineLevel="1" x14ac:dyDescent="0.2">
      <c r="B64" s="79" t="s">
        <v>112</v>
      </c>
      <c r="C64" s="1"/>
      <c r="D64" s="1">
        <f>IF(D$55&lt;=$C$5,0,-HLOOKUP(D$55,'Input data'!$C$9:$BB$26,18,FALSE)+HLOOKUP($C$6,'Input data'!$C$9:$BB$26,18,FALSE))</f>
        <v>0</v>
      </c>
      <c r="E64" s="1">
        <f>IF(E$55&lt;=$C$5,0,-HLOOKUP(E$55,'Input data'!$C$9:$BB$26,18,FALSE)+HLOOKUP($C$6,'Input data'!$C$9:$BB$26,18,FALSE))</f>
        <v>0</v>
      </c>
      <c r="F64" s="1">
        <f>IF(F$55&lt;=$C$5,0,-HLOOKUP(F$55,'Input data'!$C$9:$BB$26,18,FALSE)+HLOOKUP($C$6,'Input data'!$C$9:$BB$26,18,FALSE))</f>
        <v>0</v>
      </c>
      <c r="G64" s="1">
        <f>IF(G$55&lt;=$C$6,0,-HLOOKUP(G$55,'Input data'!$C$9:$BB$26,18,FALSE)+HLOOKUP($C$6,'Input data'!$C$9:$BB$26,18,FALSE))</f>
        <v>0</v>
      </c>
      <c r="H64" s="1">
        <f>IF(H$55&lt;=$C$6,0,-HLOOKUP(H$55,'Input data'!$C$9:$BB$26,18,FALSE)+HLOOKUP($C$6,'Input data'!$C$9:$BB$26,18,FALSE))</f>
        <v>0</v>
      </c>
      <c r="I64" s="1">
        <f>IF(I$55&lt;=$C$6,0,-HLOOKUP(I$55,'Input data'!$C$9:$BB$26,18,FALSE)+HLOOKUP($C$6,'Input data'!$C$9:$BB$26,18,FALSE))</f>
        <v>0</v>
      </c>
      <c r="J64" s="1">
        <f>IF(J$55&lt;=$C$6,0,-HLOOKUP(J$55,'Input data'!$C$9:$BB$26,18,FALSE)+HLOOKUP($C$6,'Input data'!$C$9:$BB$26,18,FALSE))</f>
        <v>0</v>
      </c>
      <c r="K64" s="1">
        <f>IF(K$55&lt;=$C$6,0,-HLOOKUP(K$55,'Input data'!$C$9:$BB$26,18,FALSE)+HLOOKUP($C$6,'Input data'!$C$9:$BB$26,18,FALSE))</f>
        <v>0</v>
      </c>
      <c r="L64" s="1">
        <f>IF(L$55&lt;=$C$6,0,-HLOOKUP(L$55,'Input data'!$C$9:$BB$26,18,FALSE)+HLOOKUP($C$6,'Input data'!$C$9:$BB$26,18,FALSE))</f>
        <v>0</v>
      </c>
      <c r="M64" s="1">
        <f>IF(M$55&lt;=$C$6,0,-HLOOKUP(M$55,'Input data'!$C$9:$BB$26,18,FALSE)+HLOOKUP($C$6,'Input data'!$C$9:$BB$26,18,FALSE))</f>
        <v>0</v>
      </c>
      <c r="N64" s="1">
        <f>IF(N$55&lt;=$C$6,0,-HLOOKUP(N$55,'Input data'!$C$9:$BB$26,18,FALSE)+HLOOKUP($C$6,'Input data'!$C$9:$BB$26,18,FALSE))</f>
        <v>-6.6510000000001845E-3</v>
      </c>
      <c r="O64" s="1">
        <f>IF(O$55&lt;=$C$6,0,-HLOOKUP(O$55,'Input data'!$C$9:$BB$26,18,FALSE)+HLOOKUP($C$6,'Input data'!$C$9:$BB$26,18,FALSE))</f>
        <v>-1.3301000000000229E-2</v>
      </c>
      <c r="P64" s="1">
        <f>IF(P$55&lt;=$C$6,0,-HLOOKUP(P$55,'Input data'!$C$9:$BB$26,18,FALSE)+HLOOKUP($C$6,'Input data'!$C$9:$BB$26,18,FALSE))</f>
        <v>-1.9951000000000274E-2</v>
      </c>
      <c r="Q64" s="1">
        <f>IF(Q$55&lt;=$C$6,0,-HLOOKUP(Q$55,'Input data'!$C$9:$BB$26,18,FALSE)+HLOOKUP($C$6,'Input data'!$C$9:$BB$26,18,FALSE))</f>
        <v>-2.6600999999999875E-2</v>
      </c>
      <c r="R64" s="1">
        <f>IF(R$55&lt;=$C$6,0,-HLOOKUP(R$55,'Input data'!$C$9:$BB$26,18,FALSE)+HLOOKUP($C$6,'Input data'!$C$9:$BB$26,18,FALSE))</f>
        <v>-3.325099999999992E-2</v>
      </c>
      <c r="S64" s="1">
        <f>IF(S$55&lt;=$C$6,0,-HLOOKUP(S$55,'Input data'!$C$9:$BB$26,18,FALSE)+HLOOKUP($C$6,'Input data'!$C$9:$BB$26,18,FALSE))</f>
        <v>-3.9902000000000104E-2</v>
      </c>
      <c r="T64" s="1">
        <f>IF(T$55&lt;=$C$6,0,-HLOOKUP(T$55,'Input data'!$C$9:$BB$26,18,FALSE)+HLOOKUP($C$6,'Input data'!$C$9:$BB$26,18,FALSE))</f>
        <v>-4.6552000000000149E-2</v>
      </c>
      <c r="U64" s="1">
        <f>IF(U$55&lt;=$C$6,0,-HLOOKUP(U$55,'Input data'!$C$9:$BB$26,18,FALSE)+HLOOKUP($C$6,'Input data'!$C$9:$BB$26,18,FALSE))</f>
        <v>-5.3202000000000194E-2</v>
      </c>
      <c r="V64" s="1">
        <f>IF(V$55&lt;=$C$6,0,-HLOOKUP(V$55,'Input data'!$C$9:$BB$26,18,FALSE)+HLOOKUP($C$6,'Input data'!$C$9:$BB$26,18,FALSE))</f>
        <v>-5.9852000000000238E-2</v>
      </c>
      <c r="W64" s="1">
        <f>IF(W$55&lt;=$C$6,0,-HLOOKUP(W$55,'Input data'!$C$9:$BB$26,18,FALSE)+HLOOKUP($C$6,'Input data'!$C$9:$BB$26,18,FALSE))</f>
        <v>-6.6502000000000283E-2</v>
      </c>
    </row>
    <row r="65" spans="2:23" outlineLevel="1" x14ac:dyDescent="0.2">
      <c r="B65" s="79" t="s">
        <v>113</v>
      </c>
      <c r="C65" s="37"/>
      <c r="D65" s="37">
        <v>0</v>
      </c>
      <c r="E65" s="37">
        <v>0</v>
      </c>
      <c r="F65" s="37">
        <v>0</v>
      </c>
      <c r="G65" s="37">
        <v>0</v>
      </c>
      <c r="H65" s="37">
        <v>0</v>
      </c>
      <c r="I65" s="37">
        <v>0</v>
      </c>
      <c r="J65" s="37">
        <v>0</v>
      </c>
      <c r="K65" s="37">
        <v>0</v>
      </c>
      <c r="L65" s="37">
        <v>0</v>
      </c>
      <c r="M65" s="37">
        <v>0</v>
      </c>
      <c r="N65" s="37">
        <v>0</v>
      </c>
      <c r="O65" s="37">
        <v>0</v>
      </c>
      <c r="P65" s="37">
        <v>0</v>
      </c>
      <c r="Q65" s="37">
        <v>0</v>
      </c>
      <c r="R65" s="37">
        <v>0</v>
      </c>
      <c r="S65" s="37">
        <v>0</v>
      </c>
      <c r="T65" s="37">
        <v>0</v>
      </c>
      <c r="U65" s="37">
        <v>0</v>
      </c>
      <c r="V65" s="37">
        <v>0</v>
      </c>
      <c r="W65" s="37">
        <v>0</v>
      </c>
    </row>
    <row r="66" spans="2:23" outlineLevel="1" x14ac:dyDescent="0.2">
      <c r="B66" s="84" t="s">
        <v>114</v>
      </c>
      <c r="C66" s="48"/>
      <c r="D66" s="48">
        <f t="shared" ref="D66:T66" si="13">SUM(D67:D70)</f>
        <v>-4.0426920000000006</v>
      </c>
      <c r="E66" s="48">
        <f t="shared" si="13"/>
        <v>-0.79948272499993989</v>
      </c>
      <c r="F66" s="48">
        <f t="shared" si="13"/>
        <v>0.14925019261305703</v>
      </c>
      <c r="G66" s="48">
        <f t="shared" si="13"/>
        <v>-1.6057693262643842</v>
      </c>
      <c r="H66" s="48">
        <f t="shared" si="13"/>
        <v>-1.6273291879645857</v>
      </c>
      <c r="I66" s="48">
        <f t="shared" si="13"/>
        <v>-1.3853532994493891</v>
      </c>
      <c r="J66" s="48">
        <f t="shared" si="13"/>
        <v>-1.2205718509600143</v>
      </c>
      <c r="K66" s="48">
        <f t="shared" si="13"/>
        <v>-1.1093883733811611</v>
      </c>
      <c r="L66" s="48">
        <f t="shared" si="13"/>
        <v>-1.0333668148450808</v>
      </c>
      <c r="M66" s="48">
        <f t="shared" si="13"/>
        <v>-0.9824271916219236</v>
      </c>
      <c r="N66" s="48">
        <f t="shared" si="13"/>
        <v>-1.1728944567285551</v>
      </c>
      <c r="O66" s="48">
        <f t="shared" si="13"/>
        <v>-1.0769701352760546</v>
      </c>
      <c r="P66" s="48">
        <f t="shared" si="13"/>
        <v>-0.78783000445114837</v>
      </c>
      <c r="Q66" s="48">
        <f t="shared" si="13"/>
        <v>-0.72534117609160065</v>
      </c>
      <c r="R66" s="48">
        <f t="shared" si="13"/>
        <v>-0.66340658197541558</v>
      </c>
      <c r="S66" s="48">
        <f t="shared" si="13"/>
        <v>-0.63567389537156682</v>
      </c>
      <c r="T66" s="48">
        <f t="shared" si="13"/>
        <v>-0.57483433094244196</v>
      </c>
      <c r="U66" s="48">
        <f>SUM(U67:U70)</f>
        <v>-0.51471570723826687</v>
      </c>
      <c r="V66" s="48">
        <f>SUM(V67:V70)</f>
        <v>-0.45549395010179294</v>
      </c>
      <c r="W66" s="48">
        <f>SUM(W67:W70)</f>
        <v>-0.39733466746836865</v>
      </c>
    </row>
    <row r="67" spans="2:23" outlineLevel="1" x14ac:dyDescent="0.2">
      <c r="B67" s="79" t="s">
        <v>115</v>
      </c>
      <c r="C67" s="34"/>
      <c r="D67" s="34">
        <f>C56*D35/100*(1/(1+D32/100))</f>
        <v>0.57044236264340553</v>
      </c>
      <c r="E67" s="34">
        <f t="shared" ref="E67:W67" si="14">D56*E35/100*(1/(1+E32/100))</f>
        <v>1.1312999524848377</v>
      </c>
      <c r="F67" s="34">
        <f t="shared" si="14"/>
        <v>1.2546443552845774</v>
      </c>
      <c r="G67" s="34">
        <f t="shared" si="14"/>
        <v>1.4848041163451184</v>
      </c>
      <c r="H67" s="34">
        <f t="shared" si="14"/>
        <v>1.5879383962077989</v>
      </c>
      <c r="I67" s="34">
        <f t="shared" si="14"/>
        <v>1.6903599038059536</v>
      </c>
      <c r="J67" s="34">
        <f t="shared" si="14"/>
        <v>1.7740938902402197</v>
      </c>
      <c r="K67" s="34">
        <f t="shared" si="14"/>
        <v>1.8476565546426016</v>
      </c>
      <c r="L67" s="34">
        <f t="shared" si="14"/>
        <v>1.9038850990860254</v>
      </c>
      <c r="M67" s="34">
        <f t="shared" si="14"/>
        <v>1.9553943711858579</v>
      </c>
      <c r="N67" s="34">
        <f t="shared" si="14"/>
        <v>2.0104170953884459</v>
      </c>
      <c r="O67" s="34">
        <f t="shared" si="14"/>
        <v>2.069216615234164</v>
      </c>
      <c r="P67" s="34">
        <f t="shared" si="14"/>
        <v>2.1312542894104389</v>
      </c>
      <c r="Q67" s="34">
        <f t="shared" si="14"/>
        <v>2.1898328076945961</v>
      </c>
      <c r="R67" s="34">
        <f t="shared" si="14"/>
        <v>2.2447270665403076</v>
      </c>
      <c r="S67" s="34">
        <f t="shared" si="14"/>
        <v>2.2945844370058075</v>
      </c>
      <c r="T67" s="34">
        <f t="shared" si="14"/>
        <v>2.3389395897671625</v>
      </c>
      <c r="U67" s="34">
        <f t="shared" si="14"/>
        <v>2.3772554591339556</v>
      </c>
      <c r="V67" s="34">
        <f t="shared" si="14"/>
        <v>2.4090164844705262</v>
      </c>
      <c r="W67" s="34">
        <f t="shared" si="14"/>
        <v>2.4341847124742491</v>
      </c>
    </row>
    <row r="68" spans="2:23" outlineLevel="1" x14ac:dyDescent="0.2">
      <c r="B68" s="79" t="s">
        <v>116</v>
      </c>
      <c r="C68" s="34"/>
      <c r="D68" s="34">
        <f t="shared" ref="D68:W68" si="15">-C56*(D23/100)*(1/(1+D32/100))</f>
        <v>-0.90770273794427525</v>
      </c>
      <c r="E68" s="34">
        <f t="shared" si="15"/>
        <v>0.82999130151990808</v>
      </c>
      <c r="F68" s="34">
        <f t="shared" si="15"/>
        <v>0.16736355968562128</v>
      </c>
      <c r="G68" s="34">
        <f t="shared" si="15"/>
        <v>-1.3831494669096829</v>
      </c>
      <c r="H68" s="34">
        <f t="shared" si="15"/>
        <v>-1.4345407422170708</v>
      </c>
      <c r="I68" s="34">
        <f t="shared" si="15"/>
        <v>-1.2238622032621493</v>
      </c>
      <c r="J68" s="34">
        <f t="shared" si="15"/>
        <v>-1.0807109894524101</v>
      </c>
      <c r="K68" s="34">
        <f t="shared" si="15"/>
        <v>-0.98508988003587661</v>
      </c>
      <c r="L68" s="34">
        <f t="shared" si="15"/>
        <v>-0.91797327637658943</v>
      </c>
      <c r="M68" s="34">
        <f t="shared" si="15"/>
        <v>-0.87298449127809208</v>
      </c>
      <c r="N68" s="34">
        <f t="shared" si="15"/>
        <v>-1.0643461359469486</v>
      </c>
      <c r="O68" s="34">
        <f t="shared" si="15"/>
        <v>-0.9752212245492814</v>
      </c>
      <c r="P68" s="34">
        <f t="shared" si="15"/>
        <v>-0.76056878385016236</v>
      </c>
      <c r="Q68" s="34">
        <f t="shared" si="15"/>
        <v>-0.76571366680555508</v>
      </c>
      <c r="R68" s="34">
        <f t="shared" si="15"/>
        <v>-0.77011405577529068</v>
      </c>
      <c r="S68" s="34">
        <f t="shared" si="15"/>
        <v>-0.80639116275652301</v>
      </c>
      <c r="T68" s="34">
        <f t="shared" si="15"/>
        <v>-0.80846268734181681</v>
      </c>
      <c r="U68" s="34">
        <f t="shared" si="15"/>
        <v>-0.80907509405879263</v>
      </c>
      <c r="V68" s="34">
        <f t="shared" si="15"/>
        <v>-0.8081065536184896</v>
      </c>
      <c r="W68" s="34">
        <f t="shared" si="15"/>
        <v>-0.80554334996870591</v>
      </c>
    </row>
    <row r="69" spans="2:23" outlineLevel="1" x14ac:dyDescent="0.2">
      <c r="B69" s="79" t="s">
        <v>117</v>
      </c>
      <c r="C69" s="34"/>
      <c r="D69" s="34">
        <f t="shared" ref="D69:T69" si="16">-C56*D41/100*(1/(1+D41/100))</f>
        <v>-3.7081792093539843</v>
      </c>
      <c r="E69" s="34">
        <f t="shared" si="16"/>
        <v>-2.7601372355757476</v>
      </c>
      <c r="F69" s="34">
        <f t="shared" si="16"/>
        <v>-1.2729942369236147</v>
      </c>
      <c r="G69" s="34">
        <f t="shared" si="16"/>
        <v>-1.7075744585293433</v>
      </c>
      <c r="H69" s="34">
        <f t="shared" si="16"/>
        <v>-1.7807268419553137</v>
      </c>
      <c r="I69" s="34">
        <f t="shared" si="16"/>
        <v>-1.8518509999931934</v>
      </c>
      <c r="J69" s="34">
        <f t="shared" si="16"/>
        <v>-1.9139547517478239</v>
      </c>
      <c r="K69" s="34">
        <f t="shared" si="16"/>
        <v>-1.971955047987886</v>
      </c>
      <c r="L69" s="34">
        <f t="shared" si="16"/>
        <v>-2.0192786375545166</v>
      </c>
      <c r="M69" s="34">
        <f t="shared" si="16"/>
        <v>-2.0648370715296895</v>
      </c>
      <c r="N69" s="34">
        <f t="shared" si="16"/>
        <v>-2.1189654161700524</v>
      </c>
      <c r="O69" s="34">
        <f t="shared" si="16"/>
        <v>-2.1709655259609373</v>
      </c>
      <c r="P69" s="34">
        <f t="shared" si="16"/>
        <v>-2.1585155100114251</v>
      </c>
      <c r="Q69" s="34">
        <f t="shared" si="16"/>
        <v>-2.1494603169806417</v>
      </c>
      <c r="R69" s="34">
        <f t="shared" si="16"/>
        <v>-2.1380195927404326</v>
      </c>
      <c r="S69" s="34">
        <f t="shared" si="16"/>
        <v>-2.1238671696208513</v>
      </c>
      <c r="T69" s="34">
        <f t="shared" si="16"/>
        <v>-2.1053112333677877</v>
      </c>
      <c r="U69" s="34">
        <f>-T56*U41/100*(1/(1+U41/100))</f>
        <v>-2.0828960723134298</v>
      </c>
      <c r="V69" s="34">
        <f>-U56*V41/100*(1/(1+V41/100))</f>
        <v>-2.0564038809538294</v>
      </c>
      <c r="W69" s="34">
        <f>-V56*W41/100*(1/(1+W41/100))</f>
        <v>-2.0259760299739118</v>
      </c>
    </row>
    <row r="70" spans="2:23" outlineLevel="1" x14ac:dyDescent="0.2">
      <c r="B70" s="79" t="s">
        <v>118</v>
      </c>
      <c r="C70" s="49"/>
      <c r="D70" s="49">
        <f>'Baseline NFPC'!D70</f>
        <v>2.7475846548536964E-3</v>
      </c>
      <c r="E70" s="49">
        <f>'Baseline NFPC'!E70</f>
        <v>-6.3674342893804692E-4</v>
      </c>
      <c r="F70" s="49">
        <f>'Baseline NFPC'!F70</f>
        <v>2.3651456647297286E-4</v>
      </c>
      <c r="G70" s="49">
        <f>'Baseline NFPC'!G70</f>
        <v>1.5048282952356828E-4</v>
      </c>
      <c r="H70" s="49">
        <f>'Baseline NFPC'!H70</f>
        <v>0</v>
      </c>
      <c r="I70" s="49">
        <f>'Baseline NFPC'!I70</f>
        <v>0</v>
      </c>
      <c r="J70" s="49">
        <f>'Baseline NFPC'!J70</f>
        <v>0</v>
      </c>
      <c r="K70" s="49">
        <f>'Baseline NFPC'!K70</f>
        <v>0</v>
      </c>
      <c r="L70" s="49">
        <f>'Baseline NFPC'!L70</f>
        <v>0</v>
      </c>
      <c r="M70" s="49">
        <f>'Baseline NFPC'!M70</f>
        <v>0</v>
      </c>
      <c r="N70" s="49">
        <f>'Baseline NFPC'!N70</f>
        <v>0</v>
      </c>
      <c r="O70" s="49">
        <f>'Baseline NFPC'!O70</f>
        <v>0</v>
      </c>
      <c r="P70" s="49">
        <f>'Baseline NFPC'!P70</f>
        <v>0</v>
      </c>
      <c r="Q70" s="49">
        <f>'Baseline NFPC'!Q70</f>
        <v>0</v>
      </c>
      <c r="R70" s="49">
        <f>'Baseline NFPC'!R70</f>
        <v>0</v>
      </c>
      <c r="S70" s="49">
        <f>'Baseline NFPC'!S70</f>
        <v>0</v>
      </c>
      <c r="T70" s="49">
        <f>'Baseline NFPC'!T70</f>
        <v>0</v>
      </c>
      <c r="U70" s="49">
        <f>'Baseline NFPC'!U70</f>
        <v>0</v>
      </c>
      <c r="V70" s="49">
        <f>'Baseline NFPC'!V70</f>
        <v>0</v>
      </c>
      <c r="W70" s="49">
        <f>'Baseline NFPC'!W70</f>
        <v>0</v>
      </c>
    </row>
    <row r="71" spans="2:23" outlineLevel="1" x14ac:dyDescent="0.2">
      <c r="B71" s="84" t="s">
        <v>119</v>
      </c>
      <c r="C71" s="50"/>
      <c r="D71" s="50">
        <f>'Input data'!D16</f>
        <v>5.1764349999999997</v>
      </c>
      <c r="E71" s="50">
        <f>'Input data'!E16</f>
        <v>2.1420457294413482</v>
      </c>
      <c r="F71" s="50">
        <f>'Input data'!F16</f>
        <v>2.543156615765406</v>
      </c>
      <c r="G71" s="50">
        <f>'Input data'!G16</f>
        <v>1.2833361388111759</v>
      </c>
      <c r="H71" s="50">
        <f>'Input data'!H16</f>
        <v>1.726862012716794</v>
      </c>
      <c r="I71" s="50">
        <f>'Input data'!I16</f>
        <v>1.4444254457205716</v>
      </c>
      <c r="J71" s="50">
        <f>'Input data'!J16</f>
        <v>1.3768241518246929</v>
      </c>
      <c r="K71" s="50">
        <f>'Input data'!K16</f>
        <v>1.0241608740131771</v>
      </c>
      <c r="L71" s="50">
        <f>'Input data'!L16</f>
        <v>1.0623847406019649</v>
      </c>
      <c r="M71" s="50">
        <f>'Input data'!M16</f>
        <v>1.5229809999999999</v>
      </c>
      <c r="N71" s="50">
        <f>'Input data'!N16</f>
        <v>1.526135</v>
      </c>
      <c r="O71" s="50">
        <f>'Input data'!O16</f>
        <v>1.3735219999999999</v>
      </c>
      <c r="P71" s="50">
        <f>'Input data'!P16</f>
        <v>1.2209080000000001</v>
      </c>
      <c r="Q71" s="50">
        <f>'Input data'!Q16</f>
        <v>1.068295</v>
      </c>
      <c r="R71" s="50">
        <f>'Input data'!R16</f>
        <v>0.91568099999999997</v>
      </c>
      <c r="S71" s="50">
        <f>'Input data'!S16</f>
        <v>0.76306750000000001</v>
      </c>
      <c r="T71" s="50">
        <f>'Input data'!T16</f>
        <v>0.61045400000000005</v>
      </c>
      <c r="U71" s="50">
        <f>'Input data'!U16</f>
        <v>0.45784049999999998</v>
      </c>
      <c r="V71" s="50">
        <f>'Input data'!V16</f>
        <v>0.30522700000000003</v>
      </c>
      <c r="W71" s="50">
        <f>'Input data'!W16</f>
        <v>0.15261350000000001</v>
      </c>
    </row>
    <row r="72" spans="2:23" outlineLevel="1" x14ac:dyDescent="0.2">
      <c r="B72" s="79" t="s">
        <v>120</v>
      </c>
      <c r="C72" s="34"/>
      <c r="D72" s="34">
        <f t="shared" ref="D72:W72" si="17">D14</f>
        <v>5.1764349999999997</v>
      </c>
      <c r="E72" s="34">
        <f t="shared" si="17"/>
        <v>2.1420457294413482</v>
      </c>
      <c r="F72" s="34">
        <f t="shared" si="17"/>
        <v>2.543156615765406</v>
      </c>
      <c r="G72" s="34">
        <f t="shared" si="17"/>
        <v>1.2833361388111759</v>
      </c>
      <c r="H72" s="34">
        <f t="shared" si="17"/>
        <v>1.726862012716794</v>
      </c>
      <c r="I72" s="34">
        <f t="shared" si="17"/>
        <v>1.4444254457205716</v>
      </c>
      <c r="J72" s="34">
        <f t="shared" si="17"/>
        <v>1.3768241518246929</v>
      </c>
      <c r="K72" s="34">
        <f t="shared" si="17"/>
        <v>1.0241608740131771</v>
      </c>
      <c r="L72" s="34">
        <f t="shared" si="17"/>
        <v>1.0623847406019649</v>
      </c>
      <c r="M72" s="34">
        <f t="shared" si="17"/>
        <v>1.5229809999999999</v>
      </c>
      <c r="N72" s="34">
        <f t="shared" si="17"/>
        <v>1.526135</v>
      </c>
      <c r="O72" s="34">
        <f t="shared" si="17"/>
        <v>1.3735219999999999</v>
      </c>
      <c r="P72" s="34">
        <f t="shared" si="17"/>
        <v>1.2209080000000001</v>
      </c>
      <c r="Q72" s="34">
        <f t="shared" si="17"/>
        <v>1.068295</v>
      </c>
      <c r="R72" s="34">
        <f t="shared" si="17"/>
        <v>0.91568099999999997</v>
      </c>
      <c r="S72" s="34">
        <f t="shared" si="17"/>
        <v>0.76306750000000001</v>
      </c>
      <c r="T72" s="34">
        <f t="shared" si="17"/>
        <v>0.61045400000000005</v>
      </c>
      <c r="U72" s="34">
        <f t="shared" si="17"/>
        <v>0.45784049999999998</v>
      </c>
      <c r="V72" s="34">
        <f t="shared" si="17"/>
        <v>0.30522700000000003</v>
      </c>
      <c r="W72" s="34">
        <f t="shared" si="17"/>
        <v>0.15261350000000001</v>
      </c>
    </row>
    <row r="73" spans="2:23" outlineLevel="1" x14ac:dyDescent="0.2">
      <c r="B73" s="89" t="s">
        <v>121</v>
      </c>
      <c r="C73" s="49"/>
      <c r="D73" s="49">
        <f t="shared" ref="D73:T73" si="18">+D71-D72</f>
        <v>0</v>
      </c>
      <c r="E73" s="49">
        <f t="shared" si="18"/>
        <v>0</v>
      </c>
      <c r="F73" s="49">
        <f t="shared" si="18"/>
        <v>0</v>
      </c>
      <c r="G73" s="49">
        <f t="shared" si="18"/>
        <v>0</v>
      </c>
      <c r="H73" s="49">
        <f t="shared" si="18"/>
        <v>0</v>
      </c>
      <c r="I73" s="49">
        <f t="shared" si="18"/>
        <v>0</v>
      </c>
      <c r="J73" s="49">
        <f t="shared" si="18"/>
        <v>0</v>
      </c>
      <c r="K73" s="49">
        <f t="shared" si="18"/>
        <v>0</v>
      </c>
      <c r="L73" s="49">
        <f t="shared" si="18"/>
        <v>0</v>
      </c>
      <c r="M73" s="49">
        <f t="shared" si="18"/>
        <v>0</v>
      </c>
      <c r="N73" s="49">
        <f t="shared" si="18"/>
        <v>0</v>
      </c>
      <c r="O73" s="49">
        <f t="shared" si="18"/>
        <v>0</v>
      </c>
      <c r="P73" s="49">
        <f t="shared" si="18"/>
        <v>0</v>
      </c>
      <c r="Q73" s="49">
        <f t="shared" si="18"/>
        <v>0</v>
      </c>
      <c r="R73" s="49">
        <f t="shared" si="18"/>
        <v>0</v>
      </c>
      <c r="S73" s="49">
        <f t="shared" si="18"/>
        <v>0</v>
      </c>
      <c r="T73" s="49">
        <f t="shared" si="18"/>
        <v>0</v>
      </c>
      <c r="U73" s="49">
        <f>+U71-U72</f>
        <v>0</v>
      </c>
      <c r="V73" s="49">
        <f>+V71-V72</f>
        <v>0</v>
      </c>
      <c r="W73" s="49">
        <f>+W71-W72</f>
        <v>0</v>
      </c>
    </row>
    <row r="75" spans="2:23" x14ac:dyDescent="0.2">
      <c r="B75" s="51" t="s">
        <v>187</v>
      </c>
      <c r="C75" s="51"/>
      <c r="D75" s="51"/>
      <c r="E75" s="51"/>
      <c r="F75" s="51"/>
      <c r="G75" s="51"/>
      <c r="H75" s="51"/>
      <c r="I75" s="51"/>
      <c r="J75" s="51"/>
      <c r="K75" s="51">
        <f t="shared" ref="K75:W75" si="19">IF(K56&lt;J56,0,1)</f>
        <v>1</v>
      </c>
      <c r="L75" s="51">
        <f t="shared" si="19"/>
        <v>1</v>
      </c>
      <c r="M75" s="51">
        <f t="shared" si="19"/>
        <v>1</v>
      </c>
      <c r="N75" s="51">
        <f t="shared" si="19"/>
        <v>1</v>
      </c>
      <c r="O75" s="51">
        <f t="shared" si="19"/>
        <v>1</v>
      </c>
      <c r="P75" s="51">
        <f t="shared" si="19"/>
        <v>1</v>
      </c>
      <c r="Q75" s="51">
        <f t="shared" si="19"/>
        <v>1</v>
      </c>
      <c r="R75" s="51">
        <f t="shared" si="19"/>
        <v>1</v>
      </c>
      <c r="S75" s="51">
        <f t="shared" si="19"/>
        <v>1</v>
      </c>
      <c r="T75" s="51">
        <f t="shared" si="19"/>
        <v>1</v>
      </c>
      <c r="U75" s="51">
        <f t="shared" si="19"/>
        <v>0</v>
      </c>
      <c r="V75" s="51">
        <f t="shared" si="19"/>
        <v>0</v>
      </c>
      <c r="W75" s="51">
        <f t="shared" si="19"/>
        <v>0</v>
      </c>
    </row>
    <row r="76" spans="2:23" x14ac:dyDescent="0.2">
      <c r="D76" s="53"/>
    </row>
    <row r="77" spans="2:23" s="93" customFormat="1" ht="12.75" outlineLevel="1" x14ac:dyDescent="0.2">
      <c r="B77" s="94" t="s">
        <v>124</v>
      </c>
      <c r="C77" s="95"/>
      <c r="E77" s="96"/>
      <c r="F77" s="95"/>
    </row>
    <row r="78" spans="2:23" x14ac:dyDescent="0.2">
      <c r="C78" s="34"/>
      <c r="D78" s="34"/>
      <c r="E78" s="34"/>
      <c r="F78" s="34"/>
      <c r="G78" s="34"/>
      <c r="H78" s="34"/>
      <c r="I78" s="34"/>
      <c r="J78" s="34"/>
      <c r="K78" s="34"/>
      <c r="L78" s="34"/>
      <c r="M78" s="34"/>
      <c r="N78" s="34"/>
      <c r="O78" s="34"/>
      <c r="P78" s="34"/>
      <c r="Q78" s="34"/>
      <c r="R78" s="34"/>
      <c r="S78" s="34"/>
      <c r="T78" s="34"/>
      <c r="U78" s="34"/>
      <c r="V78" s="34"/>
      <c r="W78" s="34"/>
    </row>
    <row r="79" spans="2:23" x14ac:dyDescent="0.2">
      <c r="B79" s="26" t="s">
        <v>125</v>
      </c>
      <c r="E79" s="29">
        <f>IF((E83-D83*E42/((1+E23/100)*(1+E41/100)))&gt;0,1,0)</f>
        <v>1</v>
      </c>
      <c r="F79" s="29">
        <f>IF((F83-E83*F42/((1+F23/100)*(1+F41/100)))&gt;0,1,0)</f>
        <v>1</v>
      </c>
      <c r="G79" s="29">
        <f t="shared" ref="G79:W79" si="20">IF((G83-F83*G42/((1+G23/100)*(1+G41/100)))&gt;0,1,0)</f>
        <v>1</v>
      </c>
      <c r="H79" s="29">
        <f t="shared" si="20"/>
        <v>1</v>
      </c>
      <c r="I79" s="29">
        <f t="shared" si="20"/>
        <v>1</v>
      </c>
      <c r="J79" s="29">
        <f t="shared" si="20"/>
        <v>1</v>
      </c>
      <c r="K79" s="29">
        <f t="shared" si="20"/>
        <v>1</v>
      </c>
      <c r="L79" s="29">
        <f t="shared" si="20"/>
        <v>1</v>
      </c>
      <c r="M79" s="29">
        <f t="shared" si="20"/>
        <v>1</v>
      </c>
      <c r="N79" s="29">
        <f t="shared" si="20"/>
        <v>1</v>
      </c>
      <c r="O79" s="29">
        <f t="shared" si="20"/>
        <v>1</v>
      </c>
      <c r="P79" s="29">
        <f t="shared" si="20"/>
        <v>1</v>
      </c>
      <c r="Q79" s="29">
        <f t="shared" si="20"/>
        <v>1</v>
      </c>
      <c r="R79" s="29">
        <f t="shared" si="20"/>
        <v>1</v>
      </c>
      <c r="S79" s="29">
        <f t="shared" si="20"/>
        <v>1</v>
      </c>
      <c r="T79" s="29">
        <f t="shared" si="20"/>
        <v>1</v>
      </c>
      <c r="U79" s="29">
        <f t="shared" si="20"/>
        <v>1</v>
      </c>
      <c r="V79" s="29">
        <f t="shared" si="20"/>
        <v>1</v>
      </c>
      <c r="W79" s="29">
        <f t="shared" si="20"/>
        <v>1</v>
      </c>
    </row>
    <row r="80" spans="2:23" x14ac:dyDescent="0.2">
      <c r="B80" s="26" t="s">
        <v>126</v>
      </c>
      <c r="E80" s="29">
        <f>IF(AND(E79=0,ABS(E83-D83*E42/((1+E23/100)*(1+E41/100)))&lt;((D89*D83*E42/((1+E23/100)*(1+E41/100))+(E38*D83*D90*E42/((1+E23/100)*(1+E41/100)))))),1,0)</f>
        <v>0</v>
      </c>
      <c r="F80" s="29">
        <f>IF(AND(F79=0,ABS(F83-E83*F42/((1+F23/100)*(1+F41/100)))&lt;((E89*E83*F42/((1+F23/100)*(1+F41/100))+(F38*E83*E90*F42/((1+F23/100)*(1+F41/100)))))),1,0)</f>
        <v>0</v>
      </c>
      <c r="G80" s="29">
        <f t="shared" ref="G80:W80" si="21">IF(AND(G79=0,ABS(G83-F83*G42/((1+G23/100)*(1+G41/100)))&lt;((F89*F83*G42/((1+G23/100)*(1+G41/100))+(G38*F83*F90*G42/((1+G23/100)*(1+G41/100)))))),1,0)</f>
        <v>0</v>
      </c>
      <c r="H80" s="29">
        <f t="shared" si="21"/>
        <v>0</v>
      </c>
      <c r="I80" s="29">
        <f t="shared" si="21"/>
        <v>0</v>
      </c>
      <c r="J80" s="29">
        <f t="shared" si="21"/>
        <v>0</v>
      </c>
      <c r="K80" s="29">
        <f t="shared" si="21"/>
        <v>0</v>
      </c>
      <c r="L80" s="29">
        <f t="shared" si="21"/>
        <v>0</v>
      </c>
      <c r="M80" s="29">
        <f t="shared" si="21"/>
        <v>0</v>
      </c>
      <c r="N80" s="29">
        <f t="shared" si="21"/>
        <v>0</v>
      </c>
      <c r="O80" s="29">
        <f t="shared" si="21"/>
        <v>0</v>
      </c>
      <c r="P80" s="29">
        <f t="shared" si="21"/>
        <v>0</v>
      </c>
      <c r="Q80" s="29">
        <f t="shared" si="21"/>
        <v>0</v>
      </c>
      <c r="R80" s="29">
        <f t="shared" si="21"/>
        <v>0</v>
      </c>
      <c r="S80" s="29">
        <f t="shared" si="21"/>
        <v>0</v>
      </c>
      <c r="T80" s="29">
        <f t="shared" si="21"/>
        <v>0</v>
      </c>
      <c r="U80" s="29">
        <f t="shared" si="21"/>
        <v>0</v>
      </c>
      <c r="V80" s="29">
        <f t="shared" si="21"/>
        <v>0</v>
      </c>
      <c r="W80" s="29">
        <f t="shared" si="21"/>
        <v>0</v>
      </c>
    </row>
    <row r="82" spans="2:24" x14ac:dyDescent="0.2">
      <c r="B82" s="51"/>
      <c r="C82" s="86">
        <v>2021</v>
      </c>
      <c r="D82" s="86">
        <v>2022</v>
      </c>
      <c r="E82" s="86">
        <v>2023</v>
      </c>
      <c r="F82" s="86">
        <v>2024</v>
      </c>
      <c r="G82" s="86">
        <v>2025</v>
      </c>
      <c r="H82" s="86">
        <v>2026</v>
      </c>
      <c r="I82" s="86">
        <v>2027</v>
      </c>
      <c r="J82" s="86">
        <v>2028</v>
      </c>
      <c r="K82" s="86">
        <v>2029</v>
      </c>
      <c r="L82" s="86">
        <v>2030</v>
      </c>
      <c r="M82" s="86">
        <v>2031</v>
      </c>
      <c r="N82" s="86">
        <v>2032</v>
      </c>
      <c r="O82" s="86">
        <v>2033</v>
      </c>
      <c r="P82" s="86">
        <v>2034</v>
      </c>
      <c r="Q82" s="86">
        <v>2035</v>
      </c>
      <c r="R82" s="86">
        <v>2036</v>
      </c>
      <c r="S82" s="86">
        <v>2037</v>
      </c>
      <c r="T82" s="86">
        <v>2038</v>
      </c>
      <c r="U82" s="86">
        <v>2039</v>
      </c>
      <c r="V82" s="86">
        <v>2040</v>
      </c>
      <c r="W82" s="86">
        <v>2041</v>
      </c>
    </row>
    <row r="83" spans="2:24" x14ac:dyDescent="0.2">
      <c r="B83" s="106" t="s">
        <v>104</v>
      </c>
      <c r="C83" s="110">
        <f>C56</f>
        <v>72.584819999999993</v>
      </c>
      <c r="D83" s="110">
        <f>D56</f>
        <v>73.511610584961744</v>
      </c>
      <c r="E83" s="110">
        <f>E56</f>
        <v>76.572506382321123</v>
      </c>
      <c r="F83" s="110">
        <f>F56</f>
        <v>81.669832373893243</v>
      </c>
      <c r="G83" s="110">
        <f>G56</f>
        <v>83.193157241487697</v>
      </c>
      <c r="H83" s="110">
        <f>G83*(1+H97/100)*H42-H59-H60+H61+H62+H63+H64+H65+H71</f>
        <v>84.556754593314622</v>
      </c>
      <c r="I83" s="110">
        <f t="shared" ref="I83:S83" si="22">H83*(1+I97/100)*I42-I59-I60+I61+I62+I63+I64+I65+I71</f>
        <v>85.459120171217933</v>
      </c>
      <c r="J83" s="110">
        <f t="shared" si="22"/>
        <v>86.145056856268297</v>
      </c>
      <c r="K83" s="110">
        <f t="shared" si="22"/>
        <v>86.347266432025876</v>
      </c>
      <c r="L83" s="110">
        <f t="shared" si="22"/>
        <v>86.468995590643075</v>
      </c>
      <c r="M83" s="110">
        <f t="shared" si="22"/>
        <v>86.93918045657162</v>
      </c>
      <c r="N83" s="110">
        <f t="shared" si="22"/>
        <v>87.306868504821281</v>
      </c>
      <c r="O83" s="110">
        <f t="shared" si="22"/>
        <v>87.729001536232502</v>
      </c>
      <c r="P83" s="110">
        <f t="shared" si="22"/>
        <v>88.300174424421229</v>
      </c>
      <c r="Q83" s="110">
        <f t="shared" si="22"/>
        <v>88.785216866922156</v>
      </c>
      <c r="R83" s="110">
        <f t="shared" si="22"/>
        <v>89.167603629491822</v>
      </c>
      <c r="S83" s="110">
        <f t="shared" si="22"/>
        <v>89.372098108716543</v>
      </c>
      <c r="T83" s="110">
        <f>S83*(1+T97/100)*T42-T59-T60+T61+T62+T63+T64+T65+T71</f>
        <v>89.416064722771736</v>
      </c>
      <c r="U83" s="110">
        <f>T83*(1+U97/100)*U42-U59-U60+U61+U62+U63+U64+U65+U71</f>
        <v>89.284564260755786</v>
      </c>
      <c r="V83" s="110">
        <f>U83*(1+V97/100)*V42-V59-V60+V61+V62+V63+V64+V65+V71</f>
        <v>88.97773697306036</v>
      </c>
      <c r="W83" s="110">
        <f>V83*(1+W97/100)*W42-W59-W60+W61+W62+W63+W64+W65+W71</f>
        <v>88.511232115005569</v>
      </c>
    </row>
    <row r="84" spans="2:24" x14ac:dyDescent="0.2">
      <c r="B84" s="26" t="s">
        <v>127</v>
      </c>
      <c r="C84" s="34"/>
      <c r="D84" s="253">
        <f>'Input data'!C66*$D$83</f>
        <v>59.051128502792025</v>
      </c>
      <c r="E84" s="34">
        <f>IF(E83=0,0,IF(E79=1,D83*E42/((1+E23/100)*(1+E41/100))-E85-E86,IF(AND(E79=0,E80=1),(1-D89-E38*D90)*D83*E42/((1+E23/100)*(1+E41/100)),E83)))</f>
        <v>61.999403317237508</v>
      </c>
      <c r="F84" s="34">
        <f>IF(F83=0,0,IF(F79=1,E83*F42/((1+F23/100)*(1+F41/100))-F85-F86,IF(AND(F79=0,F80=1),(1-E89-F38*E90)*E83*F42/((1+F23/100)*(1+F41/100)),F83)))</f>
        <v>65.885197792321179</v>
      </c>
      <c r="G84" s="34">
        <f>IF(G83=0,0,IF(G79=1,F83*G42/((1+G23/100)*(1+G41/100))-G85-G86,IF(AND(G79=0,G80=1),(1-F89-G38*F90)*F83*G42/((1+G23/100)*(1+G41/100)),G83)))</f>
        <v>68.491860558301511</v>
      </c>
      <c r="H84" s="34">
        <f t="shared" ref="H84:W84" si="23">IF(H83=0,0,IF(H79=1,G83*H42/((1+H23/100)*(1+H41/100))-H85-H86,IF(AND(H79=0,H80=1),(1-G89-H38*G90)*G83*H42/((1+H23/100)*(1+H41/100)),H83)))</f>
        <v>69.616543929920013</v>
      </c>
      <c r="I84" s="34">
        <f t="shared" si="23"/>
        <v>70.838950702893456</v>
      </c>
      <c r="J84" s="34">
        <f t="shared" si="23"/>
        <v>71.61382888404755</v>
      </c>
      <c r="K84" s="34">
        <f t="shared" si="23"/>
        <v>72.165206073980471</v>
      </c>
      <c r="L84" s="34">
        <f t="shared" si="23"/>
        <v>72.285431300798592</v>
      </c>
      <c r="M84" s="34">
        <f t="shared" si="23"/>
        <v>72.319486453767439</v>
      </c>
      <c r="N84" s="34">
        <f t="shared" si="23"/>
        <v>72.441515786236579</v>
      </c>
      <c r="O84" s="34">
        <f t="shared" si="23"/>
        <v>72.7188847296364</v>
      </c>
      <c r="P84" s="34">
        <f t="shared" si="23"/>
        <v>73.258840434541099</v>
      </c>
      <c r="Q84" s="34">
        <f t="shared" si="23"/>
        <v>73.735873004945276</v>
      </c>
      <c r="R84" s="34">
        <f t="shared" si="23"/>
        <v>74.142359538398011</v>
      </c>
      <c r="S84" s="34">
        <f t="shared" si="23"/>
        <v>74.436213996607862</v>
      </c>
      <c r="T84" s="34">
        <f t="shared" si="23"/>
        <v>74.611186643676376</v>
      </c>
      <c r="U84" s="34">
        <f t="shared" si="23"/>
        <v>74.653585612289447</v>
      </c>
      <c r="V84" s="34">
        <f t="shared" si="23"/>
        <v>74.550858629574265</v>
      </c>
      <c r="W84" s="34">
        <f t="shared" si="23"/>
        <v>74.302991387115839</v>
      </c>
      <c r="X84" s="34"/>
    </row>
    <row r="85" spans="2:24" x14ac:dyDescent="0.2">
      <c r="B85" s="105" t="s">
        <v>128</v>
      </c>
      <c r="C85" s="34"/>
      <c r="D85" s="253">
        <f>'Input data'!C67*$D$83</f>
        <v>2.5660693694891989</v>
      </c>
      <c r="E85" s="34">
        <f>IF(E83=0,0,IF(E79=1,E38*D83*D90*E42/((1+E23/100)*(1+E41/100)),IF(AND(E79=0,E80=1),(E38*D83*D90*E42/((1+E23/100)*(1+E41/100)))*(1-ABS(E83-D83*E42/((1+E23/100)*(1+E41/100)))/((E38*D83*D90*E42/((1+E23/100)*(1+E41/100)))+(D89*D83*E42/((1+E23/100)*(1+E41/100))))),0)))</f>
        <v>2.5449751617705147</v>
      </c>
      <c r="F85" s="34">
        <f>IF(F83=0,0,IF(F79=1,F38*E83*E90*F42/((1+F23/100)*(1+F41/100)),IF(AND(F79=0,F80=1),(F38*E83*E90*F42/((1+F23/100)*(1+F41/100)))*(1-ABS(F83-E83*F42/((1+F23/100)*(1+F41/100)))/((F38*E83*E90*F42/((1+F23/100)*(1+F41/100)))+(E89*E83*F42/((1+F23/100)*(1+F41/100))))),0)))</f>
        <v>2.1622470266405025</v>
      </c>
      <c r="G85" s="34">
        <f>IF(G83=0,0,IF(G79=1,G38*F83*F90*G42/((1+G23/100)*(1+G41/100)),IF(AND(G79=0,G80=1),(G38*F83*F90*G42/((1+G23/100)*(1+G41/100)))*(1-ABS(G83-F83*G42/((1+G23/100)*(1+G41/100)))/((G38*F83*F90*G42/((1+G23/100)*(1+G41/100)))+(F89*F83*G42/((1+G23/100)*(1+G41/100))))),0)))</f>
        <v>2.2971345903114284</v>
      </c>
      <c r="H85" s="34">
        <f t="shared" ref="H85:W85" si="24">IF(H83=0,0,IF(H79=1,H38*G83*G90*H42/((1+H23/100)*(1+H41/100)),IF(AND(H79=0,H80=1),(H38*G83*G90*H42/((1+H23/100)*(1+H41/100)))*(1-ABS(H83-G83*H42/((1+H23/100)*(1+H41/100)))/((H38*G83*G90*H42/((1+H23/100)*(1+H41/100)))+(G89*G83*H42/((1+H23/100)*(1+H41/100))))),0)))</f>
        <v>2.3850763937322847</v>
      </c>
      <c r="I85" s="34">
        <f t="shared" si="24"/>
        <v>2.4781307961320023</v>
      </c>
      <c r="J85" s="34">
        <f t="shared" si="24"/>
        <v>2.557044656257784</v>
      </c>
      <c r="K85" s="34">
        <f t="shared" si="24"/>
        <v>2.6290106512498208</v>
      </c>
      <c r="L85" s="34">
        <f t="shared" si="24"/>
        <v>2.6858294215076675</v>
      </c>
      <c r="M85" s="34">
        <f t="shared" si="24"/>
        <v>2.7396318821662429</v>
      </c>
      <c r="N85" s="34">
        <f t="shared" si="24"/>
        <v>2.7969541734836163</v>
      </c>
      <c r="O85" s="34">
        <f t="shared" si="24"/>
        <v>2.8606388645297978</v>
      </c>
      <c r="P85" s="34">
        <f t="shared" si="24"/>
        <v>2.8818798156296079</v>
      </c>
      <c r="Q85" s="34">
        <f t="shared" si="24"/>
        <v>2.9006454762364546</v>
      </c>
      <c r="R85" s="34">
        <f t="shared" si="24"/>
        <v>2.9166359741631775</v>
      </c>
      <c r="S85" s="34">
        <f t="shared" si="24"/>
        <v>2.9281957153060159</v>
      </c>
      <c r="T85" s="34">
        <f t="shared" si="24"/>
        <v>2.9350788455450836</v>
      </c>
      <c r="U85" s="34">
        <f t="shared" si="24"/>
        <v>2.9367467498024373</v>
      </c>
      <c r="V85" s="34">
        <f t="shared" si="24"/>
        <v>2.9327056427326088</v>
      </c>
      <c r="W85" s="34">
        <f t="shared" si="24"/>
        <v>2.9229549614665711</v>
      </c>
    </row>
    <row r="86" spans="2:24" x14ac:dyDescent="0.2">
      <c r="B86" s="105" t="s">
        <v>129</v>
      </c>
      <c r="C86" s="34"/>
      <c r="D86" s="253">
        <f>'Input data'!C68*$D$83</f>
        <v>6.679115961728173</v>
      </c>
      <c r="E86" s="34">
        <f>IF(E83=0,0,IF(E79=1,(1-D90)*D83*E42/((1+E23/100)*(1+E41/100)),IF(AND(E79=0,E80=1),(D89*D83*E42/((1+E23/100)*(1+E41/100)))*(1-ABS(E83-D83*E42/((1+E23/100)*(1+E41/100)))/((E38*D83*D90*E42/((1+E23/100)*(1+E41/100)))+(D89*D83*E42/((1+E23/100)*(1+E41/100))))),0)))</f>
        <v>6.9964135836832329</v>
      </c>
      <c r="F86" s="34">
        <f>IF(F83=0,0,IF(F79=1,(1-E90)*E83*F42/((1+F23/100)*(1+F41/100)),IF(AND(F79=0,F80=1),(E89*E83*F42/((1+F23/100)*(1+F41/100)))*(1-ABS(F83-E83*F42/((1+F23/100)*(1+F41/100)))/((F38*E83*E90*F42/((1+F23/100)*(1+F41/100)))+(E89*E83*F42/((1+F23/100)*(1+F41/100))))),0)))</f>
        <v>7.4338450593811274</v>
      </c>
      <c r="G86" s="34">
        <f>IF(G83=0,0,IF(G79=1,(1-F90)*F83*G42/((1+G23/100)*(1+G41/100)),IF(AND(G79=0,G80=1),(F89*F83*G42/((1+G23/100)*(1+G41/100)))*(1-ABS(G83-F83*G42/((1+G23/100)*(1+G41/100)))/((G38*F83*F90*G42/((1+G23/100)*(1+G41/100)))+(F89*F83*G42/((1+G23/100)*(1+G41/100))))),0)))</f>
        <v>7.7981283689030221</v>
      </c>
      <c r="H86" s="34">
        <f t="shared" ref="H86:W86" si="25">IF(H83=0,0,IF(H79=1,(1-G90)*G83*H42/((1+H23/100)*(1+H41/100)),IF(AND(H79=0,H80=1),(G89*G83*H42/((1+H23/100)*(1+H41/100)))*(1-ABS(H83-G83*H42/((1+H23/100)*(1+H41/100)))/((H38*G83*G90*H42/((1+H23/100)*(1+H41/100)))+(G89*G83*H42/((1+H23/100)*(1+H41/100))))),0)))</f>
        <v>7.9762693336630104</v>
      </c>
      <c r="I86" s="34">
        <f t="shared" si="25"/>
        <v>8.1639598910338105</v>
      </c>
      <c r="J86" s="34">
        <f t="shared" si="25"/>
        <v>8.2935808897123628</v>
      </c>
      <c r="K86" s="34">
        <f t="shared" si="25"/>
        <v>8.3937952030142498</v>
      </c>
      <c r="L86" s="34">
        <f t="shared" si="25"/>
        <v>8.4387537957885215</v>
      </c>
      <c r="M86" s="34">
        <f t="shared" si="25"/>
        <v>8.4720556919016232</v>
      </c>
      <c r="N86" s="34">
        <f t="shared" si="25"/>
        <v>8.5173989447344454</v>
      </c>
      <c r="O86" s="34">
        <f t="shared" si="25"/>
        <v>8.5811581601448541</v>
      </c>
      <c r="P86" s="34">
        <f t="shared" si="25"/>
        <v>8.6691969922002059</v>
      </c>
      <c r="Q86" s="34">
        <f t="shared" si="25"/>
        <v>8.748481959453315</v>
      </c>
      <c r="R86" s="34">
        <f t="shared" si="25"/>
        <v>8.8180877058452456</v>
      </c>
      <c r="S86" s="34">
        <f t="shared" si="25"/>
        <v>8.87293558520056</v>
      </c>
      <c r="T86" s="34">
        <f t="shared" si="25"/>
        <v>8.91205869878549</v>
      </c>
      <c r="U86" s="34">
        <f t="shared" si="25"/>
        <v>8.93376119430763</v>
      </c>
      <c r="V86" s="34">
        <f t="shared" si="25"/>
        <v>8.9364895538765907</v>
      </c>
      <c r="W86" s="34">
        <f t="shared" si="25"/>
        <v>8.9202712445353107</v>
      </c>
    </row>
    <row r="87" spans="2:24" x14ac:dyDescent="0.2">
      <c r="B87" s="105" t="s">
        <v>130</v>
      </c>
      <c r="C87" s="34"/>
      <c r="D87" s="253">
        <f>'Input data'!C69*$D$83</f>
        <v>4.7052606775120811</v>
      </c>
      <c r="E87" s="34">
        <f>IF(E83=0,0,IF(E79=1,'Input data'!$C$58*(E83-D83*E42/((1+E23/100)*(1+E41/100))),0))</f>
        <v>4.4868133712998963</v>
      </c>
      <c r="F87" s="34">
        <f>IF(F83=0,0,IF(F79=1,'Input data'!$C$58*(F83-E83*F42/((1+F23/100)*(1+F41/100))),0))</f>
        <v>5.5183648065170443</v>
      </c>
      <c r="G87" s="34">
        <f>IF(G83=0,0,IF(G79=1,'Input data'!$C$58*(G83-F83*G42/((1+G23/100)*(1+G41/100))),0))</f>
        <v>4.1072311320915462</v>
      </c>
      <c r="H87" s="34">
        <f>IF(H83=0,0,IF(H79=1,'Input data'!$C$58*(H83-G83*H42/((1+H23/100)*(1+H41/100))),0))</f>
        <v>4.0830045418256518</v>
      </c>
      <c r="I87" s="34">
        <f>IF(I83=0,0,IF(I79=1,'Input data'!$C$58*(I83-H83*I42/((1+I23/100)*(1+I41/100))),0))</f>
        <v>3.5472795022870089</v>
      </c>
      <c r="J87" s="34">
        <f>IF(J83=0,0,IF(J79=1,'Input data'!$C$58*(J83-I83*J42/((1+J23/100)*(1+J41/100))),0))</f>
        <v>3.2820178435239171</v>
      </c>
      <c r="K87" s="34">
        <f>IF(K83=0,0,IF(K79=1,'Input data'!$C$58*(K83-J83*K42/((1+K23/100)*(1+K41/100))),0))</f>
        <v>2.8171284080269969</v>
      </c>
      <c r="L87" s="34">
        <f>IF(L83=0,0,IF(L79=1,'Input data'!$C$58*(L83-K83*L42/((1+L23/100)*(1+L41/100))),0))</f>
        <v>2.7277139175645106</v>
      </c>
      <c r="M87" s="34">
        <f>IF(M83=0,0,IF(M79=1,'Input data'!$C$58*(M83-L83*M42/((1+M23/100)*(1+M41/100))),0))</f>
        <v>3.038942166147244</v>
      </c>
      <c r="N87" s="34">
        <f>IF(N83=0,0,IF(N79=1,'Input data'!$C$58*(N83-M83*N42/((1+N23/100)*(1+N41/100))),0))</f>
        <v>3.1664501353442653</v>
      </c>
      <c r="O87" s="34">
        <f>IF(O83=0,0,IF(O79=1,'Input data'!$C$58*(O83-N83*O42/((1+O23/100)*(1+O41/100))),0))</f>
        <v>3.1818946572818918</v>
      </c>
      <c r="P87" s="34">
        <f>IF(P83=0,0,IF(P79=1,'Input data'!$C$58*(P83-O83*P42/((1+P23/100)*(1+P41/100))),0))</f>
        <v>3.1122857139573972</v>
      </c>
      <c r="Q87" s="34">
        <f>IF(Q83=0,0,IF(Q79=1,'Input data'!$C$58*(Q83-P83*Q42/((1+Q23/100)*(1+Q41/100))),0))</f>
        <v>3.0319957687702774</v>
      </c>
      <c r="R87" s="34">
        <f>IF(R83=0,0,IF(R79=1,'Input data'!$C$58*(R83-Q83*R42/((1+R23/100)*(1+R41/100))),0))</f>
        <v>2.9341790970516017</v>
      </c>
      <c r="S87" s="34">
        <f>IF(S83=0,0,IF(S79=1,'Input data'!$C$58*(S83-R83*S42/((1+S23/100)*(1+S41/100))),0))</f>
        <v>2.7952800849494284</v>
      </c>
      <c r="T87" s="34">
        <f>IF(T83=0,0,IF(T79=1,'Input data'!$C$58*(T83-S83*T42/((1+T23/100)*(1+T41/100))),0))</f>
        <v>2.637437051711351</v>
      </c>
      <c r="U87" s="34">
        <f>IF(U83=0,0,IF(U79=1,'Input data'!$C$58*(U83-T83*U42/((1+U23/100)*(1+U41/100))),0))</f>
        <v>2.4615302222282009</v>
      </c>
      <c r="V87" s="34">
        <f>IF(V83=0,0,IF(V79=1,'Input data'!$C$58*(V83-U83*V42/((1+V23/100)*(1+V41/100))),0))</f>
        <v>2.2807031985472004</v>
      </c>
      <c r="W87" s="34">
        <f>IF(W83=0,0,IF(W79=1,'Input data'!$C$58*(W83-V83*W42/((1+W23/100)*(1+W41/100))),0))</f>
        <v>2.1088992947646865</v>
      </c>
    </row>
    <row r="88" spans="2:24" x14ac:dyDescent="0.2">
      <c r="B88" s="107" t="s">
        <v>131</v>
      </c>
      <c r="C88" s="49"/>
      <c r="D88" s="254">
        <f>'Input data'!C70*$D$83</f>
        <v>0.51003587344023849</v>
      </c>
      <c r="E88" s="49">
        <f>IF(E83=0,0,IF(E79=1,'Input data'!$C$57*(E83-D83*E42/((1+E23/100)*(1+E41/100))),0))</f>
        <v>0.54490094832997338</v>
      </c>
      <c r="F88" s="49">
        <f>IF(F83=0,0,IF(F79=1,'Input data'!$C$57*(F83-E83*F42/((1+F23/100)*(1+F41/100))),0))</f>
        <v>0.67017768903339203</v>
      </c>
      <c r="G88" s="49">
        <f>IF(G83=0,0,IF(G79=1,'Input data'!$C$57*(G83-F83*G42/((1+G23/100)*(1+G41/100))),0))</f>
        <v>0.49880259188018816</v>
      </c>
      <c r="H88" s="49">
        <f>IF(H83=0,0,IF(H79=1,'Input data'!$C$57*(H83-G83*H42/((1+H23/100)*(1+H41/100))),0))</f>
        <v>0.49586039417365363</v>
      </c>
      <c r="I88" s="49">
        <f>IF(I83=0,0,IF(I79=1,'Input data'!$C$57*(I83-H83*I42/((1+I23/100)*(1+I41/100))),0))</f>
        <v>0.43079927887164887</v>
      </c>
      <c r="J88" s="49">
        <f>IF(J83=0,0,IF(J79=1,'Input data'!$C$57*(J83-I83*J42/((1+J23/100)*(1+J41/100))),0))</f>
        <v>0.39858458272668423</v>
      </c>
      <c r="K88" s="49">
        <f>IF(K83=0,0,IF(K79=1,'Input data'!$C$57*(K83-J83*K42/((1+K23/100)*(1+K41/100))),0))</f>
        <v>0.34212609575434388</v>
      </c>
      <c r="L88" s="49">
        <f>IF(L83=0,0,IF(L79=1,'Input data'!$C$57*(L83-K83*L42/((1+L23/100)*(1+L41/100))),0))</f>
        <v>0.3312671549837955</v>
      </c>
      <c r="M88" s="49">
        <f>IF(M83=0,0,IF(M79=1,'Input data'!$C$57*(M83-L83*M42/((1+M23/100)*(1+M41/100))),0))</f>
        <v>0.36906426258907027</v>
      </c>
      <c r="N88" s="49">
        <f>IF(N83=0,0,IF(N79=1,'Input data'!$C$57*(N83-M83*N42/((1+N23/100)*(1+N41/100))),0))</f>
        <v>0.38454946502238591</v>
      </c>
      <c r="O88" s="49">
        <f>IF(O83=0,0,IF(O79=1,'Input data'!$C$57*(O83-N83*O42/((1+O23/100)*(1+O41/100))),0))</f>
        <v>0.38642512463955364</v>
      </c>
      <c r="P88" s="49">
        <f>IF(P83=0,0,IF(P79=1,'Input data'!$C$57*(P83-O83*P42/((1+P23/100)*(1+P41/100))),0))</f>
        <v>0.37797146809293081</v>
      </c>
      <c r="Q88" s="49">
        <f>IF(Q83=0,0,IF(Q79=1,'Input data'!$C$57*(Q83-P83*Q42/((1+Q23/100)*(1+Q41/100))),0))</f>
        <v>0.36822065751683852</v>
      </c>
      <c r="R88" s="49">
        <f>IF(R83=0,0,IF(R79=1,'Input data'!$C$57*(R83-Q83*R42/((1+R23/100)*(1+R41/100))),0))</f>
        <v>0.3563413140337941</v>
      </c>
      <c r="S88" s="49">
        <f>IF(S83=0,0,IF(S79=1,'Input data'!$C$57*(S83-R83*S42/((1+S23/100)*(1+S41/100))),0))</f>
        <v>0.33947272665266948</v>
      </c>
      <c r="T88" s="49">
        <f>IF(T83=0,0,IF(T79=1,'Input data'!$C$57*(T83-S83*T42/((1+T23/100)*(1+T41/100))),0))</f>
        <v>0.32030348305344442</v>
      </c>
      <c r="U88" s="49">
        <f>IF(U83=0,0,IF(U79=1,'Input data'!$C$57*(U83-T83*U42/((1+U23/100)*(1+U41/100))),0))</f>
        <v>0.29894048212806434</v>
      </c>
      <c r="V88" s="49">
        <f>IF(V83=0,0,IF(V79=1,'Input data'!$C$57*(V83-U83*V42/((1+V23/100)*(1+V41/100))),0))</f>
        <v>0.27697994832968237</v>
      </c>
      <c r="W88" s="49">
        <f>IF(W83=0,0,IF(W79=1,'Input data'!$C$57*(W83-V83*W42/((1+W23/100)*(1+W41/100))),0))</f>
        <v>0.25611522712315682</v>
      </c>
    </row>
    <row r="89" spans="2:24" x14ac:dyDescent="0.2">
      <c r="B89" s="26" t="s">
        <v>73</v>
      </c>
      <c r="C89" s="34"/>
      <c r="D89" s="259">
        <f>'Baseline NFPC'!$D$93</f>
        <v>9.7796141283269952E-2</v>
      </c>
      <c r="E89" s="34">
        <f>IF(E83&lt;&gt;0,(E86+E88)/(E84+E85+E86+E87+E88),0)</f>
        <v>9.8485930372449279E-2</v>
      </c>
      <c r="F89" s="34">
        <f>IF(F83&lt;&gt;0,(F86+F88)/(F84+F85+F86+F87+F88),0)</f>
        <v>9.9229085120604091E-2</v>
      </c>
      <c r="G89" s="34">
        <f>IF(G83&lt;&gt;0,(G86+G88)/(G84+G85+G86+G87+G88),0)</f>
        <v>9.9730930233834239E-2</v>
      </c>
      <c r="H89" s="34">
        <f t="shared" ref="H89:W89" si="26">IF(H83&lt;&gt;0,(H86+H88)/(H84+H85+H86+H87+H88),0)</f>
        <v>0.10019459437137036</v>
      </c>
      <c r="I89" s="34">
        <f t="shared" si="26"/>
        <v>0.1005715850184954</v>
      </c>
      <c r="J89" s="34">
        <f t="shared" si="26"/>
        <v>0.10090150020960334</v>
      </c>
      <c r="K89" s="34">
        <f t="shared" si="26"/>
        <v>0.10117194972982345</v>
      </c>
      <c r="L89" s="34">
        <f t="shared" si="26"/>
        <v>0.10142387905476412</v>
      </c>
      <c r="M89" s="34">
        <f t="shared" si="26"/>
        <v>0.10169315960951648</v>
      </c>
      <c r="N89" s="34">
        <f t="shared" si="26"/>
        <v>0.10196160465044334</v>
      </c>
      <c r="O89" s="34">
        <f t="shared" si="26"/>
        <v>0.10221914221924379</v>
      </c>
      <c r="P89" s="34">
        <f t="shared" si="26"/>
        <v>0.10245923656738501</v>
      </c>
      <c r="Q89" s="34">
        <f t="shared" si="26"/>
        <v>0.10268266428447137</v>
      </c>
      <c r="R89" s="34">
        <f t="shared" si="26"/>
        <v>0.10288971158180406</v>
      </c>
      <c r="S89" s="34">
        <f t="shared" si="26"/>
        <v>0.10307924404601994</v>
      </c>
      <c r="T89" s="34">
        <f t="shared" si="26"/>
        <v>0.10325171668495174</v>
      </c>
      <c r="U89" s="34">
        <f t="shared" si="26"/>
        <v>0.10340759069475398</v>
      </c>
      <c r="V89" s="34">
        <f t="shared" si="26"/>
        <v>0.10354803140245991</v>
      </c>
      <c r="W89" s="34">
        <f t="shared" si="26"/>
        <v>0.10367482467914678</v>
      </c>
    </row>
    <row r="90" spans="2:24" x14ac:dyDescent="0.2">
      <c r="B90" s="35" t="s">
        <v>74</v>
      </c>
      <c r="C90" s="49"/>
      <c r="D90" s="260">
        <f>'Baseline NFPC'!$D$94</f>
        <v>0.90220385626214106</v>
      </c>
      <c r="E90" s="49">
        <f>IF(E83&lt;&gt;0,(E84+E85+E87)/(E84+E85+E86+E87+E88),1)</f>
        <v>0.90151406962755076</v>
      </c>
      <c r="F90" s="49">
        <f>IF(F83&lt;&gt;0,(F84+F85+F87)/(F84+F85+F86+F87+F88),1)</f>
        <v>0.90077091487939587</v>
      </c>
      <c r="G90" s="49">
        <f>IF(G83&lt;&gt;0,(G84+G85+G87)/(G84+G85+G86+G87+G88),1)</f>
        <v>0.90026906976616572</v>
      </c>
      <c r="H90" s="49">
        <f t="shared" ref="H90:W90" si="27">IF(H83&lt;&gt;0,(H84+H85+H87)/(H84+H85+H86+H87+H88),1)</f>
        <v>0.89980540562862987</v>
      </c>
      <c r="I90" s="49">
        <f t="shared" si="27"/>
        <v>0.89942841498150461</v>
      </c>
      <c r="J90" s="49">
        <f t="shared" si="27"/>
        <v>0.89909849979039669</v>
      </c>
      <c r="K90" s="49">
        <f t="shared" si="27"/>
        <v>0.89882805027017665</v>
      </c>
      <c r="L90" s="49">
        <f t="shared" si="27"/>
        <v>0.89857612094523587</v>
      </c>
      <c r="M90" s="49">
        <f t="shared" si="27"/>
        <v>0.89830684039048347</v>
      </c>
      <c r="N90" s="49">
        <f t="shared" si="27"/>
        <v>0.89803839534955654</v>
      </c>
      <c r="O90" s="49">
        <f t="shared" si="27"/>
        <v>0.89778085778075623</v>
      </c>
      <c r="P90" s="49">
        <f t="shared" si="27"/>
        <v>0.8975407634326148</v>
      </c>
      <c r="Q90" s="49">
        <f t="shared" si="27"/>
        <v>0.89731733571552852</v>
      </c>
      <c r="R90" s="49">
        <f t="shared" si="27"/>
        <v>0.89711028841819584</v>
      </c>
      <c r="S90" s="49">
        <f t="shared" si="27"/>
        <v>0.89692075595397991</v>
      </c>
      <c r="T90" s="49">
        <f t="shared" si="27"/>
        <v>0.89674828331504819</v>
      </c>
      <c r="U90" s="49">
        <f t="shared" si="27"/>
        <v>0.89659240930524597</v>
      </c>
      <c r="V90" s="49">
        <f t="shared" si="27"/>
        <v>0.89645196859753995</v>
      </c>
      <c r="W90" s="49">
        <f t="shared" si="27"/>
        <v>0.8963251753208531</v>
      </c>
    </row>
    <row r="92" spans="2:24" x14ac:dyDescent="0.2">
      <c r="B92" s="113" t="s">
        <v>132</v>
      </c>
      <c r="C92" s="51"/>
      <c r="D92" s="51"/>
      <c r="E92" s="52">
        <f>E94+E95</f>
        <v>1.5804370000000001</v>
      </c>
      <c r="F92" s="52">
        <f>F94+F95</f>
        <v>1.6625099999999997</v>
      </c>
      <c r="G92" s="52">
        <f>G94+G95</f>
        <v>1.8895660000000001</v>
      </c>
      <c r="H92" s="52">
        <f t="shared" ref="H92:W92" si="28">H94+H95</f>
        <v>1.9854717385163656</v>
      </c>
      <c r="I92" s="52">
        <f t="shared" si="28"/>
        <v>2.0745438140806316</v>
      </c>
      <c r="J92" s="52">
        <f t="shared" si="28"/>
        <v>2.1513437547152869</v>
      </c>
      <c r="K92" s="52">
        <f t="shared" si="28"/>
        <v>2.221061078171136</v>
      </c>
      <c r="L92" s="52">
        <f t="shared" si="28"/>
        <v>2.2825617644185887</v>
      </c>
      <c r="M92" s="52">
        <f t="shared" si="28"/>
        <v>2.3409157047574327</v>
      </c>
      <c r="N92" s="52">
        <f t="shared" si="28"/>
        <v>2.4003298177013139</v>
      </c>
      <c r="O92" s="52">
        <f t="shared" si="28"/>
        <v>2.4586500157814744</v>
      </c>
      <c r="P92" s="52">
        <f t="shared" si="28"/>
        <v>2.5129776784473368</v>
      </c>
      <c r="Q92" s="52">
        <f t="shared" si="28"/>
        <v>2.5646574883103792</v>
      </c>
      <c r="R92" s="52">
        <f t="shared" si="28"/>
        <v>2.613883683999163</v>
      </c>
      <c r="S92" s="52">
        <f t="shared" si="28"/>
        <v>2.6607781455937123</v>
      </c>
      <c r="T92" s="52">
        <f t="shared" si="28"/>
        <v>2.705279811670938</v>
      </c>
      <c r="U92" s="52">
        <f t="shared" si="28"/>
        <v>2.7475069213922194</v>
      </c>
      <c r="V92" s="52">
        <f t="shared" si="28"/>
        <v>2.7875665170445041</v>
      </c>
      <c r="W92" s="52">
        <f t="shared" si="28"/>
        <v>2.8256431686545924</v>
      </c>
    </row>
    <row r="93" spans="2:24" x14ac:dyDescent="0.2">
      <c r="B93" s="33" t="s">
        <v>133</v>
      </c>
      <c r="C93" s="97"/>
      <c r="D93" s="97"/>
      <c r="E93" s="265">
        <f>((E35*D83)-(E37*(D86+D88)))/(D84+D85+D87)</f>
        <v>1.3799500275570342</v>
      </c>
      <c r="F93" s="265">
        <f>((F35*E83)-(F37*(E86+E88)))/(E84+E85+E87)</f>
        <v>1.4547589474903004</v>
      </c>
      <c r="G93" s="265">
        <f>((G35*F83)-(G37*(F86+F88)))/(F84+F85+F87)</f>
        <v>1.7874685547645983</v>
      </c>
      <c r="H93" s="34">
        <f t="shared" ref="H93:W93" si="29">IF(G83&gt;0,(G93*G84+H36*(G87+G85))/(G84+G85+G87),H36)</f>
        <v>1.8946752954665109</v>
      </c>
      <c r="I93" s="34">
        <f t="shared" si="29"/>
        <v>1.9944532110722271</v>
      </c>
      <c r="J93" s="34">
        <f t="shared" si="29"/>
        <v>2.0807675912483039</v>
      </c>
      <c r="K93" s="34">
        <f t="shared" si="29"/>
        <v>2.1593179856757927</v>
      </c>
      <c r="L93" s="34">
        <f t="shared" si="29"/>
        <v>2.228827368395911</v>
      </c>
      <c r="M93" s="34">
        <f t="shared" si="29"/>
        <v>2.294892742537717</v>
      </c>
      <c r="N93" s="34">
        <f>IF(M83&gt;0,(M93*M84+N36*(M87+M85))/(M84+M85+M87),N36)</f>
        <v>2.3621744218652494</v>
      </c>
      <c r="O93" s="34">
        <f>IF(N83&gt;0,(N93*N84+O36*(N87+N85))/(N84+N85+N87),O36)</f>
        <v>2.4282853787238392</v>
      </c>
      <c r="P93" s="34">
        <f t="shared" si="29"/>
        <v>2.4928467704421897</v>
      </c>
      <c r="Q93" s="34">
        <f t="shared" si="29"/>
        <v>2.5545177937497145</v>
      </c>
      <c r="R93" s="34">
        <f t="shared" si="29"/>
        <v>2.6135068773706647</v>
      </c>
      <c r="S93" s="34">
        <f t="shared" si="29"/>
        <v>2.6699425932428937</v>
      </c>
      <c r="T93" s="34">
        <f t="shared" si="29"/>
        <v>2.7237497862879363</v>
      </c>
      <c r="U93" s="34">
        <f t="shared" si="29"/>
        <v>2.7750534983411801</v>
      </c>
      <c r="V93" s="34">
        <f t="shared" si="29"/>
        <v>2.8239668527018296</v>
      </c>
      <c r="W93" s="34">
        <f t="shared" si="29"/>
        <v>2.8706903235463841</v>
      </c>
    </row>
    <row r="94" spans="2:24" x14ac:dyDescent="0.2">
      <c r="B94" s="26" t="s">
        <v>134</v>
      </c>
      <c r="C94" s="97"/>
      <c r="D94" s="97"/>
      <c r="E94" s="34">
        <f>(E93*(D84+D85+D87)+E37*(D86+D88))/D83</f>
        <v>1.5804370000000001</v>
      </c>
      <c r="F94" s="34">
        <f>(F93*(E84+E85+E87)+F37*(E86+E88))/E83</f>
        <v>1.6625099999999997</v>
      </c>
      <c r="G94" s="34">
        <f>(G93*(F84+F85+F87)+G37*(F86+F88))/F83</f>
        <v>1.8895660000000001</v>
      </c>
      <c r="H94" s="34">
        <f t="shared" ref="H94:W94" si="30">(H93*(G84+G85+G87)+H37*(G86+G88))/G83</f>
        <v>1.9854717385163656</v>
      </c>
      <c r="I94" s="34">
        <f t="shared" si="30"/>
        <v>2.0745438140806316</v>
      </c>
      <c r="J94" s="34">
        <f t="shared" si="30"/>
        <v>2.1513437547152869</v>
      </c>
      <c r="K94" s="34">
        <f t="shared" si="30"/>
        <v>2.221061078171136</v>
      </c>
      <c r="L94" s="34">
        <f t="shared" si="30"/>
        <v>2.2825617644185887</v>
      </c>
      <c r="M94" s="34">
        <f t="shared" si="30"/>
        <v>2.3409157047574327</v>
      </c>
      <c r="N94" s="34">
        <f>(N93*(M84+M85+M87)+N37*(M86+M88))/M83</f>
        <v>2.4003298177013139</v>
      </c>
      <c r="O94" s="34">
        <f>(O93*(N84+N85+N87)+O37*(N86+N88))/N83</f>
        <v>2.4586500157814744</v>
      </c>
      <c r="P94" s="34">
        <f t="shared" si="30"/>
        <v>2.5129776784473368</v>
      </c>
      <c r="Q94" s="34">
        <f t="shared" si="30"/>
        <v>2.5646574883103792</v>
      </c>
      <c r="R94" s="34">
        <f t="shared" si="30"/>
        <v>2.613883683999163</v>
      </c>
      <c r="S94" s="34">
        <f t="shared" si="30"/>
        <v>2.6607781455937123</v>
      </c>
      <c r="T94" s="34">
        <f t="shared" si="30"/>
        <v>2.705279811670938</v>
      </c>
      <c r="U94" s="34">
        <f t="shared" si="30"/>
        <v>2.7475069213922194</v>
      </c>
      <c r="V94" s="34">
        <f t="shared" si="30"/>
        <v>2.7875665170445041</v>
      </c>
      <c r="W94" s="34">
        <f t="shared" si="30"/>
        <v>2.8256431686545924</v>
      </c>
    </row>
    <row r="95" spans="2:24" x14ac:dyDescent="0.2">
      <c r="B95" s="35" t="s">
        <v>135</v>
      </c>
      <c r="C95" s="35"/>
      <c r="D95" s="35"/>
      <c r="E95" s="49">
        <f>IF('Criteria results'!$F$5=4,E105,E110)</f>
        <v>0</v>
      </c>
      <c r="F95" s="49">
        <f>IF('Criteria results'!$F$5=4,F105,F110)</f>
        <v>0</v>
      </c>
      <c r="G95" s="49">
        <f>IF('Criteria results'!$F$5=4,G105,G110)</f>
        <v>0</v>
      </c>
      <c r="H95" s="49">
        <f>IF('Criteria results'!$F$5=4,H105,H110)</f>
        <v>0</v>
      </c>
      <c r="I95" s="49">
        <f>IF('Criteria results'!$F$5=4,I105,I110)</f>
        <v>0</v>
      </c>
      <c r="J95" s="49">
        <f>IF('Criteria results'!$F$5=4,J105,J110)</f>
        <v>0</v>
      </c>
      <c r="K95" s="49">
        <f>IF('Criteria results'!$F$5=4,K105,K110)</f>
        <v>0</v>
      </c>
      <c r="L95" s="49">
        <f>IF('Criteria results'!$F$5=4,L105,L110)</f>
        <v>0</v>
      </c>
      <c r="M95" s="49">
        <f>IF('Criteria results'!$F$5=4,M105,M110)</f>
        <v>0</v>
      </c>
      <c r="N95" s="49">
        <f>IF('Criteria results'!$F$5=4,N105,N110)</f>
        <v>0</v>
      </c>
      <c r="O95" s="49">
        <f>IF('Criteria results'!$F$5=4,O105,O110)</f>
        <v>0</v>
      </c>
      <c r="P95" s="49">
        <f>IF('Criteria results'!$F$5=4,P105,P110)</f>
        <v>0</v>
      </c>
      <c r="Q95" s="49">
        <f>IF('Criteria results'!$F$5=4,Q105,Q110)</f>
        <v>0</v>
      </c>
      <c r="R95" s="49">
        <f>IF('Criteria results'!$F$5=4,R105,R110)</f>
        <v>0</v>
      </c>
      <c r="S95" s="49">
        <f>IF('Criteria results'!$F$5=4,S105,S110)</f>
        <v>0</v>
      </c>
      <c r="T95" s="49">
        <f>IF('Criteria results'!$F$5=4,T105,T110)</f>
        <v>0</v>
      </c>
      <c r="U95" s="49">
        <f>IF('Criteria results'!$F$5=4,U105,U110)</f>
        <v>0</v>
      </c>
      <c r="V95" s="49">
        <f>IF('Criteria results'!$F$5=4,V105,V110)</f>
        <v>0</v>
      </c>
      <c r="W95" s="49">
        <f>IF('Criteria results'!$F$5=4,W105,W110)</f>
        <v>0</v>
      </c>
    </row>
    <row r="96" spans="2:24" x14ac:dyDescent="0.2">
      <c r="G96" s="98"/>
      <c r="H96" s="98"/>
      <c r="I96" s="98"/>
      <c r="J96" s="98"/>
      <c r="K96" s="98"/>
      <c r="L96" s="98"/>
      <c r="M96" s="98"/>
      <c r="N96" s="98"/>
      <c r="O96" s="98"/>
      <c r="P96" s="98"/>
      <c r="Q96" s="98"/>
      <c r="R96" s="98"/>
      <c r="S96" s="98"/>
      <c r="T96" s="98"/>
      <c r="U96" s="98"/>
      <c r="V96" s="98"/>
      <c r="W96" s="98"/>
    </row>
    <row r="97" spans="1:54" x14ac:dyDescent="0.2">
      <c r="B97" s="113" t="s">
        <v>186</v>
      </c>
      <c r="C97" s="52">
        <f t="shared" ref="C97:T97" si="31">((1+C92/100)/((1+C23/100)*(1+C41/100))-1)*100</f>
        <v>-5.0370227849337539</v>
      </c>
      <c r="D97" s="52">
        <f t="shared" si="31"/>
        <v>-6.3592937852546161</v>
      </c>
      <c r="E97" s="52">
        <f t="shared" si="31"/>
        <v>-1.0866936191633814</v>
      </c>
      <c r="F97" s="52">
        <f t="shared" si="31"/>
        <v>0.19460467612562038</v>
      </c>
      <c r="G97" s="52">
        <f>((1+G92/100)/((1+G23/100)*(1+G41/100))-1)*100</f>
        <v>-1.9663561959351483</v>
      </c>
      <c r="H97" s="52">
        <f t="shared" si="31"/>
        <v>-1.956085382408157</v>
      </c>
      <c r="I97" s="52">
        <f t="shared" si="31"/>
        <v>-1.6383709451863515</v>
      </c>
      <c r="J97" s="52">
        <f t="shared" si="31"/>
        <v>-1.4282523018193993</v>
      </c>
      <c r="K97" s="52">
        <f t="shared" si="31"/>
        <v>-1.2878143144442578</v>
      </c>
      <c r="L97" s="52">
        <f t="shared" si="31"/>
        <v>-1.1967568372978632</v>
      </c>
      <c r="M97" s="52">
        <f t="shared" si="31"/>
        <v>-1.1361612158337864</v>
      </c>
      <c r="N97" s="52">
        <f t="shared" si="31"/>
        <v>-1.3490976687023704</v>
      </c>
      <c r="O97" s="52">
        <f t="shared" si="31"/>
        <v>-1.2335457149245777</v>
      </c>
      <c r="P97" s="52">
        <f t="shared" si="31"/>
        <v>-0.89802686757557426</v>
      </c>
      <c r="Q97" s="52">
        <f t="shared" si="31"/>
        <v>-0.82144931289170886</v>
      </c>
      <c r="R97" s="52">
        <f t="shared" si="31"/>
        <v>-0.74720387625993867</v>
      </c>
      <c r="S97" s="52">
        <f t="shared" si="31"/>
        <v>-0.71289781209430414</v>
      </c>
      <c r="T97" s="52">
        <f t="shared" si="31"/>
        <v>-0.64319216299830728</v>
      </c>
      <c r="U97" s="52">
        <f>((1+U92/100)/((1+U23/100)*(1+U41/100))-1)*100</f>
        <v>-0.57564119918952494</v>
      </c>
      <c r="V97" s="52">
        <f>((1+V92/100)/((1+V23/100)*(1+V41/100))-1)*100</f>
        <v>-0.51015979511477294</v>
      </c>
      <c r="W97" s="52">
        <f>((1+W92/100)/((1+W23/100)*(1+W41/100))-1)*100</f>
        <v>-0.44655515074371044</v>
      </c>
    </row>
    <row r="100" spans="1:54" s="25" customFormat="1" ht="12.75" outlineLevel="1" x14ac:dyDescent="0.2">
      <c r="B100" s="25" t="s">
        <v>136</v>
      </c>
      <c r="C100" s="112"/>
      <c r="D100" s="112"/>
      <c r="E100" s="112"/>
      <c r="F100" s="112"/>
      <c r="G100" s="112"/>
      <c r="H100" s="112"/>
      <c r="I100" s="112"/>
      <c r="J100" s="112"/>
      <c r="K100" s="112"/>
      <c r="L100" s="112"/>
      <c r="M100" s="112"/>
      <c r="N100" s="112"/>
      <c r="O100" s="112"/>
      <c r="P100" s="112"/>
      <c r="Q100" s="112"/>
      <c r="R100" s="112"/>
      <c r="S100" s="112"/>
      <c r="T100" s="112"/>
      <c r="U100" s="112"/>
      <c r="V100" s="112"/>
      <c r="W100" s="112"/>
    </row>
    <row r="101" spans="1:54" s="127" customFormat="1" ht="12.75" outlineLevel="1" x14ac:dyDescent="0.2">
      <c r="C101" s="128"/>
      <c r="D101" s="128"/>
      <c r="E101" s="128"/>
      <c r="F101" s="128"/>
      <c r="G101" s="128"/>
      <c r="H101" s="128"/>
      <c r="I101" s="128"/>
      <c r="J101" s="128"/>
      <c r="K101" s="128"/>
      <c r="L101" s="128"/>
      <c r="M101" s="128"/>
      <c r="N101" s="128"/>
      <c r="O101" s="128"/>
      <c r="P101" s="128"/>
      <c r="Q101" s="128"/>
      <c r="R101" s="128"/>
      <c r="S101" s="128"/>
      <c r="T101" s="128"/>
      <c r="U101" s="128"/>
      <c r="V101" s="128"/>
      <c r="W101" s="128"/>
    </row>
    <row r="102" spans="1:54" s="127" customFormat="1" ht="12.75" outlineLevel="1" x14ac:dyDescent="0.2">
      <c r="B102" s="106" t="s">
        <v>293</v>
      </c>
      <c r="C102" s="129"/>
      <c r="D102" s="129"/>
      <c r="E102" s="129"/>
      <c r="F102" s="129"/>
      <c r="G102" s="129"/>
      <c r="H102" s="129"/>
      <c r="I102" s="129"/>
      <c r="J102" s="129"/>
      <c r="K102" s="129"/>
      <c r="L102" s="129"/>
      <c r="M102" s="129"/>
      <c r="N102" s="129"/>
      <c r="O102" s="129"/>
      <c r="P102" s="129"/>
      <c r="Q102" s="129"/>
      <c r="R102" s="129"/>
      <c r="S102" s="129"/>
      <c r="T102" s="129"/>
      <c r="U102" s="129"/>
      <c r="V102" s="129"/>
      <c r="W102" s="129"/>
    </row>
    <row r="103" spans="1:54" outlineLevel="1" x14ac:dyDescent="0.2">
      <c r="B103" s="120" t="s">
        <v>43</v>
      </c>
      <c r="C103" s="34">
        <v>72.584815979003906</v>
      </c>
      <c r="D103" s="34">
        <v>73.511604309082031</v>
      </c>
      <c r="E103" s="34">
        <v>75.830703735351563</v>
      </c>
      <c r="F103" s="34">
        <v>80.487434387207031</v>
      </c>
      <c r="G103" s="34">
        <v>82.262153625488281</v>
      </c>
      <c r="H103" s="34">
        <v>83.381324768066406</v>
      </c>
      <c r="I103" s="34">
        <v>83.9129638671875</v>
      </c>
      <c r="J103" s="34">
        <v>83.675552368164063</v>
      </c>
      <c r="K103" s="34">
        <v>82.820709228515625</v>
      </c>
      <c r="L103" s="34">
        <v>82.1903076171875</v>
      </c>
      <c r="M103" s="34">
        <v>81.778778076171875</v>
      </c>
      <c r="N103" s="34">
        <v>81.255287170410156</v>
      </c>
      <c r="O103" s="34">
        <v>80.464340209960938</v>
      </c>
      <c r="P103" s="34">
        <v>79.532844543457031</v>
      </c>
      <c r="Q103" s="34">
        <v>78.333999633789063</v>
      </c>
      <c r="R103" s="34">
        <v>76.856475830078125</v>
      </c>
      <c r="S103" s="34">
        <v>75.185287475585938</v>
      </c>
      <c r="T103" s="34">
        <v>73.324249267578125</v>
      </c>
      <c r="U103" s="34">
        <v>71.249855041503906</v>
      </c>
      <c r="V103" s="34">
        <v>68.974510192871094</v>
      </c>
      <c r="W103" s="34">
        <v>66.576774597167969</v>
      </c>
      <c r="X103" s="34"/>
      <c r="Y103" s="34"/>
      <c r="Z103" s="34"/>
    </row>
    <row r="104" spans="1:54" s="5" customFormat="1" ht="12.75" x14ac:dyDescent="0.2">
      <c r="A104" s="26"/>
      <c r="B104" s="26" t="s">
        <v>132</v>
      </c>
      <c r="C104" s="1">
        <v>0.73297137022018433</v>
      </c>
      <c r="D104" s="1">
        <v>0.83926922082901001</v>
      </c>
      <c r="E104" s="1">
        <v>1.580437183380127</v>
      </c>
      <c r="F104" s="1">
        <v>1.6625103950500488</v>
      </c>
      <c r="G104" s="1">
        <v>1.88956618309021</v>
      </c>
      <c r="H104" s="1">
        <v>1.9827291965484619</v>
      </c>
      <c r="I104" s="1">
        <v>2.0615065097808838</v>
      </c>
      <c r="J104" s="1">
        <v>2.1287131309509277</v>
      </c>
      <c r="K104" s="1">
        <v>2.1856439113616943</v>
      </c>
      <c r="L104" s="1">
        <v>2.2401273250579834</v>
      </c>
      <c r="M104" s="1">
        <v>2.2936177253723145</v>
      </c>
      <c r="N104" s="1">
        <v>2.3457050323486328</v>
      </c>
      <c r="O104" s="1">
        <v>2.3964245319366455</v>
      </c>
      <c r="P104" s="1">
        <v>2.4420762062072754</v>
      </c>
      <c r="Q104" s="1">
        <v>2.4856171607971191</v>
      </c>
      <c r="R104" s="1">
        <v>2.5270740985870361</v>
      </c>
      <c r="S104" s="1">
        <v>2.5663754940032959</v>
      </c>
      <c r="T104" s="1">
        <v>2.6033976078033447</v>
      </c>
      <c r="U104" s="99">
        <v>2.6380147933959961</v>
      </c>
      <c r="V104" s="99">
        <v>2.6700663566589355</v>
      </c>
      <c r="W104" s="99">
        <v>2.6994903087615967</v>
      </c>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s="5" customFormat="1" ht="12.75" x14ac:dyDescent="0.2">
      <c r="B105" s="26" t="s">
        <v>185</v>
      </c>
      <c r="C105" s="1"/>
      <c r="D105" s="1"/>
      <c r="E105" s="1"/>
      <c r="F105" s="1"/>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106" t="s">
        <v>294</v>
      </c>
      <c r="C107" s="37"/>
      <c r="D107" s="37"/>
      <c r="E107" s="37"/>
      <c r="F107" s="37"/>
      <c r="G107" s="37"/>
      <c r="H107" s="37"/>
      <c r="I107" s="37"/>
      <c r="J107" s="37"/>
      <c r="K107" s="37"/>
      <c r="L107" s="37"/>
      <c r="M107" s="37"/>
      <c r="N107" s="37"/>
      <c r="O107" s="37"/>
      <c r="P107" s="37"/>
      <c r="Q107" s="37"/>
      <c r="R107" s="37"/>
      <c r="S107" s="37"/>
      <c r="T107" s="37"/>
      <c r="U107" s="37"/>
      <c r="V107" s="37"/>
      <c r="W107" s="37"/>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outlineLevel="1" x14ac:dyDescent="0.2">
      <c r="B108" s="120" t="s">
        <v>43</v>
      </c>
      <c r="C108" s="34">
        <v>72.584815979003906</v>
      </c>
      <c r="D108" s="34">
        <v>73.511604309082031</v>
      </c>
      <c r="E108" s="34">
        <v>75.830703735351563</v>
      </c>
      <c r="F108" s="34">
        <v>80.487434387207031</v>
      </c>
      <c r="G108" s="34">
        <v>82.259086608886719</v>
      </c>
      <c r="H108" s="34">
        <v>83.703659057617188</v>
      </c>
      <c r="I108" s="34">
        <v>84.899864196777344</v>
      </c>
      <c r="J108" s="34">
        <v>85.673782348632813</v>
      </c>
      <c r="K108" s="34">
        <v>86.113090515136719</v>
      </c>
      <c r="L108" s="34">
        <v>86.220924377441406</v>
      </c>
      <c r="M108" s="34">
        <v>85.980087280273438</v>
      </c>
      <c r="N108" s="34">
        <v>85.367805480957031</v>
      </c>
      <c r="O108" s="34">
        <v>84.77899169921875</v>
      </c>
      <c r="P108" s="34">
        <v>84.156158447265625</v>
      </c>
      <c r="Q108" s="34">
        <v>83.249862670898438</v>
      </c>
      <c r="R108" s="34">
        <v>82.047988891601563</v>
      </c>
      <c r="S108" s="34">
        <v>80.660224914550781</v>
      </c>
      <c r="T108" s="34">
        <v>79.080482482910156</v>
      </c>
      <c r="U108" s="34">
        <v>77.284561157226563</v>
      </c>
      <c r="V108" s="34">
        <v>75.285743713378906</v>
      </c>
      <c r="W108" s="34">
        <v>73.168327331542969</v>
      </c>
      <c r="X108" s="34"/>
      <c r="Y108" s="34"/>
      <c r="Z108" s="34"/>
    </row>
    <row r="109" spans="1:54" x14ac:dyDescent="0.2">
      <c r="B109" s="26" t="s">
        <v>132</v>
      </c>
      <c r="C109" s="1">
        <v>0.73297137022018433</v>
      </c>
      <c r="D109" s="1">
        <v>0.83926922082901001</v>
      </c>
      <c r="E109" s="1">
        <v>1.580437183380127</v>
      </c>
      <c r="F109" s="1">
        <v>1.6625103950500488</v>
      </c>
      <c r="G109" s="1">
        <v>1.88956618309021</v>
      </c>
      <c r="H109" s="1">
        <v>1.9854403734207153</v>
      </c>
      <c r="I109" s="1">
        <v>2.0695152282714844</v>
      </c>
      <c r="J109" s="1">
        <v>2.1444764137268066</v>
      </c>
      <c r="K109" s="1">
        <v>2.2115991115570068</v>
      </c>
      <c r="L109" s="1">
        <v>2.27219557762146</v>
      </c>
      <c r="M109" s="1">
        <v>2.3275411128997803</v>
      </c>
      <c r="N109" s="1">
        <v>2.3785543441772461</v>
      </c>
      <c r="O109" s="1">
        <v>2.4289181232452393</v>
      </c>
      <c r="P109" s="1">
        <v>2.4757785797119141</v>
      </c>
      <c r="Q109" s="1">
        <v>2.5204784870147705</v>
      </c>
      <c r="R109" s="1">
        <v>2.5630922317504883</v>
      </c>
      <c r="S109" s="1">
        <v>2.6036040782928467</v>
      </c>
      <c r="T109" s="1">
        <v>2.6420183181762695</v>
      </c>
      <c r="U109" s="1">
        <v>2.678272008895874</v>
      </c>
      <c r="V109" s="1">
        <v>2.7122824192047119</v>
      </c>
      <c r="W109" s="1">
        <v>2.7440621852874756</v>
      </c>
      <c r="X109" s="1"/>
      <c r="Y109" s="1"/>
      <c r="Z109" s="1"/>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60"/>
    </row>
    <row r="110" spans="1:54" x14ac:dyDescent="0.2">
      <c r="B110" s="26" t="s">
        <v>185</v>
      </c>
      <c r="C110" s="34"/>
      <c r="D110" s="34"/>
      <c r="E110" s="34"/>
      <c r="F110" s="34"/>
      <c r="G110" s="34">
        <v>0</v>
      </c>
      <c r="H110" s="34">
        <v>0</v>
      </c>
      <c r="I110" s="34">
        <v>0</v>
      </c>
      <c r="J110" s="34">
        <v>0</v>
      </c>
      <c r="K110" s="34">
        <v>0</v>
      </c>
      <c r="L110" s="34">
        <v>0</v>
      </c>
      <c r="M110" s="34">
        <v>0</v>
      </c>
      <c r="N110" s="34">
        <v>0</v>
      </c>
      <c r="O110" s="34">
        <v>0</v>
      </c>
      <c r="P110" s="34">
        <v>0</v>
      </c>
      <c r="Q110" s="34">
        <v>0</v>
      </c>
      <c r="R110" s="34">
        <v>0</v>
      </c>
      <c r="S110" s="34">
        <v>0</v>
      </c>
      <c r="T110" s="34">
        <v>0</v>
      </c>
      <c r="U110" s="34">
        <v>0</v>
      </c>
      <c r="V110" s="34">
        <v>0</v>
      </c>
      <c r="W110" s="34">
        <v>0</v>
      </c>
    </row>
    <row r="114" spans="5:23" x14ac:dyDescent="0.2">
      <c r="E114" s="34"/>
      <c r="F114" s="34"/>
      <c r="G114" s="121"/>
      <c r="H114" s="121"/>
      <c r="I114" s="121"/>
      <c r="J114" s="121"/>
      <c r="K114" s="121"/>
      <c r="L114" s="121"/>
      <c r="M114" s="121"/>
      <c r="N114" s="121"/>
      <c r="O114" s="121"/>
      <c r="P114" s="121"/>
      <c r="Q114" s="121"/>
      <c r="R114" s="121"/>
      <c r="S114" s="121"/>
      <c r="T114" s="121"/>
      <c r="U114" s="121"/>
      <c r="V114" s="121"/>
      <c r="W114" s="121"/>
    </row>
    <row r="115" spans="5:23" x14ac:dyDescent="0.2">
      <c r="E115" s="34"/>
      <c r="F115" s="34"/>
      <c r="G115" s="121"/>
      <c r="H115" s="121"/>
      <c r="I115" s="121"/>
      <c r="J115" s="121"/>
      <c r="K115" s="121"/>
      <c r="L115" s="121"/>
      <c r="M115" s="121"/>
      <c r="N115" s="121"/>
      <c r="O115" s="121"/>
      <c r="P115" s="121"/>
      <c r="Q115" s="121"/>
      <c r="R115" s="121"/>
      <c r="S115" s="121"/>
      <c r="T115" s="121"/>
      <c r="U115" s="121"/>
      <c r="V115" s="121"/>
      <c r="W115" s="121"/>
    </row>
    <row r="117" spans="5:23" x14ac:dyDescent="0.2">
      <c r="E117" s="34"/>
      <c r="F117" s="34"/>
      <c r="G117" s="121"/>
      <c r="H117" s="121"/>
      <c r="I117" s="121"/>
      <c r="J117" s="121"/>
      <c r="K117" s="121"/>
      <c r="L117" s="121"/>
      <c r="M117" s="121"/>
      <c r="N117" s="121"/>
      <c r="O117" s="121"/>
      <c r="P117" s="121"/>
      <c r="Q117" s="121"/>
      <c r="R117" s="121"/>
      <c r="S117" s="121"/>
      <c r="T117" s="121"/>
      <c r="U117" s="121"/>
      <c r="V117" s="121"/>
      <c r="W117" s="121"/>
    </row>
    <row r="118" spans="5:23" x14ac:dyDescent="0.2">
      <c r="E118" s="34"/>
      <c r="F118" s="34"/>
      <c r="G118" s="121"/>
      <c r="H118" s="121"/>
      <c r="I118" s="121"/>
      <c r="J118" s="121"/>
      <c r="K118" s="121"/>
      <c r="L118" s="121"/>
      <c r="M118" s="121"/>
      <c r="N118" s="121"/>
      <c r="O118" s="121"/>
      <c r="P118" s="121"/>
      <c r="Q118" s="121"/>
      <c r="R118" s="121"/>
      <c r="S118" s="121"/>
      <c r="T118" s="121"/>
      <c r="U118" s="121"/>
      <c r="V118" s="121"/>
      <c r="W118" s="121"/>
    </row>
    <row r="119" spans="5:23" x14ac:dyDescent="0.2">
      <c r="G119" s="53"/>
      <c r="H119" s="53"/>
      <c r="I119" s="53"/>
      <c r="J119" s="53"/>
      <c r="K119" s="53"/>
      <c r="L119" s="53"/>
      <c r="M119" s="53"/>
      <c r="N119" s="53"/>
      <c r="O119" s="53"/>
      <c r="P119" s="53"/>
      <c r="Q119" s="53"/>
      <c r="R119" s="53"/>
      <c r="S119" s="53"/>
      <c r="T119" s="53"/>
      <c r="U119" s="53"/>
      <c r="V119" s="53"/>
      <c r="W119" s="53"/>
    </row>
    <row r="120" spans="5:23" x14ac:dyDescent="0.2">
      <c r="E120" s="34"/>
      <c r="F120" s="34"/>
      <c r="G120" s="121"/>
      <c r="H120" s="121"/>
      <c r="I120" s="121"/>
      <c r="J120" s="121"/>
      <c r="K120" s="121"/>
      <c r="L120" s="121"/>
      <c r="M120" s="121"/>
      <c r="N120" s="121"/>
      <c r="O120" s="121"/>
      <c r="P120" s="121"/>
      <c r="Q120" s="121"/>
      <c r="R120" s="121"/>
      <c r="S120" s="121"/>
      <c r="T120" s="121"/>
      <c r="U120" s="121"/>
      <c r="V120" s="121"/>
      <c r="W120" s="121"/>
    </row>
    <row r="121" spans="5:23" x14ac:dyDescent="0.2">
      <c r="E121" s="34"/>
      <c r="F121" s="34"/>
      <c r="G121" s="121"/>
      <c r="H121" s="121"/>
      <c r="I121" s="121"/>
      <c r="J121" s="121"/>
      <c r="K121" s="121"/>
      <c r="L121" s="121"/>
      <c r="M121" s="121"/>
      <c r="N121" s="121"/>
      <c r="O121" s="121"/>
      <c r="P121" s="121"/>
      <c r="Q121" s="121"/>
      <c r="R121" s="121"/>
      <c r="S121" s="121"/>
      <c r="T121" s="121"/>
      <c r="U121" s="121"/>
      <c r="V121" s="121"/>
      <c r="W121" s="121"/>
    </row>
    <row r="122" spans="5:23" x14ac:dyDescent="0.2">
      <c r="G122" s="53"/>
      <c r="H122" s="53"/>
      <c r="I122" s="53"/>
      <c r="J122" s="53"/>
      <c r="K122" s="53"/>
      <c r="L122" s="53"/>
      <c r="M122" s="53"/>
      <c r="N122" s="53"/>
      <c r="O122" s="53"/>
      <c r="P122" s="53"/>
      <c r="Q122" s="53"/>
      <c r="R122" s="53"/>
      <c r="S122" s="53"/>
      <c r="T122" s="53"/>
      <c r="U122" s="53"/>
      <c r="V122" s="53"/>
      <c r="W122" s="53"/>
    </row>
    <row r="123" spans="5:23" x14ac:dyDescent="0.2">
      <c r="E123" s="34"/>
      <c r="F123" s="34"/>
      <c r="G123" s="121"/>
      <c r="H123" s="121"/>
      <c r="I123" s="121"/>
      <c r="J123" s="121"/>
      <c r="K123" s="121"/>
      <c r="L123" s="121"/>
      <c r="M123" s="121"/>
      <c r="N123" s="121"/>
      <c r="O123" s="121"/>
      <c r="P123" s="121"/>
      <c r="Q123" s="121"/>
      <c r="R123" s="121"/>
      <c r="S123" s="121"/>
      <c r="T123" s="121"/>
      <c r="U123" s="121"/>
      <c r="V123" s="121"/>
      <c r="W123" s="121"/>
    </row>
    <row r="124" spans="5:23" x14ac:dyDescent="0.2">
      <c r="E124" s="34"/>
      <c r="F124" s="34"/>
      <c r="G124" s="121"/>
      <c r="H124" s="121"/>
      <c r="I124" s="121"/>
      <c r="J124" s="121"/>
      <c r="K124" s="121"/>
      <c r="L124" s="121"/>
      <c r="M124" s="121"/>
      <c r="N124" s="121"/>
      <c r="O124" s="121"/>
      <c r="P124" s="121"/>
      <c r="Q124" s="121"/>
      <c r="R124" s="121"/>
      <c r="S124" s="121"/>
      <c r="T124" s="121"/>
      <c r="U124" s="121"/>
      <c r="V124" s="121"/>
      <c r="W124" s="121"/>
    </row>
    <row r="125" spans="5:23" x14ac:dyDescent="0.2">
      <c r="G125" s="121"/>
      <c r="H125" s="121"/>
      <c r="I125" s="121"/>
      <c r="J125" s="121"/>
      <c r="K125" s="121"/>
      <c r="L125" s="121"/>
      <c r="M125" s="121"/>
      <c r="N125" s="121"/>
      <c r="O125" s="121"/>
      <c r="P125" s="121"/>
      <c r="Q125" s="121"/>
      <c r="R125" s="121"/>
      <c r="S125" s="121"/>
      <c r="T125" s="121"/>
      <c r="U125" s="121"/>
      <c r="V125" s="121"/>
      <c r="W125" s="121"/>
    </row>
    <row r="126" spans="5:23" x14ac:dyDescent="0.2">
      <c r="E126" s="34"/>
      <c r="F126" s="34"/>
      <c r="G126" s="121"/>
      <c r="H126" s="121"/>
      <c r="I126" s="121"/>
      <c r="J126" s="121"/>
      <c r="K126" s="121"/>
      <c r="L126" s="121"/>
      <c r="M126" s="121"/>
      <c r="N126" s="121"/>
      <c r="O126" s="121"/>
      <c r="P126" s="121"/>
      <c r="Q126" s="121"/>
      <c r="R126" s="121"/>
      <c r="S126" s="121"/>
      <c r="T126" s="121"/>
      <c r="U126" s="121"/>
      <c r="V126" s="121"/>
      <c r="W126" s="121"/>
    </row>
    <row r="127" spans="5:23" x14ac:dyDescent="0.2">
      <c r="E127" s="34"/>
      <c r="F127" s="34"/>
      <c r="G127" s="121"/>
      <c r="H127" s="121"/>
      <c r="I127" s="121"/>
      <c r="J127" s="121"/>
      <c r="K127" s="121"/>
      <c r="L127" s="121"/>
      <c r="M127" s="121"/>
      <c r="N127" s="121"/>
      <c r="O127" s="121"/>
      <c r="P127" s="121"/>
      <c r="Q127" s="121"/>
      <c r="R127" s="121"/>
      <c r="S127" s="121"/>
      <c r="T127" s="121"/>
      <c r="U127" s="121"/>
      <c r="V127" s="121"/>
      <c r="W127" s="121"/>
    </row>
    <row r="128" spans="5:23" x14ac:dyDescent="0.2">
      <c r="G128" s="121"/>
      <c r="H128" s="121"/>
      <c r="I128" s="121"/>
      <c r="J128" s="121"/>
      <c r="K128" s="121"/>
      <c r="L128" s="121"/>
      <c r="M128" s="121"/>
      <c r="N128" s="121"/>
      <c r="O128" s="121"/>
      <c r="P128" s="121"/>
      <c r="Q128" s="121"/>
      <c r="R128" s="121"/>
      <c r="S128" s="121"/>
      <c r="T128" s="121"/>
      <c r="U128" s="121"/>
      <c r="V128" s="121"/>
      <c r="W128" s="121"/>
    </row>
    <row r="129" spans="7:23" x14ac:dyDescent="0.2">
      <c r="G129" s="121"/>
      <c r="H129" s="121"/>
      <c r="I129" s="121"/>
      <c r="J129" s="121"/>
      <c r="K129" s="121"/>
      <c r="L129" s="121"/>
      <c r="M129" s="121"/>
      <c r="N129" s="121"/>
      <c r="O129" s="121"/>
      <c r="P129" s="121"/>
      <c r="Q129" s="121"/>
      <c r="R129" s="121"/>
      <c r="S129" s="121"/>
      <c r="T129" s="121"/>
      <c r="U129" s="121"/>
      <c r="V129" s="121"/>
      <c r="W129" s="121"/>
    </row>
  </sheetData>
  <conditionalFormatting sqref="G12:M12">
    <cfRule type="expression" dxfId="17" priority="60">
      <formula>AND(G10&gt;$C$5,G10&lt;=$C$6)</formula>
    </cfRule>
  </conditionalFormatting>
  <conditionalFormatting sqref="K12:N12">
    <cfRule type="expression" dxfId="15" priority="62">
      <formula>K10=$C$6+1</formula>
    </cfRule>
  </conditionalFormatting>
  <conditionalFormatting sqref="L12:O12">
    <cfRule type="expression" dxfId="14" priority="65">
      <formula>L10=$C$6+2</formula>
    </cfRule>
  </conditionalFormatting>
  <conditionalFormatting sqref="U10:W43 U45:W52 U54:W76 U78:W99 U101:W130">
    <cfRule type="expression" dxfId="11" priority="1">
      <formula>U$10&gt;$C$7</formula>
    </cfRule>
  </conditionalFormatting>
  <pageMargins left="0.7" right="0.7" top="0.75" bottom="0.75" header="0.3" footer="0.3"/>
  <pageSetup paperSize="9" orientation="portrait" r:id="rId1"/>
  <ignoredErrors>
    <ignoredError sqref="C5 C46:C47" unlockedFormula="1"/>
  </ignoredErrors>
  <extLst>
    <ext xmlns:x14="http://schemas.microsoft.com/office/spreadsheetml/2009/9/main" uri="{78C0D931-6437-407d-A8EE-F0AAD7539E65}">
      <x14:conditionalFormattings>
        <x14:conditionalFormatting xmlns:xm="http://schemas.microsoft.com/office/excel/2006/main">
          <x14:cfRule type="expression" priority="76" id="{B88CB253-25A7-48C5-B892-AF3EE434A6A9}">
            <xm:f>OR('Criteria results'!#REF!=7,'Criteria results'!#REF!=10)</xm:f>
            <x14:dxf>
              <font>
                <color theme="0"/>
              </font>
            </x14:dxf>
          </x14:cfRule>
          <xm:sqref>K75:M75</xm:sqref>
        </x14:conditionalFormatting>
        <x14:conditionalFormatting xmlns:xm="http://schemas.microsoft.com/office/excel/2006/main">
          <x14:cfRule type="expression" priority="69" id="{D31BC8EE-7345-483F-A9F0-CB3AD006CBA1}">
            <xm:f>'Criteria results'!$F$5=7</xm:f>
            <x14:dxf>
              <border>
                <left style="thin">
                  <color auto="1"/>
                </left>
                <top style="thin">
                  <color auto="1"/>
                </top>
                <bottom style="thin">
                  <color auto="1"/>
                </bottom>
                <vertical/>
                <horizontal/>
              </border>
            </x14:dxf>
          </x14:cfRule>
          <xm:sqref>N12</xm:sqref>
        </x14:conditionalFormatting>
        <x14:conditionalFormatting xmlns:xm="http://schemas.microsoft.com/office/excel/2006/main">
          <x14:cfRule type="expression" priority="77" id="{4D283B7C-3A09-4829-8C79-6D87AFE7DCC7}">
            <xm:f>'Criteria results'!#REF!=10</xm:f>
            <x14:dxf>
              <font>
                <color theme="0"/>
              </font>
            </x14:dxf>
          </x14:cfRule>
          <xm:sqref>N75:P75</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rgb="FF92D050"/>
  </sheetPr>
  <dimension ref="A1:BB132"/>
  <sheetViews>
    <sheetView zoomScaleNormal="100" workbookViewId="0"/>
  </sheetViews>
  <sheetFormatPr defaultColWidth="9.28515625" defaultRowHeight="11.25" outlineLevelRow="1" x14ac:dyDescent="0.2"/>
  <cols>
    <col min="1" max="1" width="9.28515625" style="26" customWidth="1"/>
    <col min="2" max="2" width="56" style="26" customWidth="1"/>
    <col min="3" max="38" width="9.28515625" style="26" customWidth="1"/>
    <col min="39" max="48" width="11.42578125" style="26" bestFit="1" customWidth="1"/>
    <col min="49" max="16384" width="9.28515625" style="26"/>
  </cols>
  <sheetData>
    <row r="1" spans="1:51" ht="24.75" customHeight="1" x14ac:dyDescent="0.2">
      <c r="B1" s="39"/>
    </row>
    <row r="2" spans="1:51" ht="11.25" customHeight="1" x14ac:dyDescent="0.2">
      <c r="B2" s="27"/>
    </row>
    <row r="3" spans="1:51" ht="11.25" customHeight="1" x14ac:dyDescent="0.2">
      <c r="B3" s="19" t="s">
        <v>15</v>
      </c>
      <c r="C3" s="20" t="str">
        <f>'Input data'!C3</f>
        <v>FI</v>
      </c>
    </row>
    <row r="4" spans="1:51" x14ac:dyDescent="0.2">
      <c r="B4" s="64" t="s">
        <v>38</v>
      </c>
      <c r="C4" s="21"/>
    </row>
    <row r="5" spans="1:51" x14ac:dyDescent="0.2">
      <c r="A5" s="29"/>
      <c r="B5" s="22" t="str">
        <f>'Input data'!B5</f>
        <v>Last year before the adjustment</v>
      </c>
      <c r="C5" s="23">
        <f>+'Input data'!C5</f>
        <v>2024</v>
      </c>
    </row>
    <row r="6" spans="1:51" x14ac:dyDescent="0.2">
      <c r="A6" s="29"/>
      <c r="B6" s="65" t="s">
        <v>44</v>
      </c>
      <c r="C6" s="23">
        <f>+C5+'Criteria results'!F5</f>
        <v>2031</v>
      </c>
      <c r="E6" s="43"/>
      <c r="F6" s="29"/>
    </row>
    <row r="7" spans="1:51" x14ac:dyDescent="0.2">
      <c r="A7" s="29"/>
      <c r="B7" s="24" t="s">
        <v>39</v>
      </c>
      <c r="C7" s="66">
        <f>C5+'Criteria results'!F5+10</f>
        <v>2041</v>
      </c>
      <c r="E7" s="43"/>
      <c r="F7" s="29"/>
    </row>
    <row r="8" spans="1:51" x14ac:dyDescent="0.2">
      <c r="A8" s="29"/>
      <c r="C8" s="29"/>
      <c r="E8" s="43"/>
      <c r="F8" s="29"/>
    </row>
    <row r="9" spans="1:51" s="67" customFormat="1" ht="12.75" x14ac:dyDescent="0.2">
      <c r="B9" s="25" t="s">
        <v>45</v>
      </c>
    </row>
    <row r="10" spans="1:51"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1" x14ac:dyDescent="0.2">
      <c r="B11" s="28" t="s">
        <v>46</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1" x14ac:dyDescent="0.2">
      <c r="B12" s="26" t="s">
        <v>48</v>
      </c>
      <c r="C12" s="1">
        <f>'Input data'!C13</f>
        <v>-2.1345519999999998</v>
      </c>
      <c r="D12" s="2">
        <f>'Input data'!D13</f>
        <v>0.29205680000000001</v>
      </c>
      <c r="E12" s="2">
        <f>'Input data'!E13</f>
        <v>-0.3391101166058319</v>
      </c>
      <c r="F12" s="2">
        <f>'Input data'!F13</f>
        <v>-0.3744433445451063</v>
      </c>
      <c r="G12" s="3">
        <f>'Adjust. no safeguard'!G12</f>
        <v>-0.27444334454510633</v>
      </c>
      <c r="H12" s="3">
        <f>'Adjust. no safeguard'!H12</f>
        <v>-0.17444334454510632</v>
      </c>
      <c r="I12" s="3">
        <f>'Adjust. no safeguard'!I12</f>
        <v>-7.4443344545106316E-2</v>
      </c>
      <c r="J12" s="3">
        <f>'Adjust. no safeguard'!J12</f>
        <v>2.555665545489369E-2</v>
      </c>
      <c r="K12" s="119">
        <f>'Adjust. no safeguard'!K12</f>
        <v>0.1255566554548937</v>
      </c>
      <c r="L12" s="119">
        <f>'Adjust. no safeguard'!L12</f>
        <v>0.2255566554548937</v>
      </c>
      <c r="M12" s="119">
        <f>'Adjust. no safeguard'!M12</f>
        <v>0.32555665545489371</v>
      </c>
      <c r="N12" s="119">
        <f>IF(N10&lt;=$C$6,M12+'Criteria results'!$F$6,M12)</f>
        <v>0.32555665545489371</v>
      </c>
      <c r="O12" s="119">
        <f>IF(O10&lt;=$C$6,N12+'Criteria results'!$F$6,N12)</f>
        <v>0.32555665545489371</v>
      </c>
      <c r="P12" s="119">
        <f>IF(P10&lt;=$C$6,O12+'Criteria results'!$F$6,O12)</f>
        <v>0.32555665545489371</v>
      </c>
      <c r="Q12" s="119">
        <f>IF(Q10&lt;=$C$6,P12+'Criteria results'!$F$6,P12)</f>
        <v>0.32555665545489371</v>
      </c>
      <c r="R12" s="119">
        <f>IF(R10&lt;=$C$6,Q12+'Criteria results'!$F$6,Q12)</f>
        <v>0.32555665545489371</v>
      </c>
      <c r="S12" s="119">
        <f>IF(S10&lt;=$C$6,R12+'Criteria results'!$F$6,R12)</f>
        <v>0.32555665545489371</v>
      </c>
      <c r="T12" s="119">
        <f>IF(T10&lt;=$C$6,S12+'Criteria results'!$F$6,S12)</f>
        <v>0.32555665545489371</v>
      </c>
      <c r="U12" s="119">
        <f>IF(U10&lt;=$C$6,T12+'Criteria results'!$F$6,T12)</f>
        <v>0.32555665545489371</v>
      </c>
      <c r="V12" s="119">
        <f>IF(V10&lt;=$C$6,U12+'Criteria results'!$F$6,U12)</f>
        <v>0.32555665545489371</v>
      </c>
      <c r="W12" s="119">
        <f>IF(W10&lt;=$C$6,V12+'Criteria results'!$F$6,V12)</f>
        <v>0.32555665545489371</v>
      </c>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60"/>
    </row>
    <row r="13" spans="1:51" x14ac:dyDescent="0.2">
      <c r="B13" s="26" t="s">
        <v>49</v>
      </c>
      <c r="C13" s="1">
        <f>'Input data'!C14</f>
        <v>0</v>
      </c>
      <c r="D13" s="2">
        <f>'Input data'!D14</f>
        <v>0</v>
      </c>
      <c r="E13" s="2">
        <f>'Input data'!E14</f>
        <v>0</v>
      </c>
      <c r="F13" s="2">
        <f>'Input data'!F14</f>
        <v>0</v>
      </c>
      <c r="G13" s="2">
        <f>'Input data'!G14</f>
        <v>0</v>
      </c>
      <c r="H13" s="2">
        <f>0</f>
        <v>0</v>
      </c>
      <c r="I13" s="2">
        <f>0</f>
        <v>0</v>
      </c>
      <c r="J13" s="2">
        <f>0</f>
        <v>0</v>
      </c>
      <c r="K13" s="2">
        <f>0</f>
        <v>0</v>
      </c>
      <c r="L13" s="2">
        <f>0</f>
        <v>0</v>
      </c>
      <c r="M13" s="2">
        <f>0</f>
        <v>0</v>
      </c>
      <c r="N13" s="2">
        <f>0</f>
        <v>0</v>
      </c>
      <c r="O13" s="2">
        <f>0</f>
        <v>0</v>
      </c>
      <c r="P13" s="2">
        <f>0</f>
        <v>0</v>
      </c>
      <c r="Q13" s="2">
        <f>0</f>
        <v>0</v>
      </c>
      <c r="R13" s="2">
        <f>0</f>
        <v>0</v>
      </c>
      <c r="S13" s="2">
        <f>0</f>
        <v>0</v>
      </c>
      <c r="T13" s="2">
        <f>0</f>
        <v>0</v>
      </c>
      <c r="U13" s="2">
        <f>0</f>
        <v>0</v>
      </c>
      <c r="V13" s="2">
        <f>0</f>
        <v>0</v>
      </c>
      <c r="W13" s="2">
        <f>0</f>
        <v>0</v>
      </c>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60"/>
    </row>
    <row r="14" spans="1:51" x14ac:dyDescent="0.2">
      <c r="B14" s="26" t="s">
        <v>87</v>
      </c>
      <c r="C14" s="1">
        <f>'Input data'!C15</f>
        <v>-1.1351690000000001</v>
      </c>
      <c r="D14" s="2">
        <f>'Input data'!D15</f>
        <v>5.1764349999999997</v>
      </c>
      <c r="E14" s="2">
        <f>'Input data'!E15</f>
        <v>2.1420457294413482</v>
      </c>
      <c r="F14" s="2">
        <f>'Input data'!F15</f>
        <v>2.543156615765406</v>
      </c>
      <c r="G14" s="2">
        <f>'Input data'!G15</f>
        <v>1.2833361388111759</v>
      </c>
      <c r="H14" s="2">
        <f>'Input data'!H15</f>
        <v>1.726862012716794</v>
      </c>
      <c r="I14" s="2">
        <f>'Input data'!I15</f>
        <v>1.4444254457205716</v>
      </c>
      <c r="J14" s="2">
        <f>'Input data'!J15</f>
        <v>1.3768241518246929</v>
      </c>
      <c r="K14" s="2">
        <f>'Input data'!K15</f>
        <v>1.0241608740131771</v>
      </c>
      <c r="L14" s="2">
        <f>'Input data'!L15</f>
        <v>1.0623847406019649</v>
      </c>
      <c r="M14" s="2">
        <f>'Input data'!M15</f>
        <v>1.5229809999999999</v>
      </c>
      <c r="N14" s="2">
        <f>'Input data'!N15</f>
        <v>1.526135</v>
      </c>
      <c r="O14" s="2">
        <f>'Input data'!O15</f>
        <v>1.3735219999999999</v>
      </c>
      <c r="P14" s="2">
        <f>'Input data'!P15</f>
        <v>1.2209080000000001</v>
      </c>
      <c r="Q14" s="2">
        <f>'Input data'!Q15</f>
        <v>1.068295</v>
      </c>
      <c r="R14" s="2">
        <f>'Input data'!R15</f>
        <v>0.91568099999999997</v>
      </c>
      <c r="S14" s="2">
        <f>'Input data'!S15</f>
        <v>0.76306750000000001</v>
      </c>
      <c r="T14" s="2">
        <f>'Input data'!T15</f>
        <v>0.61045400000000005</v>
      </c>
      <c r="U14" s="2">
        <f>'Input data'!U15</f>
        <v>0.45784049999999998</v>
      </c>
      <c r="V14" s="2">
        <f>'Input data'!V15</f>
        <v>0.30522700000000003</v>
      </c>
      <c r="W14" s="2">
        <f>'Input data'!W15</f>
        <v>0.15261350000000001</v>
      </c>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60"/>
    </row>
    <row r="15" spans="1:51" ht="5.65" customHeight="1" x14ac:dyDescent="0.2">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1:51" ht="11.25" customHeight="1" x14ac:dyDescent="0.2">
      <c r="B16" s="30" t="str">
        <f>'Input data'!B19</f>
        <v>Cost of ageing and selected public revenue (based on the Commission-Council 2024 Ageing Report ("AR 2024"))</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1:54" x14ac:dyDescent="0.2">
      <c r="A17" s="61"/>
      <c r="B17" s="26" t="s">
        <v>52</v>
      </c>
      <c r="C17" s="101">
        <f>'Input data'!C20</f>
        <v>0</v>
      </c>
      <c r="D17" s="101">
        <f>'Input data'!D20</f>
        <v>23.655849999999997</v>
      </c>
      <c r="E17" s="101">
        <f>'Input data'!E20</f>
        <v>23.83699</v>
      </c>
      <c r="F17" s="101">
        <f>'Input data'!F20</f>
        <v>23.96105</v>
      </c>
      <c r="G17" s="101">
        <f>'Input data'!G20</f>
        <v>23.911249999999999</v>
      </c>
      <c r="H17" s="101">
        <f>'Input data'!H20</f>
        <v>23.909049999999997</v>
      </c>
      <c r="I17" s="101">
        <f>'Input data'!I20</f>
        <v>23.948919999999998</v>
      </c>
      <c r="J17" s="101">
        <f>'Input data'!J20</f>
        <v>24.046380000000003</v>
      </c>
      <c r="K17" s="101">
        <f>'Input data'!K20</f>
        <v>24.15964</v>
      </c>
      <c r="L17" s="101">
        <f>'Input data'!L20</f>
        <v>24.232299999999999</v>
      </c>
      <c r="M17" s="101">
        <f>'Input data'!M20</f>
        <v>24.288240000000002</v>
      </c>
      <c r="N17" s="101">
        <f>'Input data'!N20</f>
        <v>24.322410000000001</v>
      </c>
      <c r="O17" s="101">
        <f>'Input data'!O20</f>
        <v>24.319019999999998</v>
      </c>
      <c r="P17" s="101">
        <f>'Input data'!P20</f>
        <v>24.31607</v>
      </c>
      <c r="Q17" s="101">
        <f>'Input data'!Q20</f>
        <v>24.304599999999997</v>
      </c>
      <c r="R17" s="101">
        <f>'Input data'!R20</f>
        <v>24.277160000000002</v>
      </c>
      <c r="S17" s="101">
        <f>'Input data'!S20</f>
        <v>24.230790000000002</v>
      </c>
      <c r="T17" s="101">
        <f>'Input data'!T20</f>
        <v>24.168680000000002</v>
      </c>
      <c r="U17" s="101">
        <f>'Input data'!U20</f>
        <v>24.092350000000003</v>
      </c>
      <c r="V17" s="101">
        <f>'Input data'!V20</f>
        <v>24.017060000000001</v>
      </c>
      <c r="W17" s="101">
        <f>'Input data'!W20</f>
        <v>23.958480000000002</v>
      </c>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1:54" x14ac:dyDescent="0.2">
      <c r="A18" s="61"/>
      <c r="B18" s="26" t="s">
        <v>58</v>
      </c>
      <c r="C18" s="101">
        <f>'Input data'!C26</f>
        <v>2.0641180000000001</v>
      </c>
      <c r="D18" s="101">
        <f>'Input data'!D26</f>
        <v>2.1110479999999998</v>
      </c>
      <c r="E18" s="101">
        <f>'Input data'!E26</f>
        <v>2.1176979999999999</v>
      </c>
      <c r="F18" s="101">
        <f>'Input data'!F26</f>
        <v>2.1243479999999999</v>
      </c>
      <c r="G18" s="101">
        <f>'Input data'!G26</f>
        <v>2.1309979999999999</v>
      </c>
      <c r="H18" s="101">
        <f>'Input data'!H26</f>
        <v>2.137648</v>
      </c>
      <c r="I18" s="101">
        <f>'Input data'!I26</f>
        <v>2.1442990000000002</v>
      </c>
      <c r="J18" s="101">
        <f>'Input data'!J26</f>
        <v>2.1509490000000002</v>
      </c>
      <c r="K18" s="101">
        <f>'Input data'!K26</f>
        <v>2.1575989999999998</v>
      </c>
      <c r="L18" s="101">
        <f>'Input data'!L26</f>
        <v>2.1642489999999999</v>
      </c>
      <c r="M18" s="101">
        <f>'Input data'!M26</f>
        <v>2.1708989999999999</v>
      </c>
      <c r="N18" s="101">
        <f>'Input data'!N26</f>
        <v>2.1775500000000001</v>
      </c>
      <c r="O18" s="101">
        <f>'Input data'!O26</f>
        <v>2.1842000000000001</v>
      </c>
      <c r="P18" s="101">
        <f>'Input data'!P26</f>
        <v>2.1908500000000002</v>
      </c>
      <c r="Q18" s="101">
        <f>'Input data'!Q26</f>
        <v>2.1974999999999998</v>
      </c>
      <c r="R18" s="101">
        <f>'Input data'!R26</f>
        <v>2.2041499999999998</v>
      </c>
      <c r="S18" s="101">
        <f>'Input data'!S26</f>
        <v>2.210801</v>
      </c>
      <c r="T18" s="101">
        <f>'Input data'!T26</f>
        <v>2.2174510000000001</v>
      </c>
      <c r="U18" s="101">
        <f>'Input data'!U26</f>
        <v>2.2241010000000001</v>
      </c>
      <c r="V18" s="101">
        <f>'Input data'!V26</f>
        <v>2.2307510000000002</v>
      </c>
      <c r="W18" s="101">
        <f>'Input data'!W26</f>
        <v>2.2374010000000002</v>
      </c>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1:54" x14ac:dyDescent="0.2">
      <c r="K19" s="38"/>
      <c r="L19" s="38"/>
      <c r="M19" s="38"/>
    </row>
    <row r="20" spans="1:54" x14ac:dyDescent="0.2">
      <c r="B20" s="28" t="s">
        <v>88</v>
      </c>
      <c r="K20" s="38"/>
      <c r="L20" s="38"/>
      <c r="M20" s="38"/>
    </row>
    <row r="21" spans="1:54" ht="10.5" customHeight="1" x14ac:dyDescent="0.2">
      <c r="B21" s="30" t="s">
        <v>89</v>
      </c>
    </row>
    <row r="22" spans="1:54" x14ac:dyDescent="0.2">
      <c r="B22" s="26" t="s">
        <v>61</v>
      </c>
      <c r="C22" s="34">
        <f>'Input data'!C31</f>
        <v>230.55600000000001</v>
      </c>
      <c r="D22" s="100">
        <f>IF(AND(D50&gt;1,C50&gt;1),IF(AND(D50&gt;0,C50&gt;0),D27*(D51/100+1),0)+IF(D50&gt;0,C22*(1+D52/100),0)-C22*(1+'Input data'!D30/100),IF(D50=1,D27,C22*(1+D52/100)))</f>
        <v>233.63499929652002</v>
      </c>
      <c r="E22" s="100">
        <f>IF(AND(E50&gt;1,D50&gt;1),IF(AND(E50&gt;0,D50&gt;0),E27*(E51/100+1),0)+IF(E50&gt;0,D22*(1+E52/100),0)-D22*(1+'Input data'!E30/100),IF(E50=1,E27,D22*(1+E52/100)))</f>
        <v>230.925987709618</v>
      </c>
      <c r="F22" s="100">
        <f>IF(AND(F50&gt;1,E50&gt;1),IF(AND(F50&gt;0,E50&gt;0),F27*(F51/100+1),0)+IF(F50&gt;0,E22*(1+F52/100),0)-E22*(1+'Input data'!F30/100),IF(F50=1,F27,E22*(1+F52/100)))</f>
        <v>230.41386109822847</v>
      </c>
      <c r="G22" s="34">
        <f>IF(AND(G50&gt;1,F50&gt;1),IF(AND(G50&gt;0,F50&gt;0),G27*(G51/100+1),0)+IF(G50&gt;0,F22*(1+G52/100),0)-F22*(1+'Input data'!G30/100),IF(G50=1,G27,F22*(1+G52/100)))</f>
        <v>234.46960588127945</v>
      </c>
      <c r="H22" s="34">
        <f>IF(AND(H50&gt;1,G50&gt;1),IF(AND(H50&gt;0,G50&gt;0),H27*(H51/100+1),0)+IF(H50&gt;0,G22*(1+H52/100),0)-G22*(1+'Input data'!H30/100),IF(H50=1,H27,G22*(1+H52/100)))</f>
        <v>238.67522075670908</v>
      </c>
      <c r="I22" s="34">
        <f>IF(AND(I50&gt;1,H50&gt;1),IF(AND(I50&gt;0,H50&gt;0),I27*(I51/100+1),0)+IF(I50&gt;0,H22*(1+I52/100),0)-H22*(1+'Input data'!I30/100),IF(I50=1,I27,H22*(1+I52/100)))</f>
        <v>242.26017225654377</v>
      </c>
      <c r="J22" s="34">
        <f>IF(AND(J50&gt;1,I50&gt;1),IF(AND(J50&gt;0,I50&gt;0),J27*(J51/100+1),0)+IF(J50&gt;0,I22*(1+J52/100),0)-I22*(1+'Input data'!J30/100),IF(J50=1,J27,I22*(1+J52/100)))</f>
        <v>245.43503386538961</v>
      </c>
      <c r="K22" s="4">
        <f>IF(AND(K50&gt;1,J50&gt;1),IF(AND(K50&gt;0,J50&gt;0),K27*(K51/100+1),0)+IF(K50&gt;0,J22*(1+K52/100),0)-J22*(1+'Adverse (r-g)'!K24/100),IF(K50=1,K27,J22*(1+K52/100)))</f>
        <v>248.34140898438642</v>
      </c>
      <c r="L22" s="4">
        <f>IF(AND(L50&gt;1,K50&gt;1),IF(AND(L50&gt;0,K50&gt;0),L27*(L51/100+1),0)+IF(L50&gt;0,K22*(1+L52/100),0)-K22*(1+'Adverse (r-g)'!L24/100),IF(L50=1,L27,K22*(1+L52/100)))</f>
        <v>251.07454334699847</v>
      </c>
      <c r="M22" s="4">
        <f>IF(AND(M50&gt;1,L50&gt;1),IF(AND(M50&gt;0,L50&gt;0),M27*(M51/100+1),0)+IF(M50&gt;0,L22*(1+M52/100),0)-L22*(1+'Adverse (r-g)'!M24/100),IF(M50=1,M27,L22*(1+M52/100)))</f>
        <v>253.69852397516036</v>
      </c>
      <c r="N22" s="4">
        <f>IF(AND(N50&gt;1,M50&gt;1),IF(AND(N50&gt;0,M50&gt;0),N27*(N51/100+1),0)+IF(N50&gt;0,M22*(1+N52/100),0)-M22*(1+'Adverse (r-g)'!N24/100),IF(N50=1,N27,M22*(1+N52/100)))</f>
        <v>255.17641430862395</v>
      </c>
      <c r="O22" s="4">
        <f>IF(AND(O50&gt;1,N50&gt;1),IF(AND(O50&gt;0,N50&gt;0),O27*(O51/100+1),0)+IF(O50&gt;0,N22*(1+O52/100),0)-N22*(1+'Adverse (r-g)'!O24/100),IF(O50=1,O27,N22*(1+O52/100)))</f>
        <v>256.66236242601849</v>
      </c>
      <c r="P22" s="4">
        <f>IF(AND(P50&gt;1,O50&gt;1),IF(AND(P50&gt;0,O50&gt;0),P27*(P51/100+1),0)+IF(P50&gt;0,O22*(1+P52/100),0)-O22*(1+'Adverse (r-g)'!P24/100),IF(P50=1,P27,O22*(1+P52/100)))</f>
        <v>258.15641046794093</v>
      </c>
      <c r="Q22" s="4">
        <f>IF(AND(Q50&gt;1,P50&gt;1),IF(AND(Q50&gt;0,P50&gt;0),Q27*(Q51/100+1),0)+IF(Q50&gt;0,P22*(1+Q52/100),0)-P22*(1+'Adverse (r-g)'!Q24/100),IF(Q50=1,Q27,P22*(1+Q52/100)))</f>
        <v>259.27960892393321</v>
      </c>
      <c r="R22" s="4">
        <f>IF(AND(R50&gt;1,Q50&gt;1),IF(AND(R50&gt;0,Q50&gt;0),R27*(R51/100+1),0)+IF(R50&gt;0,Q22*(1+R52/100),0)-Q22*(1+'Adverse (r-g)'!R24/100),IF(R50=1,R27,Q22*(1+R52/100)))</f>
        <v>260.40769942759198</v>
      </c>
      <c r="S22" s="4">
        <f>IF(AND(S50&gt;1,R50&gt;1),IF(AND(S50&gt;0,R50&gt;0),S27*(S51/100+1),0)+IF(S50&gt;0,R22*(1+S52/100),0)-R22*(1+'Adverse (r-g)'!S24/100),IF(S50=1,S27,R22*(1+S52/100)))</f>
        <v>261.54069028819555</v>
      </c>
      <c r="T22" s="4">
        <f>IF(AND(T50&gt;1,S50&gt;1),IF(AND(T50&gt;0,S50&gt;0),T27*(T51/100+1),0)+IF(T50&gt;0,S22*(1+T52/100),0)-S22*(1+'Adverse (r-g)'!T24/100),IF(T50=1,T27,S22*(1+T52/100)))</f>
        <v>262.67862629721685</v>
      </c>
      <c r="U22" s="4">
        <f>IF(AND(U50&gt;1,T50&gt;1),IF(AND(U50&gt;0,T50&gt;0),U27*(U51/100+1),0)+IF(U50&gt;0,T22*(1+U52/100),0)-T22*(1+'Adverse (r-g)'!U24/100),IF(U50=1,U27,T22*(1+U52/100)))</f>
        <v>263.82150546565526</v>
      </c>
      <c r="V22" s="4">
        <f>IF(AND(V50&gt;1,U50&gt;1),IF(AND(V50&gt;0,U50&gt;0),V27*(V51/100+1),0)+IF(V50&gt;0,U22*(1+V52/100),0)-U22*(1+'Adverse (r-g)'!V24/100),IF(V50=1,V27,U22*(1+V52/100)))</f>
        <v>264.96937033782461</v>
      </c>
      <c r="W22" s="4">
        <f>IF(AND(W50&gt;1,V50&gt;1),IF(AND(W50&gt;0,V50&gt;0),W27*(W51/100+1),0)+IF(W50&gt;0,V22*(1+W52/100),0)-V22*(1+'Adverse (r-g)'!W24/100),IF(W50=1,W27,V22*(1+W52/100)))</f>
        <v>266.12222152308431</v>
      </c>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row>
    <row r="23" spans="1:54" x14ac:dyDescent="0.2">
      <c r="A23" s="61"/>
      <c r="B23" s="62" t="s">
        <v>145</v>
      </c>
      <c r="C23" s="34">
        <f>+'Input data'!C30</f>
        <v>2.8381799999999999</v>
      </c>
      <c r="D23" s="100">
        <f>100*(D22/C22-1)</f>
        <v>1.3354670000000013</v>
      </c>
      <c r="E23" s="100">
        <f t="shared" ref="E23:T23" si="0">100*(E22/D22-1)</f>
        <v>-1.1595058938339342</v>
      </c>
      <c r="F23" s="100">
        <f t="shared" si="0"/>
        <v>-0.22177088705733761</v>
      </c>
      <c r="G23" s="34">
        <f t="shared" si="0"/>
        <v>1.7601999999999896</v>
      </c>
      <c r="H23" s="34">
        <f t="shared" si="0"/>
        <v>1.7936716614600723</v>
      </c>
      <c r="I23" s="34">
        <f t="shared" si="0"/>
        <v>1.5020208166012239</v>
      </c>
      <c r="J23" s="34">
        <f t="shared" si="0"/>
        <v>1.3105173579600171</v>
      </c>
      <c r="K23" s="4">
        <f>100*(K22/J22-1)</f>
        <v>1.184172884051593</v>
      </c>
      <c r="L23" s="4">
        <f>100*(L22/K22-1)</f>
        <v>1.1005552291055487</v>
      </c>
      <c r="M23" s="4">
        <f t="shared" si="0"/>
        <v>1.0451002292715117</v>
      </c>
      <c r="N23" s="4">
        <f t="shared" si="0"/>
        <v>0.58253801019680918</v>
      </c>
      <c r="O23" s="4">
        <f t="shared" si="0"/>
        <v>0.58232188951341524</v>
      </c>
      <c r="P23" s="4">
        <f t="shared" si="0"/>
        <v>0.58210640149978232</v>
      </c>
      <c r="Q23" s="4">
        <f t="shared" si="0"/>
        <v>0.43508447222222468</v>
      </c>
      <c r="R23" s="4">
        <f t="shared" si="0"/>
        <v>0.43508647222223473</v>
      </c>
      <c r="S23" s="4">
        <f t="shared" si="0"/>
        <v>0.43508347222223076</v>
      </c>
      <c r="T23" s="4">
        <f t="shared" si="0"/>
        <v>0.4350894722222387</v>
      </c>
      <c r="U23" s="4">
        <f>100*(U22/T22-1)</f>
        <v>0.43508647222223473</v>
      </c>
      <c r="V23" s="4">
        <f>100*(V22/U22-1)</f>
        <v>0.43509147222222655</v>
      </c>
      <c r="W23" s="4">
        <f>100*(W22/V22-1)</f>
        <v>0.43508847222222258</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row>
    <row r="24" spans="1:54" s="5" customFormat="1" ht="10.15" customHeight="1" x14ac:dyDescent="0.2">
      <c r="B24" s="32" t="s">
        <v>146</v>
      </c>
      <c r="C24" s="34"/>
      <c r="D24" s="34"/>
      <c r="E24" s="34"/>
      <c r="F24" s="34"/>
      <c r="G24" s="34"/>
      <c r="H24" s="34"/>
      <c r="I24" s="34"/>
      <c r="J24" s="34"/>
      <c r="K24" s="4">
        <f>IF('Criteria results'!$F$5=4,'Input data'!K30-0.5,'Input data'!K30)</f>
        <v>0.93510000000001092</v>
      </c>
      <c r="L24" s="4">
        <f>IF('Criteria results'!$F$5=4,'Input data'!L30-0.5,'Input data'!L30)</f>
        <v>0.93508997222222501</v>
      </c>
      <c r="M24" s="4">
        <f>IF('Criteria results'!$F$5=4,'Input data'!M30-0.5,'Input data'!M30)</f>
        <v>0.93508697222222104</v>
      </c>
      <c r="N24" s="4">
        <f>'Input data'!N30-0.5</f>
        <v>0.43508687222221276</v>
      </c>
      <c r="O24" s="4">
        <f>'Input data'!O30-0.5</f>
        <v>0.43508597222222711</v>
      </c>
      <c r="P24" s="4">
        <f>'Input data'!P30-0.5</f>
        <v>0.43508937222221977</v>
      </c>
      <c r="Q24" s="4">
        <f>'Input data'!Q30-0.5</f>
        <v>0.43508447222221402</v>
      </c>
      <c r="R24" s="4">
        <f>'Input data'!R30-0.5</f>
        <v>0.43508647222222407</v>
      </c>
      <c r="S24" s="4">
        <f>'Input data'!S30-0.5</f>
        <v>0.4350834722222201</v>
      </c>
      <c r="T24" s="4">
        <f>'Input data'!T30-0.5</f>
        <v>0.43508947222222805</v>
      </c>
      <c r="U24" s="4">
        <f>'Input data'!U30-0.5</f>
        <v>0.43508647222222407</v>
      </c>
      <c r="V24" s="4">
        <f>'Input data'!V30-0.5</f>
        <v>0.43509147222221589</v>
      </c>
      <c r="W24" s="4">
        <f>'Input data'!W30-0.5</f>
        <v>0.43508847222221192</v>
      </c>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row>
    <row r="25" spans="1:54" s="5" customFormat="1" ht="10.15" customHeight="1" x14ac:dyDescent="0.2">
      <c r="B25" s="32"/>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row>
    <row r="26" spans="1:54" x14ac:dyDescent="0.2">
      <c r="B26" s="30" t="s">
        <v>147</v>
      </c>
    </row>
    <row r="27" spans="1:54" x14ac:dyDescent="0.2">
      <c r="B27" s="26" t="s">
        <v>61</v>
      </c>
      <c r="C27" s="34">
        <f>'Input data'!C34</f>
        <v>231.15090000000001</v>
      </c>
      <c r="D27" s="100">
        <f>+C27*(1+'Input data'!D33/100)</f>
        <v>233.97713813562902</v>
      </c>
      <c r="E27" s="100">
        <f>+D27*(1+'Input data'!E33/100)</f>
        <v>236.531302768659</v>
      </c>
      <c r="F27" s="100">
        <f>+E27*(1+'Input data'!F33/100)</f>
        <v>238.74310698084875</v>
      </c>
      <c r="G27" s="34">
        <f>+F27*(1+'Input data'!G33/100)</f>
        <v>240.9755937742267</v>
      </c>
      <c r="H27" s="34">
        <f>+G27*(1+'Input data'!H33/100)</f>
        <v>243.22895655160951</v>
      </c>
      <c r="I27" s="34">
        <f>+H27*(1+'Input data'!I33/100)</f>
        <v>245.50339052432363</v>
      </c>
      <c r="J27" s="34">
        <f>+I27*(1+'Input data'!J33/100)</f>
        <v>247.79909272911661</v>
      </c>
      <c r="K27" s="4">
        <f>IF('Criteria results'!$F$5=4,J27*(1+'Input data'!K33/100-0.005),J27*(1+'Input data'!K33/100))</f>
        <v>250.11626204522659</v>
      </c>
      <c r="L27" s="4">
        <f>IF('Criteria results'!$F$5=4,K27*(1+'Input data'!L33/100-0.005),K27*(1+'Input data'!L33/100))</f>
        <v>252.45509921161153</v>
      </c>
      <c r="M27" s="4">
        <f>IF('Criteria results'!$F$5=4,L27*(1+'Input data'!M33/100-0.005),L27*(1+'Input data'!M33/100))</f>
        <v>254.81580684433933</v>
      </c>
      <c r="N27" s="4">
        <f>+M27*(1+'Input data'!N33/100-0.005)</f>
        <v>255.9245104199191</v>
      </c>
      <c r="O27" s="4">
        <f>+N27*(1+'Input data'!O33/100-0.005)</f>
        <v>257.0380379647562</v>
      </c>
      <c r="P27" s="4">
        <f>+O27*(1+'Input data'!P33/100-0.005)</f>
        <v>258.15641046794093</v>
      </c>
      <c r="Q27" s="4">
        <f>+P27*(1+'Input data'!Q33/100-0.005)</f>
        <v>259.27964900988701</v>
      </c>
      <c r="R27" s="4">
        <f>+Q27*(1+'Input data'!R33/100-0.005)</f>
        <v>260.4077747627291</v>
      </c>
      <c r="S27" s="4">
        <f>+R27*(1+'Input data'!S33/100-0.005)</f>
        <v>261.54080899072181</v>
      </c>
      <c r="T27" s="4">
        <f>+S27*(1+'Input data'!T33/100-0.005)</f>
        <v>262.67877305064047</v>
      </c>
      <c r="U27" s="4">
        <f>+T27*(1+'Input data'!U33/100-0.005)</f>
        <v>263.82168839218389</v>
      </c>
      <c r="V27" s="4">
        <f>+U27*(1+'Input data'!V33/100-0.005)</f>
        <v>264.96957655837832</v>
      </c>
      <c r="W27" s="4">
        <f>+V27*(1+'Input data'!W33/100-0.005)</f>
        <v>266.12245918598387</v>
      </c>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row>
    <row r="28" spans="1:54" ht="5.25" customHeight="1" x14ac:dyDescent="0.2">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row>
    <row r="29" spans="1:54" x14ac:dyDescent="0.2">
      <c r="B29" s="30" t="s">
        <v>91</v>
      </c>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row>
    <row r="30" spans="1:54" x14ac:dyDescent="0.2">
      <c r="B30" s="26" t="s">
        <v>91</v>
      </c>
      <c r="C30" s="34">
        <f t="shared" ref="C30:W30" si="1">100*(C22/C27-1)</f>
        <v>-0.25736434510962303</v>
      </c>
      <c r="D30" s="100">
        <f t="shared" si="1"/>
        <v>-0.14622746557002575</v>
      </c>
      <c r="E30" s="100">
        <f t="shared" si="1"/>
        <v>-2.3697984129074534</v>
      </c>
      <c r="F30" s="100">
        <f t="shared" si="1"/>
        <v>-3.4887901007707112</v>
      </c>
      <c r="G30" s="34">
        <f t="shared" si="1"/>
        <v>-2.6998534544717345</v>
      </c>
      <c r="H30" s="34">
        <f t="shared" si="1"/>
        <v>-1.8722013445525709</v>
      </c>
      <c r="I30" s="34">
        <f t="shared" si="1"/>
        <v>-1.3210482595997108</v>
      </c>
      <c r="J30" s="34">
        <f t="shared" si="1"/>
        <v>-0.95402240488074996</v>
      </c>
      <c r="K30" s="34">
        <f t="shared" si="1"/>
        <v>-0.70961122092862983</v>
      </c>
      <c r="L30" s="34">
        <f t="shared" si="1"/>
        <v>-0.54685204177866709</v>
      </c>
      <c r="M30" s="34">
        <f t="shared" si="1"/>
        <v>-0.43846686083390818</v>
      </c>
      <c r="N30" s="34">
        <f t="shared" si="1"/>
        <v>-0.29231124055593138</v>
      </c>
      <c r="O30" s="34">
        <f t="shared" si="1"/>
        <v>-0.14615562027796569</v>
      </c>
      <c r="P30" s="34">
        <f t="shared" si="1"/>
        <v>0</v>
      </c>
      <c r="Q30" s="34">
        <f t="shared" si="1"/>
        <v>-1.546050912848429E-5</v>
      </c>
      <c r="R30" s="34">
        <f t="shared" si="1"/>
        <v>-2.8929680462308482E-5</v>
      </c>
      <c r="S30" s="34">
        <f t="shared" si="1"/>
        <v>-4.5385852676105287E-5</v>
      </c>
      <c r="T30" s="34">
        <f t="shared" si="1"/>
        <v>-5.5868017778681889E-5</v>
      </c>
      <c r="U30" s="34">
        <f t="shared" si="1"/>
        <v>-6.933718366131103E-5</v>
      </c>
      <c r="V30" s="34">
        <f t="shared" si="1"/>
        <v>-7.7828011946223796E-5</v>
      </c>
      <c r="W30" s="34">
        <f t="shared" si="1"/>
        <v>-8.9305840733633346E-5</v>
      </c>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row>
    <row r="31" spans="1:54" ht="5.25" customHeight="1" x14ac:dyDescent="0.2">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row>
    <row r="32" spans="1:54" x14ac:dyDescent="0.2">
      <c r="B32" s="30" t="s">
        <v>92</v>
      </c>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row>
    <row r="33" spans="2:51" x14ac:dyDescent="0.2">
      <c r="B33" s="26" t="s">
        <v>60</v>
      </c>
      <c r="C33" s="1">
        <f t="shared" ref="C33:W33" si="2">100*((1+C23/100)*(1+C42/100)-1)</f>
        <v>5.3041963643644108</v>
      </c>
      <c r="D33" s="2">
        <f t="shared" si="2"/>
        <v>6.7911638456366497</v>
      </c>
      <c r="E33" s="2">
        <f t="shared" si="2"/>
        <v>2.6964325799547773</v>
      </c>
      <c r="F33" s="2">
        <f t="shared" si="2"/>
        <v>1.4650542597770766</v>
      </c>
      <c r="G33" s="1">
        <f t="shared" si="2"/>
        <v>3.9332641798379031</v>
      </c>
      <c r="H33" s="1">
        <f t="shared" si="2"/>
        <v>4.0201955789893606</v>
      </c>
      <c r="I33" s="1">
        <f t="shared" si="2"/>
        <v>3.7747593192035245</v>
      </c>
      <c r="J33" s="1">
        <f t="shared" si="2"/>
        <v>3.6314625033281756</v>
      </c>
      <c r="K33" s="1">
        <f t="shared" si="2"/>
        <v>3.5546527191615329</v>
      </c>
      <c r="L33" s="1">
        <f t="shared" si="2"/>
        <v>3.5214619382351264</v>
      </c>
      <c r="M33" s="1">
        <f t="shared" si="2"/>
        <v>3.5170361209442502</v>
      </c>
      <c r="N33" s="1">
        <f t="shared" si="2"/>
        <v>3.0952753265629296</v>
      </c>
      <c r="O33" s="1">
        <f t="shared" si="2"/>
        <v>3.1471710976960221</v>
      </c>
      <c r="P33" s="1">
        <f t="shared" si="2"/>
        <v>3.1192900354776176</v>
      </c>
      <c r="Q33" s="1">
        <f t="shared" si="2"/>
        <v>2.9409398298041678</v>
      </c>
      <c r="R33" s="1">
        <f t="shared" si="2"/>
        <v>2.913322230924309</v>
      </c>
      <c r="S33" s="1">
        <f t="shared" si="2"/>
        <v>2.8856995089444615</v>
      </c>
      <c r="T33" s="1">
        <f t="shared" si="2"/>
        <v>2.8580860057396018</v>
      </c>
      <c r="U33" s="1">
        <f t="shared" si="2"/>
        <v>2.8304632845847166</v>
      </c>
      <c r="V33" s="1">
        <f t="shared" si="2"/>
        <v>2.8028487536798652</v>
      </c>
      <c r="W33" s="1">
        <f t="shared" si="2"/>
        <v>2.7752260336250112</v>
      </c>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row>
    <row r="35" spans="2:51" x14ac:dyDescent="0.2">
      <c r="B35" s="28" t="s">
        <v>148</v>
      </c>
    </row>
    <row r="36" spans="2:51" x14ac:dyDescent="0.2">
      <c r="B36" s="26" t="s">
        <v>63</v>
      </c>
      <c r="C36" s="34">
        <f>'Input data'!C37</f>
        <v>0.73297140000000005</v>
      </c>
      <c r="D36" s="100">
        <f>'Input data'!D37</f>
        <v>0.83926920000000005</v>
      </c>
      <c r="E36" s="100">
        <f>'Input data'!E37</f>
        <v>1.5804370000000001</v>
      </c>
      <c r="F36" s="100">
        <f>'Input data'!F37</f>
        <v>1.6625099999999999</v>
      </c>
      <c r="G36" s="100">
        <f>'Input data'!G37</f>
        <v>1.8895660000000001</v>
      </c>
      <c r="H36" s="34">
        <f t="shared" ref="H36:W36" si="3">H93</f>
        <v>1.9854717385163656</v>
      </c>
      <c r="I36" s="34">
        <f t="shared" si="3"/>
        <v>2.0745438140806316</v>
      </c>
      <c r="J36" s="34">
        <f t="shared" si="3"/>
        <v>2.1513437547152874</v>
      </c>
      <c r="K36" s="34">
        <f>K93</f>
        <v>2.221061078171136</v>
      </c>
      <c r="L36" s="34">
        <f t="shared" si="3"/>
        <v>2.2825617644185887</v>
      </c>
      <c r="M36" s="34">
        <f t="shared" si="3"/>
        <v>2.3409157047574327</v>
      </c>
      <c r="N36" s="34">
        <f t="shared" si="3"/>
        <v>2.4844098258519955</v>
      </c>
      <c r="O36" s="34">
        <f t="shared" si="3"/>
        <v>2.5734502631094922</v>
      </c>
      <c r="P36" s="34">
        <f t="shared" si="3"/>
        <v>2.6542495674713935</v>
      </c>
      <c r="Q36" s="34">
        <f t="shared" si="3"/>
        <v>2.7291955926417386</v>
      </c>
      <c r="R36" s="34">
        <f t="shared" si="3"/>
        <v>2.7997062211473085</v>
      </c>
      <c r="S36" s="34">
        <f t="shared" si="3"/>
        <v>2.8660196626425685</v>
      </c>
      <c r="T36" s="34">
        <f t="shared" si="3"/>
        <v>2.9283302390471344</v>
      </c>
      <c r="U36" s="34">
        <f t="shared" si="3"/>
        <v>2.9868486571460138</v>
      </c>
      <c r="V36" s="34">
        <f t="shared" si="3"/>
        <v>3.0417754522289009</v>
      </c>
      <c r="W36" s="34">
        <f t="shared" si="3"/>
        <v>3.0934208687977534</v>
      </c>
    </row>
    <row r="37" spans="2:51" x14ac:dyDescent="0.2">
      <c r="B37" s="32" t="s">
        <v>94</v>
      </c>
      <c r="C37" s="1"/>
      <c r="D37" s="2">
        <f>'Input data'!D$39</f>
        <v>1.69</v>
      </c>
      <c r="E37" s="2">
        <f>'Input data'!E$39</f>
        <v>3.04</v>
      </c>
      <c r="F37" s="165">
        <f>'Input data'!F$39</f>
        <v>2.9418000000000002</v>
      </c>
      <c r="G37" s="165">
        <f>'Input data'!G$39</f>
        <v>3.0140359999999999</v>
      </c>
      <c r="H37" s="1">
        <f>$G$37+('Input data'!$C$52-$G$37)/($O$10-$G$10)*(H10-$G$10)</f>
        <v>3.041204</v>
      </c>
      <c r="I37" s="1">
        <f>$G$37+('Input data'!$C$52-$G$37)/($O$10-$G$10)*(I10-$G$10)</f>
        <v>3.0683720000000001</v>
      </c>
      <c r="J37" s="1">
        <f>$G$37+('Input data'!$C$52-$G$37)/($O$10-$G$10)*(J10-$G$10)</f>
        <v>3.0955400000000002</v>
      </c>
      <c r="K37" s="4">
        <f>IF('Criteria results'!$F$5=4,$G$37+('Input data'!$C$52-$G$37)/($O$10-$G$10)*(K10-$G$10)+0.5,$G$37+('Input data'!$C$52-$G$37)/($O$10-$G$10)*(K10-$G$10))</f>
        <v>3.1227080000000003</v>
      </c>
      <c r="L37" s="4">
        <f>IF('Criteria results'!$F$5=4,$G$37+('Input data'!$C$52-$G$37)/($O$10-$G$10)*(L10-$G$10)+0.5,$G$37+('Input data'!$C$52-$G$37)/($O$10-$G$10)*(L10-$G$10))</f>
        <v>3.1498759999999999</v>
      </c>
      <c r="M37" s="4">
        <f>IF('Criteria results'!$F$5=4,$G$37+('Input data'!$C$52-$G$37)/($O$10-$G$10)*(M10-$G$10)+0.5,$G$37+('Input data'!$C$52-$G$37)/($O$10-$G$10)*(M10-$G$10))</f>
        <v>3.177044</v>
      </c>
      <c r="N37" s="3">
        <f>IF('Criteria results'!$F$5=4,$G$37+('Input data'!$C$52-$G$37)/($O$10-$G$10)*(N10-$G$10)+0.5,$G$37+('Input data'!$C$52-$G$37)/($O$10-$G$10)*(N10-$G$10)+0.5)</f>
        <v>3.7042120000000001</v>
      </c>
      <c r="O37" s="3">
        <f>'Input data'!$C$52+0.5</f>
        <v>3.7313800000000001</v>
      </c>
      <c r="P37" s="3">
        <f>'Baseline NFPC'!P36+0.5</f>
        <v>3.7698110000000002</v>
      </c>
      <c r="Q37" s="3">
        <f>'Baseline NFPC'!Q36+0.5</f>
        <v>3.8082419999999999</v>
      </c>
      <c r="R37" s="3">
        <f>'Baseline NFPC'!R36+0.5</f>
        <v>3.846673</v>
      </c>
      <c r="S37" s="3">
        <f>'Baseline NFPC'!S36+0.5</f>
        <v>3.8851040000000001</v>
      </c>
      <c r="T37" s="3">
        <f>'Baseline NFPC'!T36+0.5</f>
        <v>3.9235350000000002</v>
      </c>
      <c r="U37" s="3">
        <f>'Baseline NFPC'!U36+0.5</f>
        <v>3.9619660000000003</v>
      </c>
      <c r="V37" s="3">
        <f>'Baseline NFPC'!V36+0.5</f>
        <v>4.0003969999999995</v>
      </c>
      <c r="W37" s="3">
        <f>'Baseline NFPC'!W36+0.5</f>
        <v>4.0388280000000005</v>
      </c>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60"/>
    </row>
    <row r="38" spans="2:51" x14ac:dyDescent="0.2">
      <c r="B38" s="32" t="s">
        <v>95</v>
      </c>
      <c r="C38" s="1"/>
      <c r="D38" s="2">
        <f>'Input data'!D$38</f>
        <v>0.35</v>
      </c>
      <c r="E38" s="2">
        <f>'Input data'!E$38</f>
        <v>3.43</v>
      </c>
      <c r="F38" s="165">
        <f>'Input data'!F$38</f>
        <v>3.5642079999999998</v>
      </c>
      <c r="G38" s="165">
        <f>'Input data'!G$38</f>
        <v>2.8163749999999999</v>
      </c>
      <c r="H38" s="1">
        <f>$G$38+('Input data'!$C$53-$G$38)/($O$10-$G$10)*(H10-$G$10)</f>
        <v>2.8050893749999997</v>
      </c>
      <c r="I38" s="1">
        <f>$G$38+('Input data'!$C$53-$G$38)/($O$10-$G$10)*(I10-$G$10)</f>
        <v>2.7938037499999999</v>
      </c>
      <c r="J38" s="1">
        <f>$G$38+('Input data'!$C$53-$G$38)/($O$10-$G$10)*(J10-$G$10)</f>
        <v>2.7825181250000002</v>
      </c>
      <c r="K38" s="4">
        <f>IF('Criteria results'!$F$5=4,$G$38+('Input data'!$C$53-$G$38)/($O$10-$G$10)*(K10-$G$10)+0.5,$G$38+('Input data'!$C$53-$G$38)/($O$10-$G$10)*(K10-$G$10))</f>
        <v>2.7712325</v>
      </c>
      <c r="L38" s="4">
        <f>IF('Criteria results'!$F$5=4,$G$38+('Input data'!$C$53-$G$38)/($O$10-$G$10)*(L10-$G$10)+0.5,$G$38+('Input data'!$C$53-$G$38)/($O$10-$G$10)*(L10-$G$10))</f>
        <v>2.7599468749999998</v>
      </c>
      <c r="M38" s="4">
        <f>IF('Criteria results'!$F$5=4,$G$38+('Input data'!$C$53-$G$38)/($O$10-$G$10)*(M10-$G$10)+0.5,$G$38+('Input data'!$C$53-$G$38)/($O$10-$G$10)*(M10-$G$10))</f>
        <v>2.7486612500000001</v>
      </c>
      <c r="N38" s="3">
        <f>IF('Criteria results'!$F$5=4,$G$38+('Input data'!$C$53-$G$38)/($O$10-$G$10)*(N10-$G$10)+0.5,$G$38+('Input data'!$C$53-$G$38)/($O$10-$G$10)*(N10-$G$10)+0.5)</f>
        <v>3.2373756250000003</v>
      </c>
      <c r="O38" s="3">
        <f>'Input data'!$C$53+0.5</f>
        <v>3.2260900000000001</v>
      </c>
      <c r="P38" s="3">
        <f>'Baseline NFPC'!P37+0.5</f>
        <v>3.1897855000000002</v>
      </c>
      <c r="Q38" s="3">
        <f>'Baseline NFPC'!Q37+0.5</f>
        <v>3.1534810000000002</v>
      </c>
      <c r="R38" s="3">
        <f>'Baseline NFPC'!R37+0.5</f>
        <v>3.1171765000000002</v>
      </c>
      <c r="S38" s="3">
        <f>'Baseline NFPC'!S37+0.5</f>
        <v>3.0808720000000003</v>
      </c>
      <c r="T38" s="3">
        <f>'Baseline NFPC'!T37+0.5</f>
        <v>3.0445675000000003</v>
      </c>
      <c r="U38" s="3">
        <f>'Baseline NFPC'!U37+0.5</f>
        <v>3.0082629999999999</v>
      </c>
      <c r="V38" s="3">
        <f>'Baseline NFPC'!V37+0.5</f>
        <v>2.9719584999999999</v>
      </c>
      <c r="W38" s="3">
        <f>'Baseline NFPC'!W37+0.5</f>
        <v>2.935654</v>
      </c>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60"/>
    </row>
    <row r="39" spans="2:51" s="5" customFormat="1" ht="12.75" x14ac:dyDescent="0.2">
      <c r="B39" s="26" t="s">
        <v>96</v>
      </c>
      <c r="C39" s="34">
        <f>'Baseline NFPC'!C38</f>
        <v>6.1590999999999998E-3</v>
      </c>
      <c r="D39" s="34">
        <f>'Baseline NFPC'!D38</f>
        <v>4.1645340000000003E-2</v>
      </c>
      <c r="E39" s="34">
        <f>'Baseline NFPC'!E38</f>
        <v>3.9429850000000002E-2</v>
      </c>
      <c r="F39" s="34">
        <f>'Baseline NFPC'!F38</f>
        <v>3.1775579999999998E-2</v>
      </c>
      <c r="G39" s="34">
        <f>'Baseline NFPC'!G38</f>
        <v>3.2450447777777773E-2</v>
      </c>
      <c r="H39" s="34">
        <f>'Baseline NFPC'!H38</f>
        <v>3.3125315555555555E-2</v>
      </c>
      <c r="I39" s="34">
        <f>'Baseline NFPC'!I38</f>
        <v>3.3800183333333331E-2</v>
      </c>
      <c r="J39" s="34">
        <f>'Baseline NFPC'!J38</f>
        <v>3.4475051111111106E-2</v>
      </c>
      <c r="K39" s="34">
        <f>'Baseline NFPC'!K38</f>
        <v>3.5149918888888888E-2</v>
      </c>
      <c r="L39" s="34">
        <f>'Baseline NFPC'!L38</f>
        <v>3.5824786666666664E-2</v>
      </c>
      <c r="M39" s="34">
        <f>'Baseline NFPC'!M38</f>
        <v>3.6499654444444439E-2</v>
      </c>
      <c r="N39" s="34">
        <f>'Baseline NFPC'!N38</f>
        <v>3.7174522222222221E-2</v>
      </c>
      <c r="O39" s="34">
        <f>'Baseline NFPC'!O38</f>
        <v>3.7849389999999997E-2</v>
      </c>
      <c r="P39" s="34">
        <f>'Baseline NFPC'!P38</f>
        <v>3.7849389999999997E-2</v>
      </c>
      <c r="Q39" s="34">
        <f>'Baseline NFPC'!Q38</f>
        <v>3.7849389999999997E-2</v>
      </c>
      <c r="R39" s="34">
        <f>'Baseline NFPC'!R38</f>
        <v>3.7849389999999997E-2</v>
      </c>
      <c r="S39" s="34">
        <f>'Baseline NFPC'!S38</f>
        <v>3.7849389999999997E-2</v>
      </c>
      <c r="T39" s="34">
        <f>'Baseline NFPC'!T38</f>
        <v>3.7849389999999997E-2</v>
      </c>
      <c r="U39" s="34">
        <f>'Baseline NFPC'!U38</f>
        <v>3.7849389999999997E-2</v>
      </c>
      <c r="V39" s="34">
        <f>'Baseline NFPC'!V38</f>
        <v>3.7849389999999997E-2</v>
      </c>
      <c r="W39" s="34">
        <f>'Baseline NFPC'!W38</f>
        <v>3.7849389999999997E-2</v>
      </c>
    </row>
    <row r="40" spans="2:51" x14ac:dyDescent="0.2">
      <c r="C40" s="1"/>
      <c r="D40" s="1"/>
      <c r="E40" s="1"/>
      <c r="F40" s="1"/>
      <c r="G40" s="1"/>
      <c r="H40" s="1"/>
      <c r="I40" s="1"/>
      <c r="J40" s="1"/>
      <c r="K40" s="1"/>
      <c r="L40" s="1"/>
      <c r="M40" s="1"/>
      <c r="N40" s="1"/>
      <c r="O40" s="1"/>
      <c r="P40" s="1"/>
      <c r="Q40" s="1"/>
      <c r="R40" s="1"/>
      <c r="S40" s="1"/>
      <c r="T40" s="1"/>
      <c r="U40" s="1"/>
      <c r="V40" s="1"/>
      <c r="W40" s="1"/>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60"/>
    </row>
    <row r="41" spans="2:51" x14ac:dyDescent="0.2">
      <c r="B41" s="28" t="s">
        <v>97</v>
      </c>
      <c r="C41" s="1"/>
      <c r="D41" s="1"/>
      <c r="E41" s="1"/>
      <c r="F41" s="1"/>
      <c r="G41" s="1"/>
      <c r="H41" s="1"/>
      <c r="I41" s="1"/>
      <c r="J41" s="1"/>
      <c r="K41" s="1"/>
      <c r="L41" s="1"/>
      <c r="M41" s="1"/>
      <c r="N41" s="1"/>
      <c r="O41" s="1"/>
      <c r="P41" s="1"/>
      <c r="Q41" s="1"/>
      <c r="R41" s="1"/>
      <c r="S41" s="1"/>
      <c r="T41" s="1"/>
      <c r="U41" s="1"/>
      <c r="V41" s="1"/>
      <c r="W41" s="1"/>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60"/>
    </row>
    <row r="42" spans="2:51" x14ac:dyDescent="0.2">
      <c r="B42" s="26" t="s">
        <v>142</v>
      </c>
      <c r="C42" s="1">
        <f>'Input data'!C42</f>
        <v>2.397958</v>
      </c>
      <c r="D42" s="2">
        <f>'Input data'!D42</f>
        <v>5.3837979999999996</v>
      </c>
      <c r="E42" s="2">
        <f>'Input data'!E42</f>
        <v>3.9011728023607306</v>
      </c>
      <c r="F42" s="2">
        <f>'Input data'!F42</f>
        <v>1.6905743485635893</v>
      </c>
      <c r="G42" s="2">
        <f>'Input data'!G42</f>
        <v>2.1354755393935054</v>
      </c>
      <c r="H42" s="1">
        <f>'Baseline NFPC'!H41</f>
        <v>2.1872910969693171</v>
      </c>
      <c r="I42" s="1">
        <f>'Baseline NFPC'!I41</f>
        <v>2.2391066545451288</v>
      </c>
      <c r="J42" s="1">
        <f>'Baseline NFPC'!J41</f>
        <v>2.2909222121209409</v>
      </c>
      <c r="K42" s="1">
        <f>'Baseline NFPC'!K41</f>
        <v>2.3427377696967526</v>
      </c>
      <c r="L42" s="1">
        <f>'Baseline NFPC'!L41</f>
        <v>2.3945533272725643</v>
      </c>
      <c r="M42" s="1">
        <f>'Baseline NFPC'!M41</f>
        <v>2.4463688848483764</v>
      </c>
      <c r="N42" s="1">
        <f>'Baseline NFPC'!N41</f>
        <v>2.4981844424241881</v>
      </c>
      <c r="O42" s="251">
        <f>'Baseline NFPC'!O41</f>
        <v>2.5499999999999998</v>
      </c>
      <c r="P42" s="1">
        <f>'Baseline NFPC'!P41</f>
        <v>2.5225</v>
      </c>
      <c r="Q42" s="1">
        <f>'Baseline NFPC'!Q41</f>
        <v>2.4949999999999997</v>
      </c>
      <c r="R42" s="1">
        <f>'Baseline NFPC'!R41</f>
        <v>2.4674999999999998</v>
      </c>
      <c r="S42" s="1">
        <f>'Baseline NFPC'!S41</f>
        <v>2.44</v>
      </c>
      <c r="T42" s="1">
        <f>'Baseline NFPC'!T41</f>
        <v>2.4124999999999996</v>
      </c>
      <c r="U42" s="1">
        <f>'Baseline NFPC'!U41</f>
        <v>2.3849999999999998</v>
      </c>
      <c r="V42" s="1">
        <f>'Baseline NFPC'!V41</f>
        <v>2.3574999999999999</v>
      </c>
      <c r="W42" s="1">
        <f>'Baseline NFPC'!W41</f>
        <v>2.33</v>
      </c>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60"/>
    </row>
    <row r="43" spans="2:51" x14ac:dyDescent="0.2">
      <c r="B43" s="26" t="s">
        <v>98</v>
      </c>
      <c r="C43" s="1">
        <f>'Baseline NFPC'!C42</f>
        <v>0.99918229999999997</v>
      </c>
      <c r="D43" s="1">
        <f>'Baseline NFPC'!D42</f>
        <v>1.0048170000000001</v>
      </c>
      <c r="E43" s="1">
        <f>'Baseline NFPC'!E42</f>
        <v>0.99943179999999998</v>
      </c>
      <c r="F43" s="1">
        <f>'Baseline NFPC'!F42</f>
        <v>1.0001910000000001</v>
      </c>
      <c r="G43" s="1">
        <f>'Baseline NFPC'!G42</f>
        <v>1.000102</v>
      </c>
      <c r="H43" s="1">
        <f>'Baseline NFPC'!H42</f>
        <v>1</v>
      </c>
      <c r="I43" s="1">
        <f>'Baseline NFPC'!I42</f>
        <v>1</v>
      </c>
      <c r="J43" s="1">
        <f>'Baseline NFPC'!J42</f>
        <v>1</v>
      </c>
      <c r="K43" s="1">
        <f>'Baseline NFPC'!K42</f>
        <v>1</v>
      </c>
      <c r="L43" s="1">
        <f>'Baseline NFPC'!L42</f>
        <v>1</v>
      </c>
      <c r="M43" s="1">
        <f>'Baseline NFPC'!M42</f>
        <v>1</v>
      </c>
      <c r="N43" s="1">
        <f>'Baseline NFPC'!N42</f>
        <v>1</v>
      </c>
      <c r="O43" s="1">
        <f>'Baseline NFPC'!O42</f>
        <v>1</v>
      </c>
      <c r="P43" s="1">
        <f>'Baseline NFPC'!P42</f>
        <v>1</v>
      </c>
      <c r="Q43" s="1">
        <f>'Baseline NFPC'!Q42</f>
        <v>1</v>
      </c>
      <c r="R43" s="1">
        <f>'Baseline NFPC'!R42</f>
        <v>1</v>
      </c>
      <c r="S43" s="1">
        <f>'Baseline NFPC'!S42</f>
        <v>1</v>
      </c>
      <c r="T43" s="1">
        <f>'Baseline NFPC'!T42</f>
        <v>1</v>
      </c>
      <c r="U43" s="1">
        <f>'Baseline NFPC'!U42</f>
        <v>1</v>
      </c>
      <c r="V43" s="1">
        <f>'Baseline NFPC'!V42</f>
        <v>1</v>
      </c>
      <c r="W43" s="1">
        <f>'Baseline NFPC'!W42</f>
        <v>1</v>
      </c>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0"/>
    </row>
    <row r="44" spans="2:51" x14ac:dyDescent="0.2">
      <c r="C44" s="36"/>
    </row>
    <row r="45" spans="2:51" s="67" customFormat="1" ht="12.75" x14ac:dyDescent="0.2">
      <c r="B45" s="75" t="s">
        <v>99</v>
      </c>
      <c r="C45" s="68"/>
    </row>
    <row r="46" spans="2:51" x14ac:dyDescent="0.2">
      <c r="C46" s="36"/>
    </row>
    <row r="47" spans="2:51" x14ac:dyDescent="0.2">
      <c r="B47" s="54" t="s">
        <v>68</v>
      </c>
      <c r="C47" s="55">
        <f>'Input data'!C49</f>
        <v>0.75</v>
      </c>
    </row>
    <row r="48" spans="2:51" x14ac:dyDescent="0.2">
      <c r="B48" s="56" t="s">
        <v>258</v>
      </c>
      <c r="C48" s="57">
        <f>'Input data'!C50</f>
        <v>0.58199999999999996</v>
      </c>
    </row>
    <row r="49" spans="2:48" x14ac:dyDescent="0.2">
      <c r="C49" s="58"/>
    </row>
    <row r="50" spans="2:48" outlineLevel="1" x14ac:dyDescent="0.2">
      <c r="B50" s="26" t="s">
        <v>100</v>
      </c>
      <c r="C50" s="34">
        <v>0</v>
      </c>
      <c r="D50" s="34">
        <f>IF(AND(ABS((D12-C12)-('Input data'!D13-'Input data'!C13))&gt;0.0001,ABS(D12-C12)&gt;0.0001,D$10&gt;$C$5),4,IF(C50=4,3,IF(C50=3,2,IF(C50=2,1,0))))</f>
        <v>0</v>
      </c>
      <c r="E50" s="34">
        <f>IF(AND(ABS((E12-D12)-('Input data'!E13-'Input data'!D13))&gt;0.0001,ABS(E12-D12)&gt;0.0001,E$10&gt;$C$5),4,IF(D50=4,3,IF(D50=3,2,IF(D50=2,1,0))))</f>
        <v>0</v>
      </c>
      <c r="F50" s="34">
        <f>IF(AND(ABS((F12-E12)-('Input data'!F13-'Input data'!E13))&gt;0.0001,ABS(F12-E12)&gt;0.0001,F$10&gt;$C$5),4,IF(E50=4,3,IF(E50=3,2,IF(E50=2,1,0))))</f>
        <v>0</v>
      </c>
      <c r="G50" s="34">
        <f>IF(AND(ABS((G12-F12)-('Input data'!G13-'Input data'!F13))&gt;0.0001,ABS(G12-F12)&gt;0.0001,G$10&gt;$C$5),4,IF(F50=4,3,IF(F50=3,2,IF(F50=2,1,0))))</f>
        <v>4</v>
      </c>
      <c r="H50" s="34">
        <f>IF(AND(ABS((H12-G12)-('Input data'!H13-'Input data'!G13))&gt;0.0001,ABS(H12-G12)&gt;0.0001,H$10&gt;$C$5),4,IF(G50=4,3,IF(G50=3,2,IF(G50=2,1,0))))</f>
        <v>4</v>
      </c>
      <c r="I50" s="34">
        <f>IF(AND(ABS((I12-H12)-('Input data'!I13-'Input data'!H13))&gt;0.0001,ABS(I12-H12)&gt;0.0001,I$10&gt;$C$5),4,IF(H50=4,3,IF(H50=3,2,IF(H50=2,1,0))))</f>
        <v>4</v>
      </c>
      <c r="J50" s="34">
        <f>IF(AND(ABS((J12-I12)-('Input data'!J13-'Input data'!I13))&gt;0.0001,ABS(J12-I12)&gt;0.0001,J$10&gt;$C$5),4,IF(I50=4,3,IF(I50=3,2,IF(I50=2,1,0))))</f>
        <v>4</v>
      </c>
      <c r="K50" s="34">
        <f>IF(AND(ABS((K12-J12)-('Input data'!K13-'Input data'!J13))&gt;0.0001,ABS(K12-J12)&gt;0.0001,K$10&gt;$C$5),4,IF(J50=4,3,IF(J50=3,2,IF(J50=2,1,0))))</f>
        <v>4</v>
      </c>
      <c r="L50" s="34">
        <f>IF(AND(ABS((L12-K12)-('Input data'!L13-'Input data'!K13))&gt;0.0001,ABS(L12-K12)&gt;0.0001,L$10&gt;$C$5),4,IF(K50=4,3,IF(K50=3,2,IF(K50=2,1,0))))</f>
        <v>4</v>
      </c>
      <c r="M50" s="34">
        <f>IF(AND(ABS((M12-L12)-('Input data'!M13-'Input data'!L13))&gt;0.0001,ABS(M12-L12)&gt;0.0001,M$10&gt;$C$5),4,IF(L50=4,3,IF(L50=3,2,IF(L50=2,1,0))))</f>
        <v>4</v>
      </c>
      <c r="N50" s="34">
        <f>IF(AND(ABS((N12-M12)-('Input data'!N13-'Input data'!M13))&gt;0.0001,ABS(N12-M12)&gt;0.0001,N$10&gt;$C$5),4,IF(M50=4,3,IF(M50=3,2,IF(M50=2,1,0))))</f>
        <v>3</v>
      </c>
      <c r="O50" s="34">
        <f>IF(AND(ABS((O12-N12)-('Input data'!O13-'Input data'!N13))&gt;0.0001,ABS(O12-N12)&gt;0.0001,O$10&gt;$C$5),4,IF(N50=4,3,IF(N50=3,2,IF(N50=2,1,0))))</f>
        <v>2</v>
      </c>
      <c r="P50" s="34">
        <f>IF(AND(ABS((P12-O12)-('Input data'!P13-'Input data'!O13))&gt;0.0001,ABS(P12-O12)&gt;0.0001,P$10&gt;$C$5),4,IF(O50=4,3,IF(O50=3,2,IF(O50=2,1,0))))</f>
        <v>1</v>
      </c>
      <c r="Q50" s="34">
        <f>IF(AND(ABS((Q12-P12)-('Input data'!Q13-'Input data'!P13))&gt;0.0001,ABS(Q12-P12)&gt;0.0001,Q$10&gt;$C$5),4,IF(P50=4,3,IF(P50=3,2,IF(P50=2,1,0))))</f>
        <v>0</v>
      </c>
      <c r="R50" s="34">
        <f>IF(AND(ABS((R12-Q12)-('Input data'!R13-'Input data'!Q13))&gt;0.0001,ABS(R12-Q12)&gt;0.0001,R$10&gt;$C$5),4,IF(Q50=4,3,IF(Q50=3,2,IF(Q50=2,1,0))))</f>
        <v>0</v>
      </c>
      <c r="S50" s="34">
        <f>IF(AND(ABS((S12-R12)-('Input data'!S13-'Input data'!R13))&gt;0.0001,ABS(S12-R12)&gt;0.0001,S$10&gt;$C$5),4,IF(R50=4,3,IF(R50=3,2,IF(R50=2,1,0))))</f>
        <v>0</v>
      </c>
      <c r="T50" s="34">
        <f>IF(AND(ABS((T12-S12)-('Input data'!T13-'Input data'!S13))&gt;0.0001,ABS(T12-S12)&gt;0.0001,T$10&gt;$C$5),4,IF(S50=4,3,IF(S50=3,2,IF(S50=2,1,0))))</f>
        <v>0</v>
      </c>
      <c r="U50" s="34">
        <f>IF(AND(ABS((U12-T12)-('Input data'!U13-'Input data'!T13))&gt;0.0001,ABS(U12-T12)&gt;0.0001,U$10&gt;$C$5),4,IF(T50=4,3,IF(T50=3,2,IF(T50=2,1,0))))</f>
        <v>0</v>
      </c>
      <c r="V50" s="34">
        <f>IF(AND(ABS((V12-U12)-('Input data'!V13-'Input data'!U13))&gt;0.0001,ABS(V12-U12)&gt;0.0001,V$10&gt;$C$5),4,IF(U50=4,3,IF(U50=3,2,IF(U50=2,1,0))))</f>
        <v>0</v>
      </c>
      <c r="W50" s="34">
        <f>IF(AND(ABS((W12-V12)-('Input data'!W13-'Input data'!V13))&gt;0.0001,ABS(W12-V12)&gt;0.0001,W$10&gt;$C$5),4,IF(V50=4,3,IF(V50=3,2,IF(V50=2,1,0))))</f>
        <v>0</v>
      </c>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row>
    <row r="51" spans="2:48" outlineLevel="1" x14ac:dyDescent="0.2">
      <c r="B51" s="26" t="s">
        <v>101</v>
      </c>
      <c r="C51" s="34">
        <v>0</v>
      </c>
      <c r="D51" s="34">
        <f t="shared" ref="D51:W51" si="4">IF(C50=4,2/3*C30,IF(C50=3,1/3*B30,0))</f>
        <v>0</v>
      </c>
      <c r="E51" s="34">
        <f t="shared" si="4"/>
        <v>0</v>
      </c>
      <c r="F51" s="34">
        <f t="shared" si="4"/>
        <v>0</v>
      </c>
      <c r="G51" s="34">
        <f t="shared" si="4"/>
        <v>0</v>
      </c>
      <c r="H51" s="34">
        <f t="shared" si="4"/>
        <v>-1.7999023029811563</v>
      </c>
      <c r="I51" s="34">
        <f t="shared" si="4"/>
        <v>-1.2481342297017139</v>
      </c>
      <c r="J51" s="34">
        <f t="shared" si="4"/>
        <v>-0.88069883973314056</v>
      </c>
      <c r="K51" s="34">
        <f t="shared" si="4"/>
        <v>-0.63601493658716657</v>
      </c>
      <c r="L51" s="34">
        <f t="shared" si="4"/>
        <v>-0.4730741472857532</v>
      </c>
      <c r="M51" s="34">
        <f t="shared" si="4"/>
        <v>-0.36456802785244469</v>
      </c>
      <c r="N51" s="34">
        <f t="shared" si="4"/>
        <v>-0.29231124055593877</v>
      </c>
      <c r="O51" s="34">
        <f t="shared" si="4"/>
        <v>-0.14615562027796938</v>
      </c>
      <c r="P51" s="34">
        <f t="shared" si="4"/>
        <v>0</v>
      </c>
      <c r="Q51" s="34">
        <f t="shared" si="4"/>
        <v>0</v>
      </c>
      <c r="R51" s="34">
        <f t="shared" si="4"/>
        <v>0</v>
      </c>
      <c r="S51" s="34">
        <f t="shared" si="4"/>
        <v>0</v>
      </c>
      <c r="T51" s="34">
        <f t="shared" si="4"/>
        <v>0</v>
      </c>
      <c r="U51" s="34">
        <f t="shared" si="4"/>
        <v>0</v>
      </c>
      <c r="V51" s="34">
        <f t="shared" si="4"/>
        <v>0</v>
      </c>
      <c r="W51" s="34">
        <f t="shared" si="4"/>
        <v>0</v>
      </c>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row>
    <row r="52" spans="2:48" outlineLevel="1" x14ac:dyDescent="0.2">
      <c r="B52" s="26" t="s">
        <v>102</v>
      </c>
      <c r="C52" s="34"/>
      <c r="D52" s="34">
        <f>'Input data'!D30-$C$47*((D12-C12)-('Input data'!D13-'Input data'!C13))</f>
        <v>1.335467</v>
      </c>
      <c r="E52" s="34">
        <f>'Input data'!E30-$C$47*((E12-D12)-('Input data'!E13-'Input data'!D13))</f>
        <v>-1.1595058938339342</v>
      </c>
      <c r="F52" s="34">
        <f>'Input data'!F30-$C$47*((F12-E12)-('Input data'!F13-'Input data'!E13))</f>
        <v>-0.22177088705733761</v>
      </c>
      <c r="G52" s="34">
        <f>'Input data'!G30-$C$47*((G12-F12))</f>
        <v>1.7602</v>
      </c>
      <c r="H52" s="34">
        <f>'Input data'!H30-$C$47*((H12-G12))</f>
        <v>1.7601999999999924</v>
      </c>
      <c r="I52" s="34">
        <f>'Input data'!I30-$C$47*((I12-H12))</f>
        <v>1.7601999999999924</v>
      </c>
      <c r="J52" s="34">
        <f>'Input data'!J30-$C$47*((J12-I12))</f>
        <v>1.7601999999999924</v>
      </c>
      <c r="K52" s="4">
        <f>'Adverse (r-g)'!K24-$C$47*(K12-J12)</f>
        <v>0.86010000000001097</v>
      </c>
      <c r="L52" s="4">
        <f>'Adverse (r-g)'!L24-$C$47*(L12-K12)</f>
        <v>0.86008997222222505</v>
      </c>
      <c r="M52" s="4">
        <f>'Adverse (r-g)'!M24-$C$47*(M12-L12)</f>
        <v>0.86008697222222108</v>
      </c>
      <c r="N52" s="4">
        <f>'Adverse (r-g)'!N24-$C$47*((N12-M12))</f>
        <v>0.43508687222221276</v>
      </c>
      <c r="O52" s="4">
        <f>'Adverse (r-g)'!O24-$C$47*((O12-N12))</f>
        <v>0.43508597222222711</v>
      </c>
      <c r="P52" s="4">
        <f>'Adverse (r-g)'!P24-$C$47*((P12-O12))</f>
        <v>0.43508937222221977</v>
      </c>
      <c r="Q52" s="4">
        <f>'Adverse (r-g)'!Q24-$C$47*((Q12-P12))</f>
        <v>0.43508447222221402</v>
      </c>
      <c r="R52" s="4">
        <f>'Adverse (r-g)'!R24-$C$47*((R12-Q12))</f>
        <v>0.43508647222222407</v>
      </c>
      <c r="S52" s="4">
        <f>'Adverse (r-g)'!S24-$C$47*((S12-R12))</f>
        <v>0.4350834722222201</v>
      </c>
      <c r="T52" s="4">
        <f>'Adverse (r-g)'!T24-$C$47*((T12-S12))</f>
        <v>0.43508947222222805</v>
      </c>
      <c r="U52" s="4">
        <f>'Adverse (r-g)'!U24-$C$47*((U12-T12))</f>
        <v>0.43508647222222407</v>
      </c>
      <c r="V52" s="4">
        <f>'Adverse (r-g)'!V24-$C$47*((V12-U12))</f>
        <v>0.43509147222221589</v>
      </c>
      <c r="W52" s="4">
        <f>'Adverse (r-g)'!W24-$C$47*((W12-V12))</f>
        <v>0.43508847222221192</v>
      </c>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row>
    <row r="53" spans="2:48" x14ac:dyDescent="0.2">
      <c r="C53" s="36"/>
    </row>
    <row r="54" spans="2:48" s="67" customFormat="1" ht="12.75" outlineLevel="1" x14ac:dyDescent="0.2">
      <c r="B54" s="72" t="s">
        <v>103</v>
      </c>
      <c r="C54" s="69"/>
      <c r="E54" s="70"/>
      <c r="F54" s="69"/>
    </row>
    <row r="55" spans="2:48" outlineLevel="1" x14ac:dyDescent="0.2">
      <c r="B55" s="43"/>
      <c r="C55" s="29"/>
      <c r="E55" s="44"/>
      <c r="F55" s="29"/>
    </row>
    <row r="56" spans="2:48" outlineLevel="1" x14ac:dyDescent="0.2">
      <c r="B56" s="85"/>
      <c r="C56" s="86">
        <v>2021</v>
      </c>
      <c r="D56" s="86">
        <v>2022</v>
      </c>
      <c r="E56" s="86">
        <v>2023</v>
      </c>
      <c r="F56" s="86">
        <v>2024</v>
      </c>
      <c r="G56" s="86">
        <v>2025</v>
      </c>
      <c r="H56" s="86">
        <v>2026</v>
      </c>
      <c r="I56" s="86">
        <v>2027</v>
      </c>
      <c r="J56" s="86">
        <v>2028</v>
      </c>
      <c r="K56" s="86">
        <v>2029</v>
      </c>
      <c r="L56" s="86">
        <v>2030</v>
      </c>
      <c r="M56" s="86">
        <v>2031</v>
      </c>
      <c r="N56" s="86">
        <v>2032</v>
      </c>
      <c r="O56" s="86">
        <v>2033</v>
      </c>
      <c r="P56" s="86">
        <v>2034</v>
      </c>
      <c r="Q56" s="86">
        <v>2035</v>
      </c>
      <c r="R56" s="86">
        <v>2036</v>
      </c>
      <c r="S56" s="86">
        <v>2037</v>
      </c>
      <c r="T56" s="86">
        <v>2038</v>
      </c>
      <c r="U56" s="86">
        <v>2039</v>
      </c>
      <c r="V56" s="86">
        <v>2040</v>
      </c>
      <c r="W56" s="86">
        <v>2041</v>
      </c>
    </row>
    <row r="57" spans="2:48" ht="10.5" customHeight="1" outlineLevel="1" x14ac:dyDescent="0.2">
      <c r="B57" s="87" t="s">
        <v>104</v>
      </c>
      <c r="C57" s="45">
        <f>+'Input data'!C12</f>
        <v>72.584819999999993</v>
      </c>
      <c r="D57" s="45">
        <f>+C57+D58</f>
        <v>73.511610584961744</v>
      </c>
      <c r="E57" s="45">
        <f>+D57+E58</f>
        <v>76.572506382321123</v>
      </c>
      <c r="F57" s="45">
        <f t="shared" ref="F57:T57" si="5">+E57+F58</f>
        <v>81.669832373893243</v>
      </c>
      <c r="G57" s="45">
        <f t="shared" si="5"/>
        <v>83.193157241487697</v>
      </c>
      <c r="H57" s="45">
        <f t="shared" si="5"/>
        <v>84.556754593314608</v>
      </c>
      <c r="I57" s="45">
        <f t="shared" si="5"/>
        <v>85.459120171217933</v>
      </c>
      <c r="J57" s="45">
        <f t="shared" si="5"/>
        <v>86.145056856268312</v>
      </c>
      <c r="K57" s="45">
        <f t="shared" si="5"/>
        <v>86.34726643202589</v>
      </c>
      <c r="L57" s="45">
        <f t="shared" si="5"/>
        <v>86.468995590643061</v>
      </c>
      <c r="M57" s="45">
        <f t="shared" si="5"/>
        <v>86.939180456571577</v>
      </c>
      <c r="N57" s="45">
        <f t="shared" si="5"/>
        <v>87.822266378105226</v>
      </c>
      <c r="O57" s="46">
        <f t="shared" si="5"/>
        <v>88.484291996244508</v>
      </c>
      <c r="P57" s="46">
        <f t="shared" si="5"/>
        <v>88.988481806792763</v>
      </c>
      <c r="Q57" s="46">
        <f t="shared" si="5"/>
        <v>89.537943403234934</v>
      </c>
      <c r="R57" s="46">
        <f t="shared" si="5"/>
        <v>89.984903954576964</v>
      </c>
      <c r="S57" s="46">
        <f t="shared" si="5"/>
        <v>90.307877015221791</v>
      </c>
      <c r="T57" s="46">
        <f t="shared" si="5"/>
        <v>90.488368272047282</v>
      </c>
      <c r="U57" s="46">
        <f>+T57+U58</f>
        <v>90.509215888800654</v>
      </c>
      <c r="V57" s="46">
        <f>+U57+V58</f>
        <v>90.36825428500444</v>
      </c>
      <c r="W57" s="46">
        <f>+V57+W58</f>
        <v>90.078883625975109</v>
      </c>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row>
    <row r="58" spans="2:48" outlineLevel="1" x14ac:dyDescent="0.2">
      <c r="B58" s="88" t="s">
        <v>105</v>
      </c>
      <c r="C58" s="47"/>
      <c r="D58" s="47">
        <f>-D59+D67+D72</f>
        <v>0.92679058496175415</v>
      </c>
      <c r="E58" s="47">
        <f>-E59+E67+E72</f>
        <v>3.060895797359378</v>
      </c>
      <c r="F58" s="47">
        <f t="shared" ref="F58:T58" si="6">-F59+F67+F72</f>
        <v>5.0973259915721227</v>
      </c>
      <c r="G58" s="47">
        <f t="shared" si="6"/>
        <v>1.5233248675944475</v>
      </c>
      <c r="H58" s="47">
        <f t="shared" si="6"/>
        <v>1.3635973518269109</v>
      </c>
      <c r="I58" s="47">
        <f t="shared" si="6"/>
        <v>0.90236557790332039</v>
      </c>
      <c r="J58" s="47">
        <f t="shared" si="6"/>
        <v>0.6859366850503813</v>
      </c>
      <c r="K58" s="47">
        <f t="shared" si="6"/>
        <v>0.2022095757575848</v>
      </c>
      <c r="L58" s="47">
        <f t="shared" si="6"/>
        <v>0.12172915861717459</v>
      </c>
      <c r="M58" s="47">
        <f t="shared" si="6"/>
        <v>0.47018486592851727</v>
      </c>
      <c r="N58" s="47">
        <f t="shared" si="6"/>
        <v>0.88308592153364251</v>
      </c>
      <c r="O58" s="47">
        <f t="shared" si="6"/>
        <v>0.66202561813928351</v>
      </c>
      <c r="P58" s="47">
        <f t="shared" si="6"/>
        <v>0.50418981054825807</v>
      </c>
      <c r="Q58" s="47">
        <f t="shared" si="6"/>
        <v>0.54946159644217762</v>
      </c>
      <c r="R58" s="47">
        <f t="shared" si="6"/>
        <v>0.44696055134203228</v>
      </c>
      <c r="S58" s="47">
        <f t="shared" si="6"/>
        <v>0.3229730606448325</v>
      </c>
      <c r="T58" s="47">
        <f t="shared" si="6"/>
        <v>0.18049125682549766</v>
      </c>
      <c r="U58" s="47">
        <f>-U59+U67+U72</f>
        <v>2.0847616753368325E-2</v>
      </c>
      <c r="V58" s="47">
        <f>-V59+V67+V72</f>
        <v>-0.14096160379621792</v>
      </c>
      <c r="W58" s="47">
        <f>-W59+W67+W72</f>
        <v>-0.28937065902932474</v>
      </c>
    </row>
    <row r="59" spans="2:48" outlineLevel="1" x14ac:dyDescent="0.2">
      <c r="B59" s="84" t="s">
        <v>106</v>
      </c>
      <c r="C59" s="48"/>
      <c r="D59" s="48">
        <f>D60+D61-D62-D63-D64-D65-D66</f>
        <v>0.20695241503824502</v>
      </c>
      <c r="E59" s="48">
        <f t="shared" ref="E59:T59" si="7">E60+E61-E62-E63-E64-E65-E66</f>
        <v>-1.7183327929179697</v>
      </c>
      <c r="F59" s="48">
        <f t="shared" si="7"/>
        <v>-2.4049191831936598</v>
      </c>
      <c r="G59" s="48">
        <f t="shared" si="7"/>
        <v>-1.8457580550476558</v>
      </c>
      <c r="H59" s="48">
        <f t="shared" si="7"/>
        <v>-1.2640645270747026</v>
      </c>
      <c r="I59" s="48">
        <f t="shared" si="7"/>
        <v>-0.84329343163213788</v>
      </c>
      <c r="J59" s="48">
        <f t="shared" si="7"/>
        <v>-0.52968438418570274</v>
      </c>
      <c r="K59" s="48">
        <f t="shared" si="7"/>
        <v>-0.28743707512556882</v>
      </c>
      <c r="L59" s="48">
        <f t="shared" si="7"/>
        <v>-9.271123286029051E-2</v>
      </c>
      <c r="M59" s="48">
        <f t="shared" si="7"/>
        <v>7.0368942449559158E-2</v>
      </c>
      <c r="N59" s="48">
        <f t="shared" si="7"/>
        <v>0.12791251345134225</v>
      </c>
      <c r="O59" s="48">
        <f t="shared" si="7"/>
        <v>0.22301508445312143</v>
      </c>
      <c r="P59" s="48">
        <f t="shared" si="7"/>
        <v>0.31767765545489596</v>
      </c>
      <c r="Q59" s="48">
        <f t="shared" si="7"/>
        <v>0.33578865743858555</v>
      </c>
      <c r="R59" s="48">
        <f t="shared" si="7"/>
        <v>0.36987081838086433</v>
      </c>
      <c r="S59" s="48">
        <f t="shared" si="7"/>
        <v>0.42288224088863563</v>
      </c>
      <c r="T59" s="48">
        <f t="shared" si="7"/>
        <v>0.49163614026854657</v>
      </c>
      <c r="U59" s="48">
        <f>U60+U61-U62-U63-U64-U65-U66</f>
        <v>0.57460830121400153</v>
      </c>
      <c r="V59" s="48">
        <f>V60+V61-V62-V63-V64-V65-V66</f>
        <v>0.65654335955194232</v>
      </c>
      <c r="W59" s="48">
        <f>W60+W61-W62-W63-W64-W65-W66</f>
        <v>0.72176667945558726</v>
      </c>
    </row>
    <row r="60" spans="2:48" outlineLevel="1" x14ac:dyDescent="0.2">
      <c r="B60" s="79" t="s">
        <v>107</v>
      </c>
      <c r="C60" s="1"/>
      <c r="D60" s="1">
        <f>D12</f>
        <v>0.29205680000000001</v>
      </c>
      <c r="E60" s="1">
        <f>E12</f>
        <v>-0.3391101166058319</v>
      </c>
      <c r="F60" s="1">
        <f>F12</f>
        <v>-0.3744433445451063</v>
      </c>
      <c r="G60" s="1">
        <f t="shared" ref="G60:W60" si="8">IF(G12="",F60,G12)</f>
        <v>-0.27444334454510633</v>
      </c>
      <c r="H60" s="1">
        <f t="shared" si="8"/>
        <v>-0.17444334454510632</v>
      </c>
      <c r="I60" s="1">
        <f t="shared" si="8"/>
        <v>-7.4443344545106316E-2</v>
      </c>
      <c r="J60" s="1">
        <f t="shared" si="8"/>
        <v>2.555665545489369E-2</v>
      </c>
      <c r="K60" s="1">
        <f t="shared" si="8"/>
        <v>0.1255566554548937</v>
      </c>
      <c r="L60" s="1">
        <f t="shared" si="8"/>
        <v>0.2255566554548937</v>
      </c>
      <c r="M60" s="1">
        <f t="shared" si="8"/>
        <v>0.32555665545489371</v>
      </c>
      <c r="N60" s="1">
        <f t="shared" si="8"/>
        <v>0.32555665545489371</v>
      </c>
      <c r="O60" s="1">
        <f t="shared" si="8"/>
        <v>0.32555665545489371</v>
      </c>
      <c r="P60" s="1">
        <f t="shared" si="8"/>
        <v>0.32555665545489371</v>
      </c>
      <c r="Q60" s="1">
        <f t="shared" si="8"/>
        <v>0.32555665545489371</v>
      </c>
      <c r="R60" s="1">
        <f t="shared" si="8"/>
        <v>0.32555665545489371</v>
      </c>
      <c r="S60" s="1">
        <f t="shared" si="8"/>
        <v>0.32555665545489371</v>
      </c>
      <c r="T60" s="1">
        <f t="shared" si="8"/>
        <v>0.32555665545489371</v>
      </c>
      <c r="U60" s="1">
        <f t="shared" si="8"/>
        <v>0.32555665545489371</v>
      </c>
      <c r="V60" s="1">
        <f t="shared" si="8"/>
        <v>0.32555665545489371</v>
      </c>
      <c r="W60" s="1">
        <f t="shared" si="8"/>
        <v>0.32555665545489371</v>
      </c>
    </row>
    <row r="61" spans="2:48" outlineLevel="1" x14ac:dyDescent="0.2">
      <c r="B61" s="79" t="s">
        <v>108</v>
      </c>
      <c r="C61" s="1"/>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2:48" outlineLevel="1" x14ac:dyDescent="0.2">
      <c r="B62" s="79" t="s">
        <v>109</v>
      </c>
      <c r="C62" s="1"/>
      <c r="D62" s="1">
        <f t="shared" ref="D62:W62" si="9">-$C$48*D30</f>
        <v>8.5104384961754986E-2</v>
      </c>
      <c r="E62" s="1">
        <f t="shared" si="9"/>
        <v>1.3792226763121378</v>
      </c>
      <c r="F62" s="1">
        <f t="shared" si="9"/>
        <v>2.0304758386485537</v>
      </c>
      <c r="G62" s="1">
        <f t="shared" si="9"/>
        <v>1.5713147105025493</v>
      </c>
      <c r="H62" s="1">
        <f t="shared" si="9"/>
        <v>1.0896211825295963</v>
      </c>
      <c r="I62" s="1">
        <f t="shared" si="9"/>
        <v>0.76885008708703162</v>
      </c>
      <c r="J62" s="1">
        <f t="shared" si="9"/>
        <v>0.55524103964059646</v>
      </c>
      <c r="K62" s="1">
        <f t="shared" si="9"/>
        <v>0.41299373058046251</v>
      </c>
      <c r="L62" s="1">
        <f t="shared" si="9"/>
        <v>0.31826788831518421</v>
      </c>
      <c r="M62" s="1">
        <f t="shared" si="9"/>
        <v>0.25518771300533455</v>
      </c>
      <c r="N62" s="1">
        <f t="shared" si="9"/>
        <v>0.17012514200355205</v>
      </c>
      <c r="O62" s="1">
        <f t="shared" si="9"/>
        <v>8.5062571001776027E-2</v>
      </c>
      <c r="P62" s="1">
        <f t="shared" si="9"/>
        <v>0</v>
      </c>
      <c r="Q62" s="1">
        <f t="shared" si="9"/>
        <v>8.9980163127778557E-6</v>
      </c>
      <c r="R62" s="1">
        <f t="shared" si="9"/>
        <v>1.6837074029063534E-5</v>
      </c>
      <c r="S62" s="1">
        <f t="shared" si="9"/>
        <v>2.6414566257493276E-5</v>
      </c>
      <c r="T62" s="1">
        <f t="shared" si="9"/>
        <v>3.2515186347192854E-5</v>
      </c>
      <c r="U62" s="1">
        <f t="shared" si="9"/>
        <v>4.035424089088302E-5</v>
      </c>
      <c r="V62" s="1">
        <f t="shared" si="9"/>
        <v>4.5295902952702245E-5</v>
      </c>
      <c r="W62" s="1">
        <f t="shared" si="9"/>
        <v>5.1975999306974602E-5</v>
      </c>
    </row>
    <row r="63" spans="2:48" outlineLevel="1" x14ac:dyDescent="0.2">
      <c r="B63" s="79" t="s">
        <v>110</v>
      </c>
      <c r="C63" s="1"/>
      <c r="D63" s="1">
        <f t="shared" ref="D63:W63" si="10">-D13</f>
        <v>0</v>
      </c>
      <c r="E63" s="1">
        <f t="shared" si="10"/>
        <v>0</v>
      </c>
      <c r="F63" s="1">
        <f t="shared" si="10"/>
        <v>0</v>
      </c>
      <c r="G63" s="1">
        <f t="shared" si="10"/>
        <v>0</v>
      </c>
      <c r="H63" s="1">
        <f t="shared" si="10"/>
        <v>0</v>
      </c>
      <c r="I63" s="1">
        <f t="shared" si="10"/>
        <v>0</v>
      </c>
      <c r="J63" s="1">
        <f t="shared" si="10"/>
        <v>0</v>
      </c>
      <c r="K63" s="1">
        <f t="shared" si="10"/>
        <v>0</v>
      </c>
      <c r="L63" s="1">
        <f t="shared" si="10"/>
        <v>0</v>
      </c>
      <c r="M63" s="1">
        <f t="shared" si="10"/>
        <v>0</v>
      </c>
      <c r="N63" s="1">
        <f t="shared" si="10"/>
        <v>0</v>
      </c>
      <c r="O63" s="1">
        <f t="shared" si="10"/>
        <v>0</v>
      </c>
      <c r="P63" s="1">
        <f t="shared" si="10"/>
        <v>0</v>
      </c>
      <c r="Q63" s="1">
        <f t="shared" si="10"/>
        <v>0</v>
      </c>
      <c r="R63" s="1">
        <f t="shared" si="10"/>
        <v>0</v>
      </c>
      <c r="S63" s="1">
        <f t="shared" si="10"/>
        <v>0</v>
      </c>
      <c r="T63" s="1">
        <f t="shared" si="10"/>
        <v>0</v>
      </c>
      <c r="U63" s="1">
        <f t="shared" si="10"/>
        <v>0</v>
      </c>
      <c r="V63" s="1">
        <f t="shared" si="10"/>
        <v>0</v>
      </c>
      <c r="W63" s="1">
        <f t="shared" si="10"/>
        <v>0</v>
      </c>
    </row>
    <row r="64" spans="2:48" outlineLevel="1" x14ac:dyDescent="0.2">
      <c r="B64" s="79" t="s">
        <v>111</v>
      </c>
      <c r="C64" s="1"/>
      <c r="D64" s="1">
        <f>IF(D$56&lt;=$C$6,0,HLOOKUP(D$56,'Input data'!$C$9:$BB$26,12,FALSE)-HLOOKUP($C$6,'Input data'!$C$9:$BB$26,12,FALSE))</f>
        <v>0</v>
      </c>
      <c r="E64" s="1">
        <f>IF(E$56&lt;=$C$6,0,HLOOKUP(E$56,'Input data'!$C$9:$BB$26,12,FALSE)-HLOOKUP($C$6,'Input data'!$C$9:$BB$26,12,FALSE))</f>
        <v>0</v>
      </c>
      <c r="F64" s="1">
        <f>IF(F$56&lt;=$C$6,0,HLOOKUP(F$56,'Input data'!$C$9:$BB$26,12,FALSE)-HLOOKUP($C$6,'Input data'!$C$9:$BB$26,12,FALSE))</f>
        <v>0</v>
      </c>
      <c r="G64" s="1">
        <f>IF(G$56&lt;=$C$6,0,HLOOKUP(G$56,'Input data'!$C$9:$BB$26,12,FALSE)-HLOOKUP($C$6,'Input data'!$C$9:$BB$26,12,FALSE))</f>
        <v>0</v>
      </c>
      <c r="H64" s="1">
        <f>IF(H$56&lt;=$C$6,0,HLOOKUP(H$56,'Input data'!$C$9:$BB$26,12,FALSE)-HLOOKUP($C$6,'Input data'!$C$9:$BB$26,12,FALSE))</f>
        <v>0</v>
      </c>
      <c r="I64" s="1">
        <f>IF(I$56&lt;=$C$6,0,HLOOKUP(I$56,'Input data'!$C$9:$BB$26,12,FALSE)-HLOOKUP($C$6,'Input data'!$C$9:$BB$26,12,FALSE))</f>
        <v>0</v>
      </c>
      <c r="J64" s="1">
        <f>IF(J$56&lt;=$C$6,0,HLOOKUP(J$56,'Input data'!$C$9:$BB$26,12,FALSE)-HLOOKUP($C$6,'Input data'!$C$9:$BB$26,12,FALSE))</f>
        <v>0</v>
      </c>
      <c r="K64" s="1">
        <f>IF(K$56&lt;=$C$6,0,HLOOKUP(K$56,'Input data'!$C$9:$BB$26,12,FALSE)-HLOOKUP($C$6,'Input data'!$C$9:$BB$26,12,FALSE))</f>
        <v>0</v>
      </c>
      <c r="L64" s="1">
        <f>IF(L$56&lt;=$C$6,0,HLOOKUP(L$56,'Input data'!$C$9:$BB$26,12,FALSE)-HLOOKUP($C$6,'Input data'!$C$9:$BB$26,12,FALSE))</f>
        <v>0</v>
      </c>
      <c r="M64" s="1">
        <f>IF(M$56&lt;=$C$6,0,HLOOKUP(M$56,'Input data'!$C$9:$BB$26,12,FALSE)-HLOOKUP($C$6,'Input data'!$C$9:$BB$26,12,FALSE))</f>
        <v>0</v>
      </c>
      <c r="N64" s="1">
        <f>IF(N$56&lt;=$C$6,0,HLOOKUP(N$56,'Input data'!$C$9:$BB$26,12,FALSE)-HLOOKUP($C$6,'Input data'!$C$9:$BB$26,12,FALSE))</f>
        <v>3.416999999999959E-2</v>
      </c>
      <c r="O64" s="1">
        <f>IF(O$56&lt;=$C$6,0,HLOOKUP(O$56,'Input data'!$C$9:$BB$26,12,FALSE)-HLOOKUP($C$6,'Input data'!$C$9:$BB$26,12,FALSE))</f>
        <v>3.0779999999996477E-2</v>
      </c>
      <c r="P64" s="1">
        <f>IF(P$56&lt;=$C$6,0,HLOOKUP(P$56,'Input data'!$C$9:$BB$26,12,FALSE)-HLOOKUP($C$6,'Input data'!$C$9:$BB$26,12,FALSE))</f>
        <v>2.7829999999998023E-2</v>
      </c>
      <c r="Q64" s="1">
        <f>IF(Q$56&lt;=$C$6,0,HLOOKUP(Q$56,'Input data'!$C$9:$BB$26,12,FALSE)-HLOOKUP($C$6,'Input data'!$C$9:$BB$26,12,FALSE))</f>
        <v>1.6359999999995267E-2</v>
      </c>
      <c r="R64" s="1">
        <f>IF(R$56&lt;=$C$6,0,HLOOKUP(R$56,'Input data'!$C$9:$BB$26,12,FALSE)-HLOOKUP($C$6,'Input data'!$C$9:$BB$26,12,FALSE))</f>
        <v>-1.1079999999999757E-2</v>
      </c>
      <c r="S64" s="1">
        <f>IF(S$56&lt;=$C$6,0,HLOOKUP(S$56,'Input data'!$C$9:$BB$26,12,FALSE)-HLOOKUP($C$6,'Input data'!$C$9:$BB$26,12,FALSE))</f>
        <v>-5.7449999999999335E-2</v>
      </c>
      <c r="T64" s="1">
        <f>IF(T$56&lt;=$C$6,0,HLOOKUP(T$56,'Input data'!$C$9:$BB$26,12,FALSE)-HLOOKUP($C$6,'Input data'!$C$9:$BB$26,12,FALSE))</f>
        <v>-0.11955999999999989</v>
      </c>
      <c r="U64" s="1">
        <f>IF(U$56&lt;=$C$6,0,HLOOKUP(U$56,'Input data'!$C$9:$BB$26,12,FALSE)-HLOOKUP($C$6,'Input data'!$C$9:$BB$26,12,FALSE))</f>
        <v>-0.19588999999999857</v>
      </c>
      <c r="V64" s="1">
        <f>IF(V$56&lt;=$C$6,0,HLOOKUP(V$56,'Input data'!$C$9:$BB$26,12,FALSE)-HLOOKUP($C$6,'Input data'!$C$9:$BB$26,12,FALSE))</f>
        <v>-0.27118000000000109</v>
      </c>
      <c r="W64" s="1">
        <f>IF(W$56&lt;=$C$6,0,HLOOKUP(W$56,'Input data'!$C$9:$BB$26,12,FALSE)-HLOOKUP($C$6,'Input data'!$C$9:$BB$26,12,FALSE))</f>
        <v>-0.32976000000000028</v>
      </c>
    </row>
    <row r="65" spans="2:23" outlineLevel="1" x14ac:dyDescent="0.2">
      <c r="B65" s="79" t="s">
        <v>112</v>
      </c>
      <c r="C65" s="1"/>
      <c r="D65" s="1">
        <f>IF(D$56&lt;=$C$5,0,-HLOOKUP(D$56,'Input data'!$C$9:$BB$26,18,FALSE)+HLOOKUP($C$6,'Input data'!$C$9:$BB$26,18,FALSE))</f>
        <v>0</v>
      </c>
      <c r="E65" s="1">
        <f>IF(E$56&lt;=$C$5,0,-HLOOKUP(E$56,'Input data'!$C$9:$BB$26,18,FALSE)+HLOOKUP($C$6,'Input data'!$C$9:$BB$26,18,FALSE))</f>
        <v>0</v>
      </c>
      <c r="F65" s="1">
        <f>IF(F$56&lt;=$C$5,0,-HLOOKUP(F$56,'Input data'!$C$9:$BB$26,18,FALSE)+HLOOKUP($C$6,'Input data'!$C$9:$BB$26,18,FALSE))</f>
        <v>0</v>
      </c>
      <c r="G65" s="1">
        <f>IF(G$56&lt;=$C$6,0,-HLOOKUP(G$56,'Input data'!$C$9:$BB$26,18,FALSE)+HLOOKUP($C$6,'Input data'!$C$9:$BB$26,18,FALSE))</f>
        <v>0</v>
      </c>
      <c r="H65" s="1">
        <f>IF(H$56&lt;=$C$6,0,-HLOOKUP(H$56,'Input data'!$C$9:$BB$26,18,FALSE)+HLOOKUP($C$6,'Input data'!$C$9:$BB$26,18,FALSE))</f>
        <v>0</v>
      </c>
      <c r="I65" s="1">
        <f>IF(I$56&lt;=$C$6,0,-HLOOKUP(I$56,'Input data'!$C$9:$BB$26,18,FALSE)+HLOOKUP($C$6,'Input data'!$C$9:$BB$26,18,FALSE))</f>
        <v>0</v>
      </c>
      <c r="J65" s="1">
        <f>IF(J$56&lt;=$C$6,0,-HLOOKUP(J$56,'Input data'!$C$9:$BB$26,18,FALSE)+HLOOKUP($C$6,'Input data'!$C$9:$BB$26,18,FALSE))</f>
        <v>0</v>
      </c>
      <c r="K65" s="1">
        <f>IF(K$56&lt;=$C$6,0,-HLOOKUP(K$56,'Input data'!$C$9:$BB$26,18,FALSE)+HLOOKUP($C$6,'Input data'!$C$9:$BB$26,18,FALSE))</f>
        <v>0</v>
      </c>
      <c r="L65" s="1">
        <f>IF(L$56&lt;=$C$6,0,-HLOOKUP(L$56,'Input data'!$C$9:$BB$26,18,FALSE)+HLOOKUP($C$6,'Input data'!$C$9:$BB$26,18,FALSE))</f>
        <v>0</v>
      </c>
      <c r="M65" s="1">
        <f>IF(M$56&lt;=$C$6,0,-HLOOKUP(M$56,'Input data'!$C$9:$BB$26,18,FALSE)+HLOOKUP($C$6,'Input data'!$C$9:$BB$26,18,FALSE))</f>
        <v>0</v>
      </c>
      <c r="N65" s="1">
        <f>IF(N$56&lt;=$C$6,0,-HLOOKUP(N$56,'Input data'!$C$9:$BB$26,18,FALSE)+HLOOKUP($C$6,'Input data'!$C$9:$BB$26,18,FALSE))</f>
        <v>-6.6510000000001845E-3</v>
      </c>
      <c r="O65" s="1">
        <f>IF(O$56&lt;=$C$6,0,-HLOOKUP(O$56,'Input data'!$C$9:$BB$26,18,FALSE)+HLOOKUP($C$6,'Input data'!$C$9:$BB$26,18,FALSE))</f>
        <v>-1.3301000000000229E-2</v>
      </c>
      <c r="P65" s="1">
        <f>IF(P$56&lt;=$C$6,0,-HLOOKUP(P$56,'Input data'!$C$9:$BB$26,18,FALSE)+HLOOKUP($C$6,'Input data'!$C$9:$BB$26,18,FALSE))</f>
        <v>-1.9951000000000274E-2</v>
      </c>
      <c r="Q65" s="1">
        <f>IF(Q$56&lt;=$C$6,0,-HLOOKUP(Q$56,'Input data'!$C$9:$BB$26,18,FALSE)+HLOOKUP($C$6,'Input data'!$C$9:$BB$26,18,FALSE))</f>
        <v>-2.6600999999999875E-2</v>
      </c>
      <c r="R65" s="1">
        <f>IF(R$56&lt;=$C$6,0,-HLOOKUP(R$56,'Input data'!$C$9:$BB$26,18,FALSE)+HLOOKUP($C$6,'Input data'!$C$9:$BB$26,18,FALSE))</f>
        <v>-3.325099999999992E-2</v>
      </c>
      <c r="S65" s="1">
        <f>IF(S$56&lt;=$C$6,0,-HLOOKUP(S$56,'Input data'!$C$9:$BB$26,18,FALSE)+HLOOKUP($C$6,'Input data'!$C$9:$BB$26,18,FALSE))</f>
        <v>-3.9902000000000104E-2</v>
      </c>
      <c r="T65" s="1">
        <f>IF(T$56&lt;=$C$6,0,-HLOOKUP(T$56,'Input data'!$C$9:$BB$26,18,FALSE)+HLOOKUP($C$6,'Input data'!$C$9:$BB$26,18,FALSE))</f>
        <v>-4.6552000000000149E-2</v>
      </c>
      <c r="U65" s="1">
        <f>IF(U$56&lt;=$C$6,0,-HLOOKUP(U$56,'Input data'!$C$9:$BB$26,18,FALSE)+HLOOKUP($C$6,'Input data'!$C$9:$BB$26,18,FALSE))</f>
        <v>-5.3202000000000194E-2</v>
      </c>
      <c r="V65" s="1">
        <f>IF(V$56&lt;=$C$6,0,-HLOOKUP(V$56,'Input data'!$C$9:$BB$26,18,FALSE)+HLOOKUP($C$6,'Input data'!$C$9:$BB$26,18,FALSE))</f>
        <v>-5.9852000000000238E-2</v>
      </c>
      <c r="W65" s="1">
        <f>IF(W$56&lt;=$C$6,0,-HLOOKUP(W$56,'Input data'!$C$9:$BB$26,18,FALSE)+HLOOKUP($C$6,'Input data'!$C$9:$BB$26,18,FALSE))</f>
        <v>-6.6502000000000283E-2</v>
      </c>
    </row>
    <row r="66" spans="2:23" outlineLevel="1" x14ac:dyDescent="0.2">
      <c r="B66" s="79" t="s">
        <v>113</v>
      </c>
      <c r="C66" s="37"/>
      <c r="D66" s="37">
        <v>0</v>
      </c>
      <c r="E66" s="37">
        <v>0</v>
      </c>
      <c r="F66" s="37">
        <v>0</v>
      </c>
      <c r="G66" s="37">
        <v>0</v>
      </c>
      <c r="H66" s="37">
        <v>0</v>
      </c>
      <c r="I66" s="37">
        <v>0</v>
      </c>
      <c r="J66" s="37">
        <v>0</v>
      </c>
      <c r="K66" s="37">
        <v>0</v>
      </c>
      <c r="L66" s="37">
        <v>0</v>
      </c>
      <c r="M66" s="37">
        <v>0</v>
      </c>
      <c r="N66" s="37">
        <v>0</v>
      </c>
      <c r="O66" s="37">
        <v>0</v>
      </c>
      <c r="P66" s="37">
        <v>0</v>
      </c>
      <c r="Q66" s="37">
        <v>0</v>
      </c>
      <c r="R66" s="37">
        <v>0</v>
      </c>
      <c r="S66" s="37">
        <v>0</v>
      </c>
      <c r="T66" s="37">
        <v>0</v>
      </c>
      <c r="U66" s="37">
        <v>0</v>
      </c>
      <c r="V66" s="37">
        <v>0</v>
      </c>
      <c r="W66" s="37">
        <v>0</v>
      </c>
    </row>
    <row r="67" spans="2:23" outlineLevel="1" x14ac:dyDescent="0.2">
      <c r="B67" s="84" t="s">
        <v>114</v>
      </c>
      <c r="C67" s="48"/>
      <c r="D67" s="48">
        <f t="shared" ref="D67:T67" si="11">SUM(D68:D71)</f>
        <v>-4.0426920000000006</v>
      </c>
      <c r="E67" s="48">
        <f>SUM(E68:E71)</f>
        <v>-0.79948272499993989</v>
      </c>
      <c r="F67" s="48">
        <f t="shared" si="11"/>
        <v>0.14925019261305703</v>
      </c>
      <c r="G67" s="48">
        <f t="shared" si="11"/>
        <v>-1.6057693262643842</v>
      </c>
      <c r="H67" s="48">
        <f t="shared" si="11"/>
        <v>-1.6273291879645857</v>
      </c>
      <c r="I67" s="48">
        <f t="shared" si="11"/>
        <v>-1.3853532994493891</v>
      </c>
      <c r="J67" s="48">
        <f t="shared" si="11"/>
        <v>-1.2205718509600143</v>
      </c>
      <c r="K67" s="48">
        <f t="shared" si="11"/>
        <v>-1.1093883733811611</v>
      </c>
      <c r="L67" s="48">
        <f t="shared" si="11"/>
        <v>-1.0333668148450808</v>
      </c>
      <c r="M67" s="48">
        <f t="shared" si="11"/>
        <v>-0.9824271916219236</v>
      </c>
      <c r="N67" s="48">
        <f t="shared" si="11"/>
        <v>-0.51513656501501526</v>
      </c>
      <c r="O67" s="48">
        <f t="shared" si="11"/>
        <v>-0.48848129740759494</v>
      </c>
      <c r="P67" s="48">
        <f t="shared" si="11"/>
        <v>-0.39904053399684614</v>
      </c>
      <c r="Q67" s="48">
        <f t="shared" si="11"/>
        <v>-0.18304474611923682</v>
      </c>
      <c r="R67" s="48">
        <f t="shared" si="11"/>
        <v>-9.8849630277103362E-2</v>
      </c>
      <c r="S67" s="48">
        <f t="shared" si="11"/>
        <v>-1.7212198466531881E-2</v>
      </c>
      <c r="T67" s="48">
        <f t="shared" si="11"/>
        <v>6.167339709404418E-2</v>
      </c>
      <c r="U67" s="48">
        <f>SUM(U68:U71)</f>
        <v>0.13761541796736987</v>
      </c>
      <c r="V67" s="48">
        <f>SUM(V68:V71)</f>
        <v>0.21035475575572438</v>
      </c>
      <c r="W67" s="48">
        <f>SUM(W68:W71)</f>
        <v>0.2797825204262625</v>
      </c>
    </row>
    <row r="68" spans="2:23" outlineLevel="1" x14ac:dyDescent="0.2">
      <c r="B68" s="79" t="s">
        <v>115</v>
      </c>
      <c r="C68" s="34"/>
      <c r="D68" s="34">
        <f>C57*D36/100*(1/(1+D33/100))</f>
        <v>0.57044236264340553</v>
      </c>
      <c r="E68" s="34">
        <f>D57*E36/100*(1/(1+E33/100))</f>
        <v>1.1312999524848377</v>
      </c>
      <c r="F68" s="34">
        <f t="shared" ref="F68:W68" si="12">E57*F36/100*(1/(1+F33/100))</f>
        <v>1.2546443552845774</v>
      </c>
      <c r="G68" s="34">
        <f>F57*G36/100*(1/(1+G33/100))</f>
        <v>1.4848041163451184</v>
      </c>
      <c r="H68" s="34">
        <f t="shared" si="12"/>
        <v>1.5879383962077989</v>
      </c>
      <c r="I68" s="34">
        <f t="shared" si="12"/>
        <v>1.6903599038059536</v>
      </c>
      <c r="J68" s="34">
        <f t="shared" si="12"/>
        <v>1.7740938902402197</v>
      </c>
      <c r="K68" s="34">
        <f t="shared" si="12"/>
        <v>1.8476565546426016</v>
      </c>
      <c r="L68" s="34">
        <f t="shared" si="12"/>
        <v>1.9038850990860254</v>
      </c>
      <c r="M68" s="34">
        <f t="shared" si="12"/>
        <v>1.9553943711858579</v>
      </c>
      <c r="N68" s="34">
        <f t="shared" si="12"/>
        <v>2.0950771361117342</v>
      </c>
      <c r="O68" s="34">
        <f t="shared" si="12"/>
        <v>2.1911045364835515</v>
      </c>
      <c r="P68" s="34">
        <f t="shared" si="12"/>
        <v>2.2775505308293185</v>
      </c>
      <c r="Q68" s="34">
        <f t="shared" si="12"/>
        <v>2.359284583417625</v>
      </c>
      <c r="R68" s="34">
        <f t="shared" si="12"/>
        <v>2.4358356308066589</v>
      </c>
      <c r="S68" s="34">
        <f t="shared" si="12"/>
        <v>2.5066506356638998</v>
      </c>
      <c r="T68" s="34">
        <f t="shared" si="12"/>
        <v>2.5710306049547427</v>
      </c>
      <c r="U68" s="34">
        <f t="shared" si="12"/>
        <v>2.6283559621112325</v>
      </c>
      <c r="V68" s="34">
        <f t="shared" si="12"/>
        <v>2.6780260900229678</v>
      </c>
      <c r="W68" s="34">
        <f t="shared" si="12"/>
        <v>2.7199847129559727</v>
      </c>
    </row>
    <row r="69" spans="2:23" outlineLevel="1" x14ac:dyDescent="0.2">
      <c r="B69" s="79" t="s">
        <v>116</v>
      </c>
      <c r="C69" s="34"/>
      <c r="D69" s="34">
        <f t="shared" ref="D69:W69" si="13">-C57*(D23/100)*(1/(1+D33/100))</f>
        <v>-0.90770273794427525</v>
      </c>
      <c r="E69" s="34">
        <f>-D57*(E23/100)*(1/(1+E33/100))</f>
        <v>0.82999130151990808</v>
      </c>
      <c r="F69" s="34">
        <f t="shared" si="13"/>
        <v>0.16736355968562128</v>
      </c>
      <c r="G69" s="34">
        <f t="shared" si="13"/>
        <v>-1.3831494669096829</v>
      </c>
      <c r="H69" s="34">
        <f t="shared" si="13"/>
        <v>-1.4345407422170708</v>
      </c>
      <c r="I69" s="34">
        <f t="shared" si="13"/>
        <v>-1.2238622032621493</v>
      </c>
      <c r="J69" s="34">
        <f t="shared" si="13"/>
        <v>-1.0807109894524101</v>
      </c>
      <c r="K69" s="34">
        <f t="shared" si="13"/>
        <v>-0.98508988003587661</v>
      </c>
      <c r="L69" s="34">
        <f t="shared" si="13"/>
        <v>-0.91797327637658943</v>
      </c>
      <c r="M69" s="34">
        <f t="shared" si="13"/>
        <v>-0.87298449127809208</v>
      </c>
      <c r="N69" s="34">
        <f t="shared" si="13"/>
        <v>-0.49124828495669703</v>
      </c>
      <c r="O69" s="34">
        <f t="shared" si="13"/>
        <v>-0.49580446612743834</v>
      </c>
      <c r="P69" s="34">
        <f t="shared" si="13"/>
        <v>-0.49949212010157457</v>
      </c>
      <c r="Q69" s="34">
        <f t="shared" si="13"/>
        <v>-0.37611378626208847</v>
      </c>
      <c r="R69" s="34">
        <f t="shared" si="13"/>
        <v>-0.37853940656908974</v>
      </c>
      <c r="S69" s="34">
        <f t="shared" si="13"/>
        <v>-0.38052853454855179</v>
      </c>
      <c r="T69" s="34">
        <f t="shared" si="13"/>
        <v>-0.38200211644878507</v>
      </c>
      <c r="U69" s="34">
        <f t="shared" si="13"/>
        <v>-0.38286577412059014</v>
      </c>
      <c r="V69" s="34">
        <f t="shared" si="13"/>
        <v>-0.38306125236950694</v>
      </c>
      <c r="W69" s="34">
        <f t="shared" si="13"/>
        <v>-0.38256481850390828</v>
      </c>
    </row>
    <row r="70" spans="2:23" outlineLevel="1" x14ac:dyDescent="0.2">
      <c r="B70" s="79" t="s">
        <v>117</v>
      </c>
      <c r="C70" s="34"/>
      <c r="D70" s="34">
        <f t="shared" ref="D70:T70" si="14">-C57*D42/100*(1/(1+D42/100))</f>
        <v>-3.7081792093539843</v>
      </c>
      <c r="E70" s="34">
        <f>-D57*E42/100*(1/(1+E42/100))</f>
        <v>-2.7601372355757476</v>
      </c>
      <c r="F70" s="34">
        <f t="shared" si="14"/>
        <v>-1.2729942369236147</v>
      </c>
      <c r="G70" s="34">
        <f t="shared" si="14"/>
        <v>-1.7075744585293433</v>
      </c>
      <c r="H70" s="34">
        <f t="shared" si="14"/>
        <v>-1.7807268419553137</v>
      </c>
      <c r="I70" s="34">
        <f t="shared" si="14"/>
        <v>-1.8518509999931934</v>
      </c>
      <c r="J70" s="34">
        <f t="shared" si="14"/>
        <v>-1.9139547517478239</v>
      </c>
      <c r="K70" s="34">
        <f t="shared" si="14"/>
        <v>-1.971955047987886</v>
      </c>
      <c r="L70" s="34">
        <f t="shared" si="14"/>
        <v>-2.0192786375545166</v>
      </c>
      <c r="M70" s="34">
        <f t="shared" si="14"/>
        <v>-2.0648370715296895</v>
      </c>
      <c r="N70" s="34">
        <f t="shared" si="14"/>
        <v>-2.1189654161700524</v>
      </c>
      <c r="O70" s="34">
        <f t="shared" si="14"/>
        <v>-2.1837813677637081</v>
      </c>
      <c r="P70" s="34">
        <f t="shared" si="14"/>
        <v>-2.1770989447245901</v>
      </c>
      <c r="Q70" s="34">
        <f t="shared" si="14"/>
        <v>-2.1662155432747734</v>
      </c>
      <c r="R70" s="34">
        <f t="shared" si="14"/>
        <v>-2.1561458545146723</v>
      </c>
      <c r="S70" s="34">
        <f t="shared" si="14"/>
        <v>-2.14333429958188</v>
      </c>
      <c r="T70" s="34">
        <f t="shared" si="14"/>
        <v>-2.1273550914119133</v>
      </c>
      <c r="U70" s="34">
        <f>-T57*U42/100*(1/(1+U42/100))</f>
        <v>-2.1078747700232725</v>
      </c>
      <c r="V70" s="34">
        <f>-U57*V42/100*(1/(1+V42/100))</f>
        <v>-2.0846100818977362</v>
      </c>
      <c r="W70" s="34">
        <f>-V57*W42/100*(1/(1+W42/100))</f>
        <v>-2.057637374025802</v>
      </c>
    </row>
    <row r="71" spans="2:23" outlineLevel="1" x14ac:dyDescent="0.2">
      <c r="B71" s="79" t="s">
        <v>118</v>
      </c>
      <c r="C71" s="49"/>
      <c r="D71" s="49">
        <f>'Baseline NFPC'!D70</f>
        <v>2.7475846548536964E-3</v>
      </c>
      <c r="E71" s="49">
        <f>'Baseline NFPC'!E70</f>
        <v>-6.3674342893804692E-4</v>
      </c>
      <c r="F71" s="49">
        <f>'Baseline NFPC'!F70</f>
        <v>2.3651456647297286E-4</v>
      </c>
      <c r="G71" s="49">
        <f>'Baseline NFPC'!G70</f>
        <v>1.5048282952356828E-4</v>
      </c>
      <c r="H71" s="49">
        <f>'Baseline NFPC'!H70</f>
        <v>0</v>
      </c>
      <c r="I71" s="49">
        <f>'Baseline NFPC'!I70</f>
        <v>0</v>
      </c>
      <c r="J71" s="49">
        <f>'Baseline NFPC'!J70</f>
        <v>0</v>
      </c>
      <c r="K71" s="49">
        <f>'Baseline NFPC'!K70</f>
        <v>0</v>
      </c>
      <c r="L71" s="49">
        <f>'Baseline NFPC'!L70</f>
        <v>0</v>
      </c>
      <c r="M71" s="49">
        <f>'Baseline NFPC'!M70</f>
        <v>0</v>
      </c>
      <c r="N71" s="49">
        <f>'Baseline NFPC'!N70</f>
        <v>0</v>
      </c>
      <c r="O71" s="49">
        <f>'Baseline NFPC'!O70</f>
        <v>0</v>
      </c>
      <c r="P71" s="49">
        <f>'Baseline NFPC'!P70</f>
        <v>0</v>
      </c>
      <c r="Q71" s="49">
        <f>'Baseline NFPC'!Q70</f>
        <v>0</v>
      </c>
      <c r="R71" s="49">
        <f>'Baseline NFPC'!R70</f>
        <v>0</v>
      </c>
      <c r="S71" s="49">
        <f>'Baseline NFPC'!S70</f>
        <v>0</v>
      </c>
      <c r="T71" s="49">
        <f>'Baseline NFPC'!T70</f>
        <v>0</v>
      </c>
      <c r="U71" s="49">
        <f>'Baseline NFPC'!U70</f>
        <v>0</v>
      </c>
      <c r="V71" s="49">
        <f>'Baseline NFPC'!V70</f>
        <v>0</v>
      </c>
      <c r="W71" s="49">
        <f>'Baseline NFPC'!W70</f>
        <v>0</v>
      </c>
    </row>
    <row r="72" spans="2:23" outlineLevel="1" x14ac:dyDescent="0.2">
      <c r="B72" s="84" t="s">
        <v>119</v>
      </c>
      <c r="C72" s="50"/>
      <c r="D72" s="50">
        <f>'Input data'!D16</f>
        <v>5.1764349999999997</v>
      </c>
      <c r="E72" s="50">
        <f>'Input data'!E16</f>
        <v>2.1420457294413482</v>
      </c>
      <c r="F72" s="50">
        <f>'Input data'!F16</f>
        <v>2.543156615765406</v>
      </c>
      <c r="G72" s="50">
        <f>'Input data'!G16</f>
        <v>1.2833361388111759</v>
      </c>
      <c r="H72" s="50">
        <f>'Input data'!H16</f>
        <v>1.726862012716794</v>
      </c>
      <c r="I72" s="50">
        <f>'Input data'!I16</f>
        <v>1.4444254457205716</v>
      </c>
      <c r="J72" s="50">
        <f>'Input data'!J16</f>
        <v>1.3768241518246929</v>
      </c>
      <c r="K72" s="50">
        <f>'Input data'!K16</f>
        <v>1.0241608740131771</v>
      </c>
      <c r="L72" s="50">
        <f>'Input data'!L16</f>
        <v>1.0623847406019649</v>
      </c>
      <c r="M72" s="50">
        <f>'Input data'!M16</f>
        <v>1.5229809999999999</v>
      </c>
      <c r="N72" s="50">
        <f>'Input data'!N16</f>
        <v>1.526135</v>
      </c>
      <c r="O72" s="50">
        <f>'Input data'!O16</f>
        <v>1.3735219999999999</v>
      </c>
      <c r="P72" s="50">
        <f>'Input data'!P16</f>
        <v>1.2209080000000001</v>
      </c>
      <c r="Q72" s="50">
        <f>'Input data'!Q16</f>
        <v>1.068295</v>
      </c>
      <c r="R72" s="50">
        <f>'Input data'!R16</f>
        <v>0.91568099999999997</v>
      </c>
      <c r="S72" s="50">
        <f>'Input data'!S16</f>
        <v>0.76306750000000001</v>
      </c>
      <c r="T72" s="50">
        <f>'Input data'!T16</f>
        <v>0.61045400000000005</v>
      </c>
      <c r="U72" s="50">
        <f>'Input data'!U16</f>
        <v>0.45784049999999998</v>
      </c>
      <c r="V72" s="50">
        <f>'Input data'!V16</f>
        <v>0.30522700000000003</v>
      </c>
      <c r="W72" s="50">
        <f>'Input data'!W16</f>
        <v>0.15261350000000001</v>
      </c>
    </row>
    <row r="73" spans="2:23" outlineLevel="1" x14ac:dyDescent="0.2">
      <c r="B73" s="79" t="s">
        <v>120</v>
      </c>
      <c r="C73" s="34"/>
      <c r="D73" s="34">
        <f t="shared" ref="D73:W73" si="15">D14</f>
        <v>5.1764349999999997</v>
      </c>
      <c r="E73" s="34">
        <f t="shared" si="15"/>
        <v>2.1420457294413482</v>
      </c>
      <c r="F73" s="34">
        <f t="shared" si="15"/>
        <v>2.543156615765406</v>
      </c>
      <c r="G73" s="34">
        <f t="shared" si="15"/>
        <v>1.2833361388111759</v>
      </c>
      <c r="H73" s="34">
        <f t="shared" si="15"/>
        <v>1.726862012716794</v>
      </c>
      <c r="I73" s="34">
        <f t="shared" si="15"/>
        <v>1.4444254457205716</v>
      </c>
      <c r="J73" s="34">
        <f t="shared" si="15"/>
        <v>1.3768241518246929</v>
      </c>
      <c r="K73" s="34">
        <f t="shared" si="15"/>
        <v>1.0241608740131771</v>
      </c>
      <c r="L73" s="34">
        <f t="shared" si="15"/>
        <v>1.0623847406019649</v>
      </c>
      <c r="M73" s="34">
        <f t="shared" si="15"/>
        <v>1.5229809999999999</v>
      </c>
      <c r="N73" s="34">
        <f t="shared" si="15"/>
        <v>1.526135</v>
      </c>
      <c r="O73" s="34">
        <f t="shared" si="15"/>
        <v>1.3735219999999999</v>
      </c>
      <c r="P73" s="34">
        <f t="shared" si="15"/>
        <v>1.2209080000000001</v>
      </c>
      <c r="Q73" s="34">
        <f t="shared" si="15"/>
        <v>1.068295</v>
      </c>
      <c r="R73" s="34">
        <f t="shared" si="15"/>
        <v>0.91568099999999997</v>
      </c>
      <c r="S73" s="34">
        <f t="shared" si="15"/>
        <v>0.76306750000000001</v>
      </c>
      <c r="T73" s="34">
        <f t="shared" si="15"/>
        <v>0.61045400000000005</v>
      </c>
      <c r="U73" s="34">
        <f t="shared" si="15"/>
        <v>0.45784049999999998</v>
      </c>
      <c r="V73" s="34">
        <f t="shared" si="15"/>
        <v>0.30522700000000003</v>
      </c>
      <c r="W73" s="34">
        <f t="shared" si="15"/>
        <v>0.15261350000000001</v>
      </c>
    </row>
    <row r="74" spans="2:23" outlineLevel="1" x14ac:dyDescent="0.2">
      <c r="B74" s="89" t="s">
        <v>121</v>
      </c>
      <c r="C74" s="49"/>
      <c r="D74" s="49">
        <f>+D72-D73</f>
        <v>0</v>
      </c>
      <c r="E74" s="49">
        <f t="shared" ref="E74:T74" si="16">+E72-E73</f>
        <v>0</v>
      </c>
      <c r="F74" s="49">
        <f t="shared" si="16"/>
        <v>0</v>
      </c>
      <c r="G74" s="49">
        <f t="shared" si="16"/>
        <v>0</v>
      </c>
      <c r="H74" s="49">
        <f t="shared" si="16"/>
        <v>0</v>
      </c>
      <c r="I74" s="49">
        <f t="shared" si="16"/>
        <v>0</v>
      </c>
      <c r="J74" s="49">
        <f t="shared" si="16"/>
        <v>0</v>
      </c>
      <c r="K74" s="49">
        <f t="shared" si="16"/>
        <v>0</v>
      </c>
      <c r="L74" s="49">
        <f t="shared" si="16"/>
        <v>0</v>
      </c>
      <c r="M74" s="49">
        <f t="shared" si="16"/>
        <v>0</v>
      </c>
      <c r="N74" s="49">
        <f t="shared" si="16"/>
        <v>0</v>
      </c>
      <c r="O74" s="49">
        <f t="shared" si="16"/>
        <v>0</v>
      </c>
      <c r="P74" s="49">
        <f t="shared" si="16"/>
        <v>0</v>
      </c>
      <c r="Q74" s="49">
        <f t="shared" si="16"/>
        <v>0</v>
      </c>
      <c r="R74" s="49">
        <f t="shared" si="16"/>
        <v>0</v>
      </c>
      <c r="S74" s="49">
        <f t="shared" si="16"/>
        <v>0</v>
      </c>
      <c r="T74" s="49">
        <f t="shared" si="16"/>
        <v>0</v>
      </c>
      <c r="U74" s="49">
        <f>+U72-U73</f>
        <v>0</v>
      </c>
      <c r="V74" s="49">
        <f>+V72-V73</f>
        <v>0</v>
      </c>
      <c r="W74" s="49">
        <f>+W72-W73</f>
        <v>0</v>
      </c>
    </row>
    <row r="76" spans="2:23" x14ac:dyDescent="0.2">
      <c r="B76" s="51" t="s">
        <v>187</v>
      </c>
      <c r="C76" s="51"/>
      <c r="D76" s="51"/>
      <c r="E76" s="51"/>
      <c r="F76" s="51"/>
      <c r="G76" s="51"/>
      <c r="H76" s="51"/>
      <c r="I76" s="51"/>
      <c r="J76" s="51"/>
      <c r="K76" s="51">
        <f t="shared" ref="K76:W76" si="17">IF(K57&lt;J57,0,1)</f>
        <v>1</v>
      </c>
      <c r="L76" s="51">
        <f t="shared" si="17"/>
        <v>1</v>
      </c>
      <c r="M76" s="51">
        <f t="shared" si="17"/>
        <v>1</v>
      </c>
      <c r="N76" s="51">
        <f t="shared" si="17"/>
        <v>1</v>
      </c>
      <c r="O76" s="51">
        <f t="shared" si="17"/>
        <v>1</v>
      </c>
      <c r="P76" s="51">
        <f t="shared" si="17"/>
        <v>1</v>
      </c>
      <c r="Q76" s="51">
        <f t="shared" si="17"/>
        <v>1</v>
      </c>
      <c r="R76" s="51">
        <f t="shared" si="17"/>
        <v>1</v>
      </c>
      <c r="S76" s="51">
        <f t="shared" si="17"/>
        <v>1</v>
      </c>
      <c r="T76" s="51">
        <f t="shared" si="17"/>
        <v>1</v>
      </c>
      <c r="U76" s="51">
        <f t="shared" si="17"/>
        <v>1</v>
      </c>
      <c r="V76" s="51">
        <f t="shared" si="17"/>
        <v>0</v>
      </c>
      <c r="W76" s="51">
        <f t="shared" si="17"/>
        <v>0</v>
      </c>
    </row>
    <row r="77" spans="2:23" x14ac:dyDescent="0.2">
      <c r="D77" s="53"/>
    </row>
    <row r="78" spans="2:23" s="93" customFormat="1" ht="12.75" outlineLevel="1" x14ac:dyDescent="0.2">
      <c r="B78" s="94" t="s">
        <v>124</v>
      </c>
      <c r="C78" s="95"/>
      <c r="E78" s="96"/>
      <c r="F78" s="95"/>
    </row>
    <row r="79" spans="2:23" x14ac:dyDescent="0.2">
      <c r="C79" s="34"/>
      <c r="D79" s="34"/>
      <c r="E79" s="34"/>
      <c r="F79" s="34"/>
      <c r="G79" s="34"/>
      <c r="H79" s="34"/>
      <c r="I79" s="34"/>
      <c r="J79" s="34"/>
      <c r="K79" s="34"/>
      <c r="L79" s="34"/>
      <c r="M79" s="34"/>
      <c r="N79" s="34"/>
      <c r="O79" s="34"/>
      <c r="P79" s="34"/>
      <c r="Q79" s="34"/>
      <c r="R79" s="34"/>
      <c r="S79" s="34"/>
      <c r="T79" s="34"/>
      <c r="U79" s="34"/>
      <c r="V79" s="34"/>
      <c r="W79" s="34"/>
    </row>
    <row r="80" spans="2:23" x14ac:dyDescent="0.2">
      <c r="B80" s="26" t="s">
        <v>125</v>
      </c>
      <c r="E80" s="29">
        <f>IF((E84-D84*E43/((1+E23/100)*(1+E42/100)))&gt;0,1,0)</f>
        <v>1</v>
      </c>
      <c r="F80" s="29">
        <f>IF((F84-E84*F43/((1+F23/100)*(1+F42/100)))&gt;0,1,0)</f>
        <v>1</v>
      </c>
      <c r="G80" s="29">
        <f t="shared" ref="G80:W80" si="18">IF((G84-F84*G43/((1+G23/100)*(1+G42/100)))&gt;0,1,0)</f>
        <v>1</v>
      </c>
      <c r="H80" s="29">
        <f t="shared" si="18"/>
        <v>1</v>
      </c>
      <c r="I80" s="29">
        <f t="shared" si="18"/>
        <v>1</v>
      </c>
      <c r="J80" s="29">
        <f t="shared" si="18"/>
        <v>1</v>
      </c>
      <c r="K80" s="29">
        <f t="shared" si="18"/>
        <v>1</v>
      </c>
      <c r="L80" s="29">
        <f t="shared" si="18"/>
        <v>1</v>
      </c>
      <c r="M80" s="29">
        <f t="shared" si="18"/>
        <v>1</v>
      </c>
      <c r="N80" s="29">
        <f t="shared" si="18"/>
        <v>1</v>
      </c>
      <c r="O80" s="29">
        <f t="shared" si="18"/>
        <v>1</v>
      </c>
      <c r="P80" s="29">
        <f t="shared" si="18"/>
        <v>1</v>
      </c>
      <c r="Q80" s="29">
        <f t="shared" si="18"/>
        <v>1</v>
      </c>
      <c r="R80" s="29">
        <f t="shared" si="18"/>
        <v>1</v>
      </c>
      <c r="S80" s="29">
        <f t="shared" si="18"/>
        <v>1</v>
      </c>
      <c r="T80" s="29">
        <f t="shared" si="18"/>
        <v>1</v>
      </c>
      <c r="U80" s="29">
        <f t="shared" si="18"/>
        <v>1</v>
      </c>
      <c r="V80" s="29">
        <f t="shared" si="18"/>
        <v>1</v>
      </c>
      <c r="W80" s="29">
        <f t="shared" si="18"/>
        <v>1</v>
      </c>
    </row>
    <row r="81" spans="2:23" x14ac:dyDescent="0.2">
      <c r="B81" s="26" t="s">
        <v>126</v>
      </c>
      <c r="E81" s="29">
        <f>IF(AND(E80=0,ABS(E84-D84*E43/((1+E23/100)*(1+E42/100)))&lt;((D90*D84*E43/((1+E23/100)*(1+E42/100))+(E39*D84*D91*E43/((1+E23/100)*(1+E42/100)))))),1,0)</f>
        <v>0</v>
      </c>
      <c r="F81" s="29">
        <f>IF(AND(F80=0,ABS(F84-E84*F43/((1+F23/100)*(1+F42/100)))&lt;((E90*E84*F43/((1+F23/100)*(1+F42/100))+(F39*E84*E91*F43/((1+F23/100)*(1+F42/100)))))),1,0)</f>
        <v>0</v>
      </c>
      <c r="G81" s="29">
        <f t="shared" ref="G81:W81" si="19">IF(AND(G80=0,ABS(G84-F84*G43/((1+G23/100)*(1+G42/100)))&lt;((F90*F84*G43/((1+G23/100)*(1+G42/100))+(G39*F84*F91*G43/((1+G23/100)*(1+G42/100)))))),1,0)</f>
        <v>0</v>
      </c>
      <c r="H81" s="29">
        <f t="shared" si="19"/>
        <v>0</v>
      </c>
      <c r="I81" s="29">
        <f t="shared" si="19"/>
        <v>0</v>
      </c>
      <c r="J81" s="29">
        <f t="shared" si="19"/>
        <v>0</v>
      </c>
      <c r="K81" s="29">
        <f t="shared" si="19"/>
        <v>0</v>
      </c>
      <c r="L81" s="29">
        <f t="shared" si="19"/>
        <v>0</v>
      </c>
      <c r="M81" s="29">
        <f t="shared" si="19"/>
        <v>0</v>
      </c>
      <c r="N81" s="29">
        <f t="shared" si="19"/>
        <v>0</v>
      </c>
      <c r="O81" s="29">
        <f t="shared" si="19"/>
        <v>0</v>
      </c>
      <c r="P81" s="29">
        <f t="shared" si="19"/>
        <v>0</v>
      </c>
      <c r="Q81" s="29">
        <f t="shared" si="19"/>
        <v>0</v>
      </c>
      <c r="R81" s="29">
        <f t="shared" si="19"/>
        <v>0</v>
      </c>
      <c r="S81" s="29">
        <f t="shared" si="19"/>
        <v>0</v>
      </c>
      <c r="T81" s="29">
        <f t="shared" si="19"/>
        <v>0</v>
      </c>
      <c r="U81" s="29">
        <f t="shared" si="19"/>
        <v>0</v>
      </c>
      <c r="V81" s="29">
        <f t="shared" si="19"/>
        <v>0</v>
      </c>
      <c r="W81" s="29">
        <f t="shared" si="19"/>
        <v>0</v>
      </c>
    </row>
    <row r="83" spans="2:23" x14ac:dyDescent="0.2">
      <c r="B83" s="51"/>
      <c r="C83" s="86">
        <v>2021</v>
      </c>
      <c r="D83" s="86">
        <v>2022</v>
      </c>
      <c r="E83" s="86">
        <v>2023</v>
      </c>
      <c r="F83" s="86">
        <v>2024</v>
      </c>
      <c r="G83" s="86">
        <v>2025</v>
      </c>
      <c r="H83" s="86">
        <v>2026</v>
      </c>
      <c r="I83" s="86">
        <v>2027</v>
      </c>
      <c r="J83" s="86">
        <v>2028</v>
      </c>
      <c r="K83" s="86">
        <v>2029</v>
      </c>
      <c r="L83" s="86">
        <v>2030</v>
      </c>
      <c r="M83" s="86">
        <v>2031</v>
      </c>
      <c r="N83" s="86">
        <v>2032</v>
      </c>
      <c r="O83" s="86">
        <v>2033</v>
      </c>
      <c r="P83" s="86">
        <v>2034</v>
      </c>
      <c r="Q83" s="86">
        <v>2035</v>
      </c>
      <c r="R83" s="86">
        <v>2036</v>
      </c>
      <c r="S83" s="86">
        <v>2037</v>
      </c>
      <c r="T83" s="86">
        <v>2038</v>
      </c>
      <c r="U83" s="86">
        <v>2039</v>
      </c>
      <c r="V83" s="86">
        <v>2040</v>
      </c>
      <c r="W83" s="86">
        <v>2041</v>
      </c>
    </row>
    <row r="84" spans="2:23" x14ac:dyDescent="0.2">
      <c r="B84" s="106" t="s">
        <v>104</v>
      </c>
      <c r="C84" s="110">
        <f>C57</f>
        <v>72.584819999999993</v>
      </c>
      <c r="D84" s="110">
        <f>D57</f>
        <v>73.511610584961744</v>
      </c>
      <c r="E84" s="110">
        <f>E57</f>
        <v>76.572506382321123</v>
      </c>
      <c r="F84" s="110">
        <f>F57</f>
        <v>81.669832373893243</v>
      </c>
      <c r="G84" s="110">
        <f>G57</f>
        <v>83.193157241487697</v>
      </c>
      <c r="H84" s="110">
        <f>G84*(1+H98/100)*H43-H60-H61+H62+H63+H64+H65+H66+H72</f>
        <v>84.556754593314622</v>
      </c>
      <c r="I84" s="110">
        <f t="shared" ref="I84:T84" si="20">H84*(1+I98/100)*I43-I60-I61+I62+I63+I64+I65+I66+I72</f>
        <v>85.459120171217933</v>
      </c>
      <c r="J84" s="110">
        <f t="shared" si="20"/>
        <v>86.145056856268297</v>
      </c>
      <c r="K84" s="110">
        <f t="shared" si="20"/>
        <v>86.347266432025876</v>
      </c>
      <c r="L84" s="110">
        <f t="shared" si="20"/>
        <v>86.468995590643075</v>
      </c>
      <c r="M84" s="110">
        <f t="shared" si="20"/>
        <v>86.93918045657162</v>
      </c>
      <c r="N84" s="110">
        <f t="shared" si="20"/>
        <v>87.822266378105269</v>
      </c>
      <c r="O84" s="110">
        <f t="shared" si="20"/>
        <v>88.484291996244536</v>
      </c>
      <c r="P84" s="110">
        <f t="shared" si="20"/>
        <v>88.988481806792791</v>
      </c>
      <c r="Q84" s="110">
        <f t="shared" si="20"/>
        <v>89.537943403234976</v>
      </c>
      <c r="R84" s="110">
        <f t="shared" si="20"/>
        <v>89.984903954577021</v>
      </c>
      <c r="S84" s="110">
        <f t="shared" si="20"/>
        <v>90.307877015221862</v>
      </c>
      <c r="T84" s="110">
        <f t="shared" si="20"/>
        <v>90.488368272047367</v>
      </c>
      <c r="U84" s="110">
        <f>T84*(1+U98/100)*U43-U60-U61+U62+U63+U64+U65+U66+U72</f>
        <v>90.509215888800782</v>
      </c>
      <c r="V84" s="110">
        <f>U84*(1+V98/100)*V43-V60-V61+V62+V63+V64+V65+V66+V72</f>
        <v>90.368254285004568</v>
      </c>
      <c r="W84" s="110">
        <f>V84*(1+W98/100)*W43-W60-W61+W62+W63+W64+W65+W66+W72</f>
        <v>90.078883625975251</v>
      </c>
    </row>
    <row r="85" spans="2:23" x14ac:dyDescent="0.2">
      <c r="B85" s="26" t="s">
        <v>127</v>
      </c>
      <c r="C85" s="34"/>
      <c r="D85" s="253">
        <f>'Input data'!C66*$D$84</f>
        <v>59.051128502792025</v>
      </c>
      <c r="E85" s="34">
        <f>IF(E84=0,0,IF(E80=1,D84*E43/((1+E23/100)*(1+E42/100))-E86-E87,IF(AND(E80=0,E81=1),(1-D90-E39*D91)*D84*E43/((1+E23/100)*(1+E42/100)),E84)))</f>
        <v>61.999403317237508</v>
      </c>
      <c r="F85" s="34">
        <f>IF(F84=0,0,IF(F80=1,E84*F43/((1+F23/100)*(1+F42/100))-F86-F87,IF(AND(F80=0,F81=1),(1-E90-F39*E91)*E84*F43/((1+F23/100)*(1+F42/100)),F84)))</f>
        <v>65.885197792321179</v>
      </c>
      <c r="G85" s="34">
        <f>IF(G84=0,0,IF(G80=1,F84*G43/((1+G23/100)*(1+G42/100))-G86-G87,IF(AND(G80=0,G81=1),(1-F90-G39*F91)*F84*G43/((1+G23/100)*(1+G42/100)),G84)))</f>
        <v>68.491860558301511</v>
      </c>
      <c r="H85" s="34">
        <f t="shared" ref="H85:W85" si="21">IF(H84=0,0,IF(H80=1,G84*H43/((1+H23/100)*(1+H42/100))-H86-H87,IF(AND(H80=0,H81=1),(1-G90-H39*G91)*G84*H43/((1+H23/100)*(1+H42/100)),H84)))</f>
        <v>69.616543929920013</v>
      </c>
      <c r="I85" s="34">
        <f t="shared" si="21"/>
        <v>70.838950702893456</v>
      </c>
      <c r="J85" s="34">
        <f t="shared" si="21"/>
        <v>71.61382888404755</v>
      </c>
      <c r="K85" s="34">
        <f t="shared" si="21"/>
        <v>72.165206073980471</v>
      </c>
      <c r="L85" s="34">
        <f t="shared" si="21"/>
        <v>72.285431300798592</v>
      </c>
      <c r="M85" s="34">
        <f t="shared" si="21"/>
        <v>72.319486453767439</v>
      </c>
      <c r="N85" s="34">
        <f t="shared" si="21"/>
        <v>72.93719540323066</v>
      </c>
      <c r="O85" s="34">
        <f t="shared" si="21"/>
        <v>73.56786329819829</v>
      </c>
      <c r="P85" s="34">
        <f t="shared" si="21"/>
        <v>74.122716857854314</v>
      </c>
      <c r="Q85" s="34">
        <f t="shared" si="21"/>
        <v>74.656096480120226</v>
      </c>
      <c r="R85" s="34">
        <f t="shared" si="21"/>
        <v>75.120223338741667</v>
      </c>
      <c r="S85" s="34">
        <f t="shared" si="21"/>
        <v>75.499651610965401</v>
      </c>
      <c r="T85" s="34">
        <f t="shared" si="21"/>
        <v>75.776358464739872</v>
      </c>
      <c r="U85" s="34">
        <f t="shared" si="21"/>
        <v>75.934823194337113</v>
      </c>
      <c r="V85" s="34">
        <f t="shared" si="21"/>
        <v>75.960595098549874</v>
      </c>
      <c r="W85" s="34">
        <f t="shared" si="21"/>
        <v>75.851752429850052</v>
      </c>
    </row>
    <row r="86" spans="2:23" x14ac:dyDescent="0.2">
      <c r="B86" s="105" t="s">
        <v>128</v>
      </c>
      <c r="C86" s="34"/>
      <c r="D86" s="253">
        <f>'Input data'!C67*$D$84</f>
        <v>2.5660693694891989</v>
      </c>
      <c r="E86" s="34">
        <f>IF(E84=0,0,IF(E80=1,E39*D84*D91*E43/((1+E23/100)*(1+E42/100)),IF(AND(E80=0,E81=1),(E39*D84*D91*E43/((1+E23/100)*(1+E42/100)))*(1-ABS(E84-D84*E43/((1+E23/100)*(1+E42/100)))/((E39*D84*D91*E43/((1+E23/100)*(1+E42/100)))+(D90*D84*E43/((1+E23/100)*(1+E42/100))))),0)))</f>
        <v>2.5449751617705147</v>
      </c>
      <c r="F86" s="34">
        <f>IF(F84=0,0,IF(F80=1,F39*E84*E91*F43/((1+F23/100)*(1+F42/100)),IF(AND(F80=0,F81=1),(F39*E84*E91*F43/((1+F23/100)*(1+F42/100)))*(1-ABS(F84-E84*F43/((1+F23/100)*(1+F42/100)))/((F39*E84*E91*F43/((1+F23/100)*(1+F42/100)))+(E90*E84*F43/((1+F23/100)*(1+F42/100))))),0)))</f>
        <v>2.1622470266405025</v>
      </c>
      <c r="G86" s="34">
        <f>IF(G84=0,0,IF(G80=1,G39*F84*F91*G43/((1+G23/100)*(1+G42/100)),IF(AND(G80=0,G81=1),(G39*F84*F91*G43/((1+G23/100)*(1+G42/100)))*(1-ABS(G84-F84*G43/((1+G23/100)*(1+G42/100)))/((G39*F84*F91*G43/((1+G23/100)*(1+G42/100)))+(F90*F84*G43/((1+G23/100)*(1+G42/100))))),0)))</f>
        <v>2.2971345903114284</v>
      </c>
      <c r="H86" s="34">
        <f t="shared" ref="H86:W86" si="22">IF(H84=0,0,IF(H80=1,H39*G84*G91*H43/((1+H23/100)*(1+H42/100)),IF(AND(H80=0,H81=1),(H39*G84*G91*H43/((1+H23/100)*(1+H42/100)))*(1-ABS(H84-G84*H43/((1+H23/100)*(1+H42/100)))/((H39*G84*G91*H43/((1+H23/100)*(1+H42/100)))+(G90*G84*H43/((1+H23/100)*(1+H42/100))))),0)))</f>
        <v>2.3850763937322847</v>
      </c>
      <c r="I86" s="34">
        <f t="shared" si="22"/>
        <v>2.4781307961320023</v>
      </c>
      <c r="J86" s="34">
        <f t="shared" si="22"/>
        <v>2.557044656257784</v>
      </c>
      <c r="K86" s="34">
        <f t="shared" si="22"/>
        <v>2.6290106512498208</v>
      </c>
      <c r="L86" s="34">
        <f t="shared" si="22"/>
        <v>2.6858294215076675</v>
      </c>
      <c r="M86" s="34">
        <f t="shared" si="22"/>
        <v>2.7396318821662429</v>
      </c>
      <c r="N86" s="34">
        <f t="shared" si="22"/>
        <v>2.8160922762471405</v>
      </c>
      <c r="O86" s="34">
        <f t="shared" si="22"/>
        <v>2.8940362563821407</v>
      </c>
      <c r="P86" s="34">
        <f t="shared" si="22"/>
        <v>2.9158632640813922</v>
      </c>
      <c r="Q86" s="34">
        <f t="shared" si="22"/>
        <v>2.9368455231283357</v>
      </c>
      <c r="R86" s="34">
        <f t="shared" si="22"/>
        <v>2.9551034946962567</v>
      </c>
      <c r="S86" s="34">
        <f t="shared" si="22"/>
        <v>2.9700295660442988</v>
      </c>
      <c r="T86" s="34">
        <f t="shared" si="22"/>
        <v>2.9809147492113945</v>
      </c>
      <c r="U86" s="34">
        <f t="shared" si="22"/>
        <v>2.9871484856861552</v>
      </c>
      <c r="V86" s="34">
        <f t="shared" si="22"/>
        <v>2.988162309139005</v>
      </c>
      <c r="W86" s="34">
        <f t="shared" si="22"/>
        <v>2.9838806212478959</v>
      </c>
    </row>
    <row r="87" spans="2:23" x14ac:dyDescent="0.2">
      <c r="B87" s="105" t="s">
        <v>129</v>
      </c>
      <c r="C87" s="34"/>
      <c r="D87" s="253">
        <f>'Input data'!C68*$D$84</f>
        <v>6.679115961728173</v>
      </c>
      <c r="E87" s="34">
        <f>IF(E84=0,0,IF(E80=1,(1-D91)*D84*E43/((1+E23/100)*(1+E42/100)),IF(AND(E80=0,E81=1),(D90*D84*E43/((1+E23/100)*(1+E42/100)))*(1-ABS(E84-D84*E43/((1+E23/100)*(1+E42/100)))/((E39*D84*D91*E43/((1+E23/100)*(1+E42/100)))+(D90*D84*E43/((1+E23/100)*(1+E42/100))))),0)))</f>
        <v>6.9964135836832329</v>
      </c>
      <c r="F87" s="34">
        <f>IF(F84=0,0,IF(F80=1,(1-E91)*E84*F43/((1+F23/100)*(1+F42/100)),IF(AND(F80=0,F81=1),(E90*E84*F43/((1+F23/100)*(1+F42/100)))*(1-ABS(F84-E84*F43/((1+F23/100)*(1+F42/100)))/((F39*E84*E91*F43/((1+F23/100)*(1+F42/100)))+(E90*E84*F43/((1+F23/100)*(1+F42/100))))),0)))</f>
        <v>7.4338450593811274</v>
      </c>
      <c r="G87" s="34">
        <f>IF(G84=0,0,IF(G80=1,(1-F91)*F84*G43/((1+G23/100)*(1+G42/100)),IF(AND(G80=0,G81=1),(F90*F84*G43/((1+G23/100)*(1+G42/100)))*(1-ABS(G84-F84*G43/((1+G23/100)*(1+G42/100)))/((G39*F84*F91*G43/((1+G23/100)*(1+G42/100)))+(F90*F84*G43/((1+G23/100)*(1+G42/100))))),0)))</f>
        <v>7.7981283689030221</v>
      </c>
      <c r="H87" s="34">
        <f t="shared" ref="H87:W87" si="23">IF(H84=0,0,IF(H80=1,(1-G91)*G84*H43/((1+H23/100)*(1+H42/100)),IF(AND(H80=0,H81=1),(G90*G84*H43/((1+H23/100)*(1+H42/100)))*(1-ABS(H84-G84*H43/((1+H23/100)*(1+H42/100)))/((H39*G84*G91*H43/((1+H23/100)*(1+H42/100)))+(G90*G84*H43/((1+H23/100)*(1+H42/100))))),0)))</f>
        <v>7.9762693336630104</v>
      </c>
      <c r="I87" s="34">
        <f t="shared" si="23"/>
        <v>8.1639598910338105</v>
      </c>
      <c r="J87" s="34">
        <f t="shared" si="23"/>
        <v>8.2935808897123628</v>
      </c>
      <c r="K87" s="34">
        <f t="shared" si="23"/>
        <v>8.3937952030142498</v>
      </c>
      <c r="L87" s="34">
        <f t="shared" si="23"/>
        <v>8.4387537957885215</v>
      </c>
      <c r="M87" s="34">
        <f t="shared" si="23"/>
        <v>8.4720556919016232</v>
      </c>
      <c r="N87" s="34">
        <f t="shared" si="23"/>
        <v>8.5756790759670682</v>
      </c>
      <c r="O87" s="34">
        <f t="shared" si="23"/>
        <v>8.6807809896336803</v>
      </c>
      <c r="P87" s="34">
        <f t="shared" si="23"/>
        <v>8.7691208094826543</v>
      </c>
      <c r="Q87" s="34">
        <f t="shared" si="23"/>
        <v>8.8532104740073638</v>
      </c>
      <c r="R87" s="34">
        <f t="shared" si="23"/>
        <v>8.9279313087132994</v>
      </c>
      <c r="S87" s="34">
        <f t="shared" si="23"/>
        <v>8.9913599434368834</v>
      </c>
      <c r="T87" s="34">
        <f t="shared" si="23"/>
        <v>9.0412465934098964</v>
      </c>
      <c r="U87" s="34">
        <f t="shared" si="23"/>
        <v>9.0756560478802566</v>
      </c>
      <c r="V87" s="34">
        <f t="shared" si="23"/>
        <v>9.0927871468446568</v>
      </c>
      <c r="W87" s="34">
        <f t="shared" si="23"/>
        <v>9.0924190413769015</v>
      </c>
    </row>
    <row r="88" spans="2:23" x14ac:dyDescent="0.2">
      <c r="B88" s="105" t="s">
        <v>130</v>
      </c>
      <c r="C88" s="34"/>
      <c r="D88" s="253">
        <f>'Input data'!C69*$D$84</f>
        <v>4.7052606775120811</v>
      </c>
      <c r="E88" s="34">
        <f>IF(E84=0,0,IF(E80=1,'Input data'!$C$58*(E84-D84*E43/((1+E23/100)*(1+E42/100))),0))</f>
        <v>4.4868133712998963</v>
      </c>
      <c r="F88" s="34">
        <f>IF(F84=0,0,IF(F80=1,'Input data'!$C$58*(F84-E84*F43/((1+F23/100)*(1+F42/100))),0))</f>
        <v>5.5183648065170443</v>
      </c>
      <c r="G88" s="34">
        <f>IF(G84=0,0,IF(G80=1,'Input data'!$C$58*(G84-F84*G43/((1+G23/100)*(1+G42/100))),0))</f>
        <v>4.1072311320915462</v>
      </c>
      <c r="H88" s="34">
        <f>IF(H84=0,0,IF(H80=1,'Input data'!$C$58*(H84-G84*H43/((1+H23/100)*(1+H42/100))),0))</f>
        <v>4.0830045418256518</v>
      </c>
      <c r="I88" s="34">
        <f>IF(I84=0,0,IF(I80=1,'Input data'!$C$58*(I84-H84*I43/((1+I23/100)*(1+I42/100))),0))</f>
        <v>3.5472795022870089</v>
      </c>
      <c r="J88" s="34">
        <f>IF(J84=0,0,IF(J80=1,'Input data'!$C$58*(J84-I84*J43/((1+J23/100)*(1+J42/100))),0))</f>
        <v>3.2820178435239171</v>
      </c>
      <c r="K88" s="34">
        <f>IF(K84=0,0,IF(K80=1,'Input data'!$C$58*(K84-J84*K43/((1+K23/100)*(1+K42/100))),0))</f>
        <v>2.8171284080269969</v>
      </c>
      <c r="L88" s="34">
        <f>IF(L84=0,0,IF(L80=1,'Input data'!$C$58*(L84-K84*L43/((1+L23/100)*(1+L42/100))),0))</f>
        <v>2.7277139175645106</v>
      </c>
      <c r="M88" s="34">
        <f>IF(M84=0,0,IF(M80=1,'Input data'!$C$58*(M84-L84*M43/((1+M23/100)*(1+M42/100))),0))</f>
        <v>3.038942166147244</v>
      </c>
      <c r="N88" s="34">
        <f>IF(N84=0,0,IF(N80=1,'Input data'!$C$58*(N84-M84*N43/((1+N23/100)*(1+N42/100))),0))</f>
        <v>3.1149986786337394</v>
      </c>
      <c r="O88" s="34">
        <f>IF(O84=0,0,IF(O80=1,'Input data'!$C$58*(O84-N84*O43/((1+O23/100)*(1+O42/100))),0))</f>
        <v>2.979737320572267</v>
      </c>
      <c r="P88" s="34">
        <f>IF(P84=0,0,IF(P80=1,'Input data'!$C$58*(P84-O84*P43/((1+P23/100)*(1+P42/100))),0))</f>
        <v>2.8363236178032389</v>
      </c>
      <c r="Q88" s="34">
        <f>IF(Q84=0,0,IF(Q80=1,'Input data'!$C$58*(Q84-P84*Q43/((1+Q23/100)*(1+Q42/100))),0))</f>
        <v>2.7569706836947145</v>
      </c>
      <c r="R88" s="34">
        <f>IF(R84=0,0,IF(R80=1,'Input data'!$C$58*(R84-Q84*R43/((1+R23/100)*(1+R42/100))),0))</f>
        <v>2.6587535479670259</v>
      </c>
      <c r="S88" s="34">
        <f>IF(S84=0,0,IF(S80=1,'Input data'!$C$58*(S84-R84*S43/((1+S23/100)*(1+S42/100))),0))</f>
        <v>2.5385426411716137</v>
      </c>
      <c r="T88" s="34">
        <f>IF(T84=0,0,IF(T80=1,'Input data'!$C$58*(T84-S84*T43/((1+T23/100)*(1+T42/100))),0))</f>
        <v>2.3985558979454042</v>
      </c>
      <c r="U88" s="34">
        <f>IF(U84=0,0,IF(U80=1,'Input data'!$C$58*(U84-T84*U43/((1+U23/100)*(1+U42/100))),0))</f>
        <v>2.2395999907127662</v>
      </c>
      <c r="V88" s="34">
        <f>IF(V84=0,0,IF(V80=1,'Input data'!$C$58*(V84-U84*V43/((1+V23/100)*(1+V42/100))),0))</f>
        <v>2.0747426556162183</v>
      </c>
      <c r="W88" s="34">
        <f>IF(W84=0,0,IF(W80=1,'Input data'!$C$58*(W84-V84*W43/((1+W23/100)*(1+W42/100))),0))</f>
        <v>1.9179108889935885</v>
      </c>
    </row>
    <row r="89" spans="2:23" x14ac:dyDescent="0.2">
      <c r="B89" s="107" t="s">
        <v>131</v>
      </c>
      <c r="C89" s="49"/>
      <c r="D89" s="254">
        <f>'Input data'!C70*$D$84</f>
        <v>0.51003587344023849</v>
      </c>
      <c r="E89" s="49">
        <f>IF(E84=0,0,IF(E80=1,'Input data'!$C$57*(E84-D84*E43/((1+E23/100)*(1+E42/100))),0))</f>
        <v>0.54490094832997338</v>
      </c>
      <c r="F89" s="49">
        <f>IF(F84=0,0,IF(F80=1,'Input data'!$C$57*(F84-E84*F43/((1+F23/100)*(1+F42/100))),0))</f>
        <v>0.67017768903339203</v>
      </c>
      <c r="G89" s="49">
        <f>IF(G84=0,0,IF(G80=1,'Input data'!$C$57*(G84-F84*G43/((1+G23/100)*(1+G42/100))),0))</f>
        <v>0.49880259188018816</v>
      </c>
      <c r="H89" s="49">
        <f>IF(H84=0,0,IF(H80=1,'Input data'!$C$57*(H84-G84*H43/((1+H23/100)*(1+H42/100))),0))</f>
        <v>0.49586039417365363</v>
      </c>
      <c r="I89" s="49">
        <f>IF(I84=0,0,IF(I80=1,'Input data'!$C$57*(I84-H84*I43/((1+I23/100)*(1+I42/100))),0))</f>
        <v>0.43079927887164887</v>
      </c>
      <c r="J89" s="49">
        <f>IF(J84=0,0,IF(J80=1,'Input data'!$C$57*(J84-I84*J43/((1+J23/100)*(1+J42/100))),0))</f>
        <v>0.39858458272668423</v>
      </c>
      <c r="K89" s="49">
        <f>IF(K84=0,0,IF(K80=1,'Input data'!$C$57*(K84-J84*K43/((1+K23/100)*(1+K42/100))),0))</f>
        <v>0.34212609575434388</v>
      </c>
      <c r="L89" s="49">
        <f>IF(L84=0,0,IF(L80=1,'Input data'!$C$57*(L84-K84*L43/((1+L23/100)*(1+L42/100))),0))</f>
        <v>0.3312671549837955</v>
      </c>
      <c r="M89" s="49">
        <f>IF(M84=0,0,IF(M80=1,'Input data'!$C$57*(M84-L84*M43/((1+M23/100)*(1+M42/100))),0))</f>
        <v>0.36906426258907027</v>
      </c>
      <c r="N89" s="49">
        <f>IF(N84=0,0,IF(N80=1,'Input data'!$C$57*(N84-M84*N43/((1+N23/100)*(1+N42/100))),0))</f>
        <v>0.37830094402664816</v>
      </c>
      <c r="O89" s="49">
        <f>IF(O84=0,0,IF(O80=1,'Input data'!$C$57*(O84-N84*O43/((1+O23/100)*(1+O42/100))),0))</f>
        <v>0.36187413145816744</v>
      </c>
      <c r="P89" s="49">
        <f>IF(P84=0,0,IF(P80=1,'Input data'!$C$57*(P84-O84*P43/((1+P23/100)*(1+P42/100))),0))</f>
        <v>0.34445725757118512</v>
      </c>
      <c r="Q89" s="49">
        <f>IF(Q84=0,0,IF(Q80=1,'Input data'!$C$57*(Q84-P84*Q43/((1+Q23/100)*(1+Q42/100))),0))</f>
        <v>0.334820242284326</v>
      </c>
      <c r="R89" s="49">
        <f>IF(R84=0,0,IF(R80=1,'Input data'!$C$57*(R84-Q84*R43/((1+R23/100)*(1+R42/100))),0))</f>
        <v>0.32289226445877045</v>
      </c>
      <c r="S89" s="49">
        <f>IF(S84=0,0,IF(S80=1,'Input data'!$C$57*(S84-R84*S43/((1+S23/100)*(1+S42/100))),0))</f>
        <v>0.30829325360366799</v>
      </c>
      <c r="T89" s="49">
        <f>IF(T84=0,0,IF(T80=1,'Input data'!$C$57*(T84-S84*T43/((1+T23/100)*(1+T42/100))),0))</f>
        <v>0.29129256674080284</v>
      </c>
      <c r="U89" s="49">
        <f>IF(U84=0,0,IF(U80=1,'Input data'!$C$57*(U84-T84*U43/((1+U23/100)*(1+U42/100))),0))</f>
        <v>0.27198817018449539</v>
      </c>
      <c r="V89" s="49">
        <f>IF(V84=0,0,IF(V80=1,'Input data'!$C$57*(V84-U84*V43/((1+V23/100)*(1+V42/100))),0))</f>
        <v>0.25196707485481923</v>
      </c>
      <c r="W89" s="49">
        <f>IF(W84=0,0,IF(W80=1,'Input data'!$C$57*(W84-V84*W43/((1+W23/100)*(1+W42/100))),0))</f>
        <v>0.23292064450681976</v>
      </c>
    </row>
    <row r="90" spans="2:23" x14ac:dyDescent="0.2">
      <c r="B90" s="26" t="s">
        <v>73</v>
      </c>
      <c r="C90" s="34"/>
      <c r="D90" s="259">
        <f>'Baseline NFPC'!$D$93</f>
        <v>9.7796141283269952E-2</v>
      </c>
      <c r="E90" s="34">
        <f>IF(E84&lt;&gt;0,(E87+E89)/(E85+E86+E87+E88+E89),0)</f>
        <v>9.8485930372449279E-2</v>
      </c>
      <c r="F90" s="34">
        <f>IF(F84&lt;&gt;0,(F87+F89)/(F85+F86+F87+F88+F89),0)</f>
        <v>9.9229085120604091E-2</v>
      </c>
      <c r="G90" s="34">
        <f>IF(G84&lt;&gt;0,(G87+G89)/(G85+G86+G87+G88+G89),0)</f>
        <v>9.9730930233834239E-2</v>
      </c>
      <c r="H90" s="34">
        <f t="shared" ref="H90:W90" si="24">IF(H84&lt;&gt;0,(H87+H89)/(H85+H86+H87+H88+H89),0)</f>
        <v>0.10019459437137036</v>
      </c>
      <c r="I90" s="34">
        <f t="shared" si="24"/>
        <v>0.1005715850184954</v>
      </c>
      <c r="J90" s="34">
        <f t="shared" si="24"/>
        <v>0.10090150020960334</v>
      </c>
      <c r="K90" s="34">
        <f t="shared" si="24"/>
        <v>0.10117194972982345</v>
      </c>
      <c r="L90" s="34">
        <f t="shared" si="24"/>
        <v>0.10142387905476412</v>
      </c>
      <c r="M90" s="34">
        <f t="shared" si="24"/>
        <v>0.10169315960951648</v>
      </c>
      <c r="N90" s="34">
        <f t="shared" si="24"/>
        <v>0.10195569289277655</v>
      </c>
      <c r="O90" s="34">
        <f t="shared" si="24"/>
        <v>0.10219503278023219</v>
      </c>
      <c r="P90" s="34">
        <f t="shared" si="24"/>
        <v>0.10241300763890737</v>
      </c>
      <c r="Q90" s="34">
        <f t="shared" si="24"/>
        <v>0.10261605713807058</v>
      </c>
      <c r="R90" s="34">
        <f t="shared" si="24"/>
        <v>0.10280417232919137</v>
      </c>
      <c r="S90" s="34">
        <f t="shared" si="24"/>
        <v>0.1029772097894965</v>
      </c>
      <c r="T90" s="34">
        <f t="shared" si="24"/>
        <v>0.10313523537183286</v>
      </c>
      <c r="U90" s="34">
        <f t="shared" si="24"/>
        <v>0.10327836923865551</v>
      </c>
      <c r="V90" s="34">
        <f t="shared" si="24"/>
        <v>0.10340748856592792</v>
      </c>
      <c r="W90" s="34">
        <f t="shared" si="24"/>
        <v>0.10352414806342755</v>
      </c>
    </row>
    <row r="91" spans="2:23" x14ac:dyDescent="0.2">
      <c r="B91" s="35" t="s">
        <v>74</v>
      </c>
      <c r="C91" s="49"/>
      <c r="D91" s="260">
        <f>'Baseline NFPC'!$D$94</f>
        <v>0.90220385626214106</v>
      </c>
      <c r="E91" s="49">
        <f>IF(E84&lt;&gt;0,(E85+E86+E88)/(E85+E86+E87+E88+E89),1)</f>
        <v>0.90151406962755076</v>
      </c>
      <c r="F91" s="49">
        <f>IF(F84&lt;&gt;0,(F85+F86+F88)/(F85+F86+F87+F88+F89),1)</f>
        <v>0.90077091487939587</v>
      </c>
      <c r="G91" s="49">
        <f>IF(G84&lt;&gt;0,(G85+G86+G88)/(G85+G86+G87+G88+G89),1)</f>
        <v>0.90026906976616572</v>
      </c>
      <c r="H91" s="49">
        <f t="shared" ref="H91:W91" si="25">IF(H84&lt;&gt;0,(H85+H86+H88)/(H85+H86+H87+H88+H89),1)</f>
        <v>0.89980540562862987</v>
      </c>
      <c r="I91" s="49">
        <f t="shared" si="25"/>
        <v>0.89942841498150461</v>
      </c>
      <c r="J91" s="49">
        <f t="shared" si="25"/>
        <v>0.89909849979039669</v>
      </c>
      <c r="K91" s="49">
        <f t="shared" si="25"/>
        <v>0.89882805027017665</v>
      </c>
      <c r="L91" s="49">
        <f t="shared" si="25"/>
        <v>0.89857612094523587</v>
      </c>
      <c r="M91" s="49">
        <f t="shared" si="25"/>
        <v>0.89830684039048347</v>
      </c>
      <c r="N91" s="49">
        <f t="shared" si="25"/>
        <v>0.89804430710722338</v>
      </c>
      <c r="O91" s="49">
        <f t="shared" si="25"/>
        <v>0.89780496721976788</v>
      </c>
      <c r="P91" s="49">
        <f t="shared" si="25"/>
        <v>0.89758699236109263</v>
      </c>
      <c r="Q91" s="49">
        <f t="shared" si="25"/>
        <v>0.89738394286192935</v>
      </c>
      <c r="R91" s="49">
        <f t="shared" si="25"/>
        <v>0.89719582767080863</v>
      </c>
      <c r="S91" s="49">
        <f t="shared" si="25"/>
        <v>0.89702279021050346</v>
      </c>
      <c r="T91" s="49">
        <f t="shared" si="25"/>
        <v>0.89686476462816711</v>
      </c>
      <c r="U91" s="49">
        <f t="shared" si="25"/>
        <v>0.89672163076134448</v>
      </c>
      <c r="V91" s="49">
        <f t="shared" si="25"/>
        <v>0.89659251143407215</v>
      </c>
      <c r="W91" s="49">
        <f t="shared" si="25"/>
        <v>0.89647585193657242</v>
      </c>
    </row>
    <row r="92" spans="2:23" x14ac:dyDescent="0.2">
      <c r="C92" s="38"/>
      <c r="D92" s="38"/>
      <c r="E92" s="38"/>
      <c r="F92" s="38"/>
      <c r="G92" s="38"/>
      <c r="H92" s="38"/>
      <c r="I92" s="38"/>
      <c r="J92" s="38"/>
      <c r="K92" s="38"/>
      <c r="L92" s="38"/>
      <c r="M92" s="38"/>
      <c r="N92" s="38"/>
      <c r="O92" s="38"/>
      <c r="P92" s="38"/>
      <c r="Q92" s="38"/>
      <c r="R92" s="38"/>
      <c r="S92" s="38"/>
      <c r="T92" s="38"/>
      <c r="U92" s="38"/>
      <c r="V92" s="38"/>
      <c r="W92" s="38"/>
    </row>
    <row r="93" spans="2:23" x14ac:dyDescent="0.2">
      <c r="B93" s="113" t="s">
        <v>132</v>
      </c>
      <c r="C93" s="115">
        <f>C105</f>
        <v>0.73297137022018433</v>
      </c>
      <c r="D93" s="115">
        <f>D105</f>
        <v>0.83926922082901001</v>
      </c>
      <c r="E93" s="115">
        <f>E95+E96</f>
        <v>1.5804370000000001</v>
      </c>
      <c r="F93" s="115">
        <f>F95+F96</f>
        <v>1.6625099999999997</v>
      </c>
      <c r="G93" s="115">
        <f>G95+G96</f>
        <v>1.8895660000000001</v>
      </c>
      <c r="H93" s="115">
        <f t="shared" ref="H93:W93" si="26">H95+H96</f>
        <v>1.9854717385163656</v>
      </c>
      <c r="I93" s="115">
        <f t="shared" si="26"/>
        <v>2.0745438140806316</v>
      </c>
      <c r="J93" s="115">
        <f t="shared" si="26"/>
        <v>2.1513437547152874</v>
      </c>
      <c r="K93" s="115">
        <f t="shared" si="26"/>
        <v>2.221061078171136</v>
      </c>
      <c r="L93" s="115">
        <f t="shared" si="26"/>
        <v>2.2825617644185887</v>
      </c>
      <c r="M93" s="115">
        <f t="shared" si="26"/>
        <v>2.3409157047574327</v>
      </c>
      <c r="N93" s="115">
        <f t="shared" si="26"/>
        <v>2.4844098258519955</v>
      </c>
      <c r="O93" s="115">
        <f t="shared" si="26"/>
        <v>2.5734502631094922</v>
      </c>
      <c r="P93" s="115">
        <f t="shared" si="26"/>
        <v>2.6542495674713935</v>
      </c>
      <c r="Q93" s="115">
        <f t="shared" si="26"/>
        <v>2.7291955926417386</v>
      </c>
      <c r="R93" s="115">
        <f t="shared" si="26"/>
        <v>2.7997062211473085</v>
      </c>
      <c r="S93" s="115">
        <f t="shared" si="26"/>
        <v>2.8660196626425685</v>
      </c>
      <c r="T93" s="115">
        <f t="shared" si="26"/>
        <v>2.9283302390471344</v>
      </c>
      <c r="U93" s="115">
        <f t="shared" si="26"/>
        <v>2.9868486571460138</v>
      </c>
      <c r="V93" s="115">
        <f t="shared" si="26"/>
        <v>3.0417754522289009</v>
      </c>
      <c r="W93" s="115">
        <f t="shared" si="26"/>
        <v>3.0934208687977534</v>
      </c>
    </row>
    <row r="94" spans="2:23" x14ac:dyDescent="0.2">
      <c r="B94" s="33" t="s">
        <v>133</v>
      </c>
      <c r="C94" s="34"/>
      <c r="D94" s="34"/>
      <c r="E94" s="265">
        <f>((E36*D84)-(E38*(D87+D89)))/(D85+D86+D88)</f>
        <v>1.3799500275570342</v>
      </c>
      <c r="F94" s="265">
        <f>((F36*E84)-(F38*(E87+E89)))/(E85+E86+E88)</f>
        <v>1.4547589474903004</v>
      </c>
      <c r="G94" s="265">
        <f>((G36*F84)-(G38*(F87+F89)))/(F85+F86+F88)</f>
        <v>1.7874685547645983</v>
      </c>
      <c r="H94" s="34">
        <f t="shared" ref="H94:W94" si="27">IF(G84&gt;0,(G94*G85+H37*(G88+G86))/(G85+G86+G88),H37)</f>
        <v>1.8946752954665109</v>
      </c>
      <c r="I94" s="34">
        <f t="shared" si="27"/>
        <v>1.9944532110722271</v>
      </c>
      <c r="J94" s="34">
        <f t="shared" si="27"/>
        <v>2.0807675912483039</v>
      </c>
      <c r="K94" s="34">
        <f t="shared" si="27"/>
        <v>2.1593179856757927</v>
      </c>
      <c r="L94" s="34">
        <f t="shared" si="27"/>
        <v>2.228827368395911</v>
      </c>
      <c r="M94" s="34">
        <f t="shared" si="27"/>
        <v>2.294892742537717</v>
      </c>
      <c r="N94" s="34">
        <f t="shared" si="27"/>
        <v>2.3991700528141098</v>
      </c>
      <c r="O94" s="34">
        <f t="shared" si="27"/>
        <v>2.4993555485643153</v>
      </c>
      <c r="P94" s="34">
        <f t="shared" si="27"/>
        <v>2.5932907688703644</v>
      </c>
      <c r="Q94" s="34">
        <f t="shared" si="27"/>
        <v>2.6807854162079674</v>
      </c>
      <c r="R94" s="34">
        <f t="shared" si="27"/>
        <v>2.7634034228484095</v>
      </c>
      <c r="S94" s="34">
        <f t="shared" si="27"/>
        <v>2.8414010498115609</v>
      </c>
      <c r="T94" s="34">
        <f t="shared" si="27"/>
        <v>2.9149863319166465</v>
      </c>
      <c r="U94" s="34">
        <f t="shared" si="27"/>
        <v>2.9843861083006544</v>
      </c>
      <c r="V94" s="34">
        <f t="shared" si="27"/>
        <v>3.0498164994436223</v>
      </c>
      <c r="W94" s="34">
        <f t="shared" si="27"/>
        <v>3.1116167331098383</v>
      </c>
    </row>
    <row r="95" spans="2:23" x14ac:dyDescent="0.2">
      <c r="B95" s="26" t="s">
        <v>134</v>
      </c>
      <c r="C95" s="34"/>
      <c r="D95" s="34"/>
      <c r="E95" s="34">
        <f>(E94*(D85+D86+D88)+E38*(D87+D89))/D84</f>
        <v>1.5804370000000001</v>
      </c>
      <c r="F95" s="34">
        <f>(F94*(E85+E86+E88)+F38*(E87+E89))/E84</f>
        <v>1.6625099999999997</v>
      </c>
      <c r="G95" s="34">
        <f>(G94*(F85+F86+F88)+G38*(F87+F89))/F84</f>
        <v>1.8895660000000001</v>
      </c>
      <c r="H95" s="34">
        <f t="shared" ref="H95:W95" si="28">(H94*(G85+G86+G88)+H38*(G87+G89))/G84</f>
        <v>1.9854717385163656</v>
      </c>
      <c r="I95" s="34">
        <f t="shared" si="28"/>
        <v>2.0745438140806316</v>
      </c>
      <c r="J95" s="34">
        <f t="shared" si="28"/>
        <v>2.1513437547152874</v>
      </c>
      <c r="K95" s="34">
        <f t="shared" si="28"/>
        <v>2.221061078171136</v>
      </c>
      <c r="L95" s="34">
        <f t="shared" si="28"/>
        <v>2.2825617644185887</v>
      </c>
      <c r="M95" s="34">
        <f t="shared" si="28"/>
        <v>2.3409157047574327</v>
      </c>
      <c r="N95" s="34">
        <f t="shared" si="28"/>
        <v>2.4844098258519955</v>
      </c>
      <c r="O95" s="34">
        <f t="shared" si="28"/>
        <v>2.5734502631094922</v>
      </c>
      <c r="P95" s="34">
        <f t="shared" si="28"/>
        <v>2.6542495674713935</v>
      </c>
      <c r="Q95" s="34">
        <f t="shared" si="28"/>
        <v>2.7291955926417386</v>
      </c>
      <c r="R95" s="34">
        <f t="shared" si="28"/>
        <v>2.7997062211473085</v>
      </c>
      <c r="S95" s="34">
        <f t="shared" si="28"/>
        <v>2.8660196626425685</v>
      </c>
      <c r="T95" s="34">
        <f t="shared" si="28"/>
        <v>2.9283302390471344</v>
      </c>
      <c r="U95" s="34">
        <f t="shared" si="28"/>
        <v>2.9868486571460138</v>
      </c>
      <c r="V95" s="34">
        <f t="shared" si="28"/>
        <v>3.0417754522289009</v>
      </c>
      <c r="W95" s="34">
        <f t="shared" si="28"/>
        <v>3.0934208687977534</v>
      </c>
    </row>
    <row r="96" spans="2:23" x14ac:dyDescent="0.2">
      <c r="B96" s="35" t="s">
        <v>135</v>
      </c>
      <c r="C96" s="114"/>
      <c r="D96" s="114"/>
      <c r="E96" s="49">
        <f>IF('Criteria results'!$F$5=4,E106,E111)</f>
        <v>0</v>
      </c>
      <c r="F96" s="49">
        <f>IF('Criteria results'!$F$5=4,F106,F111)</f>
        <v>0</v>
      </c>
      <c r="G96" s="49">
        <f>IF('Criteria results'!$F$5=4,G106,G111)</f>
        <v>0</v>
      </c>
      <c r="H96" s="49">
        <f>IF('Criteria results'!$F$5=4,H106,H111)</f>
        <v>0</v>
      </c>
      <c r="I96" s="49">
        <f>IF('Criteria results'!$F$5=4,I106,I111)</f>
        <v>0</v>
      </c>
      <c r="J96" s="49">
        <f>IF('Criteria results'!$F$5=4,J106,J111)</f>
        <v>0</v>
      </c>
      <c r="K96" s="49">
        <f>IF('Criteria results'!$F$5=4,K106,K111)</f>
        <v>0</v>
      </c>
      <c r="L96" s="49">
        <f>IF('Criteria results'!$F$5=4,L106,L111)</f>
        <v>0</v>
      </c>
      <c r="M96" s="49">
        <f>IF('Criteria results'!$F$5=4,M106,M111)</f>
        <v>0</v>
      </c>
      <c r="N96" s="49">
        <f>IF('Criteria results'!$F$5=4,N106,N111)</f>
        <v>0</v>
      </c>
      <c r="O96" s="49">
        <f>IF('Criteria results'!$F$5=4,O106,O111)</f>
        <v>0</v>
      </c>
      <c r="P96" s="49">
        <f>IF('Criteria results'!$F$5=4,P106,P111)</f>
        <v>0</v>
      </c>
      <c r="Q96" s="49">
        <f>IF('Criteria results'!$F$5=4,Q106,Q111)</f>
        <v>0</v>
      </c>
      <c r="R96" s="49">
        <f>IF('Criteria results'!$F$5=4,R106,R111)</f>
        <v>0</v>
      </c>
      <c r="S96" s="49">
        <f>IF('Criteria results'!$F$5=4,S106,S111)</f>
        <v>0</v>
      </c>
      <c r="T96" s="49">
        <f>IF('Criteria results'!$F$5=4,T106,T111)</f>
        <v>0</v>
      </c>
      <c r="U96" s="49">
        <f>IF('Criteria results'!$F$5=4,U106,U111)</f>
        <v>0</v>
      </c>
      <c r="V96" s="49">
        <f>IF('Criteria results'!$F$5=4,V106,V111)</f>
        <v>0</v>
      </c>
      <c r="W96" s="49">
        <f>IF('Criteria results'!$F$5=4,W106,W111)</f>
        <v>0</v>
      </c>
    </row>
    <row r="98" spans="1:54" x14ac:dyDescent="0.2">
      <c r="B98" s="113" t="s">
        <v>186</v>
      </c>
      <c r="C98" s="115">
        <f>((1+C93/100)/((1+C23/100)*(1+C42/100))-1)*100</f>
        <v>-4.3409713496385898</v>
      </c>
      <c r="D98" s="115">
        <f t="shared" ref="D98:T98" si="29">((1+D93/100)/((1+D23/100)*(1+D42/100))-1)*100</f>
        <v>-5.5733961598273378</v>
      </c>
      <c r="E98" s="115">
        <f t="shared" si="29"/>
        <v>-1.0866936191633814</v>
      </c>
      <c r="F98" s="115">
        <f t="shared" si="29"/>
        <v>0.19460467612562038</v>
      </c>
      <c r="G98" s="115">
        <f t="shared" si="29"/>
        <v>-1.9663561959351483</v>
      </c>
      <c r="H98" s="115">
        <f t="shared" si="29"/>
        <v>-1.956085382408157</v>
      </c>
      <c r="I98" s="115">
        <f t="shared" si="29"/>
        <v>-1.6383709451863515</v>
      </c>
      <c r="J98" s="115">
        <f t="shared" si="29"/>
        <v>-1.4282523018193993</v>
      </c>
      <c r="K98" s="115">
        <f t="shared" si="29"/>
        <v>-1.2878143144442578</v>
      </c>
      <c r="L98" s="115">
        <f t="shared" si="29"/>
        <v>-1.1967568372978632</v>
      </c>
      <c r="M98" s="115">
        <f t="shared" si="29"/>
        <v>-1.1361612158337864</v>
      </c>
      <c r="N98" s="115">
        <f t="shared" si="29"/>
        <v>-0.59252521395959379</v>
      </c>
      <c r="O98" s="115">
        <f t="shared" si="29"/>
        <v>-0.55621577255194898</v>
      </c>
      <c r="P98" s="115">
        <f t="shared" si="29"/>
        <v>-0.45097330271205438</v>
      </c>
      <c r="Q98" s="115">
        <f t="shared" si="29"/>
        <v>-0.2056948746655296</v>
      </c>
      <c r="R98" s="115">
        <f t="shared" si="29"/>
        <v>-0.11039971046902242</v>
      </c>
      <c r="S98" s="115">
        <f t="shared" si="29"/>
        <v>-1.9127873354429781E-2</v>
      </c>
      <c r="T98" s="115">
        <f t="shared" si="29"/>
        <v>6.829237839756086E-2</v>
      </c>
      <c r="U98" s="115">
        <f>((1+U93/100)/((1+U23/100)*(1+U42/100))-1)*100</f>
        <v>0.15208078186763618</v>
      </c>
      <c r="V98" s="115">
        <f>((1+V93/100)/((1+V23/100)*(1+V42/100))-1)*100</f>
        <v>0.23241252693446679</v>
      </c>
      <c r="W98" s="115">
        <f>((1+W93/100)/((1+W23/100)*(1+W42/100))-1)*100</f>
        <v>0.30960266150972249</v>
      </c>
    </row>
    <row r="101" spans="1:54" s="25" customFormat="1" ht="12.75" outlineLevel="1" x14ac:dyDescent="0.2">
      <c r="B101" s="25" t="s">
        <v>136</v>
      </c>
      <c r="C101" s="112"/>
      <c r="D101" s="112"/>
      <c r="E101" s="112"/>
      <c r="F101" s="112"/>
      <c r="G101" s="112"/>
      <c r="H101" s="112"/>
      <c r="I101" s="112"/>
      <c r="J101" s="112"/>
      <c r="K101" s="112"/>
      <c r="L101" s="112"/>
      <c r="M101" s="112"/>
      <c r="N101" s="112"/>
      <c r="O101" s="112"/>
      <c r="P101" s="112"/>
      <c r="Q101" s="112"/>
      <c r="R101" s="112"/>
      <c r="S101" s="112"/>
      <c r="T101" s="112"/>
      <c r="U101" s="112"/>
      <c r="V101" s="112"/>
      <c r="W101" s="112"/>
    </row>
    <row r="102" spans="1:54" s="127" customFormat="1" ht="12.75" outlineLevel="1" x14ac:dyDescent="0.2">
      <c r="C102" s="128"/>
      <c r="D102" s="128"/>
      <c r="E102" s="128"/>
      <c r="F102" s="128"/>
      <c r="G102" s="128"/>
      <c r="H102" s="128"/>
      <c r="I102" s="128"/>
      <c r="J102" s="128"/>
      <c r="K102" s="128"/>
      <c r="L102" s="128"/>
      <c r="M102" s="128"/>
      <c r="N102" s="128"/>
      <c r="O102" s="128"/>
      <c r="P102" s="128"/>
      <c r="Q102" s="128"/>
      <c r="R102" s="128"/>
      <c r="S102" s="128"/>
      <c r="T102" s="128"/>
      <c r="U102" s="128"/>
      <c r="V102" s="128"/>
      <c r="W102" s="128"/>
    </row>
    <row r="103" spans="1:54" s="127" customFormat="1" ht="12.75" outlineLevel="1" x14ac:dyDescent="0.2">
      <c r="B103" s="106" t="s">
        <v>293</v>
      </c>
      <c r="C103" s="129"/>
      <c r="D103" s="129"/>
      <c r="E103" s="129"/>
      <c r="F103" s="129"/>
      <c r="G103" s="129"/>
      <c r="H103" s="129"/>
      <c r="I103" s="129"/>
      <c r="J103" s="129"/>
      <c r="K103" s="129"/>
      <c r="L103" s="129"/>
      <c r="M103" s="129"/>
      <c r="N103" s="129"/>
      <c r="O103" s="129"/>
      <c r="P103" s="129"/>
      <c r="Q103" s="129"/>
      <c r="R103" s="129"/>
      <c r="S103" s="129"/>
      <c r="T103" s="129"/>
      <c r="U103" s="129"/>
      <c r="V103" s="129"/>
      <c r="W103" s="129"/>
    </row>
    <row r="104" spans="1:54" outlineLevel="1" x14ac:dyDescent="0.2">
      <c r="B104" s="120" t="s">
        <v>43</v>
      </c>
      <c r="C104" s="34">
        <v>72.584815979003906</v>
      </c>
      <c r="D104" s="34">
        <v>73.511604309082031</v>
      </c>
      <c r="E104" s="34">
        <v>75.830703735351563</v>
      </c>
      <c r="F104" s="34">
        <v>80.487434387207031</v>
      </c>
      <c r="G104" s="34">
        <v>82.262153625488281</v>
      </c>
      <c r="H104" s="34">
        <v>83.381324768066406</v>
      </c>
      <c r="I104" s="34">
        <v>83.9129638671875</v>
      </c>
      <c r="J104" s="34">
        <v>83.675552368164063</v>
      </c>
      <c r="K104" s="34">
        <v>83.305671691894531</v>
      </c>
      <c r="L104" s="34">
        <v>82.676185607910156</v>
      </c>
      <c r="M104" s="34">
        <v>81.748336791992188</v>
      </c>
      <c r="N104" s="34">
        <v>81.272666931152344</v>
      </c>
      <c r="O104" s="34">
        <v>80.624717712402344</v>
      </c>
      <c r="P104" s="34">
        <v>79.720832824707031</v>
      </c>
      <c r="Q104" s="34">
        <v>78.552940368652344</v>
      </c>
      <c r="R104" s="34">
        <v>77.106605529785156</v>
      </c>
      <c r="S104" s="34">
        <v>75.465126037597656</v>
      </c>
      <c r="T104" s="34">
        <v>73.629974365234375</v>
      </c>
      <c r="U104" s="34">
        <v>71.574882507324219</v>
      </c>
      <c r="V104" s="34">
        <v>69.309661865234375</v>
      </c>
      <c r="W104" s="34">
        <v>66.911262512207031</v>
      </c>
      <c r="X104" s="34"/>
      <c r="Y104" s="34"/>
      <c r="Z104" s="34"/>
    </row>
    <row r="105" spans="1:54" s="5" customFormat="1" ht="12.75" x14ac:dyDescent="0.2">
      <c r="A105" s="26"/>
      <c r="B105" s="26" t="s">
        <v>132</v>
      </c>
      <c r="C105" s="1">
        <v>0.73297137022018433</v>
      </c>
      <c r="D105" s="1">
        <v>0.83926922082901001</v>
      </c>
      <c r="E105" s="1">
        <v>1.580437183380127</v>
      </c>
      <c r="F105" s="1">
        <v>1.6625103950500488</v>
      </c>
      <c r="G105" s="1">
        <v>1.88956618309021</v>
      </c>
      <c r="H105" s="1">
        <v>1.9827291965484619</v>
      </c>
      <c r="I105" s="1">
        <v>2.0615065097808838</v>
      </c>
      <c r="J105" s="1">
        <v>2.1287131309509277</v>
      </c>
      <c r="K105" s="1">
        <v>2.2630736827850342</v>
      </c>
      <c r="L105" s="1">
        <v>2.3417086601257324</v>
      </c>
      <c r="M105" s="1">
        <v>2.414386510848999</v>
      </c>
      <c r="N105" s="1">
        <v>2.4816086292266846</v>
      </c>
      <c r="O105" s="1">
        <v>2.5483345985412598</v>
      </c>
      <c r="P105" s="1">
        <v>2.6098740100860596</v>
      </c>
      <c r="Q105" s="1">
        <v>2.6680870056152344</v>
      </c>
      <c r="R105" s="1">
        <v>2.7230081558227539</v>
      </c>
      <c r="S105" s="1">
        <v>2.7745397090911865</v>
      </c>
      <c r="T105" s="1">
        <v>2.8225250244140625</v>
      </c>
      <c r="U105" s="1">
        <v>2.8668088912963867</v>
      </c>
      <c r="V105" s="1">
        <v>2.9071900844573975</v>
      </c>
      <c r="W105" s="1">
        <v>2.9435980319976807</v>
      </c>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s="5" customFormat="1" ht="12.75" x14ac:dyDescent="0.2">
      <c r="B106" s="26" t="s">
        <v>185</v>
      </c>
      <c r="C106" s="1"/>
      <c r="D106" s="1"/>
      <c r="E106" s="1"/>
      <c r="F106" s="1"/>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s="5" customFormat="1" ht="12.75" x14ac:dyDescent="0.2">
      <c r="B107" s="26"/>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s="5" customFormat="1" ht="12.75" x14ac:dyDescent="0.2">
      <c r="B108" s="106" t="s">
        <v>294</v>
      </c>
      <c r="C108" s="37"/>
      <c r="D108" s="37"/>
      <c r="E108" s="37"/>
      <c r="F108" s="37"/>
      <c r="G108" s="37"/>
      <c r="H108" s="37"/>
      <c r="I108" s="37"/>
      <c r="J108" s="37"/>
      <c r="K108" s="37"/>
      <c r="L108" s="37"/>
      <c r="M108" s="37"/>
      <c r="N108" s="37"/>
      <c r="O108" s="37"/>
      <c r="P108" s="37"/>
      <c r="Q108" s="37"/>
      <c r="R108" s="37"/>
      <c r="S108" s="37"/>
      <c r="T108" s="37"/>
      <c r="U108" s="37"/>
      <c r="V108" s="37"/>
      <c r="W108" s="37"/>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outlineLevel="1" x14ac:dyDescent="0.2">
      <c r="B109" s="120" t="s">
        <v>43</v>
      </c>
      <c r="C109" s="34">
        <v>72.584815979003906</v>
      </c>
      <c r="D109" s="34">
        <v>73.511604309082031</v>
      </c>
      <c r="E109" s="34">
        <v>75.830703735351563</v>
      </c>
      <c r="F109" s="34">
        <v>80.487434387207031</v>
      </c>
      <c r="G109" s="34">
        <v>82.259086608886719</v>
      </c>
      <c r="H109" s="34">
        <v>83.703659057617188</v>
      </c>
      <c r="I109" s="34">
        <v>84.899864196777344</v>
      </c>
      <c r="J109" s="34">
        <v>85.673782348632813</v>
      </c>
      <c r="K109" s="34">
        <v>86.113090515136719</v>
      </c>
      <c r="L109" s="34">
        <v>86.220924377441406</v>
      </c>
      <c r="M109" s="34">
        <v>85.980087280273438</v>
      </c>
      <c r="N109" s="34">
        <v>85.873878479003906</v>
      </c>
      <c r="O109" s="34">
        <v>85.450798034667969</v>
      </c>
      <c r="P109" s="34">
        <v>84.621231079101563</v>
      </c>
      <c r="Q109" s="34">
        <v>83.748558044433594</v>
      </c>
      <c r="R109" s="34">
        <v>82.5936279296875</v>
      </c>
      <c r="S109" s="34">
        <v>81.245834350585938</v>
      </c>
      <c r="T109" s="34">
        <v>79.707801818847656</v>
      </c>
      <c r="U109" s="34">
        <v>77.952346801757813</v>
      </c>
      <c r="V109" s="34">
        <v>75.990013122558594</v>
      </c>
      <c r="W109" s="34">
        <v>73.903724670410156</v>
      </c>
      <c r="X109" s="34"/>
      <c r="Y109" s="34"/>
      <c r="Z109" s="34"/>
    </row>
    <row r="110" spans="1:54" x14ac:dyDescent="0.2">
      <c r="B110" s="26" t="s">
        <v>132</v>
      </c>
      <c r="C110" s="1">
        <v>0.73297137022018433</v>
      </c>
      <c r="D110" s="1">
        <v>0.83926922082901001</v>
      </c>
      <c r="E110" s="1">
        <v>1.580437183380127</v>
      </c>
      <c r="F110" s="1">
        <v>1.6625103950500488</v>
      </c>
      <c r="G110" s="1">
        <v>1.88956618309021</v>
      </c>
      <c r="H110" s="1">
        <v>1.9854403734207153</v>
      </c>
      <c r="I110" s="1">
        <v>2.0695152282714844</v>
      </c>
      <c r="J110" s="1">
        <v>2.1444764137268066</v>
      </c>
      <c r="K110" s="1">
        <v>2.2115991115570068</v>
      </c>
      <c r="L110" s="1">
        <v>2.27219557762146</v>
      </c>
      <c r="M110" s="1">
        <v>2.3275411128997803</v>
      </c>
      <c r="N110" s="1">
        <v>2.4574687480926514</v>
      </c>
      <c r="O110" s="1">
        <v>2.5338475704193115</v>
      </c>
      <c r="P110" s="1">
        <v>2.6024799346923828</v>
      </c>
      <c r="Q110" s="1">
        <v>2.665515661239624</v>
      </c>
      <c r="R110" s="1">
        <v>2.7251317501068115</v>
      </c>
      <c r="S110" s="1">
        <v>2.7813091278076172</v>
      </c>
      <c r="T110" s="1">
        <v>2.8339791297912598</v>
      </c>
      <c r="U110" s="1">
        <v>2.8830845355987549</v>
      </c>
      <c r="V110" s="1">
        <v>2.9285447597503662</v>
      </c>
      <c r="W110" s="1">
        <v>2.9704129695892334</v>
      </c>
      <c r="X110" s="1"/>
      <c r="Y110" s="1"/>
      <c r="Z110" s="1"/>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60"/>
    </row>
    <row r="111" spans="1:54" x14ac:dyDescent="0.2">
      <c r="B111" s="26" t="s">
        <v>185</v>
      </c>
      <c r="C111" s="34"/>
      <c r="D111" s="34"/>
      <c r="E111" s="34"/>
      <c r="F111" s="34"/>
      <c r="G111" s="34">
        <v>0</v>
      </c>
      <c r="H111" s="34">
        <v>0</v>
      </c>
      <c r="I111" s="34">
        <v>0</v>
      </c>
      <c r="J111" s="34">
        <v>0</v>
      </c>
      <c r="K111" s="34">
        <v>0</v>
      </c>
      <c r="L111" s="34">
        <v>0</v>
      </c>
      <c r="M111" s="34">
        <v>0</v>
      </c>
      <c r="N111" s="34">
        <v>0</v>
      </c>
      <c r="O111" s="34">
        <v>0</v>
      </c>
      <c r="P111" s="34">
        <v>0</v>
      </c>
      <c r="Q111" s="34">
        <v>0</v>
      </c>
      <c r="R111" s="34">
        <v>0</v>
      </c>
      <c r="S111" s="34">
        <v>0</v>
      </c>
      <c r="T111" s="34">
        <v>0</v>
      </c>
      <c r="U111" s="34">
        <v>0</v>
      </c>
      <c r="V111" s="34">
        <v>0</v>
      </c>
      <c r="W111" s="34">
        <v>0</v>
      </c>
    </row>
    <row r="113" spans="2:25" x14ac:dyDescent="0.2">
      <c r="C113" s="34"/>
      <c r="D113" s="34"/>
      <c r="E113" s="34"/>
      <c r="F113" s="34"/>
      <c r="G113" s="34"/>
      <c r="H113" s="34"/>
      <c r="I113" s="34"/>
      <c r="J113" s="34"/>
      <c r="K113" s="34"/>
      <c r="L113" s="34"/>
      <c r="M113" s="34"/>
      <c r="N113" s="34"/>
      <c r="O113" s="34"/>
      <c r="P113" s="34"/>
      <c r="Q113" s="34"/>
      <c r="R113" s="34"/>
      <c r="S113" s="34"/>
      <c r="T113" s="34"/>
      <c r="U113" s="34"/>
      <c r="V113" s="34"/>
      <c r="W113" s="34"/>
    </row>
    <row r="114" spans="2:25" x14ac:dyDescent="0.2">
      <c r="C114" s="34"/>
      <c r="D114" s="34"/>
      <c r="E114" s="34"/>
      <c r="F114" s="34"/>
      <c r="G114" s="34"/>
      <c r="H114" s="34"/>
      <c r="I114" s="34"/>
      <c r="J114" s="34"/>
      <c r="K114" s="34"/>
      <c r="L114" s="34"/>
      <c r="M114" s="34"/>
      <c r="N114" s="34"/>
      <c r="O114" s="34"/>
      <c r="P114" s="34"/>
      <c r="Q114" s="34"/>
      <c r="R114" s="34"/>
      <c r="S114" s="34"/>
      <c r="T114" s="34"/>
      <c r="U114" s="34"/>
      <c r="V114" s="34"/>
      <c r="W114" s="34"/>
    </row>
    <row r="115" spans="2:25" x14ac:dyDescent="0.2">
      <c r="C115" s="34"/>
      <c r="D115" s="34"/>
      <c r="E115" s="34"/>
      <c r="F115" s="34"/>
      <c r="G115" s="122"/>
      <c r="H115" s="122"/>
      <c r="I115" s="122"/>
      <c r="J115" s="122"/>
      <c r="K115" s="122"/>
      <c r="L115" s="122"/>
      <c r="M115" s="122"/>
      <c r="N115" s="122"/>
      <c r="O115" s="122"/>
      <c r="P115" s="122"/>
      <c r="Q115" s="122"/>
      <c r="R115" s="122"/>
      <c r="S115" s="122"/>
      <c r="T115" s="122"/>
      <c r="U115" s="122"/>
      <c r="V115" s="122"/>
      <c r="W115" s="122"/>
    </row>
    <row r="116" spans="2:25" x14ac:dyDescent="0.2">
      <c r="C116" s="34"/>
      <c r="D116" s="34"/>
      <c r="E116" s="34"/>
      <c r="F116" s="34"/>
      <c r="G116" s="122"/>
      <c r="H116" s="122"/>
      <c r="I116" s="122"/>
      <c r="J116" s="122"/>
      <c r="K116" s="122"/>
      <c r="L116" s="122"/>
      <c r="M116" s="122"/>
      <c r="N116" s="122"/>
      <c r="O116" s="122"/>
      <c r="P116" s="122"/>
      <c r="Q116" s="122"/>
      <c r="R116" s="122"/>
      <c r="S116" s="122"/>
      <c r="T116" s="122"/>
      <c r="U116" s="122"/>
      <c r="V116" s="122"/>
      <c r="W116" s="122"/>
    </row>
    <row r="117" spans="2:25" x14ac:dyDescent="0.2">
      <c r="C117" s="36"/>
      <c r="D117" s="123"/>
      <c r="E117" s="123"/>
      <c r="F117" s="123"/>
      <c r="G117" s="123"/>
      <c r="H117" s="123"/>
      <c r="I117" s="123"/>
      <c r="J117" s="123"/>
      <c r="K117" s="123"/>
      <c r="L117" s="123"/>
      <c r="M117" s="123"/>
      <c r="N117" s="123"/>
      <c r="O117" s="123"/>
      <c r="P117" s="123"/>
      <c r="Q117" s="123"/>
      <c r="R117" s="123"/>
      <c r="S117" s="123"/>
      <c r="T117" s="123"/>
      <c r="U117" s="123"/>
      <c r="V117" s="123"/>
      <c r="W117" s="123"/>
    </row>
    <row r="118" spans="2:25" x14ac:dyDescent="0.2">
      <c r="C118" s="36"/>
      <c r="D118" s="36"/>
      <c r="E118" s="34"/>
      <c r="F118" s="34"/>
      <c r="G118" s="122"/>
      <c r="H118" s="122"/>
      <c r="I118" s="122"/>
      <c r="J118" s="122"/>
      <c r="K118" s="122"/>
      <c r="L118" s="122"/>
      <c r="M118" s="122"/>
      <c r="N118" s="122"/>
      <c r="O118" s="122"/>
      <c r="P118" s="122"/>
      <c r="Q118" s="122"/>
      <c r="R118" s="122"/>
      <c r="S118" s="122"/>
      <c r="T118" s="122"/>
      <c r="U118" s="122"/>
      <c r="V118" s="122"/>
      <c r="W118" s="122"/>
    </row>
    <row r="119" spans="2:25" x14ac:dyDescent="0.2">
      <c r="E119" s="34"/>
      <c r="F119" s="34"/>
      <c r="G119" s="122"/>
      <c r="H119" s="122"/>
      <c r="I119" s="122"/>
      <c r="J119" s="122"/>
      <c r="K119" s="122"/>
      <c r="L119" s="122"/>
      <c r="M119" s="122"/>
      <c r="N119" s="122"/>
      <c r="O119" s="122"/>
      <c r="P119" s="122"/>
      <c r="Q119" s="122"/>
      <c r="R119" s="122"/>
      <c r="S119" s="122"/>
      <c r="T119" s="122"/>
      <c r="U119" s="122"/>
      <c r="V119" s="122"/>
      <c r="W119" s="122"/>
      <c r="X119" s="53"/>
      <c r="Y119" s="53"/>
    </row>
    <row r="120" spans="2:25" x14ac:dyDescent="0.2">
      <c r="B120" s="33"/>
      <c r="C120" s="97"/>
      <c r="D120" s="97"/>
      <c r="G120" s="123"/>
      <c r="H120" s="123"/>
      <c r="I120" s="123"/>
      <c r="J120" s="123"/>
      <c r="K120" s="123"/>
      <c r="L120" s="123"/>
      <c r="M120" s="123"/>
      <c r="N120" s="123"/>
      <c r="O120" s="123"/>
      <c r="P120" s="123"/>
      <c r="Q120" s="123"/>
      <c r="R120" s="123"/>
      <c r="S120" s="123"/>
      <c r="T120" s="123"/>
      <c r="U120" s="123"/>
      <c r="V120" s="123"/>
      <c r="W120" s="123"/>
      <c r="X120" s="53"/>
      <c r="Y120" s="53"/>
    </row>
    <row r="121" spans="2:25" x14ac:dyDescent="0.2">
      <c r="C121" s="97"/>
      <c r="D121" s="97"/>
      <c r="E121" s="34"/>
      <c r="F121" s="34"/>
      <c r="G121" s="122"/>
      <c r="H121" s="122"/>
      <c r="I121" s="122"/>
      <c r="J121" s="122"/>
      <c r="K121" s="122"/>
      <c r="L121" s="122"/>
      <c r="M121" s="122"/>
      <c r="N121" s="122"/>
      <c r="O121" s="122"/>
      <c r="P121" s="122"/>
      <c r="Q121" s="122"/>
      <c r="R121" s="122"/>
      <c r="S121" s="122"/>
      <c r="T121" s="122"/>
      <c r="U121" s="122"/>
      <c r="V121" s="122"/>
      <c r="W121" s="122"/>
      <c r="X121" s="53"/>
      <c r="Y121" s="53"/>
    </row>
    <row r="122" spans="2:25" x14ac:dyDescent="0.2">
      <c r="E122" s="34"/>
      <c r="F122" s="34"/>
      <c r="G122" s="122"/>
      <c r="H122" s="122"/>
      <c r="I122" s="122"/>
      <c r="J122" s="122"/>
      <c r="K122" s="122"/>
      <c r="L122" s="122"/>
      <c r="M122" s="122"/>
      <c r="N122" s="122"/>
      <c r="O122" s="122"/>
      <c r="P122" s="122"/>
      <c r="Q122" s="122"/>
      <c r="R122" s="122"/>
      <c r="S122" s="122"/>
      <c r="T122" s="122"/>
      <c r="U122" s="122"/>
      <c r="V122" s="122"/>
      <c r="W122" s="122"/>
      <c r="X122" s="53"/>
      <c r="Y122" s="53"/>
    </row>
    <row r="123" spans="2:25" x14ac:dyDescent="0.2">
      <c r="C123" s="97"/>
      <c r="D123" s="97"/>
      <c r="E123" s="97"/>
      <c r="F123" s="97"/>
      <c r="G123" s="123"/>
      <c r="H123" s="123"/>
      <c r="I123" s="123"/>
      <c r="J123" s="123"/>
      <c r="K123" s="123"/>
      <c r="L123" s="123"/>
      <c r="M123" s="123"/>
      <c r="N123" s="123"/>
      <c r="O123" s="123"/>
      <c r="P123" s="123"/>
      <c r="Q123" s="123"/>
      <c r="R123" s="123"/>
      <c r="S123" s="123"/>
      <c r="T123" s="123"/>
      <c r="U123" s="123"/>
      <c r="V123" s="123"/>
      <c r="W123" s="123"/>
      <c r="X123" s="53"/>
      <c r="Y123" s="53"/>
    </row>
    <row r="124" spans="2:25" x14ac:dyDescent="0.2">
      <c r="E124" s="34"/>
      <c r="F124" s="34"/>
      <c r="G124" s="122"/>
      <c r="H124" s="122"/>
      <c r="I124" s="122"/>
      <c r="J124" s="122"/>
      <c r="K124" s="122"/>
      <c r="L124" s="122"/>
      <c r="M124" s="122"/>
      <c r="N124" s="122"/>
      <c r="O124" s="122"/>
      <c r="P124" s="122"/>
      <c r="Q124" s="122"/>
      <c r="R124" s="122"/>
      <c r="S124" s="122"/>
      <c r="T124" s="122"/>
      <c r="U124" s="122"/>
      <c r="V124" s="122"/>
      <c r="W124" s="122"/>
      <c r="X124" s="53"/>
      <c r="Y124" s="53"/>
    </row>
    <row r="125" spans="2:25" x14ac:dyDescent="0.2">
      <c r="E125" s="34"/>
      <c r="F125" s="34"/>
      <c r="G125" s="122"/>
      <c r="H125" s="122"/>
      <c r="I125" s="122"/>
      <c r="J125" s="122"/>
      <c r="K125" s="122"/>
      <c r="L125" s="122"/>
      <c r="M125" s="122"/>
      <c r="N125" s="122"/>
      <c r="O125" s="122"/>
      <c r="P125" s="122"/>
      <c r="Q125" s="122"/>
      <c r="R125" s="122"/>
      <c r="S125" s="122"/>
      <c r="T125" s="122"/>
      <c r="U125" s="122"/>
      <c r="V125" s="122"/>
      <c r="W125" s="122"/>
      <c r="X125" s="122"/>
      <c r="Y125" s="53"/>
    </row>
    <row r="126" spans="2:25" x14ac:dyDescent="0.2">
      <c r="G126" s="122"/>
      <c r="H126" s="122"/>
      <c r="I126" s="122"/>
      <c r="J126" s="122"/>
      <c r="K126" s="122"/>
      <c r="L126" s="122"/>
      <c r="M126" s="122"/>
      <c r="N126" s="122"/>
      <c r="O126" s="122"/>
      <c r="P126" s="122"/>
      <c r="Q126" s="122"/>
      <c r="R126" s="122"/>
      <c r="S126" s="122"/>
      <c r="T126" s="122"/>
      <c r="U126" s="122"/>
      <c r="V126" s="122"/>
      <c r="W126" s="122"/>
      <c r="X126" s="122"/>
      <c r="Y126" s="53"/>
    </row>
    <row r="127" spans="2:25" x14ac:dyDescent="0.2">
      <c r="C127" s="97"/>
      <c r="D127" s="97"/>
      <c r="E127" s="34"/>
      <c r="F127" s="34"/>
      <c r="G127" s="122"/>
      <c r="H127" s="122"/>
      <c r="I127" s="122"/>
      <c r="J127" s="122"/>
      <c r="K127" s="122"/>
      <c r="L127" s="122"/>
      <c r="M127" s="122"/>
      <c r="N127" s="122"/>
      <c r="O127" s="122"/>
      <c r="P127" s="122"/>
      <c r="Q127" s="122"/>
      <c r="R127" s="122"/>
      <c r="S127" s="122"/>
      <c r="T127" s="122"/>
      <c r="U127" s="122"/>
      <c r="V127" s="122"/>
      <c r="W127" s="122"/>
      <c r="X127" s="122"/>
      <c r="Y127" s="53"/>
    </row>
    <row r="128" spans="2:25" x14ac:dyDescent="0.2">
      <c r="E128" s="34"/>
      <c r="F128" s="34"/>
      <c r="G128" s="122"/>
      <c r="H128" s="122"/>
      <c r="I128" s="122"/>
      <c r="J128" s="122"/>
      <c r="K128" s="122"/>
      <c r="L128" s="122"/>
      <c r="M128" s="122"/>
      <c r="N128" s="122"/>
      <c r="O128" s="122"/>
      <c r="P128" s="122"/>
      <c r="Q128" s="122"/>
      <c r="R128" s="122"/>
      <c r="S128" s="122"/>
      <c r="T128" s="122"/>
      <c r="U128" s="122"/>
      <c r="V128" s="122"/>
      <c r="W128" s="122"/>
      <c r="X128" s="122"/>
      <c r="Y128" s="53"/>
    </row>
    <row r="129" spans="6:25" x14ac:dyDescent="0.2">
      <c r="G129" s="122"/>
      <c r="H129" s="122"/>
      <c r="I129" s="122"/>
      <c r="J129" s="122"/>
      <c r="K129" s="122"/>
      <c r="L129" s="122"/>
      <c r="M129" s="122"/>
      <c r="N129" s="122"/>
      <c r="O129" s="122"/>
      <c r="P129" s="122"/>
      <c r="Q129" s="122"/>
      <c r="R129" s="122"/>
      <c r="S129" s="122"/>
      <c r="T129" s="122"/>
      <c r="U129" s="122"/>
      <c r="V129" s="122"/>
      <c r="W129" s="122"/>
      <c r="X129" s="122"/>
      <c r="Y129" s="53"/>
    </row>
    <row r="130" spans="6:25" x14ac:dyDescent="0.2">
      <c r="F130" s="34"/>
      <c r="G130" s="122"/>
      <c r="H130" s="122"/>
      <c r="I130" s="122"/>
      <c r="J130" s="122"/>
      <c r="K130" s="122"/>
      <c r="L130" s="122"/>
      <c r="M130" s="122"/>
      <c r="N130" s="122"/>
      <c r="O130" s="122"/>
      <c r="P130" s="122"/>
      <c r="Q130" s="122"/>
      <c r="R130" s="122"/>
      <c r="S130" s="122"/>
      <c r="T130" s="122"/>
      <c r="U130" s="122"/>
      <c r="V130" s="122"/>
      <c r="W130" s="122"/>
      <c r="X130" s="122"/>
      <c r="Y130" s="53"/>
    </row>
    <row r="131" spans="6:25" x14ac:dyDescent="0.2">
      <c r="G131" s="122"/>
      <c r="H131" s="122"/>
      <c r="I131" s="122"/>
      <c r="J131" s="122"/>
      <c r="K131" s="122"/>
      <c r="L131" s="122"/>
      <c r="M131" s="122"/>
      <c r="N131" s="122"/>
      <c r="O131" s="122"/>
      <c r="P131" s="122"/>
      <c r="Q131" s="122"/>
      <c r="R131" s="122"/>
      <c r="S131" s="122"/>
      <c r="T131" s="122"/>
      <c r="U131" s="122"/>
      <c r="V131" s="122"/>
      <c r="W131" s="122"/>
      <c r="X131" s="122"/>
      <c r="Y131" s="53"/>
    </row>
    <row r="132" spans="6:25" x14ac:dyDescent="0.2">
      <c r="G132" s="122"/>
      <c r="H132" s="122"/>
      <c r="I132" s="122"/>
      <c r="J132" s="122"/>
      <c r="K132" s="122"/>
      <c r="L132" s="122"/>
      <c r="M132" s="122"/>
      <c r="N132" s="122"/>
      <c r="O132" s="122"/>
      <c r="P132" s="122"/>
      <c r="Q132" s="122"/>
      <c r="R132" s="122"/>
      <c r="S132" s="122"/>
      <c r="T132" s="122"/>
      <c r="U132" s="122"/>
      <c r="V132" s="122"/>
      <c r="W132" s="122"/>
      <c r="X132" s="122"/>
    </row>
  </sheetData>
  <conditionalFormatting sqref="G12:M12">
    <cfRule type="expression" dxfId="10" priority="80">
      <formula>AND(G10&gt;$C$5,G10&lt;=$C$6)</formula>
    </cfRule>
  </conditionalFormatting>
  <conditionalFormatting sqref="K22:M24 K27:M27 K37:M38">
    <cfRule type="expression" dxfId="9" priority="23">
      <formula>K$10&lt;=$C$6</formula>
    </cfRule>
  </conditionalFormatting>
  <conditionalFormatting sqref="U10:W44 U46:W53 U55:W77 U79:W100 U102:W130">
    <cfRule type="expression" dxfId="2" priority="1">
      <formula>U$10&gt;$C$7</formula>
    </cfRule>
  </conditionalFormatting>
  <pageMargins left="0.7" right="0.7" top="0.75" bottom="0.75" header="0.3" footer="0.3"/>
  <pageSetup paperSize="9" orientation="portrait" r:id="rId1"/>
  <ignoredErrors>
    <ignoredError sqref="C5 C47:C48" unlockedFormula="1"/>
  </ignoredErrors>
  <extLst>
    <ext xmlns:x14="http://schemas.microsoft.com/office/spreadsheetml/2009/9/main" uri="{78C0D931-6437-407d-A8EE-F0AAD7539E65}">
      <x14:conditionalFormattings>
        <x14:conditionalFormatting xmlns:xm="http://schemas.microsoft.com/office/excel/2006/main">
          <x14:cfRule type="expression" priority="9" id="{4EACEE69-D13B-4A8D-9236-28646E633B5B}">
            <xm:f>'Criteria results'!$F$5=7</xm:f>
            <x14:dxf>
              <fill>
                <patternFill>
                  <bgColor theme="0"/>
                </patternFill>
              </fill>
            </x14:dxf>
          </x14:cfRule>
          <xm:sqref>K52:M52</xm:sqref>
        </x14:conditionalFormatting>
        <x14:conditionalFormatting xmlns:xm="http://schemas.microsoft.com/office/excel/2006/main">
          <x14:cfRule type="expression" priority="85" id="{3B57B2B3-DFDF-4C5A-9FDD-41F823A47376}">
            <xm:f>OR('Criteria results'!#REF!=7,'Criteria results'!#REF!=10)</xm:f>
            <x14:dxf>
              <font>
                <color theme="0"/>
              </font>
            </x14:dxf>
          </x14:cfRule>
          <xm:sqref>K76:M76</xm:sqref>
        </x14:conditionalFormatting>
        <x14:conditionalFormatting xmlns:xm="http://schemas.microsoft.com/office/excel/2006/main">
          <x14:cfRule type="expression" priority="82" id="{57B4AF88-7351-4B19-BA3B-6B998AD74D0C}">
            <xm:f>AND($N$10&gt;2024,$N$10&lt;=2024+'Criteria results'!$F$5)</xm:f>
            <x14:dxf>
              <fill>
                <patternFill>
                  <bgColor theme="0" tint="-0.14996795556505021"/>
                </patternFill>
              </fill>
            </x14:dxf>
          </x14:cfRule>
          <xm:sqref>N12</xm:sqref>
        </x14:conditionalFormatting>
        <x14:conditionalFormatting xmlns:xm="http://schemas.microsoft.com/office/excel/2006/main">
          <x14:cfRule type="expression" priority="86" id="{AD631567-B5C1-4C77-8394-9CE24A7E7ABD}">
            <xm:f>'Criteria results'!#REF!=10</xm:f>
            <x14:dxf>
              <font>
                <color theme="0"/>
              </font>
            </x14:dxf>
          </x14:cfRule>
          <xm:sqref>N76:P76</xm:sqref>
        </x14:conditionalFormatting>
        <x14:conditionalFormatting xmlns:xm="http://schemas.microsoft.com/office/excel/2006/main">
          <x14:cfRule type="expression" priority="83" id="{354A6338-46EF-4602-BA31-438E78236E93}">
            <xm:f>AND($O$10&gt;2024,$O$10&lt;=2024+'Criteria results'!$F$5)</xm:f>
            <x14:dxf>
              <fill>
                <patternFill>
                  <bgColor theme="0" tint="-0.14996795556505021"/>
                </patternFill>
              </fill>
            </x14:dxf>
          </x14:cfRule>
          <xm:sqref>O12</xm:sqref>
        </x14:conditionalFormatting>
        <x14:conditionalFormatting xmlns:xm="http://schemas.microsoft.com/office/excel/2006/main">
          <x14:cfRule type="expression" priority="84" id="{9F1C1270-F5DB-4E73-982C-3D38BC86117F}">
            <xm:f>AND($P$10&gt;2024,$P$10&lt;=2024+'Criteria results'!#REF!)</xm:f>
            <x14:dxf>
              <fill>
                <patternFill>
                  <bgColor theme="0" tint="-0.14996795556505021"/>
                </patternFill>
              </fill>
            </x14:dxf>
          </x14:cfRule>
          <xm:sqref>P12</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rgb="FF00B050"/>
  </sheetPr>
  <dimension ref="A1:AX31"/>
  <sheetViews>
    <sheetView workbookViewId="0"/>
  </sheetViews>
  <sheetFormatPr defaultColWidth="8.85546875" defaultRowHeight="12.75" x14ac:dyDescent="0.2"/>
  <cols>
    <col min="1" max="1" width="8.85546875" style="5"/>
    <col min="2" max="2" width="43.42578125" style="5" customWidth="1"/>
    <col min="3" max="16384" width="8.85546875" style="5"/>
  </cols>
  <sheetData>
    <row r="1" spans="1:50" s="26" customFormat="1" ht="24.75" customHeight="1" x14ac:dyDescent="0.2">
      <c r="B1" s="39"/>
    </row>
    <row r="2" spans="1:50" s="26" customFormat="1" ht="11.25" customHeight="1" x14ac:dyDescent="0.2">
      <c r="B2" s="27"/>
    </row>
    <row r="3" spans="1:50" s="26" customFormat="1" ht="11.25" customHeight="1" x14ac:dyDescent="0.2">
      <c r="B3" s="19" t="s">
        <v>15</v>
      </c>
      <c r="C3" s="20" t="str">
        <f>'Input data'!C3</f>
        <v>FI</v>
      </c>
    </row>
    <row r="4" spans="1:50" s="26" customFormat="1" ht="11.25" x14ac:dyDescent="0.2">
      <c r="B4" s="64" t="s">
        <v>38</v>
      </c>
      <c r="C4" s="21"/>
    </row>
    <row r="5" spans="1:50" s="26" customFormat="1" ht="11.25" x14ac:dyDescent="0.2">
      <c r="A5" s="29"/>
      <c r="B5" s="22" t="str">
        <f>'Input data'!B5</f>
        <v>Last year before the adjustment</v>
      </c>
      <c r="C5" s="23">
        <f>+'Input data'!C5</f>
        <v>2024</v>
      </c>
    </row>
    <row r="6" spans="1:50" s="26" customFormat="1" ht="11.25" x14ac:dyDescent="0.2">
      <c r="A6" s="29"/>
      <c r="B6" s="65" t="s">
        <v>149</v>
      </c>
      <c r="C6" s="23">
        <f>C5+'Criteria results'!F5+1</f>
        <v>2032</v>
      </c>
      <c r="E6" s="43"/>
      <c r="F6" s="29"/>
    </row>
    <row r="7" spans="1:50" s="26" customFormat="1" ht="11.25" x14ac:dyDescent="0.2">
      <c r="A7" s="29"/>
      <c r="B7" s="24" t="s">
        <v>150</v>
      </c>
      <c r="C7" s="66">
        <f>C6+4</f>
        <v>2036</v>
      </c>
      <c r="E7" s="43"/>
      <c r="F7" s="29"/>
    </row>
    <row r="8" spans="1:50" s="26" customFormat="1" ht="11.25" x14ac:dyDescent="0.2">
      <c r="A8" s="29"/>
      <c r="C8" s="29"/>
      <c r="E8" s="43"/>
      <c r="F8" s="29"/>
    </row>
    <row r="9" spans="1:50" s="67" customFormat="1" ht="11.25" x14ac:dyDescent="0.2">
      <c r="B9" s="90" t="s">
        <v>151</v>
      </c>
    </row>
    <row r="10" spans="1:50" s="26" customFormat="1" ht="11.25" x14ac:dyDescent="0.2">
      <c r="C10" s="31">
        <v>2021</v>
      </c>
      <c r="D10" s="31">
        <v>2022</v>
      </c>
      <c r="E10" s="31">
        <v>2023</v>
      </c>
      <c r="F10" s="31">
        <v>2024</v>
      </c>
      <c r="G10" s="31">
        <v>2025</v>
      </c>
      <c r="H10" s="31">
        <v>2026</v>
      </c>
      <c r="I10" s="31">
        <v>2027</v>
      </c>
      <c r="J10" s="31">
        <v>2028</v>
      </c>
      <c r="K10" s="31">
        <v>2029</v>
      </c>
      <c r="L10" s="31">
        <v>2030</v>
      </c>
      <c r="M10" s="31">
        <v>2031</v>
      </c>
      <c r="N10" s="31">
        <v>2032</v>
      </c>
      <c r="O10" s="31">
        <v>2033</v>
      </c>
      <c r="P10" s="31">
        <v>2034</v>
      </c>
      <c r="Q10" s="31">
        <v>2035</v>
      </c>
      <c r="R10" s="31">
        <v>2036</v>
      </c>
      <c r="S10" s="31">
        <v>2037</v>
      </c>
      <c r="T10" s="31">
        <v>2038</v>
      </c>
      <c r="U10" s="31">
        <v>2039</v>
      </c>
      <c r="V10" s="31">
        <v>2040</v>
      </c>
      <c r="W10" s="31">
        <v>2041</v>
      </c>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x14ac:dyDescent="0.2">
      <c r="B11" s="91" t="s">
        <v>188</v>
      </c>
      <c r="C11" s="83">
        <f>'Adjust. no safeguard'!C57</f>
        <v>72.584819999999993</v>
      </c>
      <c r="D11" s="83">
        <f>'Adjust. no safeguard'!D57</f>
        <v>73.511610584961744</v>
      </c>
      <c r="E11" s="83">
        <f>'Adjust. no safeguard'!E57</f>
        <v>76.572506382321123</v>
      </c>
      <c r="F11" s="83">
        <f>'Adjust. no safeguard'!F57</f>
        <v>81.669832373893243</v>
      </c>
      <c r="G11" s="83">
        <f>'Adjust. no safeguard'!G57</f>
        <v>83.193157241487697</v>
      </c>
      <c r="H11" s="83">
        <f>'Adjust. no safeguard'!H57</f>
        <v>84.556754593314608</v>
      </c>
      <c r="I11" s="83">
        <f>'Adjust. no safeguard'!I57</f>
        <v>85.459120171217933</v>
      </c>
      <c r="J11" s="83">
        <f>'Adjust. no safeguard'!J57</f>
        <v>86.145056856268312</v>
      </c>
      <c r="K11" s="83">
        <f>'Adjust. no safeguard'!K57</f>
        <v>86.34726643202589</v>
      </c>
      <c r="L11" s="83">
        <f>'Adjust. no safeguard'!L57</f>
        <v>86.468995590643061</v>
      </c>
      <c r="M11" s="83">
        <f>'Adjust. no safeguard'!M57</f>
        <v>86.939180456571577</v>
      </c>
      <c r="N11" s="83">
        <f>'Adjust. no safeguard'!N57</f>
        <v>87.323596912258168</v>
      </c>
      <c r="O11" s="83">
        <f>'Adjust. no safeguard'!O57</f>
        <v>87.460515838477733</v>
      </c>
      <c r="P11" s="83">
        <f>'Adjust. no safeguard'!P57</f>
        <v>87.415515073401792</v>
      </c>
      <c r="Q11" s="83">
        <f>'Adjust. no safeguard'!Q57</f>
        <v>87.391049674355173</v>
      </c>
      <c r="R11" s="83">
        <f>'Adjust. no safeguard'!R57</f>
        <v>87.242385231669843</v>
      </c>
      <c r="S11" s="83">
        <f>'Adjust. no safeguard'!S57</f>
        <v>86.949637568464595</v>
      </c>
      <c r="T11" s="83">
        <f>'Adjust. no safeguard'!T57</f>
        <v>86.496014648635622</v>
      </c>
      <c r="U11" s="83">
        <f>'Adjust. no safeguard'!U57</f>
        <v>85.86613473634462</v>
      </c>
      <c r="V11" s="83">
        <f>'Adjust. no safeguard'!V57</f>
        <v>85.059687124988073</v>
      </c>
      <c r="W11" s="83">
        <f>'Adjust. no safeguard'!W57</f>
        <v>84.091860468205766</v>
      </c>
    </row>
    <row r="12" spans="1:50" s="26" customFormat="1" ht="11.25" x14ac:dyDescent="0.2">
      <c r="A12" s="29"/>
      <c r="C12" s="29"/>
      <c r="E12" s="43"/>
      <c r="F12" s="29"/>
    </row>
    <row r="13" spans="1:50" s="67" customFormat="1" ht="11.25" x14ac:dyDescent="0.2">
      <c r="B13" s="90" t="s">
        <v>152</v>
      </c>
    </row>
    <row r="14" spans="1:50" x14ac:dyDescent="0.2">
      <c r="B14" s="5" t="s">
        <v>153</v>
      </c>
      <c r="C14" s="83">
        <f>C$11</f>
        <v>72.584819999999993</v>
      </c>
      <c r="D14" s="83">
        <f t="shared" ref="D14:J18" si="0">D$11</f>
        <v>73.511610584961744</v>
      </c>
      <c r="E14" s="83">
        <f t="shared" si="0"/>
        <v>76.572506382321123</v>
      </c>
      <c r="F14" s="83">
        <f t="shared" si="0"/>
        <v>81.669832373893243</v>
      </c>
      <c r="G14" s="83">
        <f t="shared" si="0"/>
        <v>83.193157241487697</v>
      </c>
      <c r="H14" s="83">
        <f t="shared" si="0"/>
        <v>84.556754593314608</v>
      </c>
      <c r="I14" s="83">
        <f t="shared" si="0"/>
        <v>85.459120171217933</v>
      </c>
      <c r="J14" s="83">
        <f>J$11</f>
        <v>86.145056856268312</v>
      </c>
      <c r="K14" s="83">
        <f>IF('Criteria results'!$F$5=4,K$11+'Input data'!C74,K$11)</f>
        <v>86.34726643202589</v>
      </c>
      <c r="L14" s="83">
        <f>IF('Criteria results'!$F$5=4,L$11+'Input data'!D74,L$11)</f>
        <v>86.468995590643061</v>
      </c>
      <c r="M14" s="83">
        <f>IF('Criteria results'!$F$5=4,M$11+'Input data'!E74,M$11)</f>
        <v>86.939180456571577</v>
      </c>
      <c r="N14" s="83">
        <f>IF('Criteria results'!$F$5=4,N$11+'Input data'!F74,N$11+'Input data'!C74)</f>
        <v>81.813678699367543</v>
      </c>
      <c r="O14" s="83">
        <f>IF('Criteria results'!$F$5=4,O$11+'Input data'!G74,O$11+'Input data'!D74)</f>
        <v>79.724927764747264</v>
      </c>
      <c r="P14" s="83">
        <f>IF('Criteria results'!$F$5=4,"",Stochastic!P$11+'Input data'!E74)</f>
        <v>78.09469903336273</v>
      </c>
      <c r="Q14" s="83">
        <f>IF('Criteria results'!$F$5=4,"",Stochastic!Q$11+'Input data'!F74)</f>
        <v>76.641904166542673</v>
      </c>
      <c r="R14" s="83">
        <f>IF('Criteria results'!$F$5=4,"",Stochastic!R$11+'Input data'!G74)</f>
        <v>75.631865822490155</v>
      </c>
    </row>
    <row r="15" spans="1:50" x14ac:dyDescent="0.2">
      <c r="B15" s="5" t="s">
        <v>154</v>
      </c>
      <c r="C15" s="83">
        <f>C$11</f>
        <v>72.584819999999993</v>
      </c>
      <c r="D15" s="83">
        <f t="shared" si="0"/>
        <v>73.511610584961744</v>
      </c>
      <c r="E15" s="83">
        <f t="shared" si="0"/>
        <v>76.572506382321123</v>
      </c>
      <c r="F15" s="83">
        <f t="shared" si="0"/>
        <v>81.669832373893243</v>
      </c>
      <c r="G15" s="83">
        <f t="shared" si="0"/>
        <v>83.193157241487697</v>
      </c>
      <c r="H15" s="83">
        <f t="shared" si="0"/>
        <v>84.556754593314608</v>
      </c>
      <c r="I15" s="83">
        <f t="shared" si="0"/>
        <v>85.459120171217933</v>
      </c>
      <c r="J15" s="83">
        <f t="shared" si="0"/>
        <v>86.145056856268312</v>
      </c>
      <c r="K15" s="83">
        <f>IF('Criteria results'!$F$5=4,K$11+'Input data'!C75,K$11)</f>
        <v>86.34726643202589</v>
      </c>
      <c r="L15" s="83">
        <f>IF('Criteria results'!$F$5=4,L$11+'Input data'!D75,L$11)</f>
        <v>86.468995590643061</v>
      </c>
      <c r="M15" s="83">
        <f>IF('Criteria results'!$F$5=4,M$11+'Input data'!E75,M$11)</f>
        <v>86.939180456571577</v>
      </c>
      <c r="N15" s="83">
        <f>IF('Criteria results'!$F$5=4,N$11+'Input data'!F75,N$11+'Input data'!C75)</f>
        <v>84.996311145656605</v>
      </c>
      <c r="O15" s="83">
        <f>IF('Criteria results'!$F$5=4,O$11+'Input data'!G75,O$11+'Input data'!D75)</f>
        <v>84.264448028419139</v>
      </c>
      <c r="P15" s="83">
        <f>IF('Criteria results'!$F$5=4,"",Stochastic!P$11+'Input data'!E75)</f>
        <v>83.574267514808042</v>
      </c>
      <c r="Q15" s="83">
        <f>IF('Criteria results'!$F$5=4,"",Stochastic!Q$11+'Input data'!F75)</f>
        <v>82.953702262245798</v>
      </c>
      <c r="R15" s="83">
        <f>IF('Criteria results'!$F$5=4,"",Stochastic!R$11+'Input data'!G75)</f>
        <v>82.371634804423749</v>
      </c>
    </row>
    <row r="16" spans="1:50" x14ac:dyDescent="0.2">
      <c r="B16" s="5" t="s">
        <v>189</v>
      </c>
      <c r="C16" s="83">
        <f>C$11</f>
        <v>72.584819999999993</v>
      </c>
      <c r="D16" s="83">
        <f t="shared" si="0"/>
        <v>73.511610584961744</v>
      </c>
      <c r="E16" s="83">
        <f t="shared" si="0"/>
        <v>76.572506382321123</v>
      </c>
      <c r="F16" s="83">
        <f t="shared" si="0"/>
        <v>81.669832373893243</v>
      </c>
      <c r="G16" s="83">
        <f t="shared" si="0"/>
        <v>83.193157241487697</v>
      </c>
      <c r="H16" s="83">
        <f t="shared" si="0"/>
        <v>84.556754593314608</v>
      </c>
      <c r="I16" s="83">
        <f t="shared" si="0"/>
        <v>85.459120171217933</v>
      </c>
      <c r="J16" s="83">
        <f t="shared" si="0"/>
        <v>86.145056856268312</v>
      </c>
      <c r="K16" s="83">
        <f>K11</f>
        <v>86.34726643202589</v>
      </c>
      <c r="L16" s="83">
        <f>L11</f>
        <v>86.468995590643061</v>
      </c>
      <c r="M16" s="83">
        <f>M11</f>
        <v>86.939180456571577</v>
      </c>
      <c r="N16" s="83">
        <f>N11</f>
        <v>87.323596912258168</v>
      </c>
      <c r="O16" s="83">
        <f>O11</f>
        <v>87.460515838477733</v>
      </c>
      <c r="P16" s="83">
        <f>IF('Criteria results'!$F$5=4,"",Stochastic!P$11)</f>
        <v>87.415515073401792</v>
      </c>
      <c r="Q16" s="83">
        <f>IF('Criteria results'!$F$5=4,"",Stochastic!Q$11)</f>
        <v>87.391049674355173</v>
      </c>
      <c r="R16" s="83">
        <f>IF('Criteria results'!$F$5=4,"",Stochastic!R$11)</f>
        <v>87.242385231669843</v>
      </c>
    </row>
    <row r="17" spans="2:18" x14ac:dyDescent="0.2">
      <c r="B17" s="5" t="s">
        <v>155</v>
      </c>
      <c r="C17" s="83">
        <f>C$11</f>
        <v>72.584819999999993</v>
      </c>
      <c r="D17" s="83">
        <f t="shared" si="0"/>
        <v>73.511610584961744</v>
      </c>
      <c r="E17" s="83">
        <f t="shared" si="0"/>
        <v>76.572506382321123</v>
      </c>
      <c r="F17" s="83">
        <f t="shared" si="0"/>
        <v>81.669832373893243</v>
      </c>
      <c r="G17" s="83">
        <f t="shared" si="0"/>
        <v>83.193157241487697</v>
      </c>
      <c r="H17" s="83">
        <f t="shared" si="0"/>
        <v>84.556754593314608</v>
      </c>
      <c r="I17" s="83">
        <f t="shared" si="0"/>
        <v>85.459120171217933</v>
      </c>
      <c r="J17" s="83">
        <f t="shared" si="0"/>
        <v>86.145056856268312</v>
      </c>
      <c r="K17" s="83">
        <f>IF('Criteria results'!$F$5=4,K$11+'Input data'!C76,K$11)</f>
        <v>86.34726643202589</v>
      </c>
      <c r="L17" s="83">
        <f>IF('Criteria results'!$F$5=4,L$11+'Input data'!D76,L$11)</f>
        <v>86.468995590643061</v>
      </c>
      <c r="M17" s="83">
        <f>IF('Criteria results'!$F$5=4,M$11+'Input data'!E76,M$11)</f>
        <v>86.939180456571577</v>
      </c>
      <c r="N17" s="83">
        <f>IF('Criteria results'!$F$5=4,N$11+'Input data'!F76,N$11+'Input data'!C76)</f>
        <v>89.661350208156605</v>
      </c>
      <c r="O17" s="83">
        <f>IF('Criteria results'!$F$5=4,O$11+'Input data'!G76,O$11+'Input data'!D76)</f>
        <v>90.635358672950389</v>
      </c>
      <c r="P17" s="83">
        <f>IF('Criteria results'!$F$5=4,"",Stochastic!P$11+'Input data'!E76)</f>
        <v>91.268946775061949</v>
      </c>
      <c r="Q17" s="83">
        <f>IF('Criteria results'!$F$5=4,"",Stochastic!Q$11+'Input data'!F76)</f>
        <v>92.120122245155954</v>
      </c>
      <c r="R17" s="83">
        <f>IF('Criteria results'!$F$5=4,"",Stochastic!R$11+'Input data'!G76)</f>
        <v>92.408828102763593</v>
      </c>
    </row>
    <row r="18" spans="2:18" x14ac:dyDescent="0.2">
      <c r="B18" s="5" t="s">
        <v>156</v>
      </c>
      <c r="C18" s="83">
        <f>C$11</f>
        <v>72.584819999999993</v>
      </c>
      <c r="D18" s="83">
        <f t="shared" si="0"/>
        <v>73.511610584961744</v>
      </c>
      <c r="E18" s="83">
        <f t="shared" si="0"/>
        <v>76.572506382321123</v>
      </c>
      <c r="F18" s="83">
        <f t="shared" si="0"/>
        <v>81.669832373893243</v>
      </c>
      <c r="G18" s="83">
        <f t="shared" si="0"/>
        <v>83.193157241487697</v>
      </c>
      <c r="H18" s="83">
        <f t="shared" si="0"/>
        <v>84.556754593314608</v>
      </c>
      <c r="I18" s="83">
        <f t="shared" si="0"/>
        <v>85.459120171217933</v>
      </c>
      <c r="J18" s="83">
        <f t="shared" si="0"/>
        <v>86.145056856268312</v>
      </c>
      <c r="K18" s="83">
        <f>IF('Criteria results'!$F$5=4,K$11+'Input data'!C77,K$11)</f>
        <v>86.34726643202589</v>
      </c>
      <c r="L18" s="83">
        <f>IF('Criteria results'!$F$5=4,L$11+'Input data'!D77,L$11)</f>
        <v>86.468995590643061</v>
      </c>
      <c r="M18" s="83">
        <f>IF('Criteria results'!$F$5=4,M$11+'Input data'!E77,M$11)</f>
        <v>86.939180456571577</v>
      </c>
      <c r="N18" s="83">
        <f>IF('Criteria results'!$F$5=4,N$11+'Input data'!F77,N$11+'Input data'!C77)</f>
        <v>93.135654407375355</v>
      </c>
      <c r="O18" s="83">
        <f>IF('Criteria results'!$F$5=4,O$11+'Input data'!G77,O$11+'Input data'!D77)</f>
        <v>95.565809112403514</v>
      </c>
      <c r="P18" s="83">
        <f>IF('Criteria results'!$F$5=4,"",Stochastic!P$11+'Input data'!E77)</f>
        <v>97.187853940589292</v>
      </c>
      <c r="Q18" s="83">
        <f>IF('Criteria results'!$F$5=4,"",Stochastic!Q$11+'Input data'!F77)</f>
        <v>98.932454398476267</v>
      </c>
      <c r="R18" s="83">
        <f>IF('Criteria results'!$F$5=4,"",Stochastic!R$11+'Input data'!G77)</f>
        <v>100.13030179661125</v>
      </c>
    </row>
    <row r="20" spans="2:18" s="67" customFormat="1" ht="11.25" x14ac:dyDescent="0.2">
      <c r="B20" s="90" t="s">
        <v>157</v>
      </c>
    </row>
    <row r="21" spans="2:18" s="26" customFormat="1" x14ac:dyDescent="0.2">
      <c r="B21" s="81" t="str">
        <f>"Stochastic debt projections "&amp;E21&amp;"-"&amp;I21</f>
        <v>Stochastic debt projections 2032-2036</v>
      </c>
      <c r="C21" s="82">
        <f>IF('Criteria results'!$F$5=4,I10,L10)</f>
        <v>2030</v>
      </c>
      <c r="D21" s="82">
        <f>IF('Criteria results'!$F$5=4,J10,M10)</f>
        <v>2031</v>
      </c>
      <c r="E21" s="82">
        <f>IF('Criteria results'!$F$5=4,K10,N10)</f>
        <v>2032</v>
      </c>
      <c r="F21" s="82">
        <f>IF('Criteria results'!$F$5=4,L10,O10)</f>
        <v>2033</v>
      </c>
      <c r="G21" s="82">
        <f>IF('Criteria results'!$F$5=4,M10,P10)</f>
        <v>2034</v>
      </c>
      <c r="H21" s="82">
        <f>IF('Criteria results'!$F$5=4,N10,Q10)</f>
        <v>2035</v>
      </c>
      <c r="I21" s="82">
        <f>IF('Criteria results'!$F$5=4,O10,R10)</f>
        <v>2036</v>
      </c>
    </row>
    <row r="22" spans="2:18" x14ac:dyDescent="0.2">
      <c r="B22" s="5" t="s">
        <v>153</v>
      </c>
      <c r="C22" s="83">
        <f>IF('Criteria results'!$F$5=4,I$11,L$11)</f>
        <v>86.468995590643061</v>
      </c>
      <c r="D22" s="83">
        <f>IF('Criteria results'!$F$5=4,J$11,M$11)</f>
        <v>86.939180456571577</v>
      </c>
      <c r="E22" s="83">
        <f>IF('Criteria results'!$F$5=4,K$11+'Input data'!C74,N$11+'Input data'!C74)</f>
        <v>81.813678699367543</v>
      </c>
      <c r="F22" s="83">
        <f>IF('Criteria results'!$F$5=4,L$11+'Input data'!D74,O$11+'Input data'!D74)</f>
        <v>79.724927764747264</v>
      </c>
      <c r="G22" s="83">
        <f>IF('Criteria results'!$F$5=4,M$11+'Input data'!E74,P$11+'Input data'!E74)</f>
        <v>78.09469903336273</v>
      </c>
      <c r="H22" s="83">
        <f>IF('Criteria results'!$F$5=4,N$11+'Input data'!F74,Q$11+'Input data'!F74)</f>
        <v>76.641904166542673</v>
      </c>
      <c r="I22" s="83">
        <f>IF('Criteria results'!$F$5=4,O$11+'Input data'!G74,R$11+'Input data'!G74)</f>
        <v>75.631865822490155</v>
      </c>
      <c r="P22" s="83"/>
      <c r="Q22" s="83"/>
      <c r="R22" s="83"/>
    </row>
    <row r="23" spans="2:18" x14ac:dyDescent="0.2">
      <c r="B23" s="5" t="s">
        <v>158</v>
      </c>
      <c r="C23" s="83">
        <v>0</v>
      </c>
      <c r="D23" s="83">
        <v>0</v>
      </c>
      <c r="E23" s="83">
        <f>'Input data'!C75-'Input data'!C74</f>
        <v>3.1826324462890625</v>
      </c>
      <c r="F23" s="83">
        <f>'Input data'!D75-'Input data'!D74</f>
        <v>4.539520263671875</v>
      </c>
      <c r="G23" s="83">
        <f>'Input data'!E75-'Input data'!E74</f>
        <v>5.4795684814453125</v>
      </c>
      <c r="H23" s="83">
        <f>'Input data'!F75-'Input data'!F74</f>
        <v>6.311798095703125</v>
      </c>
      <c r="I23" s="83">
        <f>'Input data'!G75-'Input data'!G74</f>
        <v>6.7397689819335938</v>
      </c>
      <c r="P23" s="83"/>
      <c r="Q23" s="83"/>
      <c r="R23" s="83"/>
    </row>
    <row r="24" spans="2:18" x14ac:dyDescent="0.2">
      <c r="B24" s="5" t="s">
        <v>159</v>
      </c>
      <c r="C24" s="83">
        <v>0</v>
      </c>
      <c r="D24" s="83">
        <v>0</v>
      </c>
      <c r="E24" s="83">
        <f>-'Input data'!C75</f>
        <v>2.3272857666015625</v>
      </c>
      <c r="F24" s="83">
        <f>-'Input data'!D75</f>
        <v>3.1960678100585938</v>
      </c>
      <c r="G24" s="83">
        <f>-'Input data'!E75</f>
        <v>3.84124755859375</v>
      </c>
      <c r="H24" s="83">
        <f>-'Input data'!F75</f>
        <v>4.437347412109375</v>
      </c>
      <c r="I24" s="83">
        <f>-'Input data'!G75</f>
        <v>4.8707504272460938</v>
      </c>
      <c r="P24" s="83"/>
      <c r="Q24" s="83"/>
      <c r="R24" s="83"/>
    </row>
    <row r="25" spans="2:18" x14ac:dyDescent="0.2">
      <c r="B25" s="5" t="s">
        <v>160</v>
      </c>
      <c r="C25" s="83">
        <v>0</v>
      </c>
      <c r="D25" s="83">
        <v>0</v>
      </c>
      <c r="E25" s="83">
        <f>'Input data'!C76</f>
        <v>2.3377532958984375</v>
      </c>
      <c r="F25" s="83">
        <f>'Input data'!D76</f>
        <v>3.1748428344726563</v>
      </c>
      <c r="G25" s="83">
        <f>'Input data'!E76</f>
        <v>3.8534317016601563</v>
      </c>
      <c r="H25" s="83">
        <f>'Input data'!F76</f>
        <v>4.7290725708007813</v>
      </c>
      <c r="I25" s="83">
        <f>'Input data'!G76</f>
        <v>5.16644287109375</v>
      </c>
      <c r="P25" s="83"/>
      <c r="Q25" s="83"/>
      <c r="R25" s="83"/>
    </row>
    <row r="26" spans="2:18" x14ac:dyDescent="0.2">
      <c r="B26" s="5" t="s">
        <v>161</v>
      </c>
      <c r="C26" s="83">
        <v>0</v>
      </c>
      <c r="D26" s="83">
        <v>0</v>
      </c>
      <c r="E26" s="83">
        <f>'Input data'!C77-'Input data'!C76</f>
        <v>3.47430419921875</v>
      </c>
      <c r="F26" s="83">
        <f>'Input data'!D77-'Input data'!D76</f>
        <v>4.930450439453125</v>
      </c>
      <c r="G26" s="83">
        <f>'Input data'!E77-'Input data'!E76</f>
        <v>5.9189071655273438</v>
      </c>
      <c r="H26" s="83">
        <f>'Input data'!F77-'Input data'!F76</f>
        <v>6.8123321533203125</v>
      </c>
      <c r="I26" s="83">
        <f>'Input data'!G77-'Input data'!G76</f>
        <v>7.7214736938476563</v>
      </c>
      <c r="P26" s="83"/>
      <c r="Q26" s="83"/>
      <c r="R26" s="83"/>
    </row>
    <row r="27" spans="2:18" x14ac:dyDescent="0.2">
      <c r="B27" s="5" t="s">
        <v>153</v>
      </c>
      <c r="C27" s="83">
        <f>IF('Criteria results'!$F$5=4,I$11,L$11)</f>
        <v>86.468995590643061</v>
      </c>
      <c r="D27" s="83">
        <f>IF('Criteria results'!$F$5=4,J$11,M$11)</f>
        <v>86.939180456571577</v>
      </c>
      <c r="E27" s="83">
        <f>IF('Criteria results'!$F$5=4,K$11+'Input data'!C74,N$11+'Input data'!C74)</f>
        <v>81.813678699367543</v>
      </c>
      <c r="F27" s="83">
        <f>IF('Criteria results'!$F$5=4,L$11+'Input data'!D74,O$11+'Input data'!D74)</f>
        <v>79.724927764747264</v>
      </c>
      <c r="G27" s="83">
        <f>IF('Criteria results'!$F$5=4,M$11+'Input data'!E74,P$11+'Input data'!E74)</f>
        <v>78.09469903336273</v>
      </c>
      <c r="H27" s="83">
        <f>IF('Criteria results'!$F$5=4,N$11+'Input data'!F74,Q$11+'Input data'!F74)</f>
        <v>76.641904166542673</v>
      </c>
      <c r="I27" s="83">
        <f>IF('Criteria results'!$F$5=4,O$11+'Input data'!G74,R$11+'Input data'!G74)</f>
        <v>75.631865822490155</v>
      </c>
    </row>
    <row r="28" spans="2:18" x14ac:dyDescent="0.2">
      <c r="B28" s="5" t="s">
        <v>154</v>
      </c>
      <c r="C28" s="83">
        <f>IF('Criteria results'!$F$5=4,I$11,L$11)</f>
        <v>86.468995590643061</v>
      </c>
      <c r="D28" s="83">
        <f>IF('Criteria results'!$F$5=4,J$11,M$11)</f>
        <v>86.939180456571577</v>
      </c>
      <c r="E28" s="83">
        <f>IF('Criteria results'!$F$5=4,K$11+'Input data'!C75,N$11+'Input data'!C75)</f>
        <v>84.996311145656605</v>
      </c>
      <c r="F28" s="83">
        <f>IF('Criteria results'!$F$5=4,L$11+'Input data'!D75,O$11+'Input data'!D75)</f>
        <v>84.264448028419139</v>
      </c>
      <c r="G28" s="83">
        <f>IF('Criteria results'!$F$5=4,M$11+'Input data'!E75,P$11+'Input data'!E75)</f>
        <v>83.574267514808042</v>
      </c>
      <c r="H28" s="83">
        <f>IF('Criteria results'!$F$5=4,N$11+'Input data'!F75,Q$11+'Input data'!F75)</f>
        <v>82.953702262245798</v>
      </c>
      <c r="I28" s="83">
        <f>IF('Criteria results'!$F$5=4,O$11+'Input data'!G75,R$11+'Input data'!G75)</f>
        <v>82.371634804423749</v>
      </c>
      <c r="P28" s="83"/>
      <c r="Q28" s="83"/>
      <c r="R28" s="83"/>
    </row>
    <row r="29" spans="2:18" x14ac:dyDescent="0.2">
      <c r="B29" s="5" t="s">
        <v>162</v>
      </c>
      <c r="C29" s="83">
        <f>IF('Criteria results'!$F$5=4,I$11,L$11)</f>
        <v>86.468995590643061</v>
      </c>
      <c r="D29" s="83">
        <f>IF('Criteria results'!$F$5=4,J$11,M$11)</f>
        <v>86.939180456571577</v>
      </c>
      <c r="E29" s="83">
        <f>IF('Criteria results'!$F$5=4,K$11,N$11)</f>
        <v>87.323596912258168</v>
      </c>
      <c r="F29" s="83">
        <f>IF('Criteria results'!$F$5=4,L$11,O$11)</f>
        <v>87.460515838477733</v>
      </c>
      <c r="G29" s="83">
        <f>IF('Criteria results'!$F$5=4,M$11,P$11)</f>
        <v>87.415515073401792</v>
      </c>
      <c r="H29" s="83">
        <f>IF('Criteria results'!$F$5=4,N$11,Q$11)</f>
        <v>87.391049674355173</v>
      </c>
      <c r="I29" s="83">
        <f>IF('Criteria results'!$F$5=4,O$11,R$11)</f>
        <v>87.242385231669843</v>
      </c>
      <c r="P29" s="83"/>
      <c r="Q29" s="83"/>
      <c r="R29" s="83"/>
    </row>
    <row r="30" spans="2:18" x14ac:dyDescent="0.2">
      <c r="B30" s="5" t="s">
        <v>155</v>
      </c>
      <c r="C30" s="83">
        <f>IF('Criteria results'!$F$5=4,I$11,L$11)</f>
        <v>86.468995590643061</v>
      </c>
      <c r="D30" s="83">
        <f>IF('Criteria results'!$F$5=4,J$11,M$11)</f>
        <v>86.939180456571577</v>
      </c>
      <c r="E30" s="83">
        <f>IF('Criteria results'!$F$5=4,K$11+'Input data'!C76,N$11+'Input data'!C76)</f>
        <v>89.661350208156605</v>
      </c>
      <c r="F30" s="83">
        <f>IF('Criteria results'!$F$5=4,L$11+'Input data'!D76,O$11+'Input data'!D76)</f>
        <v>90.635358672950389</v>
      </c>
      <c r="G30" s="83">
        <f>IF('Criteria results'!$F$5=4,M$11+'Input data'!E76,P$11+'Input data'!E76)</f>
        <v>91.268946775061949</v>
      </c>
      <c r="H30" s="83">
        <f>IF('Criteria results'!$F$5=4,N$11+'Input data'!F76,Q$11+'Input data'!F76)</f>
        <v>92.120122245155954</v>
      </c>
      <c r="I30" s="83">
        <f>IF('Criteria results'!$F$5=4,O$11+'Input data'!G76,R$11+'Input data'!G76)</f>
        <v>92.408828102763593</v>
      </c>
      <c r="J30" s="83"/>
      <c r="K30" s="83"/>
      <c r="L30" s="83"/>
      <c r="M30" s="83"/>
      <c r="N30" s="83"/>
      <c r="O30" s="83"/>
    </row>
    <row r="31" spans="2:18" x14ac:dyDescent="0.2">
      <c r="B31" s="5" t="s">
        <v>156</v>
      </c>
      <c r="C31" s="83">
        <f>IF('Criteria results'!$F$5=4,I$11,L$11)</f>
        <v>86.468995590643061</v>
      </c>
      <c r="D31" s="83">
        <f>IF('Criteria results'!$F$5=4,J$11,M$11)</f>
        <v>86.939180456571577</v>
      </c>
      <c r="E31" s="83">
        <f>IF('Criteria results'!$F$5=4,K$11+'Input data'!C77,N$11+'Input data'!C77)</f>
        <v>93.135654407375355</v>
      </c>
      <c r="F31" s="83">
        <f>IF('Criteria results'!$F$5=4,L$11+'Input data'!D77,O$11+'Input data'!D77)</f>
        <v>95.565809112403514</v>
      </c>
      <c r="G31" s="83">
        <f>IF('Criteria results'!$F$5=4,M$11+'Input data'!E77,P$11+'Input data'!E77)</f>
        <v>97.187853940589292</v>
      </c>
      <c r="H31" s="83">
        <f>IF('Criteria results'!$F$5=4,N$11+'Input data'!F77,Q$11+'Input data'!F77)</f>
        <v>98.932454398476267</v>
      </c>
      <c r="I31" s="83">
        <f>IF('Criteria results'!$F$5=4,O$11+'Input data'!G77,R$11+'Input data'!G77)</f>
        <v>100.13030179661125</v>
      </c>
    </row>
  </sheetData>
  <pageMargins left="0.7" right="0.7" top="0.75" bottom="0.75" header="0.3" footer="0.3"/>
  <pageSetup paperSize="9" orientation="portrait" r:id="rId1"/>
  <ignoredErrors>
    <ignoredError sqref="C5:C6" unlocked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FD891-C40B-4DD5-A43C-645C26D0DC6D}">
  <sheetPr codeName="Sheet22">
    <tabColor rgb="FF7030A0"/>
  </sheetPr>
  <dimension ref="A1:Y63"/>
  <sheetViews>
    <sheetView zoomScale="90" zoomScaleNormal="90" workbookViewId="0"/>
  </sheetViews>
  <sheetFormatPr defaultRowHeight="12.75" x14ac:dyDescent="0.2"/>
  <cols>
    <col min="2" max="2" width="4.5703125" customWidth="1"/>
    <col min="3" max="3" width="67" customWidth="1"/>
    <col min="4" max="4" width="16.5703125" customWidth="1"/>
    <col min="5" max="5" width="13.7109375" customWidth="1"/>
    <col min="6" max="24" width="10.7109375" customWidth="1"/>
  </cols>
  <sheetData>
    <row r="1" spans="1:25" x14ac:dyDescent="0.2">
      <c r="A1" s="5"/>
      <c r="B1" s="5"/>
      <c r="C1" s="5"/>
      <c r="D1" s="5"/>
      <c r="E1" s="5"/>
      <c r="F1" s="5"/>
      <c r="G1" s="5"/>
      <c r="H1" s="5"/>
      <c r="I1" s="5"/>
      <c r="J1" s="5"/>
      <c r="K1" s="5"/>
      <c r="L1" s="5"/>
      <c r="M1" s="5"/>
      <c r="N1" s="5"/>
      <c r="O1" s="5"/>
      <c r="P1" s="5"/>
      <c r="Q1" s="5"/>
      <c r="R1" s="5"/>
      <c r="S1" s="5"/>
      <c r="T1" s="5"/>
      <c r="U1" s="5"/>
      <c r="V1" s="5"/>
      <c r="W1" s="5"/>
      <c r="X1" s="5"/>
      <c r="Y1" s="5"/>
    </row>
    <row r="2" spans="1:25" x14ac:dyDescent="0.2">
      <c r="A2" s="5"/>
      <c r="B2" s="331"/>
      <c r="C2" s="332" t="s">
        <v>219</v>
      </c>
      <c r="D2" s="333"/>
      <c r="E2" s="333"/>
      <c r="F2" s="333"/>
      <c r="G2" s="349"/>
      <c r="H2" s="349"/>
      <c r="I2" s="349"/>
      <c r="J2" s="349"/>
      <c r="K2" s="5"/>
      <c r="L2" s="5"/>
      <c r="M2" s="5"/>
      <c r="N2" s="5"/>
      <c r="O2" s="5"/>
      <c r="P2" s="5"/>
      <c r="Q2" s="5"/>
      <c r="R2" s="5"/>
      <c r="S2" s="5"/>
      <c r="T2" s="5"/>
      <c r="U2" s="5"/>
      <c r="V2" s="5"/>
      <c r="W2" s="5"/>
      <c r="X2" s="5"/>
      <c r="Y2" s="5"/>
    </row>
    <row r="3" spans="1:25" x14ac:dyDescent="0.2">
      <c r="A3" s="5"/>
      <c r="B3" s="328"/>
      <c r="C3" s="349"/>
      <c r="D3" s="349"/>
      <c r="E3" s="349"/>
      <c r="F3" s="349"/>
      <c r="G3" s="349"/>
      <c r="H3" s="349"/>
      <c r="I3" s="349"/>
      <c r="J3" s="349"/>
      <c r="K3" s="5"/>
      <c r="L3" s="5"/>
      <c r="M3" s="5"/>
      <c r="N3" s="5"/>
      <c r="O3" s="5"/>
      <c r="P3" s="5"/>
      <c r="Q3" s="5"/>
      <c r="R3" s="5"/>
      <c r="S3" s="5"/>
      <c r="T3" s="5"/>
      <c r="U3" s="5"/>
      <c r="V3" s="5"/>
      <c r="W3" s="5"/>
      <c r="X3" s="5"/>
      <c r="Y3" s="5"/>
    </row>
    <row r="4" spans="1:25" x14ac:dyDescent="0.2">
      <c r="A4" s="5"/>
      <c r="B4" s="334"/>
      <c r="C4" s="332"/>
      <c r="D4" s="335" t="s">
        <v>240</v>
      </c>
      <c r="E4" s="336">
        <f>F4-1</f>
        <v>2022</v>
      </c>
      <c r="F4" s="337">
        <f>'Input data'!$C$5-1</f>
        <v>2023</v>
      </c>
      <c r="G4" s="337">
        <f>F4+1</f>
        <v>2024</v>
      </c>
      <c r="H4" s="337">
        <f t="shared" ref="H4:X4" si="0">G4+1</f>
        <v>2025</v>
      </c>
      <c r="I4" s="337">
        <f t="shared" si="0"/>
        <v>2026</v>
      </c>
      <c r="J4" s="337">
        <f t="shared" si="0"/>
        <v>2027</v>
      </c>
      <c r="K4" s="337">
        <f t="shared" si="0"/>
        <v>2028</v>
      </c>
      <c r="L4" s="337">
        <f t="shared" si="0"/>
        <v>2029</v>
      </c>
      <c r="M4" s="337">
        <f t="shared" si="0"/>
        <v>2030</v>
      </c>
      <c r="N4" s="337">
        <f t="shared" si="0"/>
        <v>2031</v>
      </c>
      <c r="O4" s="337">
        <f t="shared" si="0"/>
        <v>2032</v>
      </c>
      <c r="P4" s="337">
        <f t="shared" si="0"/>
        <v>2033</v>
      </c>
      <c r="Q4" s="337">
        <f t="shared" si="0"/>
        <v>2034</v>
      </c>
      <c r="R4" s="337">
        <f t="shared" si="0"/>
        <v>2035</v>
      </c>
      <c r="S4" s="337">
        <f t="shared" si="0"/>
        <v>2036</v>
      </c>
      <c r="T4" s="337">
        <f t="shared" si="0"/>
        <v>2037</v>
      </c>
      <c r="U4" s="337">
        <f t="shared" si="0"/>
        <v>2038</v>
      </c>
      <c r="V4" s="337">
        <f t="shared" si="0"/>
        <v>2039</v>
      </c>
      <c r="W4" s="337">
        <f t="shared" si="0"/>
        <v>2040</v>
      </c>
      <c r="X4" s="337">
        <f t="shared" si="0"/>
        <v>2041</v>
      </c>
      <c r="Y4" s="5"/>
    </row>
    <row r="5" spans="1:25" x14ac:dyDescent="0.2">
      <c r="A5" s="5"/>
      <c r="B5" s="334">
        <v>1</v>
      </c>
      <c r="C5" s="338" t="s">
        <v>220</v>
      </c>
      <c r="D5" s="339">
        <v>57</v>
      </c>
      <c r="E5" s="340" t="s">
        <v>221</v>
      </c>
      <c r="F5" s="327">
        <f ca="1">INDEX(OFFSET('VM suunnitelma'!$D$1:$W$1,$D5-1,0),MATCH(F$4,'VM suunnitelma'!$D$10:$W$10,0))</f>
        <v>76.572506382321123</v>
      </c>
      <c r="G5" s="327">
        <f ca="1">INDEX(OFFSET('VM suunnitelma'!$D$1:$W$1,$D5-1,0),MATCH(G$4,'VM suunnitelma'!$D$10:$W$10,0))</f>
        <v>81.669832373893243</v>
      </c>
      <c r="H5" s="327">
        <f ca="1">INDEX(OFFSET('VM suunnitelma'!$D$1:$W$1,$D5-1,0),MATCH(H$4,'VM suunnitelma'!$D$10:$W$10,0))</f>
        <v>83.200765726871722</v>
      </c>
      <c r="I5" s="327">
        <f ca="1">INDEX(OFFSET('VM suunnitelma'!$D$1:$W$1,$D5-1,0),MATCH(I$4,'VM suunnitelma'!$D$10:$W$10,0))</f>
        <v>83.905617226229836</v>
      </c>
      <c r="J5" s="327">
        <f ca="1">INDEX(OFFSET('VM suunnitelma'!$D$1:$W$1,$D5-1,0),MATCH(J$4,'VM suunnitelma'!$D$10:$W$10,0))</f>
        <v>83.611302840545278</v>
      </c>
      <c r="K5" s="327">
        <f ca="1">INDEX(OFFSET('VM suunnitelma'!$D$1:$W$1,$D5-1,0),MATCH(K$4,'VM suunnitelma'!$D$10:$W$10,0))</f>
        <v>82.882428589420286</v>
      </c>
      <c r="L5" s="327">
        <f ca="1">INDEX(OFFSET('VM suunnitelma'!$D$1:$W$1,$D5-1,0),MATCH(L$4,'VM suunnitelma'!$D$10:$W$10,0))</f>
        <v>81.411608300186288</v>
      </c>
      <c r="M5" s="327">
        <f ca="1">INDEX(OFFSET('VM suunnitelma'!$D$1:$W$1,$D5-1,0),MATCH(M$4,'VM suunnitelma'!$D$10:$W$10,0))</f>
        <v>79.680213463441049</v>
      </c>
      <c r="N5" s="327">
        <f ca="1">INDEX(OFFSET('VM suunnitelma'!$D$1:$W$1,$D5-1,0),MATCH(N$4,'VM suunnitelma'!$D$10:$W$10,0))</f>
        <v>78.119823634032073</v>
      </c>
      <c r="O5" s="327">
        <f ca="1">INDEX(OFFSET('VM suunnitelma'!$D$1:$W$1,$D5-1,0),MATCH(O$4,'VM suunnitelma'!$D$10:$W$10,0))</f>
        <v>76.305685259611082</v>
      </c>
      <c r="P5" s="327">
        <f ca="1">INDEX(OFFSET('VM suunnitelma'!$D$1:$W$1,$D5-1,0),MATCH(P$4,'VM suunnitelma'!$D$10:$W$10,0))</f>
        <v>74.172962826336715</v>
      </c>
      <c r="Q5" s="327">
        <f ca="1">INDEX(OFFSET('VM suunnitelma'!$D$1:$W$1,$D5-1,0),MATCH(Q$4,'VM suunnitelma'!$D$10:$W$10,0))</f>
        <v>71.779246762511292</v>
      </c>
      <c r="R5" s="327">
        <f ca="1">INDEX(OFFSET('VM suunnitelma'!$D$1:$W$1,$D5-1,0),MATCH(R$4,'VM suunnitelma'!$D$10:$W$10,0))</f>
        <v>69.501953123410331</v>
      </c>
      <c r="S5" s="327">
        <f ca="1">INDEX(OFFSET('VM suunnitelma'!$D$1:$W$1,$D5-1,0),MATCH(S$4,'VM suunnitelma'!$D$10:$W$10,0))</f>
        <v>67.099087240745945</v>
      </c>
      <c r="T5" s="327">
        <f ca="1">INDEX(OFFSET('VM suunnitelma'!$D$1:$W$1,$D5-1,0),MATCH(T$4,'VM suunnitelma'!$D$10:$W$10,0))</f>
        <v>64.549158046107493</v>
      </c>
      <c r="U5" s="327">
        <f ca="1">INDEX(OFFSET('VM suunnitelma'!$D$1:$W$1,$D5-1,0),MATCH(U$4,'VM suunnitelma'!$D$10:$W$10,0))</f>
        <v>61.834612929558347</v>
      </c>
      <c r="V5" s="327">
        <f ca="1">INDEX(OFFSET('VM suunnitelma'!$D$1:$W$1,$D5-1,0),MATCH(V$4,'VM suunnitelma'!$D$10:$W$10,0))</f>
        <v>58.939595673664421</v>
      </c>
      <c r="W5" s="327">
        <f ca="1">INDEX(OFFSET('VM suunnitelma'!$D$1:$W$1,$D5-1,0),MATCH(W$4,'VM suunnitelma'!$D$10:$W$10,0))</f>
        <v>55.863558414330043</v>
      </c>
      <c r="X5" s="327">
        <f ca="1">INDEX(OFFSET('VM suunnitelma'!$D$1:$W$1,$D5-1,0),MATCH(X$4,'VM suunnitelma'!$D$10:$W$10,0))</f>
        <v>52.621468714687694</v>
      </c>
      <c r="Y5" s="5"/>
    </row>
    <row r="6" spans="1:25" x14ac:dyDescent="0.2">
      <c r="A6" s="5"/>
      <c r="B6" s="334">
        <v>2</v>
      </c>
      <c r="C6" s="338" t="s">
        <v>222</v>
      </c>
      <c r="D6" s="339">
        <v>77</v>
      </c>
      <c r="E6" s="340" t="s">
        <v>221</v>
      </c>
      <c r="F6" s="327">
        <f ca="1">INDEX(OFFSET('VM suunnitelma'!$D$1:$W$1,$D6-1,0),MATCH(F$4,'VM suunnitelma'!$D$10:$W$10,0))</f>
        <v>-2.8496327454028076</v>
      </c>
      <c r="G6" s="327">
        <f ca="1">INDEX(OFFSET('VM suunnitelma'!$D$1:$W$1,$D6-1,0),MATCH(G$4,'VM suunnitelma'!$D$10:$W$10,0))</f>
        <v>-3.6595635384782375</v>
      </c>
      <c r="H6" s="327">
        <f ca="1">INDEX(OFFSET('VM suunnitelma'!$D$1:$W$1,$D6-1,0),MATCH(H$4,'VM suunnitelma'!$D$10:$W$10,0))</f>
        <v>-2.9202415538710049</v>
      </c>
      <c r="I6" s="327">
        <f ca="1">INDEX(OFFSET('VM suunnitelma'!$D$1:$W$1,$D6-1,0),MATCH(I$4,'VM suunnitelma'!$D$10:$W$10,0))</f>
        <v>-2.0076213496286237</v>
      </c>
      <c r="J6" s="327">
        <f ca="1">INDEX(OFFSET('VM suunnitelma'!$D$1:$W$1,$D6-1,0),MATCH(J$4,'VM suunnitelma'!$D$10:$W$10,0))</f>
        <v>-1.3908754224742164</v>
      </c>
      <c r="K6" s="327">
        <f ca="1">INDEX(OFFSET('VM suunnitelma'!$D$1:$W$1,$D6-1,0),MATCH(K$4,'VM suunnitelma'!$D$10:$W$10,0))</f>
        <v>-0.85044624944156955</v>
      </c>
      <c r="L6" s="327">
        <f ca="1">INDEX(OFFSET('VM suunnitelma'!$D$1:$W$1,$D6-1,0),MATCH(L$4,'VM suunnitelma'!$D$10:$W$10,0))</f>
        <v>-0.41421773999151257</v>
      </c>
      <c r="M6" s="327">
        <f ca="1">INDEX(OFFSET('VM suunnitelma'!$D$1:$W$1,$D6-1,0),MATCH(M$4,'VM suunnitelma'!$D$10:$W$10,0))</f>
        <v>-1.6956047707136879E-2</v>
      </c>
      <c r="N6" s="327">
        <f ca="1">INDEX(OFFSET('VM suunnitelma'!$D$1:$W$1,$D6-1,0),MATCH(N$4,'VM suunnitelma'!$D$10:$W$10,0))</f>
        <v>0.34953591789372385</v>
      </c>
      <c r="O6" s="327">
        <f ca="1">INDEX(OFFSET('VM suunnitelma'!$D$1:$W$1,$D6-1,0),MATCH(O$4,'VM suunnitelma'!$D$10:$W$10,0))</f>
        <v>0.50176640456126642</v>
      </c>
      <c r="P6" s="327">
        <f ca="1">INDEX(OFFSET('VM suunnitelma'!$D$1:$W$1,$D6-1,0),MATCH(P$4,'VM suunnitelma'!$D$10:$W$10,0))</f>
        <v>0.69717303096443328</v>
      </c>
      <c r="Q6" s="327">
        <f ca="1">INDEX(OFFSET('VM suunnitelma'!$D$1:$W$1,$D6-1,0),MATCH(Q$4,'VM suunnitelma'!$D$10:$W$10,0))</f>
        <v>0.90387859699517037</v>
      </c>
      <c r="R6" s="327">
        <f ca="1">INDEX(OFFSET('VM suunnitelma'!$D$1:$W$1,$D6-1,0),MATCH(R$4,'VM suunnitelma'!$D$10:$W$10,0))</f>
        <v>0.9495003548269989</v>
      </c>
      <c r="S6" s="327">
        <f ca="1">INDEX(OFFSET('VM suunnitelma'!$D$1:$W$1,$D6-1,0),MATCH(S$4,'VM suunnitelma'!$D$10:$W$10,0))</f>
        <v>1.0165065316056729</v>
      </c>
      <c r="T6" s="327">
        <f ca="1">INDEX(OFFSET('VM suunnitelma'!$D$1:$W$1,$D6-1,0),MATCH(T$4,'VM suunnitelma'!$D$10:$W$10,0))</f>
        <v>1.1079620017796479</v>
      </c>
      <c r="U6" s="327">
        <f ca="1">INDEX(OFFSET('VM suunnitelma'!$D$1:$W$1,$D6-1,0),MATCH(U$4,'VM suunnitelma'!$D$10:$W$10,0))</f>
        <v>1.2205206797811201</v>
      </c>
      <c r="V6" s="327">
        <f ca="1">INDEX(OFFSET('VM suunnitelma'!$D$1:$W$1,$D6-1,0),MATCH(V$4,'VM suunnitelma'!$D$10:$W$10,0))</f>
        <v>1.352949593635826</v>
      </c>
      <c r="W6" s="327">
        <f ca="1">INDEX(OFFSET('VM suunnitelma'!$D$1:$W$1,$D6-1,0),MATCH(W$4,'VM suunnitelma'!$D$10:$W$10,0))</f>
        <v>1.490309330959438</v>
      </c>
      <c r="X6" s="327">
        <f ca="1">INDEX(OFFSET('VM suunnitelma'!$D$1:$W$1,$D6-1,0),MATCH(X$4,'VM suunnitelma'!$D$10:$W$10,0))</f>
        <v>1.6169691993876132</v>
      </c>
      <c r="Y6" s="5"/>
    </row>
    <row r="7" spans="1:25" x14ac:dyDescent="0.2">
      <c r="A7" s="5"/>
      <c r="B7" s="334">
        <v>3</v>
      </c>
      <c r="C7" s="338" t="s">
        <v>40</v>
      </c>
      <c r="D7" s="339">
        <v>12</v>
      </c>
      <c r="E7" s="340" t="s">
        <v>223</v>
      </c>
      <c r="F7" s="327">
        <f ca="1">INDEX(OFFSET('VM suunnitelma'!$D$1:$W$1,$D7-1,0),MATCH(F$4,'VM suunnitelma'!$D$10:$W$10,0))</f>
        <v>-0.3391101166058319</v>
      </c>
      <c r="G7" s="327">
        <f ca="1">INDEX(OFFSET('VM suunnitelma'!$D$1:$W$1,$D7-1,0),MATCH(G$4,'VM suunnitelma'!$D$10:$W$10,0))</f>
        <v>-0.3744433445451063</v>
      </c>
      <c r="H7" s="327">
        <f ca="1">INDEX(OFFSET('VM suunnitelma'!$D$1:$W$1,$D7-1,0),MATCH(H$4,'VM suunnitelma'!$D$10:$W$10,0))</f>
        <v>0.44336499216821834</v>
      </c>
      <c r="I7" s="327">
        <f ca="1">INDEX(OFFSET('VM suunnitelma'!$D$1:$W$1,$D7-1,0),MATCH(I$4,'VM suunnitelma'!$D$10:$W$10,0))</f>
        <v>1.1033448931261973</v>
      </c>
      <c r="J7" s="327">
        <f ca="1">INDEX(OFFSET('VM suunnitelma'!$D$1:$W$1,$D7-1,0),MATCH(J$4,'VM suunnitelma'!$D$10:$W$10,0))</f>
        <v>1.423330146090432</v>
      </c>
      <c r="K7" s="327">
        <f ca="1">INDEX(OFFSET('VM suunnitelma'!$D$1:$W$1,$D7-1,0),MATCH(K$4,'VM suunnitelma'!$D$10:$W$10,0))</f>
        <v>1.7834653510414613</v>
      </c>
      <c r="L7" s="327">
        <f ca="1">INDEX(OFFSET('VM suunnitelma'!$D$1:$W$1,$D7-1,0),MATCH(L$4,'VM suunnitelma'!$D$10:$W$10,0))</f>
        <v>2.0633649921682187</v>
      </c>
      <c r="M7" s="327">
        <f ca="1">INDEX(OFFSET('VM suunnitelma'!$D$1:$W$1,$D7-1,0),MATCH(M$4,'VM suunnitelma'!$D$10:$W$10,0))</f>
        <v>2.3433649921682189</v>
      </c>
      <c r="N7" s="327">
        <f ca="1">INDEX(OFFSET('VM suunnitelma'!$D$1:$W$1,$D7-1,0),MATCH(N$4,'VM suunnitelma'!$D$10:$W$10,0))</f>
        <v>2.6233649921682192</v>
      </c>
      <c r="O7" s="327">
        <f ca="1">INDEX(OFFSET('VM suunnitelma'!$D$1:$W$1,$D7-1,0),MATCH(O$4,'VM suunnitelma'!$D$10:$W$10,0))</f>
        <v>2.6233649921682192</v>
      </c>
      <c r="P7" s="327">
        <f ca="1">INDEX(OFFSET('VM suunnitelma'!$D$1:$W$1,$D7-1,0),MATCH(P$4,'VM suunnitelma'!$D$10:$W$10,0))</f>
        <v>2.6233649921682192</v>
      </c>
      <c r="Q7" s="327">
        <f ca="1">INDEX(OFFSET('VM suunnitelma'!$D$1:$W$1,$D7-1,0),MATCH(Q$4,'VM suunnitelma'!$D$10:$W$10,0))</f>
        <v>2.6233649921682192</v>
      </c>
      <c r="R7" s="327">
        <f ca="1">INDEX(OFFSET('VM suunnitelma'!$D$1:$W$1,$D7-1,0),MATCH(R$4,'VM suunnitelma'!$D$10:$W$10,0))</f>
        <v>2.6233649921682192</v>
      </c>
      <c r="S7" s="327">
        <f ca="1">INDEX(OFFSET('VM suunnitelma'!$D$1:$W$1,$D7-1,0),MATCH(S$4,'VM suunnitelma'!$D$10:$W$10,0))</f>
        <v>2.6233649921682192</v>
      </c>
      <c r="T7" s="327">
        <f ca="1">INDEX(OFFSET('VM suunnitelma'!$D$1:$W$1,$D7-1,0),MATCH(T$4,'VM suunnitelma'!$D$10:$W$10,0))</f>
        <v>2.6233649921682192</v>
      </c>
      <c r="U7" s="327">
        <f ca="1">INDEX(OFFSET('VM suunnitelma'!$D$1:$W$1,$D7-1,0),MATCH(U$4,'VM suunnitelma'!$D$10:$W$10,0))</f>
        <v>2.6233649921682192</v>
      </c>
      <c r="V7" s="327">
        <f ca="1">INDEX(OFFSET('VM suunnitelma'!$D$1:$W$1,$D7-1,0),MATCH(V$4,'VM suunnitelma'!$D$10:$W$10,0))</f>
        <v>2.6233649921682192</v>
      </c>
      <c r="W7" s="327">
        <f ca="1">INDEX(OFFSET('VM suunnitelma'!$D$1:$W$1,$D7-1,0),MATCH(W$4,'VM suunnitelma'!$D$10:$W$10,0))</f>
        <v>2.6233649921682192</v>
      </c>
      <c r="X7" s="327">
        <f ca="1">INDEX(OFFSET('VM suunnitelma'!$D$1:$W$1,$D7-1,0),MATCH(X$4,'VM suunnitelma'!$D$10:$W$10,0))</f>
        <v>2.6233649921682192</v>
      </c>
      <c r="Y7" s="5"/>
    </row>
    <row r="8" spans="1:25" x14ac:dyDescent="0.2">
      <c r="A8" s="5"/>
      <c r="B8" s="334">
        <v>4</v>
      </c>
      <c r="C8" s="338" t="s">
        <v>224</v>
      </c>
      <c r="D8" s="339">
        <v>62</v>
      </c>
      <c r="E8" s="340" t="s">
        <v>223</v>
      </c>
      <c r="F8" s="327">
        <f ca="1">INDEX(OFFSET('VM suunnitelma'!$D$1:$W$1,$D8-1,0),MATCH(F$4,'VM suunnitelma'!$D$10:$W$10,0))</f>
        <v>1.3792226763121378</v>
      </c>
      <c r="G8" s="327">
        <f ca="1">INDEX(OFFSET('VM suunnitelma'!$D$1:$W$1,$D8-1,0),MATCH(G$4,'VM suunnitelma'!$D$10:$W$10,0))</f>
        <v>2.0304758386485537</v>
      </c>
      <c r="H8" s="327">
        <f ca="1">INDEX(OFFSET('VM suunnitelma'!$D$1:$W$1,$D8-1,0),MATCH(H$4,'VM suunnitelma'!$D$10:$W$10,0))</f>
        <v>1.8709053834614919</v>
      </c>
      <c r="I8" s="327">
        <f ca="1">INDEX(OFFSET('VM suunnitelma'!$D$1:$W$1,$D8-1,0),MATCH(I$4,'VM suunnitelma'!$D$10:$W$10,0))</f>
        <v>1.5235076865699388</v>
      </c>
      <c r="J8" s="327">
        <f ca="1">INDEX(OFFSET('VM suunnitelma'!$D$1:$W$1,$D8-1,0),MATCH(J$4,'VM suunnitelma'!$D$10:$W$10,0))</f>
        <v>1.1504289894595472</v>
      </c>
      <c r="K8" s="327">
        <f ca="1">INDEX(OFFSET('VM suunnitelma'!$D$1:$W$1,$D8-1,0),MATCH(K$4,'VM suunnitelma'!$D$10:$W$10,0))</f>
        <v>0.91961678947349534</v>
      </c>
      <c r="L8" s="327">
        <f ca="1">INDEX(OFFSET('VM suunnitelma'!$D$1:$W$1,$D8-1,0),MATCH(L$4,'VM suunnitelma'!$D$10:$W$10,0))</f>
        <v>0.73220954949892836</v>
      </c>
      <c r="M8" s="327">
        <f ca="1">INDEX(OFFSET('VM suunnitelma'!$D$1:$W$1,$D8-1,0),MATCH(M$4,'VM suunnitelma'!$D$10:$W$10,0))</f>
        <v>0.60770401371136296</v>
      </c>
      <c r="N8" s="327">
        <f ca="1">INDEX(OFFSET('VM suunnitelma'!$D$1:$W$1,$D8-1,0),MATCH(N$4,'VM suunnitelma'!$D$10:$W$10,0))</f>
        <v>0.5249593625345268</v>
      </c>
      <c r="O8" s="327">
        <f ca="1">INDEX(OFFSET('VM suunnitelma'!$D$1:$W$1,$D8-1,0),MATCH(O$4,'VM suunnitelma'!$D$10:$W$10,0))</f>
        <v>0.34997290835635547</v>
      </c>
      <c r="P8" s="327">
        <f ca="1">INDEX(OFFSET('VM suunnitelma'!$D$1:$W$1,$D8-1,0),MATCH(P$4,'VM suunnitelma'!$D$10:$W$10,0))</f>
        <v>0.17498645417817774</v>
      </c>
      <c r="Q8" s="327">
        <f ca="1">INDEX(OFFSET('VM suunnitelma'!$D$1:$W$1,$D8-1,0),MATCH(Q$4,'VM suunnitelma'!$D$10:$W$10,0))</f>
        <v>0</v>
      </c>
      <c r="R8" s="327">
        <f ca="1">INDEX(OFFSET('VM suunnitelma'!$D$1:$W$1,$D8-1,0),MATCH(R$4,'VM suunnitelma'!$D$10:$W$10,0))</f>
        <v>8.9534430257165444E-6</v>
      </c>
      <c r="S8" s="327">
        <f ca="1">INDEX(OFFSET('VM suunnitelma'!$D$1:$W$1,$D8-1,0),MATCH(S$4,'VM suunnitelma'!$D$10:$W$10,0))</f>
        <v>1.6753668573454839E-5</v>
      </c>
      <c r="T8" s="327">
        <f ca="1">INDEX(OFFSET('VM suunnitelma'!$D$1:$W$1,$D8-1,0),MATCH(T$4,'VM suunnitelma'!$D$10:$W$10,0))</f>
        <v>2.6283716987873792E-5</v>
      </c>
      <c r="U8" s="327">
        <f ca="1">INDEX(OFFSET('VM suunnitelma'!$D$1:$W$1,$D8-1,0),MATCH(U$4,'VM suunnitelma'!$D$10:$W$10,0))</f>
        <v>3.2354116580335374E-5</v>
      </c>
      <c r="V8" s="327">
        <f ca="1">INDEX(OFFSET('VM suunnitelma'!$D$1:$W$1,$D8-1,0),MATCH(V$4,'VM suunnitelma'!$D$10:$W$10,0))</f>
        <v>4.0154338994247138E-5</v>
      </c>
      <c r="W8" s="327">
        <f ca="1">INDEX(OFFSET('VM suunnitelma'!$D$1:$W$1,$D8-1,0),MATCH(W$4,'VM suunnitelma'!$D$10:$W$10,0))</f>
        <v>4.5071521670880799E-5</v>
      </c>
      <c r="X8" s="327">
        <f ca="1">INDEX(OFFSET('VM suunnitelma'!$D$1:$W$1,$D8-1,0),MATCH(X$4,'VM suunnitelma'!$D$10:$W$10,0))</f>
        <v>5.1718527000965682E-5</v>
      </c>
      <c r="Y8" s="5"/>
    </row>
    <row r="9" spans="1:25" x14ac:dyDescent="0.2">
      <c r="A9" s="5"/>
      <c r="B9" s="334">
        <v>5</v>
      </c>
      <c r="C9" s="338" t="s">
        <v>225</v>
      </c>
      <c r="D9" s="339">
        <v>14</v>
      </c>
      <c r="E9" s="340" t="s">
        <v>221</v>
      </c>
      <c r="F9" s="327">
        <f ca="1">INDEX(OFFSET('VM suunnitelma'!$D$1:$W$1,$D9-1,0),MATCH(F$4,'VM suunnitelma'!$D$10:$W$10,0))</f>
        <v>0</v>
      </c>
      <c r="G9" s="327">
        <f ca="1">INDEX(OFFSET('VM suunnitelma'!$D$1:$W$1,$D9-1,0),MATCH(G$4,'VM suunnitelma'!$D$10:$W$10,0))</f>
        <v>0</v>
      </c>
      <c r="H9" s="327">
        <f ca="1">INDEX(OFFSET('VM suunnitelma'!$D$1:$W$1,$D9-1,0),MATCH(H$4,'VM suunnitelma'!$D$10:$W$10,0))</f>
        <v>0</v>
      </c>
      <c r="I9" s="327">
        <f ca="1">INDEX(OFFSET('VM suunnitelma'!$D$1:$W$1,$D9-1,0),MATCH(I$4,'VM suunnitelma'!$D$10:$W$10,0))</f>
        <v>0</v>
      </c>
      <c r="J9" s="327">
        <f ca="1">INDEX(OFFSET('VM suunnitelma'!$D$1:$W$1,$D9-1,0),MATCH(J$4,'VM suunnitelma'!$D$10:$W$10,0))</f>
        <v>0</v>
      </c>
      <c r="K9" s="327">
        <f ca="1">INDEX(OFFSET('VM suunnitelma'!$D$1:$W$1,$D9-1,0),MATCH(K$4,'VM suunnitelma'!$D$10:$W$10,0))</f>
        <v>0</v>
      </c>
      <c r="L9" s="327">
        <f ca="1">INDEX(OFFSET('VM suunnitelma'!$D$1:$W$1,$D9-1,0),MATCH(L$4,'VM suunnitelma'!$D$10:$W$10,0))</f>
        <v>0</v>
      </c>
      <c r="M9" s="327">
        <f ca="1">INDEX(OFFSET('VM suunnitelma'!$D$1:$W$1,$D9-1,0),MATCH(M$4,'VM suunnitelma'!$D$10:$W$10,0))</f>
        <v>0</v>
      </c>
      <c r="N9" s="327">
        <f ca="1">INDEX(OFFSET('VM suunnitelma'!$D$1:$W$1,$D9-1,0),MATCH(N$4,'VM suunnitelma'!$D$10:$W$10,0))</f>
        <v>0</v>
      </c>
      <c r="O9" s="327">
        <f ca="1">INDEX(OFFSET('VM suunnitelma'!$D$1:$W$1,$D9-1,0),MATCH(O$4,'VM suunnitelma'!$D$10:$W$10,0))</f>
        <v>0</v>
      </c>
      <c r="P9" s="327">
        <f ca="1">INDEX(OFFSET('VM suunnitelma'!$D$1:$W$1,$D9-1,0),MATCH(P$4,'VM suunnitelma'!$D$10:$W$10,0))</f>
        <v>0</v>
      </c>
      <c r="Q9" s="327">
        <f ca="1">INDEX(OFFSET('VM suunnitelma'!$D$1:$W$1,$D9-1,0),MATCH(Q$4,'VM suunnitelma'!$D$10:$W$10,0))</f>
        <v>0</v>
      </c>
      <c r="R9" s="327">
        <f ca="1">INDEX(OFFSET('VM suunnitelma'!$D$1:$W$1,$D9-1,0),MATCH(R$4,'VM suunnitelma'!$D$10:$W$10,0))</f>
        <v>0</v>
      </c>
      <c r="S9" s="327">
        <f ca="1">INDEX(OFFSET('VM suunnitelma'!$D$1:$W$1,$D9-1,0),MATCH(S$4,'VM suunnitelma'!$D$10:$W$10,0))</f>
        <v>0</v>
      </c>
      <c r="T9" s="327">
        <f ca="1">INDEX(OFFSET('VM suunnitelma'!$D$1:$W$1,$D9-1,0),MATCH(T$4,'VM suunnitelma'!$D$10:$W$10,0))</f>
        <v>0</v>
      </c>
      <c r="U9" s="327">
        <f ca="1">INDEX(OFFSET('VM suunnitelma'!$D$1:$W$1,$D9-1,0),MATCH(U$4,'VM suunnitelma'!$D$10:$W$10,0))</f>
        <v>0</v>
      </c>
      <c r="V9" s="327">
        <f ca="1">INDEX(OFFSET('VM suunnitelma'!$D$1:$W$1,$D9-1,0),MATCH(V$4,'VM suunnitelma'!$D$10:$W$10,0))</f>
        <v>0</v>
      </c>
      <c r="W9" s="327">
        <f ca="1">INDEX(OFFSET('VM suunnitelma'!$D$1:$W$1,$D9-1,0),MATCH(W$4,'VM suunnitelma'!$D$10:$W$10,0))</f>
        <v>0</v>
      </c>
      <c r="X9" s="327">
        <f ca="1">INDEX(OFFSET('VM suunnitelma'!$D$1:$W$1,$D9-1,0),MATCH(X$4,'VM suunnitelma'!$D$10:$W$10,0))</f>
        <v>0</v>
      </c>
      <c r="Y9" s="5"/>
    </row>
    <row r="10" spans="1:25" x14ac:dyDescent="0.2">
      <c r="A10" s="5"/>
      <c r="B10" s="334">
        <v>6</v>
      </c>
      <c r="C10" s="338" t="s">
        <v>226</v>
      </c>
      <c r="D10" s="339">
        <v>68</v>
      </c>
      <c r="E10" s="340" t="s">
        <v>221</v>
      </c>
      <c r="F10" s="327">
        <f ca="1">INDEX(OFFSET('VM suunnitelma'!$D$1:$W$1,$D10-1,0),MATCH(F$4,'VM suunnitelma'!$D$10:$W$10,0))</f>
        <v>1.1312999524848377</v>
      </c>
      <c r="G10" s="327">
        <f ca="1">INDEX(OFFSET('VM suunnitelma'!$D$1:$W$1,$D10-1,0),MATCH(G$4,'VM suunnitelma'!$D$10:$W$10,0))</f>
        <v>1.2546443552845774</v>
      </c>
      <c r="H10" s="327">
        <f ca="1">INDEX(OFFSET('VM suunnitelma'!$D$1:$W$1,$D10-1,0),MATCH(H$4,'VM suunnitelma'!$D$10:$W$10,0))</f>
        <v>1.4927011625777316</v>
      </c>
      <c r="I10" s="327">
        <f ca="1">INDEX(OFFSET('VM suunnitelma'!$D$1:$W$1,$D10-1,0),MATCH(I$4,'VM suunnitelma'!$D$10:$W$10,0))</f>
        <v>1.5874585561848822</v>
      </c>
      <c r="J10" s="327">
        <f ca="1">INDEX(OFFSET('VM suunnitelma'!$D$1:$W$1,$D10-1,0),MATCH(J$4,'VM suunnitelma'!$D$10:$W$10,0))</f>
        <v>1.6637765791051011</v>
      </c>
      <c r="K10" s="327">
        <f ca="1">INDEX(OFFSET('VM suunnitelma'!$D$1:$W$1,$D10-1,0),MATCH(K$4,'VM suunnitelma'!$D$10:$W$10,0))</f>
        <v>1.7142948110095355</v>
      </c>
      <c r="L10" s="327">
        <f ca="1">INDEX(OFFSET('VM suunnitelma'!$D$1:$W$1,$D10-1,0),MATCH(L$4,'VM suunnitelma'!$D$10:$W$10,0))</f>
        <v>1.745373182660803</v>
      </c>
      <c r="M10" s="327">
        <f ca="1">INDEX(OFFSET('VM suunnitelma'!$D$1:$W$1,$D10-1,0),MATCH(M$4,'VM suunnitelma'!$D$10:$W$10,0))</f>
        <v>1.7526170261639928</v>
      </c>
      <c r="N10" s="327">
        <f ca="1">INDEX(OFFSET('VM suunnitelma'!$D$1:$W$1,$D10-1,0),MATCH(N$4,'VM suunnitelma'!$D$10:$W$10,0))</f>
        <v>1.7488697117399685</v>
      </c>
      <c r="O10" s="327">
        <f ca="1">INDEX(OFFSET('VM suunnitelma'!$D$1:$W$1,$D10-1,0),MATCH(O$4,'VM suunnitelma'!$D$10:$W$10,0))</f>
        <v>1.7441066792505977</v>
      </c>
      <c r="P10" s="327">
        <f ca="1">INDEX(OFFSET('VM suunnitelma'!$D$1:$W$1,$D10-1,0),MATCH(P$4,'VM suunnitelma'!$D$10:$W$10,0))</f>
        <v>1.7337265070256118</v>
      </c>
      <c r="Q10" s="327">
        <f ca="1">INDEX(OFFSET('VM suunnitelma'!$D$1:$W$1,$D10-1,0),MATCH(Q$4,'VM suunnitelma'!$D$10:$W$10,0))</f>
        <v>1.711607395173051</v>
      </c>
      <c r="R10" s="327">
        <f ca="1">INDEX(OFFSET('VM suunnitelma'!$D$1:$W$1,$D10-1,0),MATCH(R$4,'VM suunnitelma'!$D$10:$W$10,0))</f>
        <v>1.6840966838981992</v>
      </c>
      <c r="S10" s="327">
        <f ca="1">INDEX(OFFSET('VM suunnitelma'!$D$1:$W$1,$D10-1,0),MATCH(S$4,'VM suunnitelma'!$D$10:$W$10,0))</f>
        <v>1.6511727068939726</v>
      </c>
      <c r="T10" s="327">
        <f ca="1">INDEX(OFFSET('VM suunnitelma'!$D$1:$W$1,$D10-1,0),MATCH(T$4,'VM suunnitelma'!$D$10:$W$10,0))</f>
        <v>1.612728706671583</v>
      </c>
      <c r="U10" s="327">
        <f ca="1">INDEX(OFFSET('VM suunnitelma'!$D$1:$W$1,$D10-1,0),MATCH(U$4,'VM suunnitelma'!$D$10:$W$10,0))</f>
        <v>1.5689239582705186</v>
      </c>
      <c r="V10" s="327">
        <f ca="1">INDEX(OFFSET('VM suunnitelma'!$D$1:$W$1,$D10-1,0),MATCH(V$4,'VM suunnitelma'!$D$10:$W$10,0))</f>
        <v>1.5194672441933976</v>
      </c>
      <c r="W10" s="327">
        <f ca="1">INDEX(OFFSET('VM suunnitelma'!$D$1:$W$1,$D10-1,0),MATCH(W$4,'VM suunnitelma'!$D$10:$W$10,0))</f>
        <v>1.4640425896871117</v>
      </c>
      <c r="X10" s="327">
        <f ca="1">INDEX(OFFSET('VM suunnitelma'!$D$1:$W$1,$D10-1,0),MATCH(X$4,'VM suunnitelma'!$D$10:$W$10,0))</f>
        <v>1.4026060742536055</v>
      </c>
      <c r="Y10" s="5"/>
    </row>
    <row r="11" spans="1:25" x14ac:dyDescent="0.2">
      <c r="A11" s="5"/>
      <c r="B11" s="334">
        <v>7</v>
      </c>
      <c r="C11" s="341" t="s">
        <v>94</v>
      </c>
      <c r="D11" s="339">
        <v>37</v>
      </c>
      <c r="E11" s="340" t="s">
        <v>227</v>
      </c>
      <c r="F11" s="327">
        <f ca="1">INDEX(OFFSET('VM suunnitelma'!$D$1:$W$1,$D11-1,0),MATCH(F$4,'VM suunnitelma'!$D$10:$W$10,0))</f>
        <v>3.04</v>
      </c>
      <c r="G11" s="327">
        <f ca="1">INDEX(OFFSET('VM suunnitelma'!$D$1:$W$1,$D11-1,0),MATCH(G$4,'VM suunnitelma'!$D$10:$W$10,0))</f>
        <v>2.9418000000000002</v>
      </c>
      <c r="H11" s="327">
        <f ca="1">INDEX(OFFSET('VM suunnitelma'!$D$1:$W$1,$D11-1,0),MATCH(H$4,'VM suunnitelma'!$D$10:$W$10,0))</f>
        <v>3.0140359999999999</v>
      </c>
      <c r="I11" s="327">
        <f ca="1">INDEX(OFFSET('VM suunnitelma'!$D$1:$W$1,$D11-1,0),MATCH(I$4,'VM suunnitelma'!$D$10:$W$10,0))</f>
        <v>3.041204</v>
      </c>
      <c r="J11" s="327">
        <f ca="1">INDEX(OFFSET('VM suunnitelma'!$D$1:$W$1,$D11-1,0),MATCH(J$4,'VM suunnitelma'!$D$10:$W$10,0))</f>
        <v>3.0683720000000001</v>
      </c>
      <c r="K11" s="327">
        <f ca="1">INDEX(OFFSET('VM suunnitelma'!$D$1:$W$1,$D11-1,0),MATCH(K$4,'VM suunnitelma'!$D$10:$W$10,0))</f>
        <v>3.0955400000000002</v>
      </c>
      <c r="L11" s="327">
        <f ca="1">INDEX(OFFSET('VM suunnitelma'!$D$1:$W$1,$D11-1,0),MATCH(L$4,'VM suunnitelma'!$D$10:$W$10,0))</f>
        <v>3.1227080000000003</v>
      </c>
      <c r="M11" s="327">
        <f ca="1">INDEX(OFFSET('VM suunnitelma'!$D$1:$W$1,$D11-1,0),MATCH(M$4,'VM suunnitelma'!$D$10:$W$10,0))</f>
        <v>3.1498760000000003</v>
      </c>
      <c r="N11" s="327">
        <f ca="1">INDEX(OFFSET('VM suunnitelma'!$D$1:$W$1,$D11-1,0),MATCH(N$4,'VM suunnitelma'!$D$10:$W$10,0))</f>
        <v>3.1770440000000004</v>
      </c>
      <c r="O11" s="327">
        <f ca="1">INDEX(OFFSET('VM suunnitelma'!$D$1:$W$1,$D11-1,0),MATCH(O$4,'VM suunnitelma'!$D$10:$W$10,0))</f>
        <v>3.2042120000000005</v>
      </c>
      <c r="P11" s="327">
        <f ca="1">INDEX(OFFSET('VM suunnitelma'!$D$1:$W$1,$D11-1,0),MATCH(P$4,'VM suunnitelma'!$D$10:$W$10,0))</f>
        <v>3.2313800000000001</v>
      </c>
      <c r="Q11" s="327">
        <f ca="1">INDEX(OFFSET('VM suunnitelma'!$D$1:$W$1,$D11-1,0),MATCH(Q$4,'VM suunnitelma'!$D$10:$W$10,0))</f>
        <v>3.2698110000000002</v>
      </c>
      <c r="R11" s="327">
        <f ca="1">INDEX(OFFSET('VM suunnitelma'!$D$1:$W$1,$D11-1,0),MATCH(R$4,'VM suunnitelma'!$D$10:$W$10,0))</f>
        <v>3.3082419999999999</v>
      </c>
      <c r="S11" s="327">
        <f ca="1">INDEX(OFFSET('VM suunnitelma'!$D$1:$W$1,$D11-1,0),MATCH(S$4,'VM suunnitelma'!$D$10:$W$10,0))</f>
        <v>3.346673</v>
      </c>
      <c r="T11" s="327">
        <f ca="1">INDEX(OFFSET('VM suunnitelma'!$D$1:$W$1,$D11-1,0),MATCH(T$4,'VM suunnitelma'!$D$10:$W$10,0))</f>
        <v>3.3851040000000001</v>
      </c>
      <c r="U11" s="327">
        <f ca="1">INDEX(OFFSET('VM suunnitelma'!$D$1:$W$1,$D11-1,0),MATCH(U$4,'VM suunnitelma'!$D$10:$W$10,0))</f>
        <v>3.4235350000000002</v>
      </c>
      <c r="V11" s="327">
        <f ca="1">INDEX(OFFSET('VM suunnitelma'!$D$1:$W$1,$D11-1,0),MATCH(V$4,'VM suunnitelma'!$D$10:$W$10,0))</f>
        <v>3.4619660000000003</v>
      </c>
      <c r="W11" s="327">
        <f ca="1">INDEX(OFFSET('VM suunnitelma'!$D$1:$W$1,$D11-1,0),MATCH(W$4,'VM suunnitelma'!$D$10:$W$10,0))</f>
        <v>3.500397</v>
      </c>
      <c r="X11" s="327">
        <f ca="1">INDEX(OFFSET('VM suunnitelma'!$D$1:$W$1,$D11-1,0),MATCH(X$4,'VM suunnitelma'!$D$10:$W$10,0))</f>
        <v>3.5388280000000001</v>
      </c>
      <c r="Y11" s="5"/>
    </row>
    <row r="12" spans="1:25" x14ac:dyDescent="0.2">
      <c r="A12" s="5"/>
      <c r="B12" s="334">
        <v>8</v>
      </c>
      <c r="C12" s="341" t="s">
        <v>95</v>
      </c>
      <c r="D12" s="339">
        <v>38</v>
      </c>
      <c r="E12" s="340" t="s">
        <v>227</v>
      </c>
      <c r="F12" s="327">
        <f ca="1">INDEX(OFFSET('VM suunnitelma'!$D$1:$W$1,$D12-1,0),MATCH(F$4,'VM suunnitelma'!$D$10:$W$10,0))</f>
        <v>3.43</v>
      </c>
      <c r="G12" s="327">
        <f ca="1">INDEX(OFFSET('VM suunnitelma'!$D$1:$W$1,$D12-1,0),MATCH(G$4,'VM suunnitelma'!$D$10:$W$10,0))</f>
        <v>3.5642079999999998</v>
      </c>
      <c r="H12" s="327">
        <f ca="1">INDEX(OFFSET('VM suunnitelma'!$D$1:$W$1,$D12-1,0),MATCH(H$4,'VM suunnitelma'!$D$10:$W$10,0))</f>
        <v>2.8163749999999999</v>
      </c>
      <c r="I12" s="327">
        <f ca="1">INDEX(OFFSET('VM suunnitelma'!$D$1:$W$1,$D12-1,0),MATCH(I$4,'VM suunnitelma'!$D$10:$W$10,0))</f>
        <v>2.8050893749999997</v>
      </c>
      <c r="J12" s="327">
        <f ca="1">INDEX(OFFSET('VM suunnitelma'!$D$1:$W$1,$D12-1,0),MATCH(J$4,'VM suunnitelma'!$D$10:$W$10,0))</f>
        <v>2.7938037499999995</v>
      </c>
      <c r="K12" s="327">
        <f ca="1">INDEX(OFFSET('VM suunnitelma'!$D$1:$W$1,$D12-1,0),MATCH(K$4,'VM suunnitelma'!$D$10:$W$10,0))</f>
        <v>2.7825181249999993</v>
      </c>
      <c r="L12" s="327">
        <f ca="1">INDEX(OFFSET('VM suunnitelma'!$D$1:$W$1,$D12-1,0),MATCH(L$4,'VM suunnitelma'!$D$10:$W$10,0))</f>
        <v>2.7712324999999991</v>
      </c>
      <c r="M12" s="327">
        <f ca="1">INDEX(OFFSET('VM suunnitelma'!$D$1:$W$1,$D12-1,0),MATCH(M$4,'VM suunnitelma'!$D$10:$W$10,0))</f>
        <v>2.7599468749999989</v>
      </c>
      <c r="N12" s="327">
        <f ca="1">INDEX(OFFSET('VM suunnitelma'!$D$1:$W$1,$D12-1,0),MATCH(N$4,'VM suunnitelma'!$D$10:$W$10,0))</f>
        <v>2.7486612499999987</v>
      </c>
      <c r="O12" s="327">
        <f ca="1">INDEX(OFFSET('VM suunnitelma'!$D$1:$W$1,$D12-1,0),MATCH(O$4,'VM suunnitelma'!$D$10:$W$10,0))</f>
        <v>2.7373756249999985</v>
      </c>
      <c r="P12" s="327">
        <f ca="1">INDEX(OFFSET('VM suunnitelma'!$D$1:$W$1,$D12-1,0),MATCH(P$4,'VM suunnitelma'!$D$10:$W$10,0))</f>
        <v>2.7260900000000001</v>
      </c>
      <c r="Q12" s="327">
        <f ca="1">INDEX(OFFSET('VM suunnitelma'!$D$1:$W$1,$D12-1,0),MATCH(Q$4,'VM suunnitelma'!$D$10:$W$10,0))</f>
        <v>2.6897855000000002</v>
      </c>
      <c r="R12" s="327">
        <f ca="1">INDEX(OFFSET('VM suunnitelma'!$D$1:$W$1,$D12-1,0),MATCH(R$4,'VM suunnitelma'!$D$10:$W$10,0))</f>
        <v>2.6534810000000002</v>
      </c>
      <c r="S12" s="327">
        <f ca="1">INDEX(OFFSET('VM suunnitelma'!$D$1:$W$1,$D12-1,0),MATCH(S$4,'VM suunnitelma'!$D$10:$W$10,0))</f>
        <v>2.6171765000000002</v>
      </c>
      <c r="T12" s="327">
        <f ca="1">INDEX(OFFSET('VM suunnitelma'!$D$1:$W$1,$D12-1,0),MATCH(T$4,'VM suunnitelma'!$D$10:$W$10,0))</f>
        <v>2.5808720000000003</v>
      </c>
      <c r="U12" s="327">
        <f ca="1">INDEX(OFFSET('VM suunnitelma'!$D$1:$W$1,$D12-1,0),MATCH(U$4,'VM suunnitelma'!$D$10:$W$10,0))</f>
        <v>2.5445675000000003</v>
      </c>
      <c r="V12" s="327">
        <f ca="1">INDEX(OFFSET('VM suunnitelma'!$D$1:$W$1,$D12-1,0),MATCH(V$4,'VM suunnitelma'!$D$10:$W$10,0))</f>
        <v>2.5082629999999999</v>
      </c>
      <c r="W12" s="327">
        <f ca="1">INDEX(OFFSET('VM suunnitelma'!$D$1:$W$1,$D12-1,0),MATCH(W$4,'VM suunnitelma'!$D$10:$W$10,0))</f>
        <v>2.4719584999999999</v>
      </c>
      <c r="X12" s="327">
        <f ca="1">INDEX(OFFSET('VM suunnitelma'!$D$1:$W$1,$D12-1,0),MATCH(X$4,'VM suunnitelma'!$D$10:$W$10,0))</f>
        <v>2.435654</v>
      </c>
      <c r="Y12" s="5"/>
    </row>
    <row r="13" spans="1:25" x14ac:dyDescent="0.2">
      <c r="A13" s="5"/>
      <c r="B13" s="334">
        <v>9</v>
      </c>
      <c r="C13" s="338" t="s">
        <v>228</v>
      </c>
      <c r="D13" s="339">
        <v>36</v>
      </c>
      <c r="E13" s="340" t="s">
        <v>227</v>
      </c>
      <c r="F13" s="327">
        <f ca="1">INDEX(OFFSET('VM suunnitelma'!$D$1:$W$1,$D13-1,0),MATCH(F$4,'VM suunnitelma'!$D$10:$W$10,0))</f>
        <v>1.5804370000000001</v>
      </c>
      <c r="G13" s="327">
        <f ca="1">INDEX(OFFSET('VM suunnitelma'!$D$1:$W$1,$D13-1,0),MATCH(G$4,'VM suunnitelma'!$D$10:$W$10,0))</f>
        <v>1.6625099999999999</v>
      </c>
      <c r="H13" s="327">
        <f ca="1">INDEX(OFFSET('VM suunnitelma'!$D$1:$W$1,$D13-1,0),MATCH(H$4,'VM suunnitelma'!$D$10:$W$10,0))</f>
        <v>1.8895660000000001</v>
      </c>
      <c r="I13" s="327">
        <f ca="1">INDEX(OFFSET('VM suunnitelma'!$D$1:$W$1,$D13-1,0),MATCH(I$4,'VM suunnitelma'!$D$10:$W$10,0))</f>
        <v>1.9800874450398689</v>
      </c>
      <c r="J13" s="327">
        <f ca="1">INDEX(OFFSET('VM suunnitelma'!$D$1:$W$1,$D13-1,0),MATCH(J$4,'VM suunnitelma'!$D$10:$W$10,0))</f>
        <v>2.0597411836186312</v>
      </c>
      <c r="K13" s="327">
        <f ca="1">INDEX(OFFSET('VM suunnitelma'!$D$1:$W$1,$D13-1,0),MATCH(K$4,'VM suunnitelma'!$D$10:$W$10,0))</f>
        <v>2.1254620901125669</v>
      </c>
      <c r="L13" s="327">
        <f ca="1">INDEX(OFFSET('VM suunnitelma'!$D$1:$W$1,$D13-1,0),MATCH(L$4,'VM suunnitelma'!$D$10:$W$10,0))</f>
        <v>2.1824467881436358</v>
      </c>
      <c r="M13" s="327">
        <f ca="1">INDEX(OFFSET('VM suunnitelma'!$D$1:$W$1,$D13-1,0),MATCH(M$4,'VM suunnitelma'!$D$10:$W$10,0))</f>
        <v>2.2297678976260178</v>
      </c>
      <c r="N13" s="327">
        <f ca="1">INDEX(OFFSET('VM suunnitelma'!$D$1:$W$1,$D13-1,0),MATCH(N$4,'VM suunnitelma'!$D$10:$W$10,0))</f>
        <v>2.2728421332522841</v>
      </c>
      <c r="O13" s="327">
        <f ca="1">INDEX(OFFSET('VM suunnitelma'!$D$1:$W$1,$D13-1,0),MATCH(O$4,'VM suunnitelma'!$D$10:$W$10,0))</f>
        <v>2.3167855671693469</v>
      </c>
      <c r="P13" s="327">
        <f ca="1">INDEX(OFFSET('VM suunnitelma'!$D$1:$W$1,$D13-1,0),MATCH(P$4,'VM suunnitelma'!$D$10:$W$10,0))</f>
        <v>2.3589202495665504</v>
      </c>
      <c r="Q13" s="327">
        <f ca="1">INDEX(OFFSET('VM suunnitelma'!$D$1:$W$1,$D13-1,0),MATCH(Q$4,'VM suunnitelma'!$D$10:$W$10,0))</f>
        <v>2.3951221476412248</v>
      </c>
      <c r="R13" s="327">
        <f ca="1">INDEX(OFFSET('VM suunnitelma'!$D$1:$W$1,$D13-1,0),MATCH(R$4,'VM suunnitelma'!$D$10:$W$10,0))</f>
        <v>2.4272413087484797</v>
      </c>
      <c r="S13" s="327">
        <f ca="1">INDEX(OFFSET('VM suunnitelma'!$D$1:$W$1,$D13-1,0),MATCH(S$4,'VM suunnitelma'!$D$10:$W$10,0))</f>
        <v>2.4571054317994925</v>
      </c>
      <c r="T13" s="327">
        <f ca="1">INDEX(OFFSET('VM suunnitelma'!$D$1:$W$1,$D13-1,0),MATCH(T$4,'VM suunnitelma'!$D$10:$W$10,0))</f>
        <v>2.4851718198389681</v>
      </c>
      <c r="U13" s="327">
        <f ca="1">INDEX(OFFSET('VM suunnitelma'!$D$1:$W$1,$D13-1,0),MATCH(U$4,'VM suunnitelma'!$D$10:$W$10,0))</f>
        <v>2.5125022148978471</v>
      </c>
      <c r="V13" s="327">
        <f ca="1">INDEX(OFFSET('VM suunnitelma'!$D$1:$W$1,$D13-1,0),MATCH(V$4,'VM suunnitelma'!$D$10:$W$10,0))</f>
        <v>2.5394413661815012</v>
      </c>
      <c r="W13" s="327">
        <f ca="1">INDEX(OFFSET('VM suunnitelma'!$D$1:$W$1,$D13-1,0),MATCH(W$4,'VM suunnitelma'!$D$10:$W$10,0))</f>
        <v>2.5663058235230571</v>
      </c>
      <c r="X13" s="327">
        <f ca="1">INDEX(OFFSET('VM suunnitelma'!$D$1:$W$1,$D13-1,0),MATCH(X$4,'VM suunnitelma'!$D$10:$W$10,0))</f>
        <v>2.5932970227381635</v>
      </c>
      <c r="Y13" s="5"/>
    </row>
    <row r="14" spans="1:25" x14ac:dyDescent="0.2">
      <c r="A14" s="5"/>
      <c r="B14" s="334">
        <v>10</v>
      </c>
      <c r="C14" s="338" t="s">
        <v>229</v>
      </c>
      <c r="D14" s="339">
        <v>72</v>
      </c>
      <c r="E14" s="340" t="s">
        <v>221</v>
      </c>
      <c r="F14" s="327">
        <f ca="1">INDEX(OFFSET('VM suunnitelma'!$D$1:$W$1,$D14-1,0),MATCH(F$4,'VM suunnitelma'!$D$10:$W$10,0))</f>
        <v>2.1420457294413482</v>
      </c>
      <c r="G14" s="327">
        <f ca="1">INDEX(OFFSET('VM suunnitelma'!$D$1:$W$1,$D14-1,0),MATCH(G$4,'VM suunnitelma'!$D$10:$W$10,0))</f>
        <v>2.543156615765406</v>
      </c>
      <c r="H14" s="327">
        <f ca="1">INDEX(OFFSET('VM suunnitelma'!$D$1:$W$1,$D14-1,0),MATCH(H$4,'VM suunnitelma'!$D$10:$W$10,0))</f>
        <v>1.2833361388111759</v>
      </c>
      <c r="I14" s="327">
        <f ca="1">INDEX(OFFSET('VM suunnitelma'!$D$1:$W$1,$D14-1,0),MATCH(I$4,'VM suunnitelma'!$D$10:$W$10,0))</f>
        <v>1.726862012716794</v>
      </c>
      <c r="J14" s="327">
        <f ca="1">INDEX(OFFSET('VM suunnitelma'!$D$1:$W$1,$D14-1,0),MATCH(J$4,'VM suunnitelma'!$D$10:$W$10,0))</f>
        <v>1.4444254457205716</v>
      </c>
      <c r="K14" s="327">
        <f ca="1">INDEX(OFFSET('VM suunnitelma'!$D$1:$W$1,$D14-1,0),MATCH(K$4,'VM suunnitelma'!$D$10:$W$10,0))</f>
        <v>1.3768241518246929</v>
      </c>
      <c r="L14" s="327">
        <f ca="1">INDEX(OFFSET('VM suunnitelma'!$D$1:$W$1,$D14-1,0),MATCH(L$4,'VM suunnitelma'!$D$10:$W$10,0))</f>
        <v>1.0241608740131771</v>
      </c>
      <c r="M14" s="327">
        <f ca="1">INDEX(OFFSET('VM suunnitelma'!$D$1:$W$1,$D14-1,0),MATCH(M$4,'VM suunnitelma'!$D$10:$W$10,0))</f>
        <v>1.0623847406019649</v>
      </c>
      <c r="N14" s="327">
        <f ca="1">INDEX(OFFSET('VM suunnitelma'!$D$1:$W$1,$D14-1,0),MATCH(N$4,'VM suunnitelma'!$D$10:$W$10,0))</f>
        <v>1.5229809999999999</v>
      </c>
      <c r="O14" s="327">
        <f ca="1">INDEX(OFFSET('VM suunnitelma'!$D$1:$W$1,$D14-1,0),MATCH(O$4,'VM suunnitelma'!$D$10:$W$10,0))</f>
        <v>1.526135</v>
      </c>
      <c r="P14" s="327">
        <f ca="1">INDEX(OFFSET('VM suunnitelma'!$D$1:$W$1,$D14-1,0),MATCH(P$4,'VM suunnitelma'!$D$10:$W$10,0))</f>
        <v>1.3735219999999999</v>
      </c>
      <c r="Q14" s="327">
        <f ca="1">INDEX(OFFSET('VM suunnitelma'!$D$1:$W$1,$D14-1,0),MATCH(Q$4,'VM suunnitelma'!$D$10:$W$10,0))</f>
        <v>1.2209080000000001</v>
      </c>
      <c r="R14" s="327">
        <f ca="1">INDEX(OFFSET('VM suunnitelma'!$D$1:$W$1,$D14-1,0),MATCH(R$4,'VM suunnitelma'!$D$10:$W$10,0))</f>
        <v>1.068295</v>
      </c>
      <c r="S14" s="327">
        <f ca="1">INDEX(OFFSET('VM suunnitelma'!$D$1:$W$1,$D14-1,0),MATCH(S$4,'VM suunnitelma'!$D$10:$W$10,0))</f>
        <v>0.91568099999999997</v>
      </c>
      <c r="T14" s="327">
        <f ca="1">INDEX(OFFSET('VM suunnitelma'!$D$1:$W$1,$D14-1,0),MATCH(T$4,'VM suunnitelma'!$D$10:$W$10,0))</f>
        <v>0.76306750000000001</v>
      </c>
      <c r="U14" s="327">
        <f ca="1">INDEX(OFFSET('VM suunnitelma'!$D$1:$W$1,$D14-1,0),MATCH(U$4,'VM suunnitelma'!$D$10:$W$10,0))</f>
        <v>0.61045400000000005</v>
      </c>
      <c r="V14" s="327">
        <f ca="1">INDEX(OFFSET('VM suunnitelma'!$D$1:$W$1,$D14-1,0),MATCH(V$4,'VM suunnitelma'!$D$10:$W$10,0))</f>
        <v>0.45784049999999998</v>
      </c>
      <c r="W14" s="327">
        <f ca="1">INDEX(OFFSET('VM suunnitelma'!$D$1:$W$1,$D14-1,0),MATCH(W$4,'VM suunnitelma'!$D$10:$W$10,0))</f>
        <v>0.30522700000000003</v>
      </c>
      <c r="X14" s="327">
        <f ca="1">INDEX(OFFSET('VM suunnitelma'!$D$1:$W$1,$D14-1,0),MATCH(X$4,'VM suunnitelma'!$D$10:$W$10,0))</f>
        <v>0.15261350000000001</v>
      </c>
      <c r="Y14" s="5"/>
    </row>
    <row r="15" spans="1:25" x14ac:dyDescent="0.2">
      <c r="A15" s="5"/>
      <c r="B15" s="334">
        <v>11</v>
      </c>
      <c r="C15" s="342" t="s">
        <v>62</v>
      </c>
      <c r="D15" s="339">
        <v>27</v>
      </c>
      <c r="E15" s="340" t="s">
        <v>230</v>
      </c>
      <c r="F15" s="327">
        <f ca="1">(INDEX(OFFSET('VM suunnitelma'!$D$1:$W$1,$D15-1,0),MATCH(F$4,'VM suunnitelma'!$D$10:$W$10,0))/INDEX(OFFSET('VM suunnitelma'!$D$1:$W$1,$D15-1,0),MATCH(E$4,'VM suunnitelma'!$D$10:$W$10,0))-1)*100</f>
        <v>1.0916300000000101</v>
      </c>
      <c r="G15" s="327">
        <f ca="1">(INDEX(OFFSET('VM suunnitelma'!$D$1:$W$1,$D15-1,0),MATCH(G$4,'VM suunnitelma'!$D$10:$W$10,0))/INDEX(OFFSET('VM suunnitelma'!$D$1:$W$1,$D15-1,0),MATCH(F$4,'VM suunnitelma'!$D$10:$W$10,0))-1)*100</f>
        <v>0.93510000000001092</v>
      </c>
      <c r="H15" s="327">
        <f ca="1">(INDEX(OFFSET('VM suunnitelma'!$D$1:$W$1,$D15-1,0),MATCH(H$4,'VM suunnitelma'!$D$10:$W$10,0))/INDEX(OFFSET('VM suunnitelma'!$D$1:$W$1,$D15-1,0),MATCH(G$4,'VM suunnitelma'!$D$10:$W$10,0))-1)*100</f>
        <v>0.93510000000001092</v>
      </c>
      <c r="I15" s="327">
        <f ca="1">(INDEX(OFFSET('VM suunnitelma'!$D$1:$W$1,$D15-1,0),MATCH(I$4,'VM suunnitelma'!$D$10:$W$10,0))/INDEX(OFFSET('VM suunnitelma'!$D$1:$W$1,$D15-1,0),MATCH(H$4,'VM suunnitelma'!$D$10:$W$10,0))-1)*100</f>
        <v>0.93510000000001092</v>
      </c>
      <c r="J15" s="327">
        <f ca="1">(INDEX(OFFSET('VM suunnitelma'!$D$1:$W$1,$D15-1,0),MATCH(J$4,'VM suunnitelma'!$D$10:$W$10,0))/INDEX(OFFSET('VM suunnitelma'!$D$1:$W$1,$D15-1,0),MATCH(I$4,'VM suunnitelma'!$D$10:$W$10,0))-1)*100</f>
        <v>0.93510000000001092</v>
      </c>
      <c r="K15" s="327">
        <f ca="1">(INDEX(OFFSET('VM suunnitelma'!$D$1:$W$1,$D15-1,0),MATCH(K$4,'VM suunnitelma'!$D$10:$W$10,0))/INDEX(OFFSET('VM suunnitelma'!$D$1:$W$1,$D15-1,0),MATCH(J$4,'VM suunnitelma'!$D$10:$W$10,0))-1)*100</f>
        <v>0.93510000000001092</v>
      </c>
      <c r="L15" s="327">
        <f ca="1">(INDEX(OFFSET('VM suunnitelma'!$D$1:$W$1,$D15-1,0),MATCH(L$4,'VM suunnitelma'!$D$10:$W$10,0))/INDEX(OFFSET('VM suunnitelma'!$D$1:$W$1,$D15-1,0),MATCH(K$4,'VM suunnitelma'!$D$10:$W$10,0))-1)*100</f>
        <v>0.93510000000001092</v>
      </c>
      <c r="M15" s="327">
        <f ca="1">(INDEX(OFFSET('VM suunnitelma'!$D$1:$W$1,$D15-1,0),MATCH(M$4,'VM suunnitelma'!$D$10:$W$10,0))/INDEX(OFFSET('VM suunnitelma'!$D$1:$W$1,$D15-1,0),MATCH(L$4,'VM suunnitelma'!$D$10:$W$10,0))-1)*100</f>
        <v>0.93510000000001092</v>
      </c>
      <c r="N15" s="327">
        <f ca="1">(INDEX(OFFSET('VM suunnitelma'!$D$1:$W$1,$D15-1,0),MATCH(N$4,'VM suunnitelma'!$D$10:$W$10,0))/INDEX(OFFSET('VM suunnitelma'!$D$1:$W$1,$D15-1,0),MATCH(M$4,'VM suunnitelma'!$D$10:$W$10,0))-1)*100</f>
        <v>0.93510000000001092</v>
      </c>
      <c r="O15" s="327">
        <f ca="1">(INDEX(OFFSET('VM suunnitelma'!$D$1:$W$1,$D15-1,0),MATCH(O$4,'VM suunnitelma'!$D$10:$W$10,0))/INDEX(OFFSET('VM suunnitelma'!$D$1:$W$1,$D15-1,0),MATCH(N$4,'VM suunnitelma'!$D$10:$W$10,0))-1)*100</f>
        <v>0.93510000000001092</v>
      </c>
      <c r="P15" s="327">
        <f ca="1">(INDEX(OFFSET('VM suunnitelma'!$D$1:$W$1,$D15-1,0),MATCH(P$4,'VM suunnitelma'!$D$10:$W$10,0))/INDEX(OFFSET('VM suunnitelma'!$D$1:$W$1,$D15-1,0),MATCH(O$4,'VM suunnitelma'!$D$10:$W$10,0))-1)*100</f>
        <v>0.93510000000001092</v>
      </c>
      <c r="Q15" s="327">
        <f ca="1">(INDEX(OFFSET('VM suunnitelma'!$D$1:$W$1,$D15-1,0),MATCH(Q$4,'VM suunnitelma'!$D$10:$W$10,0))/INDEX(OFFSET('VM suunnitelma'!$D$1:$W$1,$D15-1,0),MATCH(P$4,'VM suunnitelma'!$D$10:$W$10,0))-1)*100</f>
        <v>0.93510000000001092</v>
      </c>
      <c r="R15" s="327">
        <f ca="1">(INDEX(OFFSET('VM suunnitelma'!$D$1:$W$1,$D15-1,0),MATCH(R$4,'VM suunnitelma'!$D$10:$W$10,0))/INDEX(OFFSET('VM suunnitelma'!$D$1:$W$1,$D15-1,0),MATCH(Q$4,'VM suunnitelma'!$D$10:$W$10,0))-1)*100</f>
        <v>0.93510000000001092</v>
      </c>
      <c r="S15" s="327">
        <f ca="1">(INDEX(OFFSET('VM suunnitelma'!$D$1:$W$1,$D15-1,0),MATCH(S$4,'VM suunnitelma'!$D$10:$W$10,0))/INDEX(OFFSET('VM suunnitelma'!$D$1:$W$1,$D15-1,0),MATCH(R$4,'VM suunnitelma'!$D$10:$W$10,0))-1)*100</f>
        <v>0.93510000000001092</v>
      </c>
      <c r="T15" s="327">
        <f ca="1">(INDEX(OFFSET('VM suunnitelma'!$D$1:$W$1,$D15-1,0),MATCH(T$4,'VM suunnitelma'!$D$10:$W$10,0))/INDEX(OFFSET('VM suunnitelma'!$D$1:$W$1,$D15-1,0),MATCH(S$4,'VM suunnitelma'!$D$10:$W$10,0))-1)*100</f>
        <v>0.93510000000001092</v>
      </c>
      <c r="U15" s="327">
        <f ca="1">(INDEX(OFFSET('VM suunnitelma'!$D$1:$W$1,$D15-1,0),MATCH(U$4,'VM suunnitelma'!$D$10:$W$10,0))/INDEX(OFFSET('VM suunnitelma'!$D$1:$W$1,$D15-1,0),MATCH(T$4,'VM suunnitelma'!$D$10:$W$10,0))-1)*100</f>
        <v>0.93510000000001092</v>
      </c>
      <c r="V15" s="327">
        <f ca="1">(INDEX(OFFSET('VM suunnitelma'!$D$1:$W$1,$D15-1,0),MATCH(V$4,'VM suunnitelma'!$D$10:$W$10,0))/INDEX(OFFSET('VM suunnitelma'!$D$1:$W$1,$D15-1,0),MATCH(U$4,'VM suunnitelma'!$D$10:$W$10,0))-1)*100</f>
        <v>0.93510000000001092</v>
      </c>
      <c r="W15" s="327">
        <f ca="1">(INDEX(OFFSET('VM suunnitelma'!$D$1:$W$1,$D15-1,0),MATCH(W$4,'VM suunnitelma'!$D$10:$W$10,0))/INDEX(OFFSET('VM suunnitelma'!$D$1:$W$1,$D15-1,0),MATCH(V$4,'VM suunnitelma'!$D$10:$W$10,0))-1)*100</f>
        <v>0.93510000000001092</v>
      </c>
      <c r="X15" s="327">
        <f ca="1">(INDEX(OFFSET('VM suunnitelma'!$D$1:$W$1,$D15-1,0),MATCH(X$4,'VM suunnitelma'!$D$10:$W$10,0))/INDEX(OFFSET('VM suunnitelma'!$D$1:$W$1,$D15-1,0),MATCH(W$4,'VM suunnitelma'!$D$10:$W$10,0))-1)*100</f>
        <v>0.93510000000001092</v>
      </c>
      <c r="Y15" s="5"/>
    </row>
    <row r="16" spans="1:25" x14ac:dyDescent="0.2">
      <c r="A16" s="5"/>
      <c r="B16" s="334">
        <v>12</v>
      </c>
      <c r="C16" s="330" t="s">
        <v>231</v>
      </c>
      <c r="D16" s="339">
        <v>24</v>
      </c>
      <c r="E16" s="340" t="s">
        <v>230</v>
      </c>
      <c r="F16" s="327">
        <f ca="1">INDEX(OFFSET('VM suunnitelma'!$D$1:$W$1,$D16-1,0),MATCH(F$4,'VM suunnitelma'!$D$10:$W$10,0))</f>
        <v>-1.1595058938339342</v>
      </c>
      <c r="G16" s="327">
        <f ca="1">INDEX(OFFSET('VM suunnitelma'!$D$1:$W$1,$D16-1,0),MATCH(G$4,'VM suunnitelma'!$D$10:$W$10,0))</f>
        <v>-0.22177088705733761</v>
      </c>
      <c r="H16" s="327">
        <f ca="1">INDEX(OFFSET('VM suunnitelma'!$D$1:$W$1,$D16-1,0),MATCH(H$4,'VM suunnitelma'!$D$10:$W$10,0))</f>
        <v>1.2218437474650123</v>
      </c>
      <c r="I16" s="327">
        <f ca="1">INDEX(OFFSET('VM suunnitelma'!$D$1:$W$1,$D16-1,0),MATCH(I$4,'VM suunnitelma'!$D$10:$W$10,0))</f>
        <v>1.5575957371358751</v>
      </c>
      <c r="J16" s="327">
        <f ca="1">INDEX(OFFSET('VM suunnitelma'!$D$1:$W$1,$D16-1,0),MATCH(J$4,'VM suunnitelma'!$D$10:$W$10,0))</f>
        <v>1.5995154227551822</v>
      </c>
      <c r="K16" s="327">
        <f ca="1">INDEX(OFFSET('VM suunnitelma'!$D$1:$W$1,$D16-1,0),MATCH(K$4,'VM suunnitelma'!$D$10:$W$10,0))</f>
        <v>1.3434650774956314</v>
      </c>
      <c r="L16" s="327">
        <f ca="1">INDEX(OFFSET('VM suunnitelma'!$D$1:$W$1,$D16-1,0),MATCH(L$4,'VM suunnitelma'!$D$10:$W$10,0))</f>
        <v>1.2653346710571833</v>
      </c>
      <c r="M16" s="327">
        <f ca="1">INDEX(OFFSET('VM suunnitelma'!$D$1:$W$1,$D16-1,0),MATCH(M$4,'VM suunnitelma'!$D$10:$W$10,0))</f>
        <v>1.1537786477565426</v>
      </c>
      <c r="N16" s="327">
        <f ca="1">INDEX(OFFSET('VM suunnitelma'!$D$1:$W$1,$D16-1,0),MATCH(N$4,'VM suunnitelma'!$D$10:$W$10,0))</f>
        <v>1.0801166119959626</v>
      </c>
      <c r="O16" s="327">
        <f ca="1">INDEX(OFFSET('VM suunnitelma'!$D$1:$W$1,$D16-1,0),MATCH(O$4,'VM suunnitelma'!$D$10:$W$10,0))</f>
        <v>1.2413377599721498</v>
      </c>
      <c r="P16" s="327">
        <f ca="1">INDEX(OFFSET('VM suunnitelma'!$D$1:$W$1,$D16-1,0),MATCH(P$4,'VM suunnitelma'!$D$10:$W$10,0))</f>
        <v>1.2404114430377255</v>
      </c>
      <c r="Q16" s="327">
        <f ca="1">INDEX(OFFSET('VM suunnitelma'!$D$1:$W$1,$D16-1,0),MATCH(Q$4,'VM suunnitelma'!$D$10:$W$10,0))</f>
        <v>1.239490713104674</v>
      </c>
      <c r="R16" s="327">
        <f ca="1">INDEX(OFFSET('VM suunnitelma'!$D$1:$W$1,$D16-1,0),MATCH(R$4,'VM suunnitelma'!$D$10:$W$10,0))</f>
        <v>0.93508447222221402</v>
      </c>
      <c r="S16" s="327">
        <f ca="1">INDEX(OFFSET('VM suunnitelma'!$D$1:$W$1,$D16-1,0),MATCH(S$4,'VM suunnitelma'!$D$10:$W$10,0))</f>
        <v>0.93508647222222407</v>
      </c>
      <c r="T16" s="327">
        <f ca="1">INDEX(OFFSET('VM suunnitelma'!$D$1:$W$1,$D16-1,0),MATCH(T$4,'VM suunnitelma'!$D$10:$W$10,0))</f>
        <v>0.9350834722222201</v>
      </c>
      <c r="U16" s="327">
        <f ca="1">INDEX(OFFSET('VM suunnitelma'!$D$1:$W$1,$D16-1,0),MATCH(U$4,'VM suunnitelma'!$D$10:$W$10,0))</f>
        <v>0.93508947222222805</v>
      </c>
      <c r="V16" s="327">
        <f ca="1">INDEX(OFFSET('VM suunnitelma'!$D$1:$W$1,$D16-1,0),MATCH(V$4,'VM suunnitelma'!$D$10:$W$10,0))</f>
        <v>0.93508647222222407</v>
      </c>
      <c r="W16" s="327">
        <f ca="1">INDEX(OFFSET('VM suunnitelma'!$D$1:$W$1,$D16-1,0),MATCH(W$4,'VM suunnitelma'!$D$10:$W$10,0))</f>
        <v>0.93509147222221589</v>
      </c>
      <c r="X16" s="327">
        <f ca="1">INDEX(OFFSET('VM suunnitelma'!$D$1:$W$1,$D16-1,0),MATCH(X$4,'VM suunnitelma'!$D$10:$W$10,0))</f>
        <v>0.93508847222221192</v>
      </c>
      <c r="Y16" s="5"/>
    </row>
    <row r="17" spans="1:25" x14ac:dyDescent="0.2">
      <c r="A17" s="5"/>
      <c r="B17" s="334">
        <v>13</v>
      </c>
      <c r="C17" s="343" t="s">
        <v>232</v>
      </c>
      <c r="D17" s="339">
        <v>42</v>
      </c>
      <c r="E17" s="340" t="s">
        <v>230</v>
      </c>
      <c r="F17" s="327">
        <f ca="1">INDEX(OFFSET('VM suunnitelma'!$D$1:$W$1,$D17-1,0),MATCH(F$4,'VM suunnitelma'!$D$10:$W$10,0))</f>
        <v>3.9011728023607306</v>
      </c>
      <c r="G17" s="327">
        <f ca="1">INDEX(OFFSET('VM suunnitelma'!$D$1:$W$1,$D17-1,0),MATCH(G$4,'VM suunnitelma'!$D$10:$W$10,0))</f>
        <v>1.6905743485635893</v>
      </c>
      <c r="H17" s="327">
        <f ca="1">INDEX(OFFSET('VM suunnitelma'!$D$1:$W$1,$D17-1,0),MATCH(H$4,'VM suunnitelma'!$D$10:$W$10,0))</f>
        <v>2.1354755393935054</v>
      </c>
      <c r="I17" s="327">
        <f ca="1">INDEX(OFFSET('VM suunnitelma'!$D$1:$W$1,$D17-1,0),MATCH(I$4,'VM suunnitelma'!$D$10:$W$10,0))</f>
        <v>2.1872910969693171</v>
      </c>
      <c r="J17" s="327">
        <f ca="1">INDEX(OFFSET('VM suunnitelma'!$D$1:$W$1,$D17-1,0),MATCH(J$4,'VM suunnitelma'!$D$10:$W$10,0))</f>
        <v>2.2391066545451288</v>
      </c>
      <c r="K17" s="327">
        <f ca="1">INDEX(OFFSET('VM suunnitelma'!$D$1:$W$1,$D17-1,0),MATCH(K$4,'VM suunnitelma'!$D$10:$W$10,0))</f>
        <v>2.2909222121209409</v>
      </c>
      <c r="L17" s="327">
        <f ca="1">INDEX(OFFSET('VM suunnitelma'!$D$1:$W$1,$D17-1,0),MATCH(L$4,'VM suunnitelma'!$D$10:$W$10,0))</f>
        <v>2.3427377696967526</v>
      </c>
      <c r="M17" s="327">
        <f ca="1">INDEX(OFFSET('VM suunnitelma'!$D$1:$W$1,$D17-1,0),MATCH(M$4,'VM suunnitelma'!$D$10:$W$10,0))</f>
        <v>2.3945533272725643</v>
      </c>
      <c r="N17" s="327">
        <f ca="1">INDEX(OFFSET('VM suunnitelma'!$D$1:$W$1,$D17-1,0),MATCH(N$4,'VM suunnitelma'!$D$10:$W$10,0))</f>
        <v>2.4463688848483764</v>
      </c>
      <c r="O17" s="327">
        <f ca="1">INDEX(OFFSET('VM suunnitelma'!$D$1:$W$1,$D17-1,0),MATCH(O$4,'VM suunnitelma'!$D$10:$W$10,0))</f>
        <v>2.4981844424241881</v>
      </c>
      <c r="P17" s="327">
        <f ca="1">INDEX(OFFSET('VM suunnitelma'!$D$1:$W$1,$D17-1,0),MATCH(P$4,'VM suunnitelma'!$D$10:$W$10,0))</f>
        <v>2.5499999999999998</v>
      </c>
      <c r="Q17" s="327">
        <f ca="1">INDEX(OFFSET('VM suunnitelma'!$D$1:$W$1,$D17-1,0),MATCH(Q$4,'VM suunnitelma'!$D$10:$W$10,0))</f>
        <v>2.5225</v>
      </c>
      <c r="R17" s="327">
        <f ca="1">INDEX(OFFSET('VM suunnitelma'!$D$1:$W$1,$D17-1,0),MATCH(R$4,'VM suunnitelma'!$D$10:$W$10,0))</f>
        <v>2.4949999999999997</v>
      </c>
      <c r="S17" s="327">
        <f ca="1">INDEX(OFFSET('VM suunnitelma'!$D$1:$W$1,$D17-1,0),MATCH(S$4,'VM suunnitelma'!$D$10:$W$10,0))</f>
        <v>2.4674999999999998</v>
      </c>
      <c r="T17" s="327">
        <f ca="1">INDEX(OFFSET('VM suunnitelma'!$D$1:$W$1,$D17-1,0),MATCH(T$4,'VM suunnitelma'!$D$10:$W$10,0))</f>
        <v>2.44</v>
      </c>
      <c r="U17" s="327">
        <f ca="1">INDEX(OFFSET('VM suunnitelma'!$D$1:$W$1,$D17-1,0),MATCH(U$4,'VM suunnitelma'!$D$10:$W$10,0))</f>
        <v>2.4124999999999996</v>
      </c>
      <c r="V17" s="327">
        <f ca="1">INDEX(OFFSET('VM suunnitelma'!$D$1:$W$1,$D17-1,0),MATCH(V$4,'VM suunnitelma'!$D$10:$W$10,0))</f>
        <v>2.3849999999999998</v>
      </c>
      <c r="W17" s="327">
        <f ca="1">INDEX(OFFSET('VM suunnitelma'!$D$1:$W$1,$D17-1,0),MATCH(W$4,'VM suunnitelma'!$D$10:$W$10,0))</f>
        <v>2.3574999999999999</v>
      </c>
      <c r="X17" s="327">
        <f ca="1">INDEX(OFFSET('VM suunnitelma'!$D$1:$W$1,$D17-1,0),MATCH(X$4,'VM suunnitelma'!$D$10:$W$10,0))</f>
        <v>2.33</v>
      </c>
      <c r="Y17" s="5"/>
    </row>
    <row r="18" spans="1:25" x14ac:dyDescent="0.2">
      <c r="A18" s="5"/>
      <c r="B18" s="334">
        <v>14</v>
      </c>
      <c r="C18" s="330" t="s">
        <v>233</v>
      </c>
      <c r="D18" s="339">
        <v>33</v>
      </c>
      <c r="E18" s="340" t="s">
        <v>230</v>
      </c>
      <c r="F18" s="327">
        <f ca="1">INDEX(OFFSET('VM suunnitelma'!$D$1:$W$1,$D18-1,0),MATCH(F$4,'VM suunnitelma'!$D$10:$W$10,0))</f>
        <v>2.6964325799547773</v>
      </c>
      <c r="G18" s="327">
        <f ca="1">INDEX(OFFSET('VM suunnitelma'!$D$1:$W$1,$D18-1,0),MATCH(G$4,'VM suunnitelma'!$D$10:$W$10,0))</f>
        <v>1.4650542597770766</v>
      </c>
      <c r="H18" s="327">
        <f ca="1">INDEX(OFFSET('VM suunnitelma'!$D$1:$W$1,$D18-1,0),MATCH(H$4,'VM suunnitelma'!$D$10:$W$10,0))</f>
        <v>3.3834114612152355</v>
      </c>
      <c r="I18" s="327">
        <f ca="1">INDEX(OFFSET('VM suunnitelma'!$D$1:$W$1,$D18-1,0),MATCH(I$4,'VM suunnitelma'!$D$10:$W$10,0))</f>
        <v>3.77895598699034</v>
      </c>
      <c r="J18" s="327">
        <f ca="1">INDEX(OFFSET('VM suunnitelma'!$D$1:$W$1,$D18-1,0),MATCH(J$4,'VM suunnitelma'!$D$10:$W$10,0))</f>
        <v>3.8744369335716788</v>
      </c>
      <c r="K18" s="327">
        <f ca="1">INDEX(OFFSET('VM suunnitelma'!$D$1:$W$1,$D18-1,0),MATCH(K$4,'VM suunnitelma'!$D$10:$W$10,0))</f>
        <v>3.6651650294890148</v>
      </c>
      <c r="L18" s="327">
        <f ca="1">INDEX(OFFSET('VM suunnitelma'!$D$1:$W$1,$D18-1,0),MATCH(L$4,'VM suunnitelma'!$D$10:$W$10,0))</f>
        <v>3.6377159140058568</v>
      </c>
      <c r="M18" s="327">
        <f ca="1">INDEX(OFFSET('VM suunnitelma'!$D$1:$W$1,$D18-1,0),MATCH(M$4,'VM suunnitelma'!$D$10:$W$10,0))</f>
        <v>3.5759598200283182</v>
      </c>
      <c r="N18" s="327">
        <f ca="1">INDEX(OFFSET('VM suunnitelma'!$D$1:$W$1,$D18-1,0),MATCH(N$4,'VM suunnitelma'!$D$10:$W$10,0))</f>
        <v>3.552909133560278</v>
      </c>
      <c r="O18" s="327">
        <f ca="1">INDEX(OFFSET('VM suunnitelma'!$D$1:$W$1,$D18-1,0),MATCH(O$4,'VM suunnitelma'!$D$10:$W$10,0))</f>
        <v>3.7705331091938854</v>
      </c>
      <c r="P18" s="327">
        <f ca="1">INDEX(OFFSET('VM suunnitelma'!$D$1:$W$1,$D18-1,0),MATCH(P$4,'VM suunnitelma'!$D$10:$W$10,0))</f>
        <v>3.8220419348351964</v>
      </c>
      <c r="Q18" s="327">
        <f ca="1">INDEX(OFFSET('VM suunnitelma'!$D$1:$W$1,$D18-1,0),MATCH(Q$4,'VM suunnitelma'!$D$10:$W$10,0))</f>
        <v>3.7932568663427535</v>
      </c>
      <c r="R18" s="327">
        <f ca="1">INDEX(OFFSET('VM suunnitelma'!$D$1:$W$1,$D18-1,0),MATCH(R$4,'VM suunnitelma'!$D$10:$W$10,0))</f>
        <v>3.4534148298041689</v>
      </c>
      <c r="S18" s="327">
        <f ca="1">INDEX(OFFSET('VM suunnitelma'!$D$1:$W$1,$D18-1,0),MATCH(S$4,'VM suunnitelma'!$D$10:$W$10,0))</f>
        <v>3.425659730924302</v>
      </c>
      <c r="T18" s="327">
        <f ca="1">INDEX(OFFSET('VM suunnitelma'!$D$1:$W$1,$D18-1,0),MATCH(T$4,'VM suunnitelma'!$D$10:$W$10,0))</f>
        <v>3.3978995089444464</v>
      </c>
      <c r="U18" s="327">
        <f ca="1">INDEX(OFFSET('VM suunnitelma'!$D$1:$W$1,$D18-1,0),MATCH(U$4,'VM suunnitelma'!$D$10:$W$10,0))</f>
        <v>3.3701485057395786</v>
      </c>
      <c r="V18" s="327">
        <f ca="1">INDEX(OFFSET('VM suunnitelma'!$D$1:$W$1,$D18-1,0),MATCH(V$4,'VM suunnitelma'!$D$10:$W$10,0))</f>
        <v>3.3423882845847075</v>
      </c>
      <c r="W18" s="327">
        <f ca="1">INDEX(OFFSET('VM suunnitelma'!$D$1:$W$1,$D18-1,0),MATCH(W$4,'VM suunnitelma'!$D$10:$W$10,0))</f>
        <v>3.3146362536798479</v>
      </c>
      <c r="X18" s="327">
        <f ca="1">INDEX(OFFSET('VM suunnitelma'!$D$1:$W$1,$D18-1,0),MATCH(X$4,'VM suunnitelma'!$D$10:$W$10,0))</f>
        <v>3.286876033625008</v>
      </c>
      <c r="Y18" s="5"/>
    </row>
    <row r="19" spans="1:25" x14ac:dyDescent="0.2">
      <c r="A19" s="5"/>
      <c r="B19" s="328"/>
      <c r="C19" s="349"/>
      <c r="D19" s="349"/>
      <c r="E19" s="349"/>
      <c r="F19" s="349"/>
      <c r="G19" s="349"/>
      <c r="H19" s="349"/>
      <c r="I19" s="349"/>
      <c r="J19" s="349"/>
      <c r="K19" s="5"/>
      <c r="L19" s="5"/>
      <c r="M19" s="5"/>
      <c r="N19" s="5"/>
      <c r="O19" s="5"/>
      <c r="P19" s="5"/>
      <c r="Q19" s="5"/>
      <c r="R19" s="5"/>
      <c r="S19" s="5"/>
      <c r="T19" s="5"/>
      <c r="U19" s="5"/>
      <c r="V19" s="5"/>
      <c r="W19" s="5"/>
      <c r="X19" s="5"/>
      <c r="Y19" s="5"/>
    </row>
    <row r="20" spans="1:25" x14ac:dyDescent="0.2">
      <c r="A20" s="5"/>
      <c r="B20" s="350"/>
      <c r="C20" s="332" t="s">
        <v>234</v>
      </c>
      <c r="D20" s="333"/>
      <c r="E20" s="333"/>
      <c r="F20" s="333"/>
      <c r="G20" s="349"/>
      <c r="H20" s="349"/>
      <c r="I20" s="349"/>
      <c r="J20" s="349"/>
      <c r="K20" s="5"/>
      <c r="L20" s="5"/>
      <c r="M20" s="5"/>
      <c r="N20" s="5"/>
      <c r="O20" s="5"/>
      <c r="P20" s="5"/>
      <c r="Q20" s="5"/>
      <c r="R20" s="5"/>
      <c r="S20" s="5"/>
      <c r="T20" s="5"/>
      <c r="U20" s="5"/>
      <c r="V20" s="5"/>
      <c r="W20" s="5"/>
      <c r="X20" s="5"/>
      <c r="Y20" s="5"/>
    </row>
    <row r="21" spans="1:25" x14ac:dyDescent="0.2">
      <c r="A21" s="5"/>
      <c r="B21" s="328"/>
      <c r="C21" s="349"/>
      <c r="D21" s="349"/>
      <c r="E21" s="349"/>
      <c r="F21" s="349"/>
      <c r="G21" s="349"/>
      <c r="H21" s="349"/>
      <c r="I21" s="349"/>
      <c r="J21" s="349"/>
      <c r="K21" s="5"/>
      <c r="L21" s="5"/>
      <c r="M21" s="5"/>
      <c r="N21" s="5"/>
      <c r="O21" s="5"/>
      <c r="P21" s="5"/>
      <c r="Q21" s="5"/>
      <c r="R21" s="5"/>
      <c r="S21" s="5"/>
      <c r="T21" s="5"/>
      <c r="U21" s="5"/>
      <c r="V21" s="5"/>
      <c r="W21" s="5"/>
      <c r="X21" s="5"/>
      <c r="Y21" s="5"/>
    </row>
    <row r="22" spans="1:25" x14ac:dyDescent="0.2">
      <c r="A22" s="5"/>
      <c r="B22" s="334"/>
      <c r="C22" s="332" t="s">
        <v>26</v>
      </c>
      <c r="D22" s="332"/>
      <c r="E22" s="336">
        <f>F22-1</f>
        <v>2022</v>
      </c>
      <c r="F22" s="337">
        <f>'Input data'!$C$5-1</f>
        <v>2023</v>
      </c>
      <c r="G22" s="337">
        <f>F22+1</f>
        <v>2024</v>
      </c>
      <c r="H22" s="337">
        <f t="shared" ref="H22:X22" si="1">G22+1</f>
        <v>2025</v>
      </c>
      <c r="I22" s="337">
        <f t="shared" si="1"/>
        <v>2026</v>
      </c>
      <c r="J22" s="337">
        <f t="shared" si="1"/>
        <v>2027</v>
      </c>
      <c r="K22" s="337">
        <f t="shared" si="1"/>
        <v>2028</v>
      </c>
      <c r="L22" s="337">
        <f t="shared" si="1"/>
        <v>2029</v>
      </c>
      <c r="M22" s="337">
        <f t="shared" si="1"/>
        <v>2030</v>
      </c>
      <c r="N22" s="337">
        <f t="shared" si="1"/>
        <v>2031</v>
      </c>
      <c r="O22" s="337">
        <f t="shared" si="1"/>
        <v>2032</v>
      </c>
      <c r="P22" s="337">
        <f t="shared" si="1"/>
        <v>2033</v>
      </c>
      <c r="Q22" s="337">
        <f t="shared" si="1"/>
        <v>2034</v>
      </c>
      <c r="R22" s="337">
        <f t="shared" si="1"/>
        <v>2035</v>
      </c>
      <c r="S22" s="337">
        <f t="shared" si="1"/>
        <v>2036</v>
      </c>
      <c r="T22" s="337">
        <f t="shared" si="1"/>
        <v>2037</v>
      </c>
      <c r="U22" s="337">
        <f t="shared" si="1"/>
        <v>2038</v>
      </c>
      <c r="V22" s="337">
        <f t="shared" si="1"/>
        <v>2039</v>
      </c>
      <c r="W22" s="337">
        <f t="shared" si="1"/>
        <v>2040</v>
      </c>
      <c r="X22" s="337">
        <f t="shared" si="1"/>
        <v>2041</v>
      </c>
      <c r="Y22" s="5"/>
    </row>
    <row r="23" spans="1:25" x14ac:dyDescent="0.2">
      <c r="A23" s="5"/>
      <c r="B23" s="334">
        <v>1</v>
      </c>
      <c r="C23" s="338" t="s">
        <v>220</v>
      </c>
      <c r="D23" s="339">
        <v>56</v>
      </c>
      <c r="E23" s="340" t="s">
        <v>221</v>
      </c>
      <c r="F23" s="327">
        <f ca="1">INDEX(OFFSET('Financial stress'!$D$1:$W$1,$D23-1,0),MATCH(F$4,'Financial stress'!$D$10:$W$10,0))</f>
        <v>76.572506382321123</v>
      </c>
      <c r="G23" s="327">
        <f ca="1">INDEX(OFFSET('Financial stress'!$D$1:$W$1,$D23-1,0),MATCH(G$4,'Financial stress'!$D$10:$W$10,0))</f>
        <v>81.669832373893243</v>
      </c>
      <c r="H23" s="327">
        <f ca="1">INDEX(OFFSET('Financial stress'!$D$1:$W$1,$D23-1,0),MATCH(H$4,'Financial stress'!$D$10:$W$10,0))</f>
        <v>83.193157241487697</v>
      </c>
      <c r="I23" s="327">
        <f ca="1">INDEX(OFFSET('Financial stress'!$D$1:$W$1,$D23-1,0),MATCH(I$4,'Financial stress'!$D$10:$W$10,0))</f>
        <v>84.556754593314608</v>
      </c>
      <c r="J23" s="327">
        <f ca="1">INDEX(OFFSET('Financial stress'!$D$1:$W$1,$D23-1,0),MATCH(J$4,'Financial stress'!$D$10:$W$10,0))</f>
        <v>85.459120171217933</v>
      </c>
      <c r="K23" s="327">
        <f ca="1">INDEX(OFFSET('Financial stress'!$D$1:$W$1,$D23-1,0),MATCH(K$4,'Financial stress'!$D$10:$W$10,0))</f>
        <v>86.145056856268312</v>
      </c>
      <c r="L23" s="327">
        <f ca="1">INDEX(OFFSET('Financial stress'!$D$1:$W$1,$D23-1,0),MATCH(L$4,'Financial stress'!$D$10:$W$10,0))</f>
        <v>86.34726643202589</v>
      </c>
      <c r="M23" s="327">
        <f ca="1">INDEX(OFFSET('Financial stress'!$D$1:$W$1,$D23-1,0),MATCH(M$4,'Financial stress'!$D$10:$W$10,0))</f>
        <v>86.468995590643061</v>
      </c>
      <c r="N23" s="327">
        <f ca="1">INDEX(OFFSET('Financial stress'!$D$1:$W$1,$D23-1,0),MATCH(N$4,'Financial stress'!$D$10:$W$10,0))</f>
        <v>86.939180456571577</v>
      </c>
      <c r="O23" s="327">
        <f ca="1">INDEX(OFFSET('Financial stress'!$D$1:$W$1,$D23-1,0),MATCH(O$4,'Financial stress'!$D$10:$W$10,0))</f>
        <v>87.464702047269469</v>
      </c>
      <c r="P23" s="327">
        <f ca="1">INDEX(OFFSET('Financial stress'!$D$1:$W$1,$D23-1,0),MATCH(P$4,'Financial stress'!$D$10:$W$10,0))</f>
        <v>87.652765585885348</v>
      </c>
      <c r="Q23" s="327">
        <f ca="1">INDEX(OFFSET('Financial stress'!$D$1:$W$1,$D23-1,0),MATCH(Q$4,'Financial stress'!$D$10:$W$10,0))</f>
        <v>87.65502746154759</v>
      </c>
      <c r="R23" s="327">
        <f ca="1">INDEX(OFFSET('Financial stress'!$D$1:$W$1,$D23-1,0),MATCH(R$4,'Financial stress'!$D$10:$W$10,0))</f>
        <v>87.674692866634558</v>
      </c>
      <c r="S23" s="327">
        <f ca="1">INDEX(OFFSET('Financial stress'!$D$1:$W$1,$D23-1,0),MATCH(S$4,'Financial stress'!$D$10:$W$10,0))</f>
        <v>87.56704083057204</v>
      </c>
      <c r="T23" s="327">
        <f ca="1">INDEX(OFFSET('Financial stress'!$D$1:$W$1,$D23-1,0),MATCH(T$4,'Financial stress'!$D$10:$W$10,0))</f>
        <v>87.312458612729856</v>
      </c>
      <c r="U23" s="327">
        <f ca="1">INDEX(OFFSET('Financial stress'!$D$1:$W$1,$D23-1,0),MATCH(U$4,'Financial stress'!$D$10:$W$10,0))</f>
        <v>86.894404458173867</v>
      </c>
      <c r="V23" s="327">
        <f ca="1">INDEX(OFFSET('Financial stress'!$D$1:$W$1,$D23-1,0),MATCH(V$4,'Financial stress'!$D$10:$W$10,0))</f>
        <v>86.297727640047924</v>
      </c>
      <c r="W23" s="327">
        <f ca="1">INDEX(OFFSET('Financial stress'!$D$1:$W$1,$D23-1,0),MATCH(W$4,'Financial stress'!$D$10:$W$10,0))</f>
        <v>85.522330681227032</v>
      </c>
      <c r="X23" s="327">
        <f ca="1">INDEX(OFFSET('Financial stress'!$D$1:$W$1,$D23-1,0),MATCH(X$4,'Financial stress'!$D$10:$W$10,0))</f>
        <v>84.583599309042015</v>
      </c>
      <c r="Y23" s="5"/>
    </row>
    <row r="24" spans="1:25" x14ac:dyDescent="0.2">
      <c r="A24" s="5"/>
      <c r="B24" s="334">
        <v>2</v>
      </c>
      <c r="C24" s="338" t="s">
        <v>94</v>
      </c>
      <c r="D24" s="339">
        <v>36</v>
      </c>
      <c r="E24" s="340" t="s">
        <v>227</v>
      </c>
      <c r="F24" s="327">
        <f ca="1">INDEX(OFFSET('Financial stress'!$D$1:$W$1,$D24-1,0),MATCH(F$4,'Financial stress'!$D$10:$W$10,0))</f>
        <v>3.04</v>
      </c>
      <c r="G24" s="327">
        <f ca="1">INDEX(OFFSET('Financial stress'!$D$1:$W$1,$D24-1,0),MATCH(G$4,'Financial stress'!$D$10:$W$10,0))</f>
        <v>2.9418000000000002</v>
      </c>
      <c r="H24" s="327">
        <f ca="1">INDEX(OFFSET('Financial stress'!$D$1:$W$1,$D24-1,0),MATCH(H$4,'Financial stress'!$D$10:$W$10,0))</f>
        <v>3.0140359999999999</v>
      </c>
      <c r="I24" s="327">
        <f ca="1">INDEX(OFFSET('Financial stress'!$D$1:$W$1,$D24-1,0),MATCH(I$4,'Financial stress'!$D$10:$W$10,0))</f>
        <v>3.041204</v>
      </c>
      <c r="J24" s="327">
        <f ca="1">INDEX(OFFSET('Financial stress'!$D$1:$W$1,$D24-1,0),MATCH(J$4,'Financial stress'!$D$10:$W$10,0))</f>
        <v>3.0683720000000001</v>
      </c>
      <c r="K24" s="327">
        <f ca="1">INDEX(OFFSET('Financial stress'!$D$1:$W$1,$D24-1,0),MATCH(K$4,'Financial stress'!$D$10:$W$10,0))</f>
        <v>3.0955400000000002</v>
      </c>
      <c r="L24" s="327">
        <f ca="1">INDEX(OFFSET('Financial stress'!$D$1:$W$1,$D24-1,0),MATCH(L$4,'Financial stress'!$D$10:$W$10,0))</f>
        <v>3.1227080000000003</v>
      </c>
      <c r="M24" s="327">
        <f ca="1">INDEX(OFFSET('Financial stress'!$D$1:$W$1,$D24-1,0),MATCH(M$4,'Financial stress'!$D$10:$W$10,0))</f>
        <v>3.1498759999999999</v>
      </c>
      <c r="N24" s="327">
        <f ca="1">INDEX(OFFSET('Financial stress'!$D$1:$W$1,$D24-1,0),MATCH(N$4,'Financial stress'!$D$10:$W$10,0))</f>
        <v>3.177044</v>
      </c>
      <c r="O24" s="327">
        <f ca="1">INDEX(OFFSET('Financial stress'!$D$1:$W$1,$D24-1,0),MATCH(O$4,'Financial stress'!$D$10:$W$10,0))</f>
        <v>4.2042120000000001</v>
      </c>
      <c r="P24" s="327">
        <f ca="1">INDEX(OFFSET('Financial stress'!$D$1:$W$1,$D24-1,0),MATCH(P$4,'Financial stress'!$D$10:$W$10,0))</f>
        <v>3.2313800000000001</v>
      </c>
      <c r="Q24" s="327">
        <f ca="1">INDEX(OFFSET('Financial stress'!$D$1:$W$1,$D24-1,0),MATCH(Q$4,'Financial stress'!$D$10:$W$10,0))</f>
        <v>3.2698110000000002</v>
      </c>
      <c r="R24" s="327">
        <f ca="1">INDEX(OFFSET('Financial stress'!$D$1:$W$1,$D24-1,0),MATCH(R$4,'Financial stress'!$D$10:$W$10,0))</f>
        <v>3.3082419999999999</v>
      </c>
      <c r="S24" s="327">
        <f ca="1">INDEX(OFFSET('Financial stress'!$D$1:$W$1,$D24-1,0),MATCH(S$4,'Financial stress'!$D$10:$W$10,0))</f>
        <v>3.346673</v>
      </c>
      <c r="T24" s="327">
        <f ca="1">INDEX(OFFSET('Financial stress'!$D$1:$W$1,$D24-1,0),MATCH(T$4,'Financial stress'!$D$10:$W$10,0))</f>
        <v>3.3851040000000001</v>
      </c>
      <c r="U24" s="327">
        <f ca="1">INDEX(OFFSET('Financial stress'!$D$1:$W$1,$D24-1,0),MATCH(U$4,'Financial stress'!$D$10:$W$10,0))</f>
        <v>3.4235350000000002</v>
      </c>
      <c r="V24" s="327">
        <f ca="1">INDEX(OFFSET('Financial stress'!$D$1:$W$1,$D24-1,0),MATCH(V$4,'Financial stress'!$D$10:$W$10,0))</f>
        <v>3.4619660000000003</v>
      </c>
      <c r="W24" s="327">
        <f ca="1">INDEX(OFFSET('Financial stress'!$D$1:$W$1,$D24-1,0),MATCH(W$4,'Financial stress'!$D$10:$W$10,0))</f>
        <v>3.500397</v>
      </c>
      <c r="X24" s="327">
        <f ca="1">INDEX(OFFSET('Financial stress'!$D$1:$W$1,$D24-1,0),MATCH(X$4,'Financial stress'!$D$10:$W$10,0))</f>
        <v>3.5388280000000001</v>
      </c>
      <c r="Y24" s="5"/>
    </row>
    <row r="25" spans="1:25" x14ac:dyDescent="0.2">
      <c r="A25" s="5"/>
      <c r="B25" s="334">
        <v>3</v>
      </c>
      <c r="C25" s="338" t="s">
        <v>95</v>
      </c>
      <c r="D25" s="339">
        <v>37</v>
      </c>
      <c r="E25" s="340" t="s">
        <v>227</v>
      </c>
      <c r="F25" s="327">
        <f ca="1">INDEX(OFFSET('Financial stress'!$D$1:$W$1,$D25-1,0),MATCH(F$4,'Financial stress'!$D$10:$W$10,0))</f>
        <v>3.43</v>
      </c>
      <c r="G25" s="327">
        <f ca="1">INDEX(OFFSET('Financial stress'!$D$1:$W$1,$D25-1,0),MATCH(G$4,'Financial stress'!$D$10:$W$10,0))</f>
        <v>3.5642079999999998</v>
      </c>
      <c r="H25" s="327">
        <f ca="1">INDEX(OFFSET('Financial stress'!$D$1:$W$1,$D25-1,0),MATCH(H$4,'Financial stress'!$D$10:$W$10,0))</f>
        <v>2.8163749999999999</v>
      </c>
      <c r="I25" s="327">
        <f ca="1">INDEX(OFFSET('Financial stress'!$D$1:$W$1,$D25-1,0),MATCH(I$4,'Financial stress'!$D$10:$W$10,0))</f>
        <v>2.8050893749999997</v>
      </c>
      <c r="J25" s="327">
        <f ca="1">INDEX(OFFSET('Financial stress'!$D$1:$W$1,$D25-1,0),MATCH(J$4,'Financial stress'!$D$10:$W$10,0))</f>
        <v>2.7938037499999995</v>
      </c>
      <c r="K25" s="327">
        <f ca="1">INDEX(OFFSET('Financial stress'!$D$1:$W$1,$D25-1,0),MATCH(K$4,'Financial stress'!$D$10:$W$10,0))</f>
        <v>2.7825181249999993</v>
      </c>
      <c r="L25" s="327">
        <f ca="1">INDEX(OFFSET('Financial stress'!$D$1:$W$1,$D25-1,0),MATCH(L$4,'Financial stress'!$D$10:$W$10,0))</f>
        <v>2.7712325</v>
      </c>
      <c r="M25" s="327">
        <f ca="1">INDEX(OFFSET('Financial stress'!$D$1:$W$1,$D25-1,0),MATCH(M$4,'Financial stress'!$D$10:$W$10,0))</f>
        <v>2.7599468749999998</v>
      </c>
      <c r="N25" s="327">
        <f ca="1">INDEX(OFFSET('Financial stress'!$D$1:$W$1,$D25-1,0),MATCH(N$4,'Financial stress'!$D$10:$W$10,0))</f>
        <v>2.7486612500000001</v>
      </c>
      <c r="O25" s="327">
        <f ca="1">INDEX(OFFSET('Financial stress'!$D$1:$W$1,$D25-1,0),MATCH(O$4,'Financial stress'!$D$10:$W$10,0))</f>
        <v>3.7373756250000003</v>
      </c>
      <c r="P25" s="327">
        <f ca="1">INDEX(OFFSET('Financial stress'!$D$1:$W$1,$D25-1,0),MATCH(P$4,'Financial stress'!$D$10:$W$10,0))</f>
        <v>2.7260900000000001</v>
      </c>
      <c r="Q25" s="327">
        <f ca="1">INDEX(OFFSET('Financial stress'!$D$1:$W$1,$D25-1,0),MATCH(Q$4,'Financial stress'!$D$10:$W$10,0))</f>
        <v>2.6897855000000002</v>
      </c>
      <c r="R25" s="327">
        <f ca="1">INDEX(OFFSET('Financial stress'!$D$1:$W$1,$D25-1,0),MATCH(R$4,'Financial stress'!$D$10:$W$10,0))</f>
        <v>2.6534810000000002</v>
      </c>
      <c r="S25" s="327">
        <f ca="1">INDEX(OFFSET('Financial stress'!$D$1:$W$1,$D25-1,0),MATCH(S$4,'Financial stress'!$D$10:$W$10,0))</f>
        <v>2.6171765000000002</v>
      </c>
      <c r="T25" s="327">
        <f ca="1">INDEX(OFFSET('Financial stress'!$D$1:$W$1,$D25-1,0),MATCH(T$4,'Financial stress'!$D$10:$W$10,0))</f>
        <v>2.5808720000000003</v>
      </c>
      <c r="U25" s="327">
        <f ca="1">INDEX(OFFSET('Financial stress'!$D$1:$W$1,$D25-1,0),MATCH(U$4,'Financial stress'!$D$10:$W$10,0))</f>
        <v>2.5445675000000003</v>
      </c>
      <c r="V25" s="327">
        <f ca="1">INDEX(OFFSET('Financial stress'!$D$1:$W$1,$D25-1,0),MATCH(V$4,'Financial stress'!$D$10:$W$10,0))</f>
        <v>2.5082629999999999</v>
      </c>
      <c r="W25" s="327">
        <f ca="1">INDEX(OFFSET('Financial stress'!$D$1:$W$1,$D25-1,0),MATCH(W$4,'Financial stress'!$D$10:$W$10,0))</f>
        <v>2.4719584999999999</v>
      </c>
      <c r="X25" s="327">
        <f ca="1">INDEX(OFFSET('Financial stress'!$D$1:$W$1,$D25-1,0),MATCH(X$4,'Financial stress'!$D$10:$W$10,0))</f>
        <v>2.435654</v>
      </c>
      <c r="Y25" s="5"/>
    </row>
    <row r="26" spans="1:25" x14ac:dyDescent="0.2">
      <c r="A26" s="5"/>
      <c r="B26" s="334"/>
      <c r="C26" s="332" t="s">
        <v>27</v>
      </c>
      <c r="D26" s="332"/>
      <c r="E26" s="336">
        <f>F26-1</f>
        <v>2022</v>
      </c>
      <c r="F26" s="337">
        <f>'Input data'!$C$5-1</f>
        <v>2023</v>
      </c>
      <c r="G26" s="337">
        <f>F26+1</f>
        <v>2024</v>
      </c>
      <c r="H26" s="337">
        <f t="shared" ref="H26:X26" si="2">G26+1</f>
        <v>2025</v>
      </c>
      <c r="I26" s="337">
        <f t="shared" si="2"/>
        <v>2026</v>
      </c>
      <c r="J26" s="337">
        <f t="shared" si="2"/>
        <v>2027</v>
      </c>
      <c r="K26" s="337">
        <f t="shared" si="2"/>
        <v>2028</v>
      </c>
      <c r="L26" s="337">
        <f t="shared" si="2"/>
        <v>2029</v>
      </c>
      <c r="M26" s="337">
        <f t="shared" si="2"/>
        <v>2030</v>
      </c>
      <c r="N26" s="337">
        <f t="shared" si="2"/>
        <v>2031</v>
      </c>
      <c r="O26" s="337">
        <f t="shared" si="2"/>
        <v>2032</v>
      </c>
      <c r="P26" s="337">
        <f t="shared" si="2"/>
        <v>2033</v>
      </c>
      <c r="Q26" s="337">
        <f t="shared" si="2"/>
        <v>2034</v>
      </c>
      <c r="R26" s="337">
        <f t="shared" si="2"/>
        <v>2035</v>
      </c>
      <c r="S26" s="337">
        <f t="shared" si="2"/>
        <v>2036</v>
      </c>
      <c r="T26" s="337">
        <f t="shared" si="2"/>
        <v>2037</v>
      </c>
      <c r="U26" s="337">
        <f t="shared" si="2"/>
        <v>2038</v>
      </c>
      <c r="V26" s="337">
        <f t="shared" si="2"/>
        <v>2039</v>
      </c>
      <c r="W26" s="337">
        <f t="shared" si="2"/>
        <v>2040</v>
      </c>
      <c r="X26" s="337">
        <f t="shared" si="2"/>
        <v>2041</v>
      </c>
      <c r="Y26" s="5"/>
    </row>
    <row r="27" spans="1:25" x14ac:dyDescent="0.2">
      <c r="A27" s="5"/>
      <c r="B27" s="334">
        <v>4</v>
      </c>
      <c r="C27" s="338" t="s">
        <v>220</v>
      </c>
      <c r="D27" s="339">
        <v>56</v>
      </c>
      <c r="E27" s="340" t="s">
        <v>221</v>
      </c>
      <c r="F27" s="327">
        <f ca="1">INDEX(OFFSET('Lower SPB'!$D$1:$W$1,$D27-1,0),MATCH(F$4,'Lower SPB'!$D$10:$W$10,0))</f>
        <v>76.572506382321123</v>
      </c>
      <c r="G27" s="327">
        <f ca="1">INDEX(OFFSET('Lower SPB'!$D$1:$W$1,$D27-1,0),MATCH(G$4,'Lower SPB'!$D$10:$W$10,0))</f>
        <v>81.669832373893243</v>
      </c>
      <c r="H27" s="327">
        <f ca="1">INDEX(OFFSET('Lower SPB'!$D$1:$W$1,$D27-1,0),MATCH(H$4,'Lower SPB'!$D$10:$W$10,0))</f>
        <v>83.193157241487697</v>
      </c>
      <c r="I27" s="327">
        <f ca="1">INDEX(OFFSET('Lower SPB'!$D$1:$W$1,$D27-1,0),MATCH(I$4,'Lower SPB'!$D$10:$W$10,0))</f>
        <v>84.556754593314608</v>
      </c>
      <c r="J27" s="327">
        <f ca="1">INDEX(OFFSET('Lower SPB'!$D$1:$W$1,$D27-1,0),MATCH(J$4,'Lower SPB'!$D$10:$W$10,0))</f>
        <v>85.459120171217933</v>
      </c>
      <c r="K27" s="327">
        <f ca="1">INDEX(OFFSET('Lower SPB'!$D$1:$W$1,$D27-1,0),MATCH(K$4,'Lower SPB'!$D$10:$W$10,0))</f>
        <v>86.145056856268312</v>
      </c>
      <c r="L27" s="327">
        <f ca="1">INDEX(OFFSET('Lower SPB'!$D$1:$W$1,$D27-1,0),MATCH(L$4,'Lower SPB'!$D$10:$W$10,0))</f>
        <v>86.34726643202589</v>
      </c>
      <c r="M27" s="327">
        <f ca="1">INDEX(OFFSET('Lower SPB'!$D$1:$W$1,$D27-1,0),MATCH(M$4,'Lower SPB'!$D$10:$W$10,0))</f>
        <v>86.468995590643061</v>
      </c>
      <c r="N27" s="327">
        <f ca="1">INDEX(OFFSET('Lower SPB'!$D$1:$W$1,$D27-1,0),MATCH(N$4,'Lower SPB'!$D$10:$W$10,0))</f>
        <v>86.939180456571577</v>
      </c>
      <c r="O27" s="327">
        <f ca="1">INDEX(OFFSET('Lower SPB'!$D$1:$W$1,$D27-1,0),MATCH(O$4,'Lower SPB'!$D$10:$W$10,0))</f>
        <v>87.306868504821239</v>
      </c>
      <c r="P27" s="327">
        <f ca="1">INDEX(OFFSET('Lower SPB'!$D$1:$W$1,$D27-1,0),MATCH(P$4,'Lower SPB'!$D$10:$W$10,0))</f>
        <v>87.72900153623246</v>
      </c>
      <c r="Q27" s="327">
        <f ca="1">INDEX(OFFSET('Lower SPB'!$D$1:$W$1,$D27-1,0),MATCH(Q$4,'Lower SPB'!$D$10:$W$10,0))</f>
        <v>88.300174424421201</v>
      </c>
      <c r="R27" s="327">
        <f ca="1">INDEX(OFFSET('Lower SPB'!$D$1:$W$1,$D27-1,0),MATCH(R$4,'Lower SPB'!$D$10:$W$10,0))</f>
        <v>88.785216866922113</v>
      </c>
      <c r="S27" s="327">
        <f ca="1">INDEX(OFFSET('Lower SPB'!$D$1:$W$1,$D27-1,0),MATCH(S$4,'Lower SPB'!$D$10:$W$10,0))</f>
        <v>89.167603629491808</v>
      </c>
      <c r="T27" s="327">
        <f ca="1">INDEX(OFFSET('Lower SPB'!$D$1:$W$1,$D27-1,0),MATCH(T$4,'Lower SPB'!$D$10:$W$10,0))</f>
        <v>89.372098108716514</v>
      </c>
      <c r="U27" s="327">
        <f ca="1">INDEX(OFFSET('Lower SPB'!$D$1:$W$1,$D27-1,0),MATCH(U$4,'Lower SPB'!$D$10:$W$10,0))</f>
        <v>89.416064722771694</v>
      </c>
      <c r="V27" s="327">
        <f ca="1">INDEX(OFFSET('Lower SPB'!$D$1:$W$1,$D27-1,0),MATCH(V$4,'Lower SPB'!$D$10:$W$10,0))</f>
        <v>89.284564260755701</v>
      </c>
      <c r="W27" s="327">
        <f ca="1">INDEX(OFFSET('Lower SPB'!$D$1:$W$1,$D27-1,0),MATCH(W$4,'Lower SPB'!$D$10:$W$10,0))</f>
        <v>88.97773697306026</v>
      </c>
      <c r="X27" s="327">
        <f ca="1">INDEX(OFFSET('Lower SPB'!$D$1:$W$1,$D27-1,0),MATCH(X$4,'Lower SPB'!$D$10:$W$10,0))</f>
        <v>88.511232115005498</v>
      </c>
      <c r="Y27" s="5"/>
    </row>
    <row r="28" spans="1:25" x14ac:dyDescent="0.2">
      <c r="A28" s="5"/>
      <c r="B28" s="334">
        <v>5</v>
      </c>
      <c r="C28" s="338" t="s">
        <v>40</v>
      </c>
      <c r="D28" s="339">
        <v>12</v>
      </c>
      <c r="E28" s="340" t="s">
        <v>223</v>
      </c>
      <c r="F28" s="327">
        <f ca="1">INDEX(OFFSET('Lower SPB'!$D$1:$W$1,$D28-1,0),MATCH(F$4,'Lower SPB'!$D$10:$W$10,0))</f>
        <v>-0.3391101166058319</v>
      </c>
      <c r="G28" s="327">
        <f ca="1">INDEX(OFFSET('Lower SPB'!$D$1:$W$1,$D28-1,0),MATCH(G$4,'Lower SPB'!$D$10:$W$10,0))</f>
        <v>-0.3744433445451063</v>
      </c>
      <c r="H28" s="327">
        <f ca="1">INDEX(OFFSET('Lower SPB'!$D$1:$W$1,$D28-1,0),MATCH(H$4,'Lower SPB'!$D$10:$W$10,0))</f>
        <v>-0.27444334454510633</v>
      </c>
      <c r="I28" s="327">
        <f ca="1">INDEX(OFFSET('Lower SPB'!$D$1:$W$1,$D28-1,0),MATCH(I$4,'Lower SPB'!$D$10:$W$10,0))</f>
        <v>-0.17444334454510632</v>
      </c>
      <c r="J28" s="327">
        <f ca="1">INDEX(OFFSET('Lower SPB'!$D$1:$W$1,$D28-1,0),MATCH(J$4,'Lower SPB'!$D$10:$W$10,0))</f>
        <v>-7.4443344545106316E-2</v>
      </c>
      <c r="K28" s="327">
        <f ca="1">INDEX(OFFSET('Lower SPB'!$D$1:$W$1,$D28-1,0),MATCH(K$4,'Lower SPB'!$D$10:$W$10,0))</f>
        <v>2.555665545489369E-2</v>
      </c>
      <c r="L28" s="327">
        <f ca="1">INDEX(OFFSET('Lower SPB'!$D$1:$W$1,$D28-1,0),MATCH(L$4,'Lower SPB'!$D$10:$W$10,0))</f>
        <v>0.1255566554548937</v>
      </c>
      <c r="M28" s="327">
        <f ca="1">INDEX(OFFSET('Lower SPB'!$D$1:$W$1,$D28-1,0),MATCH(M$4,'Lower SPB'!$D$10:$W$10,0))</f>
        <v>0.2255566554548937</v>
      </c>
      <c r="N28" s="327">
        <f ca="1">INDEX(OFFSET('Lower SPB'!$D$1:$W$1,$D28-1,0),MATCH(N$4,'Lower SPB'!$D$10:$W$10,0))</f>
        <v>0.32555665545489371</v>
      </c>
      <c r="O28" s="327">
        <f ca="1">INDEX(OFFSET('Lower SPB'!$D$1:$W$1,$D28-1,0),MATCH(O$4,'Lower SPB'!$D$10:$W$10,0))</f>
        <v>7.5556655454893706E-2</v>
      </c>
      <c r="P28" s="327">
        <f ca="1">INDEX(OFFSET('Lower SPB'!$D$1:$W$1,$D28-1,0),MATCH(P$4,'Lower SPB'!$D$10:$W$10,0))</f>
        <v>-0.17444334454510629</v>
      </c>
      <c r="Q28" s="327">
        <f ca="1">INDEX(OFFSET('Lower SPB'!$D$1:$W$1,$D28-1,0),MATCH(Q$4,'Lower SPB'!$D$10:$W$10,0))</f>
        <v>-0.17444334454510629</v>
      </c>
      <c r="R28" s="327">
        <f ca="1">INDEX(OFFSET('Lower SPB'!$D$1:$W$1,$D28-1,0),MATCH(R$4,'Lower SPB'!$D$10:$W$10,0))</f>
        <v>-0.17444334454510629</v>
      </c>
      <c r="S28" s="327">
        <f ca="1">INDEX(OFFSET('Lower SPB'!$D$1:$W$1,$D28-1,0),MATCH(S$4,'Lower SPB'!$D$10:$W$10,0))</f>
        <v>-0.17444334454510629</v>
      </c>
      <c r="T28" s="327">
        <f ca="1">INDEX(OFFSET('Lower SPB'!$D$1:$W$1,$D28-1,0),MATCH(T$4,'Lower SPB'!$D$10:$W$10,0))</f>
        <v>-0.17444334454510629</v>
      </c>
      <c r="U28" s="327">
        <f ca="1">INDEX(OFFSET('Lower SPB'!$D$1:$W$1,$D28-1,0),MATCH(U$4,'Lower SPB'!$D$10:$W$10,0))</f>
        <v>-0.17444334454510629</v>
      </c>
      <c r="V28" s="327">
        <f ca="1">INDEX(OFFSET('Lower SPB'!$D$1:$W$1,$D28-1,0),MATCH(V$4,'Lower SPB'!$D$10:$W$10,0))</f>
        <v>-0.17444334454510629</v>
      </c>
      <c r="W28" s="327">
        <f ca="1">INDEX(OFFSET('Lower SPB'!$D$1:$W$1,$D28-1,0),MATCH(W$4,'Lower SPB'!$D$10:$W$10,0))</f>
        <v>-0.17444334454510629</v>
      </c>
      <c r="X28" s="327">
        <f ca="1">INDEX(OFFSET('Lower SPB'!$D$1:$W$1,$D28-1,0),MATCH(X$4,'Lower SPB'!$D$10:$W$10,0))</f>
        <v>-0.17444334454510629</v>
      </c>
      <c r="Y28" s="5"/>
    </row>
    <row r="29" spans="1:25" x14ac:dyDescent="0.2">
      <c r="A29" s="5"/>
      <c r="B29" s="334"/>
      <c r="C29" s="332" t="s">
        <v>235</v>
      </c>
      <c r="D29" s="332"/>
      <c r="E29" s="336">
        <f>F29-1</f>
        <v>2022</v>
      </c>
      <c r="F29" s="337">
        <f>'Input data'!$C$5-1</f>
        <v>2023</v>
      </c>
      <c r="G29" s="337">
        <f>F29+1</f>
        <v>2024</v>
      </c>
      <c r="H29" s="337">
        <f t="shared" ref="H29:X29" si="3">G29+1</f>
        <v>2025</v>
      </c>
      <c r="I29" s="337">
        <f t="shared" si="3"/>
        <v>2026</v>
      </c>
      <c r="J29" s="337">
        <f t="shared" si="3"/>
        <v>2027</v>
      </c>
      <c r="K29" s="337">
        <f t="shared" si="3"/>
        <v>2028</v>
      </c>
      <c r="L29" s="337">
        <f t="shared" si="3"/>
        <v>2029</v>
      </c>
      <c r="M29" s="337">
        <f t="shared" si="3"/>
        <v>2030</v>
      </c>
      <c r="N29" s="337">
        <f t="shared" si="3"/>
        <v>2031</v>
      </c>
      <c r="O29" s="337">
        <f t="shared" si="3"/>
        <v>2032</v>
      </c>
      <c r="P29" s="337">
        <f t="shared" si="3"/>
        <v>2033</v>
      </c>
      <c r="Q29" s="337">
        <f t="shared" si="3"/>
        <v>2034</v>
      </c>
      <c r="R29" s="337">
        <f t="shared" si="3"/>
        <v>2035</v>
      </c>
      <c r="S29" s="337">
        <f t="shared" si="3"/>
        <v>2036</v>
      </c>
      <c r="T29" s="337">
        <f t="shared" si="3"/>
        <v>2037</v>
      </c>
      <c r="U29" s="337">
        <f t="shared" si="3"/>
        <v>2038</v>
      </c>
      <c r="V29" s="337">
        <f t="shared" si="3"/>
        <v>2039</v>
      </c>
      <c r="W29" s="337">
        <f t="shared" si="3"/>
        <v>2040</v>
      </c>
      <c r="X29" s="337">
        <f t="shared" si="3"/>
        <v>2041</v>
      </c>
      <c r="Y29" s="5"/>
    </row>
    <row r="30" spans="1:25" x14ac:dyDescent="0.2">
      <c r="A30" s="5"/>
      <c r="B30" s="334">
        <v>6</v>
      </c>
      <c r="C30" s="338" t="s">
        <v>220</v>
      </c>
      <c r="D30" s="339">
        <v>57</v>
      </c>
      <c r="E30" s="340" t="s">
        <v>221</v>
      </c>
      <c r="F30" s="327">
        <f ca="1">INDEX(OFFSET('Adverse (r-g)'!$D$1:$W$1,$D30-1,0),MATCH(F$4,'Adverse (r-g)'!$D$10:$W$10,0))</f>
        <v>76.572506382321123</v>
      </c>
      <c r="G30" s="327">
        <f ca="1">INDEX(OFFSET('Adverse (r-g)'!$D$1:$W$1,$D30-1,0),MATCH(G$4,'Adverse (r-g)'!$D$10:$W$10,0))</f>
        <v>81.669832373893243</v>
      </c>
      <c r="H30" s="327">
        <f ca="1">INDEX(OFFSET('Adverse (r-g)'!$D$1:$W$1,$D30-1,0),MATCH(H$4,'Adverse (r-g)'!$D$10:$W$10,0))</f>
        <v>83.193157241487697</v>
      </c>
      <c r="I30" s="327">
        <f ca="1">INDEX(OFFSET('Adverse (r-g)'!$D$1:$W$1,$D30-1,0),MATCH(I$4,'Adverse (r-g)'!$D$10:$W$10,0))</f>
        <v>84.556754593314608</v>
      </c>
      <c r="J30" s="327">
        <f ca="1">INDEX(OFFSET('Adverse (r-g)'!$D$1:$W$1,$D30-1,0),MATCH(J$4,'Adverse (r-g)'!$D$10:$W$10,0))</f>
        <v>85.459120171217933</v>
      </c>
      <c r="K30" s="327">
        <f ca="1">INDEX(OFFSET('Adverse (r-g)'!$D$1:$W$1,$D30-1,0),MATCH(K$4,'Adverse (r-g)'!$D$10:$W$10,0))</f>
        <v>86.145056856268312</v>
      </c>
      <c r="L30" s="327">
        <f ca="1">INDEX(OFFSET('Adverse (r-g)'!$D$1:$W$1,$D30-1,0),MATCH(L$4,'Adverse (r-g)'!$D$10:$W$10,0))</f>
        <v>86.34726643202589</v>
      </c>
      <c r="M30" s="327">
        <f ca="1">INDEX(OFFSET('Adverse (r-g)'!$D$1:$W$1,$D30-1,0),MATCH(M$4,'Adverse (r-g)'!$D$10:$W$10,0))</f>
        <v>86.468995590643061</v>
      </c>
      <c r="N30" s="327">
        <f ca="1">INDEX(OFFSET('Adverse (r-g)'!$D$1:$W$1,$D30-1,0),MATCH(N$4,'Adverse (r-g)'!$D$10:$W$10,0))</f>
        <v>86.939180456571577</v>
      </c>
      <c r="O30" s="327">
        <f ca="1">INDEX(OFFSET('Adverse (r-g)'!$D$1:$W$1,$D30-1,0),MATCH(O$4,'Adverse (r-g)'!$D$10:$W$10,0))</f>
        <v>87.822266378105226</v>
      </c>
      <c r="P30" s="327">
        <f ca="1">INDEX(OFFSET('Adverse (r-g)'!$D$1:$W$1,$D30-1,0),MATCH(P$4,'Adverse (r-g)'!$D$10:$W$10,0))</f>
        <v>88.484291996244508</v>
      </c>
      <c r="Q30" s="327">
        <f ca="1">INDEX(OFFSET('Adverse (r-g)'!$D$1:$W$1,$D30-1,0),MATCH(Q$4,'Adverse (r-g)'!$D$10:$W$10,0))</f>
        <v>88.988481806792763</v>
      </c>
      <c r="R30" s="327">
        <f ca="1">INDEX(OFFSET('Adverse (r-g)'!$D$1:$W$1,$D30-1,0),MATCH(R$4,'Adverse (r-g)'!$D$10:$W$10,0))</f>
        <v>89.537943403234934</v>
      </c>
      <c r="S30" s="327">
        <f ca="1">INDEX(OFFSET('Adverse (r-g)'!$D$1:$W$1,$D30-1,0),MATCH(S$4,'Adverse (r-g)'!$D$10:$W$10,0))</f>
        <v>89.984903954576964</v>
      </c>
      <c r="T30" s="327">
        <f ca="1">INDEX(OFFSET('Adverse (r-g)'!$D$1:$W$1,$D30-1,0),MATCH(T$4,'Adverse (r-g)'!$D$10:$W$10,0))</f>
        <v>90.307877015221791</v>
      </c>
      <c r="U30" s="327">
        <f ca="1">INDEX(OFFSET('Adverse (r-g)'!$D$1:$W$1,$D30-1,0),MATCH(U$4,'Adverse (r-g)'!$D$10:$W$10,0))</f>
        <v>90.488368272047282</v>
      </c>
      <c r="V30" s="327">
        <f ca="1">INDEX(OFFSET('Adverse (r-g)'!$D$1:$W$1,$D30-1,0),MATCH(V$4,'Adverse (r-g)'!$D$10:$W$10,0))</f>
        <v>90.509215888800654</v>
      </c>
      <c r="W30" s="327">
        <f ca="1">INDEX(OFFSET('Adverse (r-g)'!$D$1:$W$1,$D30-1,0),MATCH(W$4,'Adverse (r-g)'!$D$10:$W$10,0))</f>
        <v>90.36825428500444</v>
      </c>
      <c r="X30" s="327">
        <f ca="1">INDEX(OFFSET('Adverse (r-g)'!$D$1:$W$1,$D30-1,0),MATCH(X$4,'Adverse (r-g)'!$D$10:$W$10,0))</f>
        <v>90.078883625975109</v>
      </c>
      <c r="Y30" s="5"/>
    </row>
    <row r="31" spans="1:25" x14ac:dyDescent="0.2">
      <c r="A31" s="5"/>
      <c r="B31" s="334">
        <v>7</v>
      </c>
      <c r="C31" s="338" t="s">
        <v>94</v>
      </c>
      <c r="D31" s="339">
        <v>37</v>
      </c>
      <c r="E31" s="340" t="s">
        <v>227</v>
      </c>
      <c r="F31" s="327">
        <f ca="1">INDEX(OFFSET('Adverse (r-g)'!$D$1:$W$1,$D31-1,0),MATCH(F$4,'Adverse (r-g)'!$D$10:$W$10,0))</f>
        <v>3.04</v>
      </c>
      <c r="G31" s="327">
        <f ca="1">INDEX(OFFSET('Adverse (r-g)'!$D$1:$W$1,$D31-1,0),MATCH(G$4,'Adverse (r-g)'!$D$10:$W$10,0))</f>
        <v>2.9418000000000002</v>
      </c>
      <c r="H31" s="327">
        <f ca="1">INDEX(OFFSET('Adverse (r-g)'!$D$1:$W$1,$D31-1,0),MATCH(H$4,'Adverse (r-g)'!$D$10:$W$10,0))</f>
        <v>3.0140359999999999</v>
      </c>
      <c r="I31" s="327">
        <f ca="1">INDEX(OFFSET('Adverse (r-g)'!$D$1:$W$1,$D31-1,0),MATCH(I$4,'Adverse (r-g)'!$D$10:$W$10,0))</f>
        <v>3.041204</v>
      </c>
      <c r="J31" s="327">
        <f ca="1">INDEX(OFFSET('Adverse (r-g)'!$D$1:$W$1,$D31-1,0),MATCH(J$4,'Adverse (r-g)'!$D$10:$W$10,0))</f>
        <v>3.0683720000000001</v>
      </c>
      <c r="K31" s="327">
        <f ca="1">INDEX(OFFSET('Adverse (r-g)'!$D$1:$W$1,$D31-1,0),MATCH(K$4,'Adverse (r-g)'!$D$10:$W$10,0))</f>
        <v>3.0955400000000002</v>
      </c>
      <c r="L31" s="327">
        <f ca="1">INDEX(OFFSET('Adverse (r-g)'!$D$1:$W$1,$D31-1,0),MATCH(L$4,'Adverse (r-g)'!$D$10:$W$10,0))</f>
        <v>3.1227080000000003</v>
      </c>
      <c r="M31" s="327">
        <f ca="1">INDEX(OFFSET('Adverse (r-g)'!$D$1:$W$1,$D31-1,0),MATCH(M$4,'Adverse (r-g)'!$D$10:$W$10,0))</f>
        <v>3.1498759999999999</v>
      </c>
      <c r="N31" s="327">
        <f ca="1">INDEX(OFFSET('Adverse (r-g)'!$D$1:$W$1,$D31-1,0),MATCH(N$4,'Adverse (r-g)'!$D$10:$W$10,0))</f>
        <v>3.177044</v>
      </c>
      <c r="O31" s="327">
        <f ca="1">INDEX(OFFSET('Adverse (r-g)'!$D$1:$W$1,$D31-1,0),MATCH(O$4,'Adverse (r-g)'!$D$10:$W$10,0))</f>
        <v>3.7042120000000001</v>
      </c>
      <c r="P31" s="327">
        <f ca="1">INDEX(OFFSET('Adverse (r-g)'!$D$1:$W$1,$D31-1,0),MATCH(P$4,'Adverse (r-g)'!$D$10:$W$10,0))</f>
        <v>3.7313800000000001</v>
      </c>
      <c r="Q31" s="327">
        <f ca="1">INDEX(OFFSET('Adverse (r-g)'!$D$1:$W$1,$D31-1,0),MATCH(Q$4,'Adverse (r-g)'!$D$10:$W$10,0))</f>
        <v>3.7698110000000002</v>
      </c>
      <c r="R31" s="327">
        <f ca="1">INDEX(OFFSET('Adverse (r-g)'!$D$1:$W$1,$D31-1,0),MATCH(R$4,'Adverse (r-g)'!$D$10:$W$10,0))</f>
        <v>3.8082419999999999</v>
      </c>
      <c r="S31" s="327">
        <f ca="1">INDEX(OFFSET('Adverse (r-g)'!$D$1:$W$1,$D31-1,0),MATCH(S$4,'Adverse (r-g)'!$D$10:$W$10,0))</f>
        <v>3.846673</v>
      </c>
      <c r="T31" s="327">
        <f ca="1">INDEX(OFFSET('Adverse (r-g)'!$D$1:$W$1,$D31-1,0),MATCH(T$4,'Adverse (r-g)'!$D$10:$W$10,0))</f>
        <v>3.8851040000000001</v>
      </c>
      <c r="U31" s="327">
        <f ca="1">INDEX(OFFSET('Adverse (r-g)'!$D$1:$W$1,$D31-1,0),MATCH(U$4,'Adverse (r-g)'!$D$10:$W$10,0))</f>
        <v>3.9235350000000002</v>
      </c>
      <c r="V31" s="327">
        <f ca="1">INDEX(OFFSET('Adverse (r-g)'!$D$1:$W$1,$D31-1,0),MATCH(V$4,'Adverse (r-g)'!$D$10:$W$10,0))</f>
        <v>3.9619660000000003</v>
      </c>
      <c r="W31" s="327">
        <f ca="1">INDEX(OFFSET('Adverse (r-g)'!$D$1:$W$1,$D31-1,0),MATCH(W$4,'Adverse (r-g)'!$D$10:$W$10,0))</f>
        <v>4.0003969999999995</v>
      </c>
      <c r="X31" s="327">
        <f ca="1">INDEX(OFFSET('Adverse (r-g)'!$D$1:$W$1,$D31-1,0),MATCH(X$4,'Adverse (r-g)'!$D$10:$W$10,0))</f>
        <v>4.0388280000000005</v>
      </c>
      <c r="Y31" s="5"/>
    </row>
    <row r="32" spans="1:25" x14ac:dyDescent="0.2">
      <c r="A32" s="5"/>
      <c r="B32" s="334">
        <v>8</v>
      </c>
      <c r="C32" s="338" t="s">
        <v>95</v>
      </c>
      <c r="D32" s="339">
        <v>38</v>
      </c>
      <c r="E32" s="340" t="s">
        <v>227</v>
      </c>
      <c r="F32" s="327">
        <f ca="1">INDEX(OFFSET('Adverse (r-g)'!$D$1:$W$1,$D32-1,0),MATCH(F$4,'Adverse (r-g)'!$D$10:$W$10,0))</f>
        <v>3.43</v>
      </c>
      <c r="G32" s="327">
        <f ca="1">INDEX(OFFSET('Adverse (r-g)'!$D$1:$W$1,$D32-1,0),MATCH(G$4,'Adverse (r-g)'!$D$10:$W$10,0))</f>
        <v>3.5642079999999998</v>
      </c>
      <c r="H32" s="327">
        <f ca="1">INDEX(OFFSET('Adverse (r-g)'!$D$1:$W$1,$D32-1,0),MATCH(H$4,'Adverse (r-g)'!$D$10:$W$10,0))</f>
        <v>2.8163749999999999</v>
      </c>
      <c r="I32" s="327">
        <f ca="1">INDEX(OFFSET('Adverse (r-g)'!$D$1:$W$1,$D32-1,0),MATCH(I$4,'Adverse (r-g)'!$D$10:$W$10,0))</f>
        <v>2.8050893749999997</v>
      </c>
      <c r="J32" s="327">
        <f ca="1">INDEX(OFFSET('Adverse (r-g)'!$D$1:$W$1,$D32-1,0),MATCH(J$4,'Adverse (r-g)'!$D$10:$W$10,0))</f>
        <v>2.7938037499999999</v>
      </c>
      <c r="K32" s="327">
        <f ca="1">INDEX(OFFSET('Adverse (r-g)'!$D$1:$W$1,$D32-1,0),MATCH(K$4,'Adverse (r-g)'!$D$10:$W$10,0))</f>
        <v>2.7825181250000002</v>
      </c>
      <c r="L32" s="327">
        <f ca="1">INDEX(OFFSET('Adverse (r-g)'!$D$1:$W$1,$D32-1,0),MATCH(L$4,'Adverse (r-g)'!$D$10:$W$10,0))</f>
        <v>2.7712325</v>
      </c>
      <c r="M32" s="327">
        <f ca="1">INDEX(OFFSET('Adverse (r-g)'!$D$1:$W$1,$D32-1,0),MATCH(M$4,'Adverse (r-g)'!$D$10:$W$10,0))</f>
        <v>2.7599468749999998</v>
      </c>
      <c r="N32" s="327">
        <f ca="1">INDEX(OFFSET('Adverse (r-g)'!$D$1:$W$1,$D32-1,0),MATCH(N$4,'Adverse (r-g)'!$D$10:$W$10,0))</f>
        <v>2.7486612500000001</v>
      </c>
      <c r="O32" s="327">
        <f ca="1">INDEX(OFFSET('Adverse (r-g)'!$D$1:$W$1,$D32-1,0),MATCH(O$4,'Adverse (r-g)'!$D$10:$W$10,0))</f>
        <v>3.2373756250000003</v>
      </c>
      <c r="P32" s="327">
        <f ca="1">INDEX(OFFSET('Adverse (r-g)'!$D$1:$W$1,$D32-1,0),MATCH(P$4,'Adverse (r-g)'!$D$10:$W$10,0))</f>
        <v>3.2260900000000001</v>
      </c>
      <c r="Q32" s="327">
        <f ca="1">INDEX(OFFSET('Adverse (r-g)'!$D$1:$W$1,$D32-1,0),MATCH(Q$4,'Adverse (r-g)'!$D$10:$W$10,0))</f>
        <v>3.1897855000000002</v>
      </c>
      <c r="R32" s="327">
        <f ca="1">INDEX(OFFSET('Adverse (r-g)'!$D$1:$W$1,$D32-1,0),MATCH(R$4,'Adverse (r-g)'!$D$10:$W$10,0))</f>
        <v>3.1534810000000002</v>
      </c>
      <c r="S32" s="327">
        <f ca="1">INDEX(OFFSET('Adverse (r-g)'!$D$1:$W$1,$D32-1,0),MATCH(S$4,'Adverse (r-g)'!$D$10:$W$10,0))</f>
        <v>3.1171765000000002</v>
      </c>
      <c r="T32" s="327">
        <f ca="1">INDEX(OFFSET('Adverse (r-g)'!$D$1:$W$1,$D32-1,0),MATCH(T$4,'Adverse (r-g)'!$D$10:$W$10,0))</f>
        <v>3.0808720000000003</v>
      </c>
      <c r="U32" s="327">
        <f ca="1">INDEX(OFFSET('Adverse (r-g)'!$D$1:$W$1,$D32-1,0),MATCH(U$4,'Adverse (r-g)'!$D$10:$W$10,0))</f>
        <v>3.0445675000000003</v>
      </c>
      <c r="V32" s="327">
        <f ca="1">INDEX(OFFSET('Adverse (r-g)'!$D$1:$W$1,$D32-1,0),MATCH(V$4,'Adverse (r-g)'!$D$10:$W$10,0))</f>
        <v>3.0082629999999999</v>
      </c>
      <c r="W32" s="327">
        <f ca="1">INDEX(OFFSET('Adverse (r-g)'!$D$1:$W$1,$D32-1,0),MATCH(W$4,'Adverse (r-g)'!$D$10:$W$10,0))</f>
        <v>2.9719584999999999</v>
      </c>
      <c r="X32" s="327">
        <f ca="1">INDEX(OFFSET('Adverse (r-g)'!$D$1:$W$1,$D32-1,0),MATCH(X$4,'Adverse (r-g)'!$D$10:$W$10,0))</f>
        <v>2.935654</v>
      </c>
      <c r="Y32" s="5"/>
    </row>
    <row r="33" spans="1:25" x14ac:dyDescent="0.2">
      <c r="A33" s="5"/>
      <c r="B33" s="334">
        <v>9</v>
      </c>
      <c r="C33" s="330" t="s">
        <v>231</v>
      </c>
      <c r="D33" s="339">
        <v>23</v>
      </c>
      <c r="E33" s="340" t="s">
        <v>230</v>
      </c>
      <c r="F33" s="327">
        <f ca="1">INDEX(OFFSET('Adverse (r-g)'!$D$1:$W$1,$D33-1,0),MATCH(F$4,'Adverse (r-g)'!$D$10:$W$10,0))</f>
        <v>-1.1595058938339342</v>
      </c>
      <c r="G33" s="327">
        <f ca="1">INDEX(OFFSET('Adverse (r-g)'!$D$1:$W$1,$D33-1,0),MATCH(G$4,'Adverse (r-g)'!$D$10:$W$10,0))</f>
        <v>-0.22177088705733761</v>
      </c>
      <c r="H33" s="327">
        <f ca="1">INDEX(OFFSET('Adverse (r-g)'!$D$1:$W$1,$D33-1,0),MATCH(H$4,'Adverse (r-g)'!$D$10:$W$10,0))</f>
        <v>1.7601999999999896</v>
      </c>
      <c r="I33" s="327">
        <f ca="1">INDEX(OFFSET('Adverse (r-g)'!$D$1:$W$1,$D33-1,0),MATCH(I$4,'Adverse (r-g)'!$D$10:$W$10,0))</f>
        <v>1.7936716614600723</v>
      </c>
      <c r="J33" s="327">
        <f ca="1">INDEX(OFFSET('Adverse (r-g)'!$D$1:$W$1,$D33-1,0),MATCH(J$4,'Adverse (r-g)'!$D$10:$W$10,0))</f>
        <v>1.5020208166012239</v>
      </c>
      <c r="K33" s="327">
        <f ca="1">INDEX(OFFSET('Adverse (r-g)'!$D$1:$W$1,$D33-1,0),MATCH(K$4,'Adverse (r-g)'!$D$10:$W$10,0))</f>
        <v>1.3105173579600171</v>
      </c>
      <c r="L33" s="327">
        <f ca="1">INDEX(OFFSET('Adverse (r-g)'!$D$1:$W$1,$D33-1,0),MATCH(L$4,'Adverse (r-g)'!$D$10:$W$10,0))</f>
        <v>1.184172884051593</v>
      </c>
      <c r="M33" s="327">
        <f ca="1">INDEX(OFFSET('Adverse (r-g)'!$D$1:$W$1,$D33-1,0),MATCH(M$4,'Adverse (r-g)'!$D$10:$W$10,0))</f>
        <v>1.1005552291055487</v>
      </c>
      <c r="N33" s="327">
        <f ca="1">INDEX(OFFSET('Adverse (r-g)'!$D$1:$W$1,$D33-1,0),MATCH(N$4,'Adverse (r-g)'!$D$10:$W$10,0))</f>
        <v>1.0451002292715117</v>
      </c>
      <c r="O33" s="327">
        <f ca="1">INDEX(OFFSET('Adverse (r-g)'!$D$1:$W$1,$D33-1,0),MATCH(O$4,'Adverse (r-g)'!$D$10:$W$10,0))</f>
        <v>0.58253801019680918</v>
      </c>
      <c r="P33" s="327">
        <f ca="1">INDEX(OFFSET('Adverse (r-g)'!$D$1:$W$1,$D33-1,0),MATCH(P$4,'Adverse (r-g)'!$D$10:$W$10,0))</f>
        <v>0.58232188951341524</v>
      </c>
      <c r="Q33" s="327">
        <f ca="1">INDEX(OFFSET('Adverse (r-g)'!$D$1:$W$1,$D33-1,0),MATCH(Q$4,'Adverse (r-g)'!$D$10:$W$10,0))</f>
        <v>0.58210640149978232</v>
      </c>
      <c r="R33" s="327">
        <f ca="1">INDEX(OFFSET('Adverse (r-g)'!$D$1:$W$1,$D33-1,0),MATCH(R$4,'Adverse (r-g)'!$D$10:$W$10,0))</f>
        <v>0.43508447222222468</v>
      </c>
      <c r="S33" s="327">
        <f ca="1">INDEX(OFFSET('Adverse (r-g)'!$D$1:$W$1,$D33-1,0),MATCH(S$4,'Adverse (r-g)'!$D$10:$W$10,0))</f>
        <v>0.43508647222223473</v>
      </c>
      <c r="T33" s="327">
        <f ca="1">INDEX(OFFSET('Adverse (r-g)'!$D$1:$W$1,$D33-1,0),MATCH(T$4,'Adverse (r-g)'!$D$10:$W$10,0))</f>
        <v>0.43508347222223076</v>
      </c>
      <c r="U33" s="327">
        <f ca="1">INDEX(OFFSET('Adverse (r-g)'!$D$1:$W$1,$D33-1,0),MATCH(U$4,'Adverse (r-g)'!$D$10:$W$10,0))</f>
        <v>0.4350894722222387</v>
      </c>
      <c r="V33" s="327">
        <f ca="1">INDEX(OFFSET('Adverse (r-g)'!$D$1:$W$1,$D33-1,0),MATCH(V$4,'Adverse (r-g)'!$D$10:$W$10,0))</f>
        <v>0.43508647222223473</v>
      </c>
      <c r="W33" s="327">
        <f ca="1">INDEX(OFFSET('Adverse (r-g)'!$D$1:$W$1,$D33-1,0),MATCH(W$4,'Adverse (r-g)'!$D$10:$W$10,0))</f>
        <v>0.43509147222222655</v>
      </c>
      <c r="X33" s="327">
        <f ca="1">INDEX(OFFSET('Adverse (r-g)'!$D$1:$W$1,$D33-1,0),MATCH(X$4,'Adverse (r-g)'!$D$10:$W$10,0))</f>
        <v>0.43508847222222258</v>
      </c>
      <c r="Y33" s="5"/>
    </row>
    <row r="34" spans="1:25" x14ac:dyDescent="0.2">
      <c r="A34" s="5"/>
      <c r="B34" s="334">
        <v>10</v>
      </c>
      <c r="C34" s="342" t="s">
        <v>62</v>
      </c>
      <c r="D34" s="339">
        <v>27</v>
      </c>
      <c r="E34" s="340" t="s">
        <v>230</v>
      </c>
      <c r="F34" s="327">
        <f ca="1">(INDEX(OFFSET('Adverse (r-g)'!$D$1:$W$1,$D34-1,0),MATCH(F$4,'Adverse (r-g)'!$D$10:$W$10,0))/INDEX(OFFSET('Adverse (r-g)'!$D$1:$W$1,$D34-1,0),MATCH(E$4,'Adverse (r-g)'!$D$10:$W$10,0))-1)*100</f>
        <v>1.0916300000000101</v>
      </c>
      <c r="G34" s="327">
        <f ca="1">(INDEX(OFFSET('Adverse (r-g)'!$D$1:$W$1,$D34-1,0),MATCH(G$4,'Adverse (r-g)'!$D$10:$W$10,0))/INDEX(OFFSET('Adverse (r-g)'!$D$1:$W$1,$D34-1,0),MATCH(F$4,'Adverse (r-g)'!$D$10:$W$10,0))-1)*100</f>
        <v>0.93510000000001092</v>
      </c>
      <c r="H34" s="327">
        <f ca="1">(INDEX(OFFSET('Adverse (r-g)'!$D$1:$W$1,$D34-1,0),MATCH(H$4,'Adverse (r-g)'!$D$10:$W$10,0))/INDEX(OFFSET('Adverse (r-g)'!$D$1:$W$1,$D34-1,0),MATCH(G$4,'Adverse (r-g)'!$D$10:$W$10,0))-1)*100</f>
        <v>0.93510000000001092</v>
      </c>
      <c r="I34" s="327">
        <f ca="1">(INDEX(OFFSET('Adverse (r-g)'!$D$1:$W$1,$D34-1,0),MATCH(I$4,'Adverse (r-g)'!$D$10:$W$10,0))/INDEX(OFFSET('Adverse (r-g)'!$D$1:$W$1,$D34-1,0),MATCH(H$4,'Adverse (r-g)'!$D$10:$W$10,0))-1)*100</f>
        <v>0.93510000000001092</v>
      </c>
      <c r="J34" s="327">
        <f ca="1">(INDEX(OFFSET('Adverse (r-g)'!$D$1:$W$1,$D34-1,0),MATCH(J$4,'Adverse (r-g)'!$D$10:$W$10,0))/INDEX(OFFSET('Adverse (r-g)'!$D$1:$W$1,$D34-1,0),MATCH(I$4,'Adverse (r-g)'!$D$10:$W$10,0))-1)*100</f>
        <v>0.93510000000001092</v>
      </c>
      <c r="K34" s="327">
        <f ca="1">(INDEX(OFFSET('Adverse (r-g)'!$D$1:$W$1,$D34-1,0),MATCH(K$4,'Adverse (r-g)'!$D$10:$W$10,0))/INDEX(OFFSET('Adverse (r-g)'!$D$1:$W$1,$D34-1,0),MATCH(J$4,'Adverse (r-g)'!$D$10:$W$10,0))-1)*100</f>
        <v>0.93510000000001092</v>
      </c>
      <c r="L34" s="327">
        <f ca="1">(INDEX(OFFSET('Adverse (r-g)'!$D$1:$W$1,$D34-1,0),MATCH(L$4,'Adverse (r-g)'!$D$10:$W$10,0))/INDEX(OFFSET('Adverse (r-g)'!$D$1:$W$1,$D34-1,0),MATCH(K$4,'Adverse (r-g)'!$D$10:$W$10,0))-1)*100</f>
        <v>0.93510000000001092</v>
      </c>
      <c r="M34" s="327">
        <f ca="1">(INDEX(OFFSET('Adverse (r-g)'!$D$1:$W$1,$D34-1,0),MATCH(M$4,'Adverse (r-g)'!$D$10:$W$10,0))/INDEX(OFFSET('Adverse (r-g)'!$D$1:$W$1,$D34-1,0),MATCH(L$4,'Adverse (r-g)'!$D$10:$W$10,0))-1)*100</f>
        <v>0.93510000000001092</v>
      </c>
      <c r="N34" s="327">
        <f ca="1">(INDEX(OFFSET('Adverse (r-g)'!$D$1:$W$1,$D34-1,0),MATCH(N$4,'Adverse (r-g)'!$D$10:$W$10,0))/INDEX(OFFSET('Adverse (r-g)'!$D$1:$W$1,$D34-1,0),MATCH(M$4,'Adverse (r-g)'!$D$10:$W$10,0))-1)*100</f>
        <v>0.93510000000001092</v>
      </c>
      <c r="O34" s="327">
        <f ca="1">(INDEX(OFFSET('Adverse (r-g)'!$D$1:$W$1,$D34-1,0),MATCH(O$4,'Adverse (r-g)'!$D$10:$W$10,0))/INDEX(OFFSET('Adverse (r-g)'!$D$1:$W$1,$D34-1,0),MATCH(N$4,'Adverse (r-g)'!$D$10:$W$10,0))-1)*100</f>
        <v>0.43510000000002158</v>
      </c>
      <c r="P34" s="327">
        <f ca="1">(INDEX(OFFSET('Adverse (r-g)'!$D$1:$W$1,$D34-1,0),MATCH(P$4,'Adverse (r-g)'!$D$10:$W$10,0))/INDEX(OFFSET('Adverse (r-g)'!$D$1:$W$1,$D34-1,0),MATCH(O$4,'Adverse (r-g)'!$D$10:$W$10,0))-1)*100</f>
        <v>0.43510000000002158</v>
      </c>
      <c r="Q34" s="327">
        <f ca="1">(INDEX(OFFSET('Adverse (r-g)'!$D$1:$W$1,$D34-1,0),MATCH(Q$4,'Adverse (r-g)'!$D$10:$W$10,0))/INDEX(OFFSET('Adverse (r-g)'!$D$1:$W$1,$D34-1,0),MATCH(P$4,'Adverse (r-g)'!$D$10:$W$10,0))-1)*100</f>
        <v>0.43510000000002158</v>
      </c>
      <c r="R34" s="327">
        <f ca="1">(INDEX(OFFSET('Adverse (r-g)'!$D$1:$W$1,$D34-1,0),MATCH(R$4,'Adverse (r-g)'!$D$10:$W$10,0))/INDEX(OFFSET('Adverse (r-g)'!$D$1:$W$1,$D34-1,0),MATCH(Q$4,'Adverse (r-g)'!$D$10:$W$10,0))-1)*100</f>
        <v>0.43510000000002158</v>
      </c>
      <c r="S34" s="327">
        <f ca="1">(INDEX(OFFSET('Adverse (r-g)'!$D$1:$W$1,$D34-1,0),MATCH(S$4,'Adverse (r-g)'!$D$10:$W$10,0))/INDEX(OFFSET('Adverse (r-g)'!$D$1:$W$1,$D34-1,0),MATCH(R$4,'Adverse (r-g)'!$D$10:$W$10,0))-1)*100</f>
        <v>0.43510000000002158</v>
      </c>
      <c r="T34" s="327">
        <f ca="1">(INDEX(OFFSET('Adverse (r-g)'!$D$1:$W$1,$D34-1,0),MATCH(T$4,'Adverse (r-g)'!$D$10:$W$10,0))/INDEX(OFFSET('Adverse (r-g)'!$D$1:$W$1,$D34-1,0),MATCH(S$4,'Adverse (r-g)'!$D$10:$W$10,0))-1)*100</f>
        <v>0.43510000000002158</v>
      </c>
      <c r="U34" s="327">
        <f ca="1">(INDEX(OFFSET('Adverse (r-g)'!$D$1:$W$1,$D34-1,0),MATCH(U$4,'Adverse (r-g)'!$D$10:$W$10,0))/INDEX(OFFSET('Adverse (r-g)'!$D$1:$W$1,$D34-1,0),MATCH(T$4,'Adverse (r-g)'!$D$10:$W$10,0))-1)*100</f>
        <v>0.43510000000002158</v>
      </c>
      <c r="V34" s="327">
        <f ca="1">(INDEX(OFFSET('Adverse (r-g)'!$D$1:$W$1,$D34-1,0),MATCH(V$4,'Adverse (r-g)'!$D$10:$W$10,0))/INDEX(OFFSET('Adverse (r-g)'!$D$1:$W$1,$D34-1,0),MATCH(U$4,'Adverse (r-g)'!$D$10:$W$10,0))-1)*100</f>
        <v>0.43510000000002158</v>
      </c>
      <c r="W34" s="327">
        <f ca="1">(INDEX(OFFSET('Adverse (r-g)'!$D$1:$W$1,$D34-1,0),MATCH(W$4,'Adverse (r-g)'!$D$10:$W$10,0))/INDEX(OFFSET('Adverse (r-g)'!$D$1:$W$1,$D34-1,0),MATCH(V$4,'Adverse (r-g)'!$D$10:$W$10,0))-1)*100</f>
        <v>0.43510000000002158</v>
      </c>
      <c r="X34" s="327">
        <f ca="1">(INDEX(OFFSET('Adverse (r-g)'!$D$1:$W$1,$D34-1,0),MATCH(X$4,'Adverse (r-g)'!$D$10:$W$10,0))/INDEX(OFFSET('Adverse (r-g)'!$D$1:$W$1,$D34-1,0),MATCH(W$4,'Adverse (r-g)'!$D$10:$W$10,0))-1)*100</f>
        <v>0.43510000000002158</v>
      </c>
      <c r="Y34" s="5"/>
    </row>
    <row r="35" spans="1:25" x14ac:dyDescent="0.2">
      <c r="A35" s="5"/>
      <c r="B35" s="334"/>
      <c r="C35" s="332" t="s">
        <v>236</v>
      </c>
      <c r="D35" s="332"/>
      <c r="E35" s="336">
        <f>F35-1</f>
        <v>2035</v>
      </c>
      <c r="F35" s="345">
        <f>'Input data'!$C$6+5</f>
        <v>2036</v>
      </c>
      <c r="G35" s="5"/>
      <c r="H35" s="5"/>
      <c r="I35" s="5"/>
      <c r="J35" s="5"/>
      <c r="K35" s="5"/>
      <c r="L35" s="5"/>
      <c r="M35" s="5"/>
      <c r="N35" s="5"/>
      <c r="O35" s="5"/>
      <c r="P35" s="5"/>
      <c r="Q35" s="5"/>
      <c r="R35" s="5"/>
      <c r="S35" s="5"/>
      <c r="T35" s="5"/>
      <c r="U35" s="5"/>
      <c r="V35" s="5"/>
      <c r="W35" s="5"/>
      <c r="X35" s="5"/>
      <c r="Y35" s="5"/>
    </row>
    <row r="36" spans="1:25" x14ac:dyDescent="0.2">
      <c r="A36" s="5"/>
      <c r="B36" s="334">
        <v>11</v>
      </c>
      <c r="C36" s="338" t="s">
        <v>237</v>
      </c>
      <c r="D36" s="351" t="s">
        <v>241</v>
      </c>
      <c r="E36" s="340" t="s">
        <v>227</v>
      </c>
      <c r="F36" s="327">
        <f ca="1">IF(ISERROR(I36),"&lt;10",IF(I36=5,"90&lt;",V36+(H36-W36)*$T$36))</f>
        <v>48.754997696444505</v>
      </c>
      <c r="G36" s="356"/>
      <c r="H36" s="347">
        <f>INDEX(Stochastic!$C$11:$W$11,MATCH('Input data'!$C$6,Stochastic!$C$10:$W$10,0))</f>
        <v>86.939180456571577</v>
      </c>
      <c r="I36" s="348">
        <f ca="1">MATCH($H$36,OFFSET(Stochastic!$F$14:$F$18,0,'Input data'!$C$6-'Input data'!$C$5+5),1)</f>
        <v>2</v>
      </c>
      <c r="J36" s="348" t="str" cm="1">
        <f t="array" aca="1" ref="J36" ca="1">MID(INDEX(Stochastic!$B$14:$B$18,$I$36),2,2)</f>
        <v>30</v>
      </c>
      <c r="K36" s="347" cm="1">
        <f t="array" aca="1" ref="K36" ca="1">INDEX(OFFSET(Stochastic!$F$14:$F$18,0,'Input data'!$C$6-'Input data'!$C$5+5),$I$36)</f>
        <v>82.371634804423749</v>
      </c>
      <c r="L36" s="348" t="str" cm="1">
        <f t="array" aca="1" ref="L36" ca="1">MID(INDEX(Stochastic!$B$14:$B$18,$I$36+1),2,2)</f>
        <v>50</v>
      </c>
      <c r="M36" s="347" cm="1">
        <f t="array" aca="1" ref="M36" ca="1">INDEX(OFFSET(Stochastic!$F$14:$F$18,0,'Input data'!$C$6-'Input data'!$C$5+5),$I$36+1)</f>
        <v>87.242385231669843</v>
      </c>
      <c r="N36" s="347"/>
      <c r="O36" s="348">
        <f ca="1">IF(ISERROR($I$36),1,4)</f>
        <v>4</v>
      </c>
      <c r="P36" s="348">
        <f ca="1">IF(ISERROR($I$36),10,70)</f>
        <v>70</v>
      </c>
      <c r="Q36" s="347" cm="1">
        <f t="array" aca="1" ref="Q36" ca="1">INDEX(OFFSET(Stochastic!$F$14:$F$18,0,'Input data'!$C$6-'Input data'!$C$5+5),$O$36)</f>
        <v>92.408828102763593</v>
      </c>
      <c r="R36" s="348">
        <f ca="1">P36+20</f>
        <v>90</v>
      </c>
      <c r="S36" s="347" cm="1">
        <f t="array" aca="1" ref="S36" ca="1">INDEX(OFFSET(Stochastic!$F$14:$F$18,0,'Input data'!$C$6-'Input data'!$C$5+5),$O$36+1)</f>
        <v>100.13030179661125</v>
      </c>
      <c r="T36" s="352">
        <f ca="1">IF($I$36=5,20/(S36-Q36),IF(ISERROR($I$36),20/(S36-Q36),20/(M36-K36)))</f>
        <v>4.1061434575098801</v>
      </c>
      <c r="U36" s="109"/>
      <c r="V36" s="357" t="str">
        <f ca="1">IFERROR($J$36,10)</f>
        <v>30</v>
      </c>
      <c r="W36" s="358">
        <f ca="1">IF($V$36=10,$Q$36,$K$36)</f>
        <v>82.371634804423749</v>
      </c>
      <c r="X36" s="357"/>
      <c r="Y36" s="109"/>
    </row>
    <row r="37" spans="1:25" x14ac:dyDescent="0.2">
      <c r="A37" s="5"/>
      <c r="B37" s="328"/>
      <c r="C37" s="349"/>
      <c r="D37" s="349"/>
      <c r="E37" s="349"/>
      <c r="F37" s="349"/>
      <c r="G37" s="349"/>
      <c r="H37" s="349"/>
      <c r="I37" s="349"/>
      <c r="J37" s="349"/>
      <c r="K37" s="5"/>
      <c r="L37" s="5"/>
      <c r="M37" s="5"/>
      <c r="N37" s="5"/>
      <c r="O37" s="5"/>
      <c r="P37" s="5"/>
      <c r="Q37" s="356"/>
      <c r="R37" s="356"/>
      <c r="S37" s="356"/>
      <c r="T37" s="356"/>
      <c r="U37" s="356"/>
      <c r="V37" s="356"/>
      <c r="W37" s="5"/>
      <c r="X37" s="5"/>
      <c r="Y37" s="5"/>
    </row>
    <row r="38" spans="1:25" x14ac:dyDescent="0.2">
      <c r="A38" s="5"/>
      <c r="B38" s="350"/>
      <c r="C38" s="332" t="s">
        <v>238</v>
      </c>
      <c r="D38" s="333"/>
      <c r="E38" s="333"/>
      <c r="F38" s="344"/>
      <c r="G38" s="5"/>
      <c r="H38" s="5"/>
      <c r="I38" s="5"/>
      <c r="J38" s="5"/>
      <c r="K38" s="5"/>
      <c r="L38" s="5"/>
      <c r="M38" s="5"/>
      <c r="N38" s="5"/>
      <c r="O38" s="5"/>
      <c r="P38" s="5"/>
      <c r="Q38" s="5"/>
      <c r="R38" s="5"/>
      <c r="S38" s="5"/>
      <c r="T38" s="5"/>
      <c r="U38" s="5"/>
      <c r="V38" s="5"/>
      <c r="W38" s="5"/>
      <c r="X38" s="5"/>
      <c r="Y38" s="5"/>
    </row>
    <row r="39" spans="1:25" x14ac:dyDescent="0.2">
      <c r="A39" s="5"/>
      <c r="B39" s="328"/>
      <c r="C39" s="349"/>
      <c r="D39" s="349"/>
      <c r="E39" s="349"/>
      <c r="F39" s="349"/>
      <c r="G39" s="349"/>
      <c r="H39" s="349"/>
      <c r="I39" s="349"/>
      <c r="J39" s="349"/>
      <c r="K39" s="5"/>
      <c r="L39" s="5"/>
      <c r="M39" s="5"/>
      <c r="N39" s="5"/>
      <c r="O39" s="5"/>
      <c r="P39" s="5"/>
      <c r="Q39" s="5"/>
      <c r="R39" s="5"/>
      <c r="S39" s="5"/>
      <c r="T39" s="5"/>
      <c r="U39" s="5"/>
      <c r="V39" s="5"/>
      <c r="W39" s="5"/>
      <c r="X39" s="5"/>
      <c r="Y39" s="5"/>
    </row>
    <row r="40" spans="1:25" x14ac:dyDescent="0.2">
      <c r="A40" s="5"/>
      <c r="B40" s="334"/>
      <c r="C40" s="332"/>
      <c r="D40" s="332"/>
      <c r="E40" s="337"/>
      <c r="F40" s="337">
        <f>'Input data'!$C$5-1</f>
        <v>2023</v>
      </c>
      <c r="G40" s="337">
        <f>F40+1</f>
        <v>2024</v>
      </c>
      <c r="H40" s="337">
        <f t="shared" ref="H40:X40" si="4">G40+1</f>
        <v>2025</v>
      </c>
      <c r="I40" s="337">
        <f t="shared" si="4"/>
        <v>2026</v>
      </c>
      <c r="J40" s="337">
        <f t="shared" si="4"/>
        <v>2027</v>
      </c>
      <c r="K40" s="337">
        <f t="shared" si="4"/>
        <v>2028</v>
      </c>
      <c r="L40" s="337">
        <f t="shared" si="4"/>
        <v>2029</v>
      </c>
      <c r="M40" s="337">
        <f t="shared" si="4"/>
        <v>2030</v>
      </c>
      <c r="N40" s="337">
        <f t="shared" si="4"/>
        <v>2031</v>
      </c>
      <c r="O40" s="337">
        <f t="shared" si="4"/>
        <v>2032</v>
      </c>
      <c r="P40" s="337">
        <f t="shared" si="4"/>
        <v>2033</v>
      </c>
      <c r="Q40" s="337">
        <f t="shared" si="4"/>
        <v>2034</v>
      </c>
      <c r="R40" s="337">
        <f t="shared" si="4"/>
        <v>2035</v>
      </c>
      <c r="S40" s="337">
        <f t="shared" si="4"/>
        <v>2036</v>
      </c>
      <c r="T40" s="337">
        <f t="shared" si="4"/>
        <v>2037</v>
      </c>
      <c r="U40" s="337">
        <f t="shared" si="4"/>
        <v>2038</v>
      </c>
      <c r="V40" s="337">
        <f t="shared" si="4"/>
        <v>2039</v>
      </c>
      <c r="W40" s="337">
        <f t="shared" si="4"/>
        <v>2040</v>
      </c>
      <c r="X40" s="337">
        <f t="shared" si="4"/>
        <v>2041</v>
      </c>
      <c r="Y40" s="5"/>
    </row>
    <row r="41" spans="1:25" x14ac:dyDescent="0.2">
      <c r="A41" s="5"/>
      <c r="B41" s="334">
        <v>1</v>
      </c>
      <c r="C41" s="338" t="s">
        <v>220</v>
      </c>
      <c r="D41" s="339">
        <v>56</v>
      </c>
      <c r="E41" s="340" t="s">
        <v>221</v>
      </c>
      <c r="F41" s="327">
        <f ca="1">INDEX(OFFSET('Baseline NFPC'!$D$1:$W$1,$D41-1,0),MATCH(F$4,'Baseline NFPC'!$D$10:$W$10,0))</f>
        <v>76.572506382321123</v>
      </c>
      <c r="G41" s="327">
        <f ca="1">INDEX(OFFSET('Baseline NFPC'!$D$1:$W$1,$D41-1,0),MATCH(G$4,'Baseline NFPC'!$D$10:$W$10,0))</f>
        <v>81.669832373893243</v>
      </c>
      <c r="H41" s="327">
        <f ca="1">INDEX(OFFSET('Baseline NFPC'!$D$1:$W$1,$D41-1,0),MATCH(H$4,'Baseline NFPC'!$D$10:$W$10,0))</f>
        <v>83.136004585591664</v>
      </c>
      <c r="I41" s="327">
        <f ca="1">INDEX(OFFSET('Baseline NFPC'!$D$1:$W$1,$D41-1,0),MATCH(I$4,'Baseline NFPC'!$D$10:$W$10,0))</f>
        <v>84.547695744971463</v>
      </c>
      <c r="J41" s="327">
        <f ca="1">INDEX(OFFSET('Baseline NFPC'!$D$1:$W$1,$D41-1,0),MATCH(J$4,'Baseline NFPC'!$D$10:$W$10,0))</f>
        <v>85.202450878744003</v>
      </c>
      <c r="K41" s="327">
        <f ca="1">INDEX(OFFSET('Baseline NFPC'!$D$1:$W$1,$D41-1,0),MATCH(K$4,'Baseline NFPC'!$D$10:$W$10,0))</f>
        <v>85.373154660813341</v>
      </c>
      <c r="L41" s="327">
        <f ca="1">INDEX(OFFSET('Baseline NFPC'!$D$1:$W$1,$D41-1,0),MATCH(L$4,'Baseline NFPC'!$D$10:$W$10,0))</f>
        <v>86.054667472113593</v>
      </c>
      <c r="M41" s="327">
        <f ca="1">INDEX(OFFSET('Baseline NFPC'!$D$1:$W$1,$D41-1,0),MATCH(M$4,'Baseline NFPC'!$D$10:$W$10,0))</f>
        <v>86.842975329658898</v>
      </c>
      <c r="N41" s="327">
        <f ca="1">INDEX(OFFSET('Baseline NFPC'!$D$1:$W$1,$D41-1,0),MATCH(N$4,'Baseline NFPC'!$D$10:$W$10,0))</f>
        <v>88.141853688749023</v>
      </c>
      <c r="O41" s="327">
        <f ca="1">INDEX(OFFSET('Baseline NFPC'!$D$1:$W$1,$D41-1,0),MATCH(O$4,'Baseline NFPC'!$D$10:$W$10,0))</f>
        <v>89.46893897652032</v>
      </c>
      <c r="P41" s="327">
        <f ca="1">INDEX(OFFSET('Baseline NFPC'!$D$1:$W$1,$D41-1,0),MATCH(P$4,'Baseline NFPC'!$D$10:$W$10,0))</f>
        <v>90.628789977511758</v>
      </c>
      <c r="Q41" s="327">
        <f ca="1">INDEX(OFFSET('Baseline NFPC'!$D$1:$W$1,$D41-1,0),MATCH(Q$4,'Baseline NFPC'!$D$10:$W$10,0))</f>
        <v>91.688319199643459</v>
      </c>
      <c r="R41" s="327">
        <f ca="1">INDEX(OFFSET('Baseline NFPC'!$D$1:$W$1,$D41-1,0),MATCH(R$4,'Baseline NFPC'!$D$10:$W$10,0))</f>
        <v>92.639001926448401</v>
      </c>
      <c r="S41" s="327">
        <f ca="1">INDEX(OFFSET('Baseline NFPC'!$D$1:$W$1,$D41-1,0),MATCH(S$4,'Baseline NFPC'!$D$10:$W$10,0))</f>
        <v>93.464834635343962</v>
      </c>
      <c r="T41" s="327">
        <f ca="1">INDEX(OFFSET('Baseline NFPC'!$D$1:$W$1,$D41-1,0),MATCH(T$4,'Baseline NFPC'!$D$10:$W$10,0))</f>
        <v>94.146838121002887</v>
      </c>
      <c r="U41" s="327">
        <f ca="1">INDEX(OFFSET('Baseline NFPC'!$D$1:$W$1,$D41-1,0),MATCH(U$4,'Baseline NFPC'!$D$10:$W$10,0))</f>
        <v>94.669136288857644</v>
      </c>
      <c r="V41" s="327">
        <f ca="1">INDEX(OFFSET('Baseline NFPC'!$D$1:$W$1,$D41-1,0),MATCH(V$4,'Baseline NFPC'!$D$10:$W$10,0))</f>
        <v>95.017277119626399</v>
      </c>
      <c r="W41" s="327">
        <f ca="1">INDEX(OFFSET('Baseline NFPC'!$D$1:$W$1,$D41-1,0),MATCH(W$4,'Baseline NFPC'!$D$10:$W$10,0))</f>
        <v>95.191891810975605</v>
      </c>
      <c r="X41" s="327">
        <f ca="1">INDEX(OFFSET('Baseline NFPC'!$D$1:$W$1,$D41-1,0),MATCH(X$4,'Baseline NFPC'!$D$10:$W$10,0))</f>
        <v>95.209126776695626</v>
      </c>
      <c r="Y41" s="5"/>
    </row>
    <row r="42" spans="1:25" x14ac:dyDescent="0.2">
      <c r="A42" s="5"/>
      <c r="B42" s="334">
        <v>2</v>
      </c>
      <c r="C42" s="338" t="s">
        <v>222</v>
      </c>
      <c r="D42" s="339">
        <v>76</v>
      </c>
      <c r="E42" s="340" t="s">
        <v>221</v>
      </c>
      <c r="F42" s="327">
        <f ca="1">INDEX(OFFSET('Baseline NFPC'!$D$1:$W$1,$D42-1,0),MATCH(F$4,'Baseline NFPC'!$D$10:$W$10,0))</f>
        <v>-2.8496327454028076</v>
      </c>
      <c r="G42" s="327">
        <f ca="1">INDEX(OFFSET('Baseline NFPC'!$D$1:$W$1,$D42-1,0),MATCH(G$4,'Baseline NFPC'!$D$10:$W$10,0))</f>
        <v>-3.6595635384782375</v>
      </c>
      <c r="H42" s="327">
        <f ca="1">INDEX(OFFSET('Baseline NFPC'!$D$1:$W$1,$D42-1,0),MATCH(H$4,'Baseline NFPC'!$D$10:$W$10,0))</f>
        <v>-3.3312817751244124</v>
      </c>
      <c r="I42" s="327">
        <f ca="1">INDEX(OFFSET('Baseline NFPC'!$D$1:$W$1,$D42-1,0),MATCH(I$4,'Baseline NFPC'!$D$10:$W$10,0))</f>
        <v>-2.9304804156717079</v>
      </c>
      <c r="J42" s="327">
        <f ca="1">INDEX(OFFSET('Baseline NFPC'!$D$1:$W$1,$D42-1,0),MATCH(J$4,'Baseline NFPC'!$D$10:$W$10,0))</f>
        <v>-2.5522703110433174</v>
      </c>
      <c r="K42" s="327">
        <f ca="1">INDEX(OFFSET('Baseline NFPC'!$D$1:$W$1,$D42-1,0),MATCH(K$4,'Baseline NFPC'!$D$10:$W$10,0))</f>
        <v>-2.2031543484846097</v>
      </c>
      <c r="L42" s="327">
        <f ca="1">INDEX(OFFSET('Baseline NFPC'!$D$1:$W$1,$D42-1,0),MATCH(L$4,'Baseline NFPC'!$D$10:$W$10,0))</f>
        <v>-2.3844604728108099</v>
      </c>
      <c r="M42" s="327">
        <f ca="1">INDEX(OFFSET('Baseline NFPC'!$D$1:$W$1,$D42-1,0),MATCH(M$4,'Baseline NFPC'!$D$10:$W$10,0))</f>
        <v>-2.5169491276159746</v>
      </c>
      <c r="N42" s="327">
        <f ca="1">INDEX(OFFSET('Baseline NFPC'!$D$1:$W$1,$D42-1,0),MATCH(N$4,'Baseline NFPC'!$D$10:$W$10,0))</f>
        <v>-2.6349872542516417</v>
      </c>
      <c r="O42" s="327">
        <f ca="1">INDEX(OFFSET('Baseline NFPC'!$D$1:$W$1,$D42-1,0),MATCH(O$4,'Baseline NFPC'!$D$10:$W$10,0))</f>
        <v>-2.745893538999657</v>
      </c>
      <c r="P42" s="327">
        <f ca="1">INDEX(OFFSET('Baseline NFPC'!$D$1:$W$1,$D42-1,0),MATCH(P$4,'Baseline NFPC'!$D$10:$W$10,0))</f>
        <v>-2.8193069429021418</v>
      </c>
      <c r="Q42" s="327">
        <f ca="1">INDEX(OFFSET('Baseline NFPC'!$D$1:$W$1,$D42-1,0),MATCH(Q$4,'Baseline NFPC'!$D$10:$W$10,0))</f>
        <v>-2.8874352045129728</v>
      </c>
      <c r="R42" s="327">
        <f ca="1">INDEX(OFFSET('Baseline NFPC'!$D$1:$W$1,$D42-1,0),MATCH(R$4,'Baseline NFPC'!$D$10:$W$10,0))</f>
        <v>-2.9430677610481961</v>
      </c>
      <c r="S42" s="327">
        <f ca="1">INDEX(OFFSET('Baseline NFPC'!$D$1:$W$1,$D42-1,0),MATCH(S$4,'Baseline NFPC'!$D$10:$W$10,0))</f>
        <v>-2.9785362784316094</v>
      </c>
      <c r="T42" s="327">
        <f ca="1">INDEX(OFFSET('Baseline NFPC'!$D$1:$W$1,$D42-1,0),MATCH(T$4,'Baseline NFPC'!$D$10:$W$10,0))</f>
        <v>-2.9904114916341333</v>
      </c>
      <c r="U42" s="327">
        <f ca="1">INDEX(OFFSET('Baseline NFPC'!$D$1:$W$1,$D42-1,0),MATCH(U$4,'Baseline NFPC'!$D$10:$W$10,0))</f>
        <v>-2.9812876232444649</v>
      </c>
      <c r="V42" s="327">
        <f ca="1">INDEX(OFFSET('Baseline NFPC'!$D$1:$W$1,$D42-1,0),MATCH(V$4,'Baseline NFPC'!$D$10:$W$10,0))</f>
        <v>-2.9521708496914556</v>
      </c>
      <c r="W42" s="327">
        <f ca="1">INDEX(OFFSET('Baseline NFPC'!$D$1:$W$1,$D42-1,0),MATCH(W$4,'Baseline NFPC'!$D$10:$W$10,0))</f>
        <v>-2.917820351880799</v>
      </c>
      <c r="X42" s="327">
        <f ca="1">INDEX(OFFSET('Baseline NFPC'!$D$1:$W$1,$D42-1,0),MATCH(X$4,'Baseline NFPC'!$D$10:$W$10,0))</f>
        <v>-2.8938925580808643</v>
      </c>
      <c r="Y42" s="5"/>
    </row>
    <row r="43" spans="1:25" x14ac:dyDescent="0.2">
      <c r="A43" s="5"/>
      <c r="B43" s="334">
        <v>3</v>
      </c>
      <c r="C43" s="338" t="s">
        <v>40</v>
      </c>
      <c r="D43" s="339">
        <v>12</v>
      </c>
      <c r="E43" s="340" t="s">
        <v>223</v>
      </c>
      <c r="F43" s="327">
        <f ca="1">INDEX(OFFSET('Baseline NFPC'!$D$1:$W$1,$D43-1,0),MATCH(F$4,'Baseline NFPC'!$D$10:$W$10,0))</f>
        <v>-0.3391101166058319</v>
      </c>
      <c r="G43" s="327">
        <f ca="1">INDEX(OFFSET('Baseline NFPC'!$D$1:$W$1,$D43-1,0),MATCH(G$4,'Baseline NFPC'!$D$10:$W$10,0))</f>
        <v>-0.3744433445451063</v>
      </c>
      <c r="H43" s="327">
        <f ca="1">INDEX(OFFSET('Baseline NFPC'!$D$1:$W$1,$D43-1,0),MATCH(H$4,'Baseline NFPC'!$D$10:$W$10,0))</f>
        <v>-0.3744433445451063</v>
      </c>
      <c r="I43" s="327">
        <f ca="1">INDEX(OFFSET('Baseline NFPC'!$D$1:$W$1,$D43-1,0),MATCH(I$4,'Baseline NFPC'!$D$10:$W$10,0))</f>
        <v>-0.3744433445451063</v>
      </c>
      <c r="J43" s="327">
        <f ca="1">INDEX(OFFSET('Baseline NFPC'!$D$1:$W$1,$D43-1,0),MATCH(J$4,'Baseline NFPC'!$D$10:$W$10,0))</f>
        <v>-0.3744433445451063</v>
      </c>
      <c r="K43" s="327">
        <f ca="1">INDEX(OFFSET('Baseline NFPC'!$D$1:$W$1,$D43-1,0),MATCH(K$4,'Baseline NFPC'!$D$10:$W$10,0))</f>
        <v>-0.3744433445451063</v>
      </c>
      <c r="L43" s="327">
        <f ca="1">INDEX(OFFSET('Baseline NFPC'!$D$1:$W$1,$D43-1,0),MATCH(L$4,'Baseline NFPC'!$D$10:$W$10,0))</f>
        <v>-0.3744433445451063</v>
      </c>
      <c r="M43" s="327">
        <f ca="1">INDEX(OFFSET('Baseline NFPC'!$D$1:$W$1,$D43-1,0),MATCH(M$4,'Baseline NFPC'!$D$10:$W$10,0))</f>
        <v>-0.3744433445451063</v>
      </c>
      <c r="N43" s="327">
        <f ca="1">INDEX(OFFSET('Baseline NFPC'!$D$1:$W$1,$D43-1,0),MATCH(N$4,'Baseline NFPC'!$D$10:$W$10,0))</f>
        <v>-0.3744433445451063</v>
      </c>
      <c r="O43" s="327">
        <f ca="1">INDEX(OFFSET('Baseline NFPC'!$D$1:$W$1,$D43-1,0),MATCH(O$4,'Baseline NFPC'!$D$10:$W$10,0))</f>
        <v>-0.3744433445451063</v>
      </c>
      <c r="P43" s="327">
        <f ca="1">INDEX(OFFSET('Baseline NFPC'!$D$1:$W$1,$D43-1,0),MATCH(P$4,'Baseline NFPC'!$D$10:$W$10,0))</f>
        <v>-0.3744433445451063</v>
      </c>
      <c r="Q43" s="327">
        <f ca="1">INDEX(OFFSET('Baseline NFPC'!$D$1:$W$1,$D43-1,0),MATCH(Q$4,'Baseline NFPC'!$D$10:$W$10,0))</f>
        <v>-0.3744433445451063</v>
      </c>
      <c r="R43" s="327">
        <f ca="1">INDEX(OFFSET('Baseline NFPC'!$D$1:$W$1,$D43-1,0),MATCH(R$4,'Baseline NFPC'!$D$10:$W$10,0))</f>
        <v>-0.3744433445451063</v>
      </c>
      <c r="S43" s="327">
        <f ca="1">INDEX(OFFSET('Baseline NFPC'!$D$1:$W$1,$D43-1,0),MATCH(S$4,'Baseline NFPC'!$D$10:$W$10,0))</f>
        <v>-0.3744433445451063</v>
      </c>
      <c r="T43" s="327">
        <f ca="1">INDEX(OFFSET('Baseline NFPC'!$D$1:$W$1,$D43-1,0),MATCH(T$4,'Baseline NFPC'!$D$10:$W$10,0))</f>
        <v>-0.3744433445451063</v>
      </c>
      <c r="U43" s="327">
        <f ca="1">INDEX(OFFSET('Baseline NFPC'!$D$1:$W$1,$D43-1,0),MATCH(U$4,'Baseline NFPC'!$D$10:$W$10,0))</f>
        <v>-0.3744433445451063</v>
      </c>
      <c r="V43" s="327">
        <f ca="1">INDEX(OFFSET('Baseline NFPC'!$D$1:$W$1,$D43-1,0),MATCH(V$4,'Baseline NFPC'!$D$10:$W$10,0))</f>
        <v>-0.3744433445451063</v>
      </c>
      <c r="W43" s="327">
        <f ca="1">INDEX(OFFSET('Baseline NFPC'!$D$1:$W$1,$D43-1,0),MATCH(W$4,'Baseline NFPC'!$D$10:$W$10,0))</f>
        <v>-0.3744433445451063</v>
      </c>
      <c r="X43" s="327">
        <f ca="1">INDEX(OFFSET('Baseline NFPC'!$D$1:$W$1,$D43-1,0),MATCH(X$4,'Baseline NFPC'!$D$10:$W$10,0))</f>
        <v>-0.3744433445451063</v>
      </c>
      <c r="Y43" s="5"/>
    </row>
    <row r="44" spans="1:25" x14ac:dyDescent="0.2">
      <c r="A44" s="5"/>
      <c r="B44" s="334">
        <v>4</v>
      </c>
      <c r="C44" s="338" t="s">
        <v>224</v>
      </c>
      <c r="D44" s="339">
        <v>61</v>
      </c>
      <c r="E44" s="340" t="s">
        <v>223</v>
      </c>
      <c r="F44" s="327">
        <f ca="1">INDEX(OFFSET('Baseline NFPC'!$D$1:$W$1,$D44-1,0),MATCH(F$4,'Baseline NFPC'!$D$10:$W$10,0))</f>
        <v>1.3792226763121378</v>
      </c>
      <c r="G44" s="327">
        <f ca="1">INDEX(OFFSET('Baseline NFPC'!$D$1:$W$1,$D44-1,0),MATCH(G$4,'Baseline NFPC'!$D$10:$W$10,0))</f>
        <v>2.0304758386485537</v>
      </c>
      <c r="H44" s="327">
        <f ca="1">INDEX(OFFSET('Baseline NFPC'!$D$1:$W$1,$D44-1,0),MATCH(H$4,'Baseline NFPC'!$D$10:$W$10,0))</f>
        <v>1.5295778487755447</v>
      </c>
      <c r="I44" s="327">
        <f ca="1">INDEX(OFFSET('Baseline NFPC'!$D$1:$W$1,$D44-1,0),MATCH(I$4,'Baseline NFPC'!$D$10:$W$10,0))</f>
        <v>1.0242130452699616</v>
      </c>
      <c r="J44" s="327">
        <f ca="1">INDEX(OFFSET('Baseline NFPC'!$D$1:$W$1,$D44-1,0),MATCH(J$4,'Baseline NFPC'!$D$10:$W$10,0))</f>
        <v>0.51434159482357045</v>
      </c>
      <c r="K44" s="327">
        <f ca="1">INDEX(OFFSET('Baseline NFPC'!$D$1:$W$1,$D44-1,0),MATCH(K$4,'Baseline NFPC'!$D$10:$W$10,0))</f>
        <v>-7.6691089840386081E-5</v>
      </c>
      <c r="L44" s="327">
        <f ca="1">INDEX(OFFSET('Baseline NFPC'!$D$1:$W$1,$D44-1,0),MATCH(L$4,'Baseline NFPC'!$D$10:$W$10,0))</f>
        <v>-7.6691089840386081E-5</v>
      </c>
      <c r="M44" s="327">
        <f ca="1">INDEX(OFFSET('Baseline NFPC'!$D$1:$W$1,$D44-1,0),MATCH(M$4,'Baseline NFPC'!$D$10:$W$10,0))</f>
        <v>-7.0908983951101226E-5</v>
      </c>
      <c r="N44" s="327">
        <f ca="1">INDEX(OFFSET('Baseline NFPC'!$D$1:$W$1,$D44-1,0),MATCH(N$4,'Baseline NFPC'!$D$10:$W$10,0))</f>
        <v>-6.3397052119462666E-5</v>
      </c>
      <c r="O44" s="327">
        <f ca="1">INDEX(OFFSET('Baseline NFPC'!$D$1:$W$1,$D44-1,0),MATCH(O$4,'Baseline NFPC'!$D$10:$W$10,0))</f>
        <v>-5.5827460360857724E-5</v>
      </c>
      <c r="P44" s="327">
        <f ca="1">INDEX(OFFSET('Baseline NFPC'!$D$1:$W$1,$D44-1,0),MATCH(P$4,'Baseline NFPC'!$D$10:$W$10,0))</f>
        <v>-4.7738921777140669E-5</v>
      </c>
      <c r="Q44" s="327">
        <f ca="1">INDEX(OFFSET('Baseline NFPC'!$D$1:$W$1,$D44-1,0),MATCH(Q$4,'Baseline NFPC'!$D$10:$W$10,0))</f>
        <v>-4.1610853599305385E-5</v>
      </c>
      <c r="R44" s="327">
        <f ca="1">INDEX(OFFSET('Baseline NFPC'!$D$1:$W$1,$D44-1,0),MATCH(R$4,'Baseline NFPC'!$D$10:$W$10,0))</f>
        <v>-3.265740417024432E-5</v>
      </c>
      <c r="S44" s="327">
        <f ca="1">INDEX(OFFSET('Baseline NFPC'!$D$1:$W$1,$D44-1,0),MATCH(S$4,'Baseline NFPC'!$D$10:$W$10,0))</f>
        <v>-2.485717303977175E-5</v>
      </c>
      <c r="T44" s="327">
        <f ca="1">INDEX(OFFSET('Baseline NFPC'!$D$1:$W$1,$D44-1,0),MATCH(T$4,'Baseline NFPC'!$D$10:$W$10,0))</f>
        <v>-1.5327117814933899E-5</v>
      </c>
      <c r="U44" s="327">
        <f ca="1">INDEX(OFFSET('Baseline NFPC'!$D$1:$W$1,$D44-1,0),MATCH(U$4,'Baseline NFPC'!$D$10:$W$10,0))</f>
        <v>-9.2567138803456566E-6</v>
      </c>
      <c r="V44" s="327">
        <f ca="1">INDEX(OFFSET('Baseline NFPC'!$D$1:$W$1,$D44-1,0),MATCH(V$4,'Baseline NFPC'!$D$10:$W$10,0))</f>
        <v>-1.4564858901611188E-6</v>
      </c>
      <c r="W44" s="327">
        <f ca="1">INDEX(OFFSET('Baseline NFPC'!$D$1:$W$1,$D44-1,0),MATCH(W$4,'Baseline NFPC'!$D$10:$W$10,0))</f>
        <v>3.4607003015274528E-6</v>
      </c>
      <c r="X44" s="327">
        <f ca="1">INDEX(OFFSET('Baseline NFPC'!$D$1:$W$1,$D44-1,0),MATCH(X$4,'Baseline NFPC'!$D$10:$W$10,0))</f>
        <v>1.0107710393736368E-5</v>
      </c>
      <c r="Y44" s="5"/>
    </row>
    <row r="45" spans="1:25" x14ac:dyDescent="0.2">
      <c r="A45" s="5"/>
      <c r="B45" s="334">
        <v>5</v>
      </c>
      <c r="C45" s="338" t="s">
        <v>226</v>
      </c>
      <c r="D45" s="339">
        <v>67</v>
      </c>
      <c r="E45" s="340" t="s">
        <v>221</v>
      </c>
      <c r="F45" s="327">
        <f ca="1">INDEX(OFFSET('Baseline NFPC'!$D$1:$W$1,$D45-1,0),MATCH(F$4,'Baseline NFPC'!$D$10:$W$10,0))</f>
        <v>1.1312999524848377</v>
      </c>
      <c r="G45" s="327">
        <f ca="1">INDEX(OFFSET('Baseline NFPC'!$D$1:$W$1,$D45-1,0),MATCH(G$4,'Baseline NFPC'!$D$10:$W$10,0))</f>
        <v>1.2546443552845774</v>
      </c>
      <c r="H45" s="327">
        <f ca="1">INDEX(OFFSET('Baseline NFPC'!$D$1:$W$1,$D45-1,0),MATCH(H$4,'Baseline NFPC'!$D$10:$W$10,0))</f>
        <v>1.4837105818037626</v>
      </c>
      <c r="I45" s="327">
        <f ca="1">INDEX(OFFSET('Baseline NFPC'!$D$1:$W$1,$D45-1,0),MATCH(I$4,'Baseline NFPC'!$D$10:$W$10,0))</f>
        <v>1.5971240258566435</v>
      </c>
      <c r="J45" s="327">
        <f ca="1">INDEX(OFFSET('Baseline NFPC'!$D$1:$W$1,$D45-1,0),MATCH(J$4,'Baseline NFPC'!$D$10:$W$10,0))</f>
        <v>1.6955663716746436</v>
      </c>
      <c r="K45" s="327">
        <f ca="1">INDEX(OFFSET('Baseline NFPC'!$D$1:$W$1,$D45-1,0),MATCH(K$4,'Baseline NFPC'!$D$10:$W$10,0))</f>
        <v>1.7700586950293415</v>
      </c>
      <c r="L45" s="327">
        <f ca="1">INDEX(OFFSET('Baseline NFPC'!$D$1:$W$1,$D45-1,0),MATCH(L$4,'Baseline NFPC'!$D$10:$W$10,0))</f>
        <v>1.8447548193555448</v>
      </c>
      <c r="M45" s="327">
        <f ca="1">INDEX(OFFSET('Baseline NFPC'!$D$1:$W$1,$D45-1,0),MATCH(M$4,'Baseline NFPC'!$D$10:$W$10,0))</f>
        <v>1.9112276920548208</v>
      </c>
      <c r="N45" s="327">
        <f ca="1">INDEX(OFFSET('Baseline NFPC'!$D$1:$W$1,$D45-1,0),MATCH(N$4,'Baseline NFPC'!$D$10:$W$10,0))</f>
        <v>1.9799683067586533</v>
      </c>
      <c r="O45" s="327">
        <f ca="1">INDEX(OFFSET('Baseline NFPC'!$D$1:$W$1,$D45-1,0),MATCH(O$4,'Baseline NFPC'!$D$10:$W$10,0))</f>
        <v>2.0633480219149107</v>
      </c>
      <c r="P45" s="327">
        <f ca="1">INDEX(OFFSET('Baseline NFPC'!$D$1:$W$1,$D45-1,0),MATCH(P$4,'Baseline NFPC'!$D$10:$W$10,0))</f>
        <v>2.1467933372788148</v>
      </c>
      <c r="Q45" s="327">
        <f ca="1">INDEX(OFFSET('Baseline NFPC'!$D$1:$W$1,$D45-1,0),MATCH(Q$4,'Baseline NFPC'!$D$10:$W$10,0))</f>
        <v>2.2245154708214665</v>
      </c>
      <c r="R45" s="327">
        <f ca="1">INDEX(OFFSET('Baseline NFPC'!$D$1:$W$1,$D45-1,0),MATCH(R$4,'Baseline NFPC'!$D$10:$W$10,0))</f>
        <v>2.2982590739072633</v>
      </c>
      <c r="S45" s="327">
        <f ca="1">INDEX(OFFSET('Baseline NFPC'!$D$1:$W$1,$D45-1,0),MATCH(S$4,'Baseline NFPC'!$D$10:$W$10,0))</f>
        <v>2.3678097910595408</v>
      </c>
      <c r="T45" s="327">
        <f ca="1">INDEX(OFFSET('Baseline NFPC'!$D$1:$W$1,$D45-1,0),MATCH(T$4,'Baseline NFPC'!$D$10:$W$10,0))</f>
        <v>2.4326964742068395</v>
      </c>
      <c r="U45" s="327">
        <f ca="1">INDEX(OFFSET('Baseline NFPC'!$D$1:$W$1,$D45-1,0),MATCH(U$4,'Baseline NFPC'!$D$10:$W$10,0))</f>
        <v>2.4923265354132371</v>
      </c>
      <c r="V45" s="327">
        <f ca="1">INDEX(OFFSET('Baseline NFPC'!$D$1:$W$1,$D45-1,0),MATCH(V$4,'Baseline NFPC'!$D$10:$W$10,0))</f>
        <v>2.5461819616322368</v>
      </c>
      <c r="W45" s="327">
        <f ca="1">INDEX(OFFSET('Baseline NFPC'!$D$1:$W$1,$D45-1,0),MATCH(W$4,'Baseline NFPC'!$D$10:$W$10,0))</f>
        <v>2.5937665466353907</v>
      </c>
      <c r="X45" s="327">
        <f ca="1">INDEX(OFFSET('Baseline NFPC'!$D$1:$W$1,$D45-1,0),MATCH(X$4,'Baseline NFPC'!$D$10:$W$10,0))</f>
        <v>2.6350621058253632</v>
      </c>
      <c r="Y45" s="5"/>
    </row>
    <row r="46" spans="1:25" x14ac:dyDescent="0.2">
      <c r="A46" s="5"/>
      <c r="B46" s="334">
        <v>6</v>
      </c>
      <c r="C46" s="341" t="s">
        <v>94</v>
      </c>
      <c r="D46" s="339">
        <v>36</v>
      </c>
      <c r="E46" s="340" t="s">
        <v>227</v>
      </c>
      <c r="F46" s="327">
        <f ca="1">INDEX(OFFSET('Baseline NFPC'!$D$1:$W$1,$D46-1,0),MATCH(F$4,'Baseline NFPC'!$D$10:$W$10,0))</f>
        <v>3.04</v>
      </c>
      <c r="G46" s="327">
        <f ca="1">INDEX(OFFSET('Baseline NFPC'!$D$1:$W$1,$D46-1,0),MATCH(G$4,'Baseline NFPC'!$D$10:$W$10,0))</f>
        <v>2.9418000000000002</v>
      </c>
      <c r="H46" s="327">
        <f ca="1">INDEX(OFFSET('Baseline NFPC'!$D$1:$W$1,$D46-1,0),MATCH(H$4,'Baseline NFPC'!$D$10:$W$10,0))</f>
        <v>3.0140359999999999</v>
      </c>
      <c r="I46" s="327">
        <f ca="1">INDEX(OFFSET('Baseline NFPC'!$D$1:$W$1,$D46-1,0),MATCH(I$4,'Baseline NFPC'!$D$10:$W$10,0))</f>
        <v>3.041204</v>
      </c>
      <c r="J46" s="327">
        <f ca="1">INDEX(OFFSET('Baseline NFPC'!$D$1:$W$1,$D46-1,0),MATCH(J$4,'Baseline NFPC'!$D$10:$W$10,0))</f>
        <v>3.0683720000000001</v>
      </c>
      <c r="K46" s="327">
        <f ca="1">INDEX(OFFSET('Baseline NFPC'!$D$1:$W$1,$D46-1,0),MATCH(K$4,'Baseline NFPC'!$D$10:$W$10,0))</f>
        <v>3.0955400000000002</v>
      </c>
      <c r="L46" s="327">
        <f ca="1">INDEX(OFFSET('Baseline NFPC'!$D$1:$W$1,$D46-1,0),MATCH(L$4,'Baseline NFPC'!$D$10:$W$10,0))</f>
        <v>3.1227080000000003</v>
      </c>
      <c r="M46" s="327">
        <f ca="1">INDEX(OFFSET('Baseline NFPC'!$D$1:$W$1,$D46-1,0),MATCH(M$4,'Baseline NFPC'!$D$10:$W$10,0))</f>
        <v>3.1498760000000003</v>
      </c>
      <c r="N46" s="327">
        <f ca="1">INDEX(OFFSET('Baseline NFPC'!$D$1:$W$1,$D46-1,0),MATCH(N$4,'Baseline NFPC'!$D$10:$W$10,0))</f>
        <v>3.1770440000000004</v>
      </c>
      <c r="O46" s="327">
        <f ca="1">INDEX(OFFSET('Baseline NFPC'!$D$1:$W$1,$D46-1,0),MATCH(O$4,'Baseline NFPC'!$D$10:$W$10,0))</f>
        <v>3.2042120000000005</v>
      </c>
      <c r="P46" s="327">
        <f ca="1">INDEX(OFFSET('Baseline NFPC'!$D$1:$W$1,$D46-1,0),MATCH(P$4,'Baseline NFPC'!$D$10:$W$10,0))</f>
        <v>3.2313800000000001</v>
      </c>
      <c r="Q46" s="327">
        <f ca="1">INDEX(OFFSET('Baseline NFPC'!$D$1:$W$1,$D46-1,0),MATCH(Q$4,'Baseline NFPC'!$D$10:$W$10,0))</f>
        <v>3.2698110000000002</v>
      </c>
      <c r="R46" s="327">
        <f ca="1">INDEX(OFFSET('Baseline NFPC'!$D$1:$W$1,$D46-1,0),MATCH(R$4,'Baseline NFPC'!$D$10:$W$10,0))</f>
        <v>3.3082419999999999</v>
      </c>
      <c r="S46" s="327">
        <f ca="1">INDEX(OFFSET('Baseline NFPC'!$D$1:$W$1,$D46-1,0),MATCH(S$4,'Baseline NFPC'!$D$10:$W$10,0))</f>
        <v>3.346673</v>
      </c>
      <c r="T46" s="327">
        <f ca="1">INDEX(OFFSET('Baseline NFPC'!$D$1:$W$1,$D46-1,0),MATCH(T$4,'Baseline NFPC'!$D$10:$W$10,0))</f>
        <v>3.3851040000000001</v>
      </c>
      <c r="U46" s="327">
        <f ca="1">INDEX(OFFSET('Baseline NFPC'!$D$1:$W$1,$D46-1,0),MATCH(U$4,'Baseline NFPC'!$D$10:$W$10,0))</f>
        <v>3.4235350000000002</v>
      </c>
      <c r="V46" s="327">
        <f ca="1">INDEX(OFFSET('Baseline NFPC'!$D$1:$W$1,$D46-1,0),MATCH(V$4,'Baseline NFPC'!$D$10:$W$10,0))</f>
        <v>3.4619660000000003</v>
      </c>
      <c r="W46" s="327">
        <f ca="1">INDEX(OFFSET('Baseline NFPC'!$D$1:$W$1,$D46-1,0),MATCH(W$4,'Baseline NFPC'!$D$10:$W$10,0))</f>
        <v>3.500397</v>
      </c>
      <c r="X46" s="327">
        <f ca="1">INDEX(OFFSET('Baseline NFPC'!$D$1:$W$1,$D46-1,0),MATCH(X$4,'Baseline NFPC'!$D$10:$W$10,0))</f>
        <v>3.5388280000000001</v>
      </c>
      <c r="Y46" s="5"/>
    </row>
    <row r="47" spans="1:25" x14ac:dyDescent="0.2">
      <c r="A47" s="5"/>
      <c r="B47" s="334">
        <v>7</v>
      </c>
      <c r="C47" s="341" t="s">
        <v>95</v>
      </c>
      <c r="D47" s="339">
        <v>37</v>
      </c>
      <c r="E47" s="340" t="s">
        <v>227</v>
      </c>
      <c r="F47" s="327">
        <f ca="1">INDEX(OFFSET('Baseline NFPC'!$D$1:$W$1,$D47-1,0),MATCH(F$4,'Baseline NFPC'!$D$10:$W$10,0))</f>
        <v>3.43</v>
      </c>
      <c r="G47" s="327">
        <f ca="1">INDEX(OFFSET('Baseline NFPC'!$D$1:$W$1,$D47-1,0),MATCH(G$4,'Baseline NFPC'!$D$10:$W$10,0))</f>
        <v>3.5642079999999998</v>
      </c>
      <c r="H47" s="327">
        <f ca="1">INDEX(OFFSET('Baseline NFPC'!$D$1:$W$1,$D47-1,0),MATCH(H$4,'Baseline NFPC'!$D$10:$W$10,0))</f>
        <v>2.8163749999999999</v>
      </c>
      <c r="I47" s="327">
        <f ca="1">INDEX(OFFSET('Baseline NFPC'!$D$1:$W$1,$D47-1,0),MATCH(I$4,'Baseline NFPC'!$D$10:$W$10,0))</f>
        <v>2.8050893749999997</v>
      </c>
      <c r="J47" s="327">
        <f ca="1">INDEX(OFFSET('Baseline NFPC'!$D$1:$W$1,$D47-1,0),MATCH(J$4,'Baseline NFPC'!$D$10:$W$10,0))</f>
        <v>2.7938037499999995</v>
      </c>
      <c r="K47" s="327">
        <f ca="1">INDEX(OFFSET('Baseline NFPC'!$D$1:$W$1,$D47-1,0),MATCH(K$4,'Baseline NFPC'!$D$10:$W$10,0))</f>
        <v>2.7825181249999993</v>
      </c>
      <c r="L47" s="327">
        <f ca="1">INDEX(OFFSET('Baseline NFPC'!$D$1:$W$1,$D47-1,0),MATCH(L$4,'Baseline NFPC'!$D$10:$W$10,0))</f>
        <v>2.7712324999999991</v>
      </c>
      <c r="M47" s="327">
        <f ca="1">INDEX(OFFSET('Baseline NFPC'!$D$1:$W$1,$D47-1,0),MATCH(M$4,'Baseline NFPC'!$D$10:$W$10,0))</f>
        <v>2.7599468749999989</v>
      </c>
      <c r="N47" s="327">
        <f ca="1">INDEX(OFFSET('Baseline NFPC'!$D$1:$W$1,$D47-1,0),MATCH(N$4,'Baseline NFPC'!$D$10:$W$10,0))</f>
        <v>2.7486612499999987</v>
      </c>
      <c r="O47" s="327">
        <f ca="1">INDEX(OFFSET('Baseline NFPC'!$D$1:$W$1,$D47-1,0),MATCH(O$4,'Baseline NFPC'!$D$10:$W$10,0))</f>
        <v>2.7373756249999985</v>
      </c>
      <c r="P47" s="327">
        <f ca="1">INDEX(OFFSET('Baseline NFPC'!$D$1:$W$1,$D47-1,0),MATCH(P$4,'Baseline NFPC'!$D$10:$W$10,0))</f>
        <v>2.7260900000000001</v>
      </c>
      <c r="Q47" s="327">
        <f ca="1">INDEX(OFFSET('Baseline NFPC'!$D$1:$W$1,$D47-1,0),MATCH(Q$4,'Baseline NFPC'!$D$10:$W$10,0))</f>
        <v>2.6897855000000002</v>
      </c>
      <c r="R47" s="327">
        <f ca="1">INDEX(OFFSET('Baseline NFPC'!$D$1:$W$1,$D47-1,0),MATCH(R$4,'Baseline NFPC'!$D$10:$W$10,0))</f>
        <v>2.6534810000000002</v>
      </c>
      <c r="S47" s="327">
        <f ca="1">INDEX(OFFSET('Baseline NFPC'!$D$1:$W$1,$D47-1,0),MATCH(S$4,'Baseline NFPC'!$D$10:$W$10,0))</f>
        <v>2.6171765000000002</v>
      </c>
      <c r="T47" s="327">
        <f ca="1">INDEX(OFFSET('Baseline NFPC'!$D$1:$W$1,$D47-1,0),MATCH(T$4,'Baseline NFPC'!$D$10:$W$10,0))</f>
        <v>2.5808720000000003</v>
      </c>
      <c r="U47" s="327">
        <f ca="1">INDEX(OFFSET('Baseline NFPC'!$D$1:$W$1,$D47-1,0),MATCH(U$4,'Baseline NFPC'!$D$10:$W$10,0))</f>
        <v>2.5445675000000003</v>
      </c>
      <c r="V47" s="327">
        <f ca="1">INDEX(OFFSET('Baseline NFPC'!$D$1:$W$1,$D47-1,0),MATCH(V$4,'Baseline NFPC'!$D$10:$W$10,0))</f>
        <v>2.5082629999999999</v>
      </c>
      <c r="W47" s="327">
        <f ca="1">INDEX(OFFSET('Baseline NFPC'!$D$1:$W$1,$D47-1,0),MATCH(W$4,'Baseline NFPC'!$D$10:$W$10,0))</f>
        <v>2.4719584999999999</v>
      </c>
      <c r="X47" s="327">
        <f ca="1">INDEX(OFFSET('Baseline NFPC'!$D$1:$W$1,$D47-1,0),MATCH(X$4,'Baseline NFPC'!$D$10:$W$10,0))</f>
        <v>2.435654</v>
      </c>
      <c r="Y47" s="5"/>
    </row>
    <row r="48" spans="1:25" x14ac:dyDescent="0.2">
      <c r="A48" s="5"/>
      <c r="B48" s="334">
        <v>8</v>
      </c>
      <c r="C48" s="338" t="s">
        <v>228</v>
      </c>
      <c r="D48" s="339">
        <v>35</v>
      </c>
      <c r="E48" s="340" t="s">
        <v>227</v>
      </c>
      <c r="F48" s="327">
        <f ca="1">INDEX(OFFSET('Baseline NFPC'!$D$1:$W$1,$D48-1,0),MATCH(F$4,'Baseline NFPC'!$D$10:$W$10,0))</f>
        <v>1.5804370000000001</v>
      </c>
      <c r="G48" s="327">
        <f ca="1">INDEX(OFFSET('Baseline NFPC'!$D$1:$W$1,$D48-1,0),MATCH(G$4,'Baseline NFPC'!$D$10:$W$10,0))</f>
        <v>1.6625099999999999</v>
      </c>
      <c r="H48" s="327">
        <f ca="1">INDEX(OFFSET('Baseline NFPC'!$D$1:$W$1,$D48-1,0),MATCH(H$4,'Baseline NFPC'!$D$10:$W$10,0))</f>
        <v>1.8895660000000001</v>
      </c>
      <c r="I48" s="327">
        <f ca="1">INDEX(OFFSET('Baseline NFPC'!$D$1:$W$1,$D48-1,0),MATCH(I$4,'Baseline NFPC'!$D$10:$W$10,0))</f>
        <v>1.9991450275951226</v>
      </c>
      <c r="J48" s="327">
        <f ca="1">INDEX(OFFSET('Baseline NFPC'!$D$1:$W$1,$D48-1,0),MATCH(J$4,'Baseline NFPC'!$D$10:$W$10,0))</f>
        <v>2.0879879377116972</v>
      </c>
      <c r="K48" s="327">
        <f ca="1">INDEX(OFFSET('Baseline NFPC'!$D$1:$W$1,$D48-1,0),MATCH(K$4,'Baseline NFPC'!$D$10:$W$10,0))</f>
        <v>2.1640664638770444</v>
      </c>
      <c r="L48" s="327">
        <f ca="1">INDEX(OFFSET('Baseline NFPC'!$D$1:$W$1,$D48-1,0),MATCH(L$4,'Baseline NFPC'!$D$10:$W$10,0))</f>
        <v>2.2321150325315466</v>
      </c>
      <c r="M48" s="327">
        <f ca="1">INDEX(OFFSET('Baseline NFPC'!$D$1:$W$1,$D48-1,0),MATCH(M$4,'Baseline NFPC'!$D$10:$W$10,0))</f>
        <v>2.2953928731785078</v>
      </c>
      <c r="N48" s="327">
        <f ca="1">INDEX(OFFSET('Baseline NFPC'!$D$1:$W$1,$D48-1,0),MATCH(N$4,'Baseline NFPC'!$D$10:$W$10,0))</f>
        <v>2.3575574010598914</v>
      </c>
      <c r="O48" s="327">
        <f ca="1">INDEX(OFFSET('Baseline NFPC'!$D$1:$W$1,$D48-1,0),MATCH(O$4,'Baseline NFPC'!$D$10:$W$10,0))</f>
        <v>2.4218578013202379</v>
      </c>
      <c r="P48" s="327">
        <f ca="1">INDEX(OFFSET('Baseline NFPC'!$D$1:$W$1,$D48-1,0),MATCH(P$4,'Baseline NFPC'!$D$10:$W$10,0))</f>
        <v>2.4836807638654266</v>
      </c>
      <c r="Q48" s="327">
        <f ca="1">INDEX(OFFSET('Baseline NFPC'!$D$1:$W$1,$D48-1,0),MATCH(Q$4,'Baseline NFPC'!$D$10:$W$10,0))</f>
        <v>2.5399818229513458</v>
      </c>
      <c r="R48" s="327">
        <f ca="1">INDEX(OFFSET('Baseline NFPC'!$D$1:$W$1,$D48-1,0),MATCH(R$4,'Baseline NFPC'!$D$10:$W$10,0))</f>
        <v>2.593162917967573</v>
      </c>
      <c r="S48" s="327">
        <f ca="1">INDEX(OFFSET('Baseline NFPC'!$D$1:$W$1,$D48-1,0),MATCH(S$4,'Baseline NFPC'!$D$10:$W$10,0))</f>
        <v>2.6435117462956859</v>
      </c>
      <c r="T48" s="327">
        <f ca="1">INDEX(OFFSET('Baseline NFPC'!$D$1:$W$1,$D48-1,0),MATCH(T$4,'Baseline NFPC'!$D$10:$W$10,0))</f>
        <v>2.6912336233961884</v>
      </c>
      <c r="U48" s="327">
        <f ca="1">INDEX(OFFSET('Baseline NFPC'!$D$1:$W$1,$D48-1,0),MATCH(U$4,'Baseline NFPC'!$D$10:$W$10,0))</f>
        <v>2.7364930063751922</v>
      </c>
      <c r="V48" s="327">
        <f ca="1">INDEX(OFFSET('Baseline NFPC'!$D$1:$W$1,$D48-1,0),MATCH(V$4,'Baseline NFPC'!$D$10:$W$10,0))</f>
        <v>2.7794541625407629</v>
      </c>
      <c r="W48" s="327">
        <f ca="1">INDEX(OFFSET('Baseline NFPC'!$D$1:$W$1,$D48-1,0),MATCH(W$4,'Baseline NFPC'!$D$10:$W$10,0))</f>
        <v>2.8202665390550012</v>
      </c>
      <c r="X48" s="327">
        <f ca="1">INDEX(OFFSET('Baseline NFPC'!$D$1:$W$1,$D48-1,0),MATCH(X$4,'Baseline NFPC'!$D$10:$W$10,0))</f>
        <v>2.8591440708598914</v>
      </c>
      <c r="Y48" s="5"/>
    </row>
    <row r="49" spans="1:25" x14ac:dyDescent="0.2">
      <c r="A49" s="5"/>
      <c r="B49" s="334">
        <v>9</v>
      </c>
      <c r="C49" s="342" t="s">
        <v>62</v>
      </c>
      <c r="D49" s="339">
        <v>26</v>
      </c>
      <c r="E49" s="340" t="s">
        <v>230</v>
      </c>
      <c r="F49" s="327">
        <f ca="1">(INDEX(OFFSET('Baseline NFPC'!$D$1:$W$1,$D49-1,0),MATCH(F$4,'Baseline NFPC'!$D$10:$W$10,0))/INDEX(OFFSET('Baseline NFPC'!$D$1:$W$1,$D49-1,0),MATCH(E$4,'Baseline NFPC'!$D$10:$W$10,0))-1)*100</f>
        <v>1.0916300000000101</v>
      </c>
      <c r="G49" s="327">
        <f ca="1">(INDEX(OFFSET('Baseline NFPC'!$D$1:$W$1,$D49-1,0),MATCH(G$4,'Baseline NFPC'!$D$10:$W$10,0))/INDEX(OFFSET('Baseline NFPC'!$D$1:$W$1,$D49-1,0),MATCH(F$4,'Baseline NFPC'!$D$10:$W$10,0))-1)*100</f>
        <v>0.93510000000001092</v>
      </c>
      <c r="H49" s="327">
        <f ca="1">(INDEX(OFFSET('Baseline NFPC'!$D$1:$W$1,$D49-1,0),MATCH(H$4,'Baseline NFPC'!$D$10:$W$10,0))/INDEX(OFFSET('Baseline NFPC'!$D$1:$W$1,$D49-1,0),MATCH(G$4,'Baseline NFPC'!$D$10:$W$10,0))-1)*100</f>
        <v>0.93510000000001092</v>
      </c>
      <c r="I49" s="327">
        <f ca="1">(INDEX(OFFSET('Baseline NFPC'!$D$1:$W$1,$D49-1,0),MATCH(I$4,'Baseline NFPC'!$D$10:$W$10,0))/INDEX(OFFSET('Baseline NFPC'!$D$1:$W$1,$D49-1,0),MATCH(H$4,'Baseline NFPC'!$D$10:$W$10,0))-1)*100</f>
        <v>0.93510000000001092</v>
      </c>
      <c r="J49" s="327">
        <f ca="1">(INDEX(OFFSET('Baseline NFPC'!$D$1:$W$1,$D49-1,0),MATCH(J$4,'Baseline NFPC'!$D$10:$W$10,0))/INDEX(OFFSET('Baseline NFPC'!$D$1:$W$1,$D49-1,0),MATCH(I$4,'Baseline NFPC'!$D$10:$W$10,0))-1)*100</f>
        <v>0.93510000000001092</v>
      </c>
      <c r="K49" s="327">
        <f ca="1">(INDEX(OFFSET('Baseline NFPC'!$D$1:$W$1,$D49-1,0),MATCH(K$4,'Baseline NFPC'!$D$10:$W$10,0))/INDEX(OFFSET('Baseline NFPC'!$D$1:$W$1,$D49-1,0),MATCH(J$4,'Baseline NFPC'!$D$10:$W$10,0))-1)*100</f>
        <v>0.93510000000001092</v>
      </c>
      <c r="L49" s="327">
        <f ca="1">(INDEX(OFFSET('Baseline NFPC'!$D$1:$W$1,$D49-1,0),MATCH(L$4,'Baseline NFPC'!$D$10:$W$10,0))/INDEX(OFFSET('Baseline NFPC'!$D$1:$W$1,$D49-1,0),MATCH(K$4,'Baseline NFPC'!$D$10:$W$10,0))-1)*100</f>
        <v>0.93510000000001092</v>
      </c>
      <c r="M49" s="327">
        <f ca="1">(INDEX(OFFSET('Baseline NFPC'!$D$1:$W$1,$D49-1,0),MATCH(M$4,'Baseline NFPC'!$D$10:$W$10,0))/INDEX(OFFSET('Baseline NFPC'!$D$1:$W$1,$D49-1,0),MATCH(L$4,'Baseline NFPC'!$D$10:$W$10,0))-1)*100</f>
        <v>0.93510000000001092</v>
      </c>
      <c r="N49" s="327">
        <f ca="1">(INDEX(OFFSET('Baseline NFPC'!$D$1:$W$1,$D49-1,0),MATCH(N$4,'Baseline NFPC'!$D$10:$W$10,0))/INDEX(OFFSET('Baseline NFPC'!$D$1:$W$1,$D49-1,0),MATCH(M$4,'Baseline NFPC'!$D$10:$W$10,0))-1)*100</f>
        <v>0.93510000000001092</v>
      </c>
      <c r="O49" s="327">
        <f ca="1">(INDEX(OFFSET('Baseline NFPC'!$D$1:$W$1,$D49-1,0),MATCH(O$4,'Baseline NFPC'!$D$10:$W$10,0))/INDEX(OFFSET('Baseline NFPC'!$D$1:$W$1,$D49-1,0),MATCH(N$4,'Baseline NFPC'!$D$10:$W$10,0))-1)*100</f>
        <v>0.93510000000001092</v>
      </c>
      <c r="P49" s="327">
        <f ca="1">(INDEX(OFFSET('Baseline NFPC'!$D$1:$W$1,$D49-1,0),MATCH(P$4,'Baseline NFPC'!$D$10:$W$10,0))/INDEX(OFFSET('Baseline NFPC'!$D$1:$W$1,$D49-1,0),MATCH(O$4,'Baseline NFPC'!$D$10:$W$10,0))-1)*100</f>
        <v>0.93510000000001092</v>
      </c>
      <c r="Q49" s="327">
        <f ca="1">(INDEX(OFFSET('Baseline NFPC'!$D$1:$W$1,$D49-1,0),MATCH(Q$4,'Baseline NFPC'!$D$10:$W$10,0))/INDEX(OFFSET('Baseline NFPC'!$D$1:$W$1,$D49-1,0),MATCH(P$4,'Baseline NFPC'!$D$10:$W$10,0))-1)*100</f>
        <v>0.93510000000001092</v>
      </c>
      <c r="R49" s="327">
        <f ca="1">(INDEX(OFFSET('Baseline NFPC'!$D$1:$W$1,$D49-1,0),MATCH(R$4,'Baseline NFPC'!$D$10:$W$10,0))/INDEX(OFFSET('Baseline NFPC'!$D$1:$W$1,$D49-1,0),MATCH(Q$4,'Baseline NFPC'!$D$10:$W$10,0))-1)*100</f>
        <v>0.93510000000001092</v>
      </c>
      <c r="S49" s="327">
        <f ca="1">(INDEX(OFFSET('Baseline NFPC'!$D$1:$W$1,$D49-1,0),MATCH(S$4,'Baseline NFPC'!$D$10:$W$10,0))/INDEX(OFFSET('Baseline NFPC'!$D$1:$W$1,$D49-1,0),MATCH(R$4,'Baseline NFPC'!$D$10:$W$10,0))-1)*100</f>
        <v>0.93510000000001092</v>
      </c>
      <c r="T49" s="327">
        <f ca="1">(INDEX(OFFSET('Baseline NFPC'!$D$1:$W$1,$D49-1,0),MATCH(T$4,'Baseline NFPC'!$D$10:$W$10,0))/INDEX(OFFSET('Baseline NFPC'!$D$1:$W$1,$D49-1,0),MATCH(S$4,'Baseline NFPC'!$D$10:$W$10,0))-1)*100</f>
        <v>0.93510000000001092</v>
      </c>
      <c r="U49" s="327">
        <f ca="1">(INDEX(OFFSET('Baseline NFPC'!$D$1:$W$1,$D49-1,0),MATCH(U$4,'Baseline NFPC'!$D$10:$W$10,0))/INDEX(OFFSET('Baseline NFPC'!$D$1:$W$1,$D49-1,0),MATCH(T$4,'Baseline NFPC'!$D$10:$W$10,0))-1)*100</f>
        <v>0.93510000000001092</v>
      </c>
      <c r="V49" s="327">
        <f ca="1">(INDEX(OFFSET('Baseline NFPC'!$D$1:$W$1,$D49-1,0),MATCH(V$4,'Baseline NFPC'!$D$10:$W$10,0))/INDEX(OFFSET('Baseline NFPC'!$D$1:$W$1,$D49-1,0),MATCH(U$4,'Baseline NFPC'!$D$10:$W$10,0))-1)*100</f>
        <v>0.93510000000001092</v>
      </c>
      <c r="W49" s="327">
        <f ca="1">(INDEX(OFFSET('Baseline NFPC'!$D$1:$W$1,$D49-1,0),MATCH(W$4,'Baseline NFPC'!$D$10:$W$10,0))/INDEX(OFFSET('Baseline NFPC'!$D$1:$W$1,$D49-1,0),MATCH(V$4,'Baseline NFPC'!$D$10:$W$10,0))-1)*100</f>
        <v>0.93510000000001092</v>
      </c>
      <c r="X49" s="327">
        <f ca="1">(INDEX(OFFSET('Baseline NFPC'!$D$1:$W$1,$D49-1,0),MATCH(X$4,'Baseline NFPC'!$D$10:$W$10,0))/INDEX(OFFSET('Baseline NFPC'!$D$1:$W$1,$D49-1,0),MATCH(W$4,'Baseline NFPC'!$D$10:$W$10,0))-1)*100</f>
        <v>0.93510000000001092</v>
      </c>
      <c r="Y49" s="5"/>
    </row>
    <row r="50" spans="1:25" x14ac:dyDescent="0.2">
      <c r="A50" s="5"/>
      <c r="B50" s="334">
        <v>10</v>
      </c>
      <c r="C50" s="330" t="s">
        <v>231</v>
      </c>
      <c r="D50" s="339">
        <v>23</v>
      </c>
      <c r="E50" s="340" t="s">
        <v>230</v>
      </c>
      <c r="F50" s="327">
        <f ca="1">INDEX(OFFSET('Baseline NFPC'!$D$1:$W$1,$D50-1,0),MATCH(F$4,'Baseline NFPC'!$D$10:$W$10,0))</f>
        <v>-1.1595058938339342</v>
      </c>
      <c r="G50" s="327">
        <f ca="1">INDEX(OFFSET('Baseline NFPC'!$D$1:$W$1,$D50-1,0),MATCH(G$4,'Baseline NFPC'!$D$10:$W$10,0))</f>
        <v>-0.22177088705733761</v>
      </c>
      <c r="H50" s="327">
        <f ca="1">INDEX(OFFSET('Baseline NFPC'!$D$1:$W$1,$D50-1,0),MATCH(H$4,'Baseline NFPC'!$D$10:$W$10,0))</f>
        <v>1.8351999999999999</v>
      </c>
      <c r="I50" s="327">
        <f ca="1">INDEX(OFFSET('Baseline NFPC'!$D$1:$W$1,$D50-1,0),MATCH(I$4,'Baseline NFPC'!$D$10:$W$10,0))</f>
        <v>1.8351999999999924</v>
      </c>
      <c r="J50" s="327">
        <f ca="1">INDEX(OFFSET('Baseline NFPC'!$D$1:$W$1,$D50-1,0),MATCH(J$4,'Baseline NFPC'!$D$10:$W$10,0))</f>
        <v>1.8351999999999924</v>
      </c>
      <c r="K50" s="327">
        <f ca="1">INDEX(OFFSET('Baseline NFPC'!$D$1:$W$1,$D50-1,0),MATCH(K$4,'Baseline NFPC'!$D$10:$W$10,0))</f>
        <v>1.8351999999999924</v>
      </c>
      <c r="L50" s="327">
        <f ca="1">INDEX(OFFSET('Baseline NFPC'!$D$1:$W$1,$D50-1,0),MATCH(L$4,'Baseline NFPC'!$D$10:$W$10,0))</f>
        <v>0.93510000000001092</v>
      </c>
      <c r="M50" s="327">
        <f ca="1">INDEX(OFFSET('Baseline NFPC'!$D$1:$W$1,$D50-1,0),MATCH(M$4,'Baseline NFPC'!$D$10:$W$10,0))</f>
        <v>0.93508997222222501</v>
      </c>
      <c r="N50" s="327">
        <f ca="1">INDEX(OFFSET('Baseline NFPC'!$D$1:$W$1,$D50-1,0),MATCH(N$4,'Baseline NFPC'!$D$10:$W$10,0))</f>
        <v>0.93508697222222104</v>
      </c>
      <c r="O50" s="327">
        <f ca="1">INDEX(OFFSET('Baseline NFPC'!$D$1:$W$1,$D50-1,0),MATCH(O$4,'Baseline NFPC'!$D$10:$W$10,0))</f>
        <v>0.93508687222221276</v>
      </c>
      <c r="P50" s="327">
        <f ca="1">INDEX(OFFSET('Baseline NFPC'!$D$1:$W$1,$D50-1,0),MATCH(P$4,'Baseline NFPC'!$D$10:$W$10,0))</f>
        <v>0.93508597222222711</v>
      </c>
      <c r="Q50" s="327">
        <f ca="1">INDEX(OFFSET('Baseline NFPC'!$D$1:$W$1,$D50-1,0),MATCH(Q$4,'Baseline NFPC'!$D$10:$W$10,0))</f>
        <v>0.93508937222221977</v>
      </c>
      <c r="R50" s="327">
        <f ca="1">INDEX(OFFSET('Baseline NFPC'!$D$1:$W$1,$D50-1,0),MATCH(R$4,'Baseline NFPC'!$D$10:$W$10,0))</f>
        <v>0.93508447222221402</v>
      </c>
      <c r="S50" s="327">
        <f ca="1">INDEX(OFFSET('Baseline NFPC'!$D$1:$W$1,$D50-1,0),MATCH(S$4,'Baseline NFPC'!$D$10:$W$10,0))</f>
        <v>0.93508647222222407</v>
      </c>
      <c r="T50" s="327">
        <f ca="1">INDEX(OFFSET('Baseline NFPC'!$D$1:$W$1,$D50-1,0),MATCH(T$4,'Baseline NFPC'!$D$10:$W$10,0))</f>
        <v>0.9350834722222201</v>
      </c>
      <c r="U50" s="327">
        <f ca="1">INDEX(OFFSET('Baseline NFPC'!$D$1:$W$1,$D50-1,0),MATCH(U$4,'Baseline NFPC'!$D$10:$W$10,0))</f>
        <v>0.93508947222222805</v>
      </c>
      <c r="V50" s="327">
        <f ca="1">INDEX(OFFSET('Baseline NFPC'!$D$1:$W$1,$D50-1,0),MATCH(V$4,'Baseline NFPC'!$D$10:$W$10,0))</f>
        <v>0.93508647222222407</v>
      </c>
      <c r="W50" s="327">
        <f ca="1">INDEX(OFFSET('Baseline NFPC'!$D$1:$W$1,$D50-1,0),MATCH(W$4,'Baseline NFPC'!$D$10:$W$10,0))</f>
        <v>0.93509147222221589</v>
      </c>
      <c r="X50" s="327">
        <f ca="1">INDEX(OFFSET('Baseline NFPC'!$D$1:$W$1,$D50-1,0),MATCH(X$4,'Baseline NFPC'!$D$10:$W$10,0))</f>
        <v>0.93508847222221192</v>
      </c>
      <c r="Y50" s="5"/>
    </row>
    <row r="51" spans="1:25" x14ac:dyDescent="0.2">
      <c r="A51" s="5"/>
      <c r="B51" s="334">
        <v>11</v>
      </c>
      <c r="C51" s="343" t="s">
        <v>232</v>
      </c>
      <c r="D51" s="339">
        <v>41</v>
      </c>
      <c r="E51" s="340" t="s">
        <v>230</v>
      </c>
      <c r="F51" s="327">
        <f ca="1">INDEX(OFFSET('Baseline NFPC'!$D$1:$W$1,$D51-1,0),MATCH(F$4,'Baseline NFPC'!$D$10:$W$10,0))</f>
        <v>3.9011728023607306</v>
      </c>
      <c r="G51" s="327">
        <f ca="1">INDEX(OFFSET('Baseline NFPC'!$D$1:$W$1,$D51-1,0),MATCH(G$4,'Baseline NFPC'!$D$10:$W$10,0))</f>
        <v>1.6905743485635893</v>
      </c>
      <c r="H51" s="327">
        <f ca="1">INDEX(OFFSET('Baseline NFPC'!$D$1:$W$1,$D51-1,0),MATCH(H$4,'Baseline NFPC'!$D$10:$W$10,0))</f>
        <v>2.1354755393935054</v>
      </c>
      <c r="I51" s="327">
        <f ca="1">INDEX(OFFSET('Baseline NFPC'!$D$1:$W$1,$D51-1,0),MATCH(I$4,'Baseline NFPC'!$D$10:$W$10,0))</f>
        <v>2.1872910969693171</v>
      </c>
      <c r="J51" s="327">
        <f ca="1">INDEX(OFFSET('Baseline NFPC'!$D$1:$W$1,$D51-1,0),MATCH(J$4,'Baseline NFPC'!$D$10:$W$10,0))</f>
        <v>2.2391066545451288</v>
      </c>
      <c r="K51" s="327">
        <f ca="1">INDEX(OFFSET('Baseline NFPC'!$D$1:$W$1,$D51-1,0),MATCH(K$4,'Baseline NFPC'!$D$10:$W$10,0))</f>
        <v>2.2909222121209409</v>
      </c>
      <c r="L51" s="327">
        <f ca="1">INDEX(OFFSET('Baseline NFPC'!$D$1:$W$1,$D51-1,0),MATCH(L$4,'Baseline NFPC'!$D$10:$W$10,0))</f>
        <v>2.3427377696967526</v>
      </c>
      <c r="M51" s="327">
        <f ca="1">INDEX(OFFSET('Baseline NFPC'!$D$1:$W$1,$D51-1,0),MATCH(M$4,'Baseline NFPC'!$D$10:$W$10,0))</f>
        <v>2.3945533272725643</v>
      </c>
      <c r="N51" s="327">
        <f ca="1">INDEX(OFFSET('Baseline NFPC'!$D$1:$W$1,$D51-1,0),MATCH(N$4,'Baseline NFPC'!$D$10:$W$10,0))</f>
        <v>2.4463688848483764</v>
      </c>
      <c r="O51" s="327">
        <f ca="1">INDEX(OFFSET('Baseline NFPC'!$D$1:$W$1,$D51-1,0),MATCH(O$4,'Baseline NFPC'!$D$10:$W$10,0))</f>
        <v>2.4981844424241881</v>
      </c>
      <c r="P51" s="327">
        <f ca="1">INDEX(OFFSET('Baseline NFPC'!$D$1:$W$1,$D51-1,0),MATCH(P$4,'Baseline NFPC'!$D$10:$W$10,0))</f>
        <v>2.5499999999999998</v>
      </c>
      <c r="Q51" s="327">
        <f ca="1">INDEX(OFFSET('Baseline NFPC'!$D$1:$W$1,$D51-1,0),MATCH(Q$4,'Baseline NFPC'!$D$10:$W$10,0))</f>
        <v>2.5225</v>
      </c>
      <c r="R51" s="327">
        <f ca="1">INDEX(OFFSET('Baseline NFPC'!$D$1:$W$1,$D51-1,0),MATCH(R$4,'Baseline NFPC'!$D$10:$W$10,0))</f>
        <v>2.4949999999999997</v>
      </c>
      <c r="S51" s="327">
        <f ca="1">INDEX(OFFSET('Baseline NFPC'!$D$1:$W$1,$D51-1,0),MATCH(S$4,'Baseline NFPC'!$D$10:$W$10,0))</f>
        <v>2.4674999999999998</v>
      </c>
      <c r="T51" s="327">
        <f ca="1">INDEX(OFFSET('Baseline NFPC'!$D$1:$W$1,$D51-1,0),MATCH(T$4,'Baseline NFPC'!$D$10:$W$10,0))</f>
        <v>2.44</v>
      </c>
      <c r="U51" s="327">
        <f ca="1">INDEX(OFFSET('Baseline NFPC'!$D$1:$W$1,$D51-1,0),MATCH(U$4,'Baseline NFPC'!$D$10:$W$10,0))</f>
        <v>2.4124999999999996</v>
      </c>
      <c r="V51" s="327">
        <f ca="1">INDEX(OFFSET('Baseline NFPC'!$D$1:$W$1,$D51-1,0),MATCH(V$4,'Baseline NFPC'!$D$10:$W$10,0))</f>
        <v>2.3849999999999998</v>
      </c>
      <c r="W51" s="327">
        <f ca="1">INDEX(OFFSET('Baseline NFPC'!$D$1:$W$1,$D51-1,0),MATCH(W$4,'Baseline NFPC'!$D$10:$W$10,0))</f>
        <v>2.3574999999999999</v>
      </c>
      <c r="X51" s="327">
        <f ca="1">INDEX(OFFSET('Baseline NFPC'!$D$1:$W$1,$D51-1,0),MATCH(X$4,'Baseline NFPC'!$D$10:$W$10,0))</f>
        <v>2.33</v>
      </c>
      <c r="Y51" s="5"/>
    </row>
    <row r="52" spans="1:25" x14ac:dyDescent="0.2">
      <c r="A52" s="5"/>
      <c r="B52" s="334">
        <v>12</v>
      </c>
      <c r="C52" s="330" t="s">
        <v>233</v>
      </c>
      <c r="D52" s="339">
        <v>32</v>
      </c>
      <c r="E52" s="340" t="s">
        <v>230</v>
      </c>
      <c r="F52" s="327">
        <f ca="1">INDEX(OFFSET('Baseline NFPC'!$D$1:$W$1,$D52-1,0),MATCH(F$4,'Baseline NFPC'!$D$10:$W$10,0))</f>
        <v>2.6964325799547773</v>
      </c>
      <c r="G52" s="327">
        <f ca="1">INDEX(OFFSET('Baseline NFPC'!$D$1:$W$1,$D52-1,0),MATCH(G$4,'Baseline NFPC'!$D$10:$W$10,0))</f>
        <v>1.4650542597770766</v>
      </c>
      <c r="H52" s="327">
        <f ca="1">INDEX(OFFSET('Baseline NFPC'!$D$1:$W$1,$D52-1,0),MATCH(H$4,'Baseline NFPC'!$D$10:$W$10,0))</f>
        <v>4.0098657864924503</v>
      </c>
      <c r="I52" s="327">
        <f ca="1">INDEX(OFFSET('Baseline NFPC'!$D$1:$W$1,$D52-1,0),MATCH(I$4,'Baseline NFPC'!$D$10:$W$10,0))</f>
        <v>4.0626322631808875</v>
      </c>
      <c r="J52" s="327">
        <f ca="1">INDEX(OFFSET('Baseline NFPC'!$D$1:$W$1,$D52-1,0),MATCH(J$4,'Baseline NFPC'!$D$10:$W$10,0))</f>
        <v>4.1153987398693248</v>
      </c>
      <c r="K52" s="327">
        <f ca="1">INDEX(OFFSET('Baseline NFPC'!$D$1:$W$1,$D52-1,0),MATCH(K$4,'Baseline NFPC'!$D$10:$W$10,0))</f>
        <v>4.1681652165577843</v>
      </c>
      <c r="L52" s="327">
        <f ca="1">INDEX(OFFSET('Baseline NFPC'!$D$1:$W$1,$D52-1,0),MATCH(L$4,'Baseline NFPC'!$D$10:$W$10,0))</f>
        <v>3.2997447105812094</v>
      </c>
      <c r="M52" s="327">
        <f ca="1">INDEX(OFFSET('Baseline NFPC'!$D$1:$W$1,$D52-1,0),MATCH(M$4,'Baseline NFPC'!$D$10:$W$10,0))</f>
        <v>3.3520345275376284</v>
      </c>
      <c r="N52" s="327">
        <f ca="1">INDEX(OFFSET('Baseline NFPC'!$D$1:$W$1,$D52-1,0),MATCH(N$4,'Baseline NFPC'!$D$10:$W$10,0))</f>
        <v>3.4043315338053048</v>
      </c>
      <c r="O52" s="327">
        <f ca="1">INDEX(OFFSET('Baseline NFPC'!$D$1:$W$1,$D52-1,0),MATCH(O$4,'Baseline NFPC'!$D$10:$W$10,0))</f>
        <v>3.4566315094114008</v>
      </c>
      <c r="P52" s="327">
        <f ca="1">INDEX(OFFSET('Baseline NFPC'!$D$1:$W$1,$D52-1,0),MATCH(P$4,'Baseline NFPC'!$D$10:$W$10,0))</f>
        <v>3.5089306645138985</v>
      </c>
      <c r="Q52" s="327">
        <f ca="1">INDEX(OFFSET('Baseline NFPC'!$D$1:$W$1,$D52-1,0),MATCH(Q$4,'Baseline NFPC'!$D$10:$W$10,0))</f>
        <v>3.4811770016365262</v>
      </c>
      <c r="R52" s="327">
        <f ca="1">INDEX(OFFSET('Baseline NFPC'!$D$1:$W$1,$D52-1,0),MATCH(R$4,'Baseline NFPC'!$D$10:$W$10,0))</f>
        <v>3.4534148298041689</v>
      </c>
      <c r="S52" s="327">
        <f ca="1">INDEX(OFFSET('Baseline NFPC'!$D$1:$W$1,$D52-1,0),MATCH(S$4,'Baseline NFPC'!$D$10:$W$10,0))</f>
        <v>3.425659730924302</v>
      </c>
      <c r="T52" s="327">
        <f ca="1">INDEX(OFFSET('Baseline NFPC'!$D$1:$W$1,$D52-1,0),MATCH(T$4,'Baseline NFPC'!$D$10:$W$10,0))</f>
        <v>3.3978995089444464</v>
      </c>
      <c r="U52" s="327">
        <f ca="1">INDEX(OFFSET('Baseline NFPC'!$D$1:$W$1,$D52-1,0),MATCH(U$4,'Baseline NFPC'!$D$10:$W$10,0))</f>
        <v>3.3701485057395786</v>
      </c>
      <c r="V52" s="327">
        <f ca="1">INDEX(OFFSET('Baseline NFPC'!$D$1:$W$1,$D52-1,0),MATCH(V$4,'Baseline NFPC'!$D$10:$W$10,0))</f>
        <v>3.3423882845847075</v>
      </c>
      <c r="W52" s="327">
        <f ca="1">INDEX(OFFSET('Baseline NFPC'!$D$1:$W$1,$D52-1,0),MATCH(W$4,'Baseline NFPC'!$D$10:$W$10,0))</f>
        <v>3.3146362536798479</v>
      </c>
      <c r="X52" s="327">
        <f ca="1">INDEX(OFFSET('Baseline NFPC'!$D$1:$W$1,$D52-1,0),MATCH(X$4,'Baseline NFPC'!$D$10:$W$10,0))</f>
        <v>3.286876033625008</v>
      </c>
      <c r="Y52" s="5"/>
    </row>
    <row r="53" spans="1:25" x14ac:dyDescent="0.2">
      <c r="A53" s="5"/>
      <c r="B53" s="334">
        <v>13</v>
      </c>
      <c r="C53" s="330" t="s">
        <v>68</v>
      </c>
      <c r="D53" s="329"/>
      <c r="E53" s="340" t="s">
        <v>227</v>
      </c>
      <c r="F53" s="346">
        <f>'Input data'!$C$49</f>
        <v>0.75</v>
      </c>
      <c r="G53" s="5"/>
      <c r="H53" s="5"/>
      <c r="I53" s="5"/>
      <c r="J53" s="5"/>
      <c r="K53" s="5"/>
      <c r="L53" s="5"/>
      <c r="M53" s="5"/>
      <c r="N53" s="5"/>
      <c r="O53" s="5"/>
      <c r="P53" s="5"/>
      <c r="Q53" s="5"/>
      <c r="R53" s="5"/>
      <c r="S53" s="5"/>
      <c r="T53" s="5"/>
      <c r="U53" s="5"/>
      <c r="V53" s="5"/>
      <c r="W53" s="5"/>
      <c r="X53" s="5"/>
      <c r="Y53" s="5"/>
    </row>
    <row r="54" spans="1:25" x14ac:dyDescent="0.2">
      <c r="A54" s="5"/>
      <c r="B54" s="328"/>
      <c r="C54" s="349"/>
      <c r="D54" s="349"/>
      <c r="E54" s="349"/>
      <c r="F54" s="349"/>
      <c r="G54" s="349"/>
      <c r="H54" s="349"/>
      <c r="I54" s="349"/>
      <c r="J54" s="349"/>
      <c r="K54" s="5"/>
      <c r="L54" s="5"/>
      <c r="M54" s="5"/>
      <c r="N54" s="5"/>
      <c r="O54" s="5"/>
      <c r="P54" s="5"/>
      <c r="Q54" s="5"/>
      <c r="R54" s="5"/>
      <c r="S54" s="5"/>
      <c r="T54" s="5"/>
      <c r="U54" s="5"/>
      <c r="V54" s="5"/>
      <c r="W54" s="5"/>
      <c r="X54" s="5"/>
      <c r="Y54" s="5"/>
    </row>
    <row r="55" spans="1:25" x14ac:dyDescent="0.2">
      <c r="A55" s="5"/>
      <c r="B55" s="350"/>
      <c r="C55" s="332" t="s">
        <v>239</v>
      </c>
      <c r="D55" s="333"/>
      <c r="E55" s="333"/>
      <c r="F55" s="333"/>
      <c r="G55" s="349"/>
      <c r="H55" s="349"/>
      <c r="I55" s="349"/>
      <c r="J55" s="349"/>
      <c r="K55" s="5"/>
      <c r="L55" s="5"/>
      <c r="M55" s="5"/>
      <c r="N55" s="5"/>
      <c r="O55" s="5"/>
      <c r="P55" s="5"/>
      <c r="Q55" s="5"/>
      <c r="R55" s="5"/>
      <c r="S55" s="5"/>
      <c r="T55" s="5"/>
      <c r="U55" s="5"/>
      <c r="V55" s="5"/>
      <c r="W55" s="5"/>
      <c r="X55" s="5"/>
      <c r="Y55" s="5"/>
    </row>
    <row r="56" spans="1:25" x14ac:dyDescent="0.2">
      <c r="A56" s="5"/>
      <c r="B56" s="328"/>
      <c r="C56" s="349"/>
      <c r="D56" s="349"/>
      <c r="E56" s="349"/>
      <c r="F56" s="349"/>
      <c r="G56" s="349"/>
      <c r="H56" s="349"/>
      <c r="I56" s="349"/>
      <c r="J56" s="349"/>
      <c r="K56" s="5"/>
      <c r="L56" s="5"/>
      <c r="M56" s="5"/>
      <c r="N56" s="5"/>
      <c r="O56" s="5"/>
      <c r="P56" s="5"/>
      <c r="Q56" s="5"/>
      <c r="R56" s="5"/>
      <c r="S56" s="5"/>
      <c r="T56" s="5"/>
      <c r="U56" s="5"/>
      <c r="V56" s="5"/>
      <c r="W56" s="5"/>
      <c r="X56" s="5"/>
      <c r="Y56" s="5"/>
    </row>
    <row r="57" spans="1:25" x14ac:dyDescent="0.2">
      <c r="A57" s="5"/>
      <c r="B57" s="334"/>
      <c r="C57" s="332"/>
      <c r="D57" s="332"/>
      <c r="E57" s="337"/>
      <c r="F57" s="337">
        <f>'Input data'!$C$5-1</f>
        <v>2023</v>
      </c>
      <c r="G57" s="337">
        <f>F57+1</f>
        <v>2024</v>
      </c>
      <c r="H57" s="337">
        <f t="shared" ref="H57:X57" si="5">G57+1</f>
        <v>2025</v>
      </c>
      <c r="I57" s="337">
        <f t="shared" si="5"/>
        <v>2026</v>
      </c>
      <c r="J57" s="337">
        <f t="shared" si="5"/>
        <v>2027</v>
      </c>
      <c r="K57" s="337">
        <f t="shared" si="5"/>
        <v>2028</v>
      </c>
      <c r="L57" s="337">
        <f t="shared" si="5"/>
        <v>2029</v>
      </c>
      <c r="M57" s="337">
        <f t="shared" si="5"/>
        <v>2030</v>
      </c>
      <c r="N57" s="337">
        <f t="shared" si="5"/>
        <v>2031</v>
      </c>
      <c r="O57" s="337">
        <f t="shared" si="5"/>
        <v>2032</v>
      </c>
      <c r="P57" s="337">
        <f t="shared" si="5"/>
        <v>2033</v>
      </c>
      <c r="Q57" s="337">
        <f t="shared" si="5"/>
        <v>2034</v>
      </c>
      <c r="R57" s="337">
        <f t="shared" si="5"/>
        <v>2035</v>
      </c>
      <c r="S57" s="337">
        <f t="shared" si="5"/>
        <v>2036</v>
      </c>
      <c r="T57" s="337">
        <f t="shared" si="5"/>
        <v>2037</v>
      </c>
      <c r="U57" s="337">
        <f t="shared" si="5"/>
        <v>2038</v>
      </c>
      <c r="V57" s="337">
        <f t="shared" si="5"/>
        <v>2039</v>
      </c>
      <c r="W57" s="337">
        <f t="shared" si="5"/>
        <v>2040</v>
      </c>
      <c r="X57" s="337">
        <f t="shared" si="5"/>
        <v>2041</v>
      </c>
      <c r="Y57" s="5"/>
    </row>
    <row r="58" spans="1:25" x14ac:dyDescent="0.2">
      <c r="A58" s="5"/>
      <c r="B58" s="334">
        <v>1</v>
      </c>
      <c r="C58" s="338" t="s">
        <v>220</v>
      </c>
      <c r="D58" s="339">
        <v>100</v>
      </c>
      <c r="E58" s="340" t="s">
        <v>221</v>
      </c>
      <c r="F58" s="327">
        <f ca="1">INDEX(OFFSET('VM suunnitelma'!$D$1:$W$1,$D58-1,0),MATCH(F$4,'VM suunnitelma'!$D$10:$W$10,0))</f>
        <v>76.572506382321123</v>
      </c>
      <c r="G58" s="327">
        <f ca="1">INDEX(OFFSET('VM suunnitelma'!$D$1:$W$1,$D58-1,0),MATCH(G$4,'VM suunnitelma'!$D$10:$W$10,0))</f>
        <v>81.669832373893243</v>
      </c>
      <c r="H58" s="327">
        <f ca="1">INDEX(OFFSET('VM suunnitelma'!$D$1:$W$1,$D58-1,0),MATCH(H$4,'VM suunnitelma'!$D$10:$W$10,0))</f>
        <v>83.200765726871722</v>
      </c>
      <c r="I58" s="327">
        <f ca="1">INDEX(OFFSET('VM suunnitelma'!$D$1:$W$1,$D58-1,0),MATCH(I$4,'VM suunnitelma'!$D$10:$W$10,0))</f>
        <v>83.90561722622985</v>
      </c>
      <c r="J58" s="327">
        <f ca="1">INDEX(OFFSET('VM suunnitelma'!$D$1:$W$1,$D58-1,0),MATCH(J$4,'VM suunnitelma'!$D$10:$W$10,0))</f>
        <v>83.611302840545278</v>
      </c>
      <c r="K58" s="327">
        <f ca="1">INDEX(OFFSET('VM suunnitelma'!$D$1:$W$1,$D58-1,0),MATCH(K$4,'VM suunnitelma'!$D$10:$W$10,0))</f>
        <v>82.882428589420286</v>
      </c>
      <c r="L58" s="327">
        <f ca="1">INDEX(OFFSET('VM suunnitelma'!$D$1:$W$1,$D58-1,0),MATCH(L$4,'VM suunnitelma'!$D$10:$W$10,0))</f>
        <v>81.411608300186288</v>
      </c>
      <c r="M58" s="327">
        <f ca="1">INDEX(OFFSET('VM suunnitelma'!$D$1:$W$1,$D58-1,0),MATCH(M$4,'VM suunnitelma'!$D$10:$W$10,0))</f>
        <v>79.680213463441063</v>
      </c>
      <c r="N58" s="327">
        <f ca="1">INDEX(OFFSET('VM suunnitelma'!$D$1:$W$1,$D58-1,0),MATCH(N$4,'VM suunnitelma'!$D$10:$W$10,0))</f>
        <v>78.119823634032116</v>
      </c>
      <c r="O58" s="327">
        <f ca="1">INDEX(OFFSET('VM suunnitelma'!$D$1:$W$1,$D58-1,0),MATCH(O$4,'VM suunnitelma'!$D$10:$W$10,0))</f>
        <v>76.305685259611124</v>
      </c>
      <c r="P58" s="327">
        <f ca="1">INDEX(OFFSET('VM suunnitelma'!$D$1:$W$1,$D58-1,0),MATCH(P$4,'VM suunnitelma'!$D$10:$W$10,0))</f>
        <v>74.172962826336729</v>
      </c>
      <c r="Q58" s="327">
        <f ca="1">INDEX(OFFSET('VM suunnitelma'!$D$1:$W$1,$D58-1,0),MATCH(Q$4,'VM suunnitelma'!$D$10:$W$10,0))</f>
        <v>71.779246762511278</v>
      </c>
      <c r="R58" s="327">
        <f ca="1">INDEX(OFFSET('VM suunnitelma'!$D$1:$W$1,$D58-1,0),MATCH(R$4,'VM suunnitelma'!$D$10:$W$10,0))</f>
        <v>69.501953123410303</v>
      </c>
      <c r="S58" s="327">
        <f ca="1">INDEX(OFFSET('VM suunnitelma'!$D$1:$W$1,$D58-1,0),MATCH(S$4,'VM suunnitelma'!$D$10:$W$10,0))</f>
        <v>67.099087240745916</v>
      </c>
      <c r="T58" s="327">
        <f ca="1">INDEX(OFFSET('VM suunnitelma'!$D$1:$W$1,$D58-1,0),MATCH(T$4,'VM suunnitelma'!$D$10:$W$10,0))</f>
        <v>64.549158046107465</v>
      </c>
      <c r="U58" s="327">
        <f ca="1">INDEX(OFFSET('VM suunnitelma'!$D$1:$W$1,$D58-1,0),MATCH(U$4,'VM suunnitelma'!$D$10:$W$10,0))</f>
        <v>61.834612929558318</v>
      </c>
      <c r="V58" s="327">
        <f ca="1">INDEX(OFFSET('VM suunnitelma'!$D$1:$W$1,$D58-1,0),MATCH(V$4,'VM suunnitelma'!$D$10:$W$10,0))</f>
        <v>58.9395956736644</v>
      </c>
      <c r="W58" s="327">
        <f ca="1">INDEX(OFFSET('VM suunnitelma'!$D$1:$W$1,$D58-1,0),MATCH(W$4,'VM suunnitelma'!$D$10:$W$10,0))</f>
        <v>55.863558414330022</v>
      </c>
      <c r="X58" s="327">
        <f ca="1">INDEX(OFFSET('VM suunnitelma'!$D$1:$W$1,$D58-1,0),MATCH(X$4,'VM suunnitelma'!$D$10:$W$10,0))</f>
        <v>52.621468714687666</v>
      </c>
      <c r="Y58" s="5"/>
    </row>
    <row r="59" spans="1:25" x14ac:dyDescent="0.2">
      <c r="A59" s="5"/>
      <c r="B59" s="334">
        <f>B58+1</f>
        <v>2</v>
      </c>
      <c r="C59" s="341" t="s">
        <v>128</v>
      </c>
      <c r="D59" s="339">
        <v>102</v>
      </c>
      <c r="E59" s="340" t="s">
        <v>221</v>
      </c>
      <c r="F59" s="327">
        <f ca="1">INDEX(OFFSET('VM suunnitelma'!$D$1:$W$1,$D59-1,0),MATCH(F$4,'VM suunnitelma'!$D$10:$W$10,0))</f>
        <v>2.5449751617705147</v>
      </c>
      <c r="G59" s="327">
        <f ca="1">INDEX(OFFSET('VM suunnitelma'!$D$1:$W$1,$D59-1,0),MATCH(G$4,'VM suunnitelma'!$D$10:$W$10,0))</f>
        <v>2.1622470266405025</v>
      </c>
      <c r="H59" s="327">
        <f ca="1">INDEX(OFFSET('VM suunnitelma'!$D$1:$W$1,$D59-1,0),MATCH(H$4,'VM suunnitelma'!$D$10:$W$10,0))</f>
        <v>2.3093520793812177</v>
      </c>
      <c r="I59" s="327">
        <f ca="1">INDEX(OFFSET('VM suunnitelma'!$D$1:$W$1,$D59-1,0),MATCH(I$4,'VM suunnitelma'!$D$10:$W$10,0))</f>
        <v>2.390958112755452</v>
      </c>
      <c r="J59" s="327">
        <f ca="1">INDEX(OFFSET('VM suunnitelma'!$D$1:$W$1,$D59-1,0),MATCH(J$4,'VM suunnitelma'!$D$10:$W$10,0))</f>
        <v>2.4570301982120233</v>
      </c>
      <c r="K59" s="327">
        <f ca="1">INDEX(OFFSET('VM suunnitelma'!$D$1:$W$1,$D59-1,0),MATCH(K$4,'VM suunnitelma'!$D$10:$W$10,0))</f>
        <v>2.5015635794561426</v>
      </c>
      <c r="L59" s="327">
        <f ca="1">INDEX(OFFSET('VM suunnitelma'!$D$1:$W$1,$D59-1,0),MATCH(L$4,'VM suunnitelma'!$D$10:$W$10,0))</f>
        <v>2.5283684462115343</v>
      </c>
      <c r="M59" s="327">
        <f ca="1">INDEX(OFFSET('VM suunnitelma'!$D$1:$W$1,$D59-1,0),MATCH(M$4,'VM suunnitelma'!$D$10:$W$10,0))</f>
        <v>2.5323073554943654</v>
      </c>
      <c r="N59" s="327">
        <f ca="1">INDEX(OFFSET('VM suunnitelma'!$D$1:$W$1,$D59-1,0),MATCH(N$4,'VM suunnitelma'!$D$10:$W$10,0))</f>
        <v>2.5254145971159501</v>
      </c>
      <c r="O59" s="327">
        <f ca="1">INDEX(OFFSET('VM suunnitelma'!$D$1:$W$1,$D59-1,0),MATCH(O$4,'VM suunnitelma'!$D$10:$W$10,0))</f>
        <v>2.516135310302166</v>
      </c>
      <c r="P59" s="327">
        <f ca="1">INDEX(OFFSET('VM suunnitelma'!$D$1:$W$1,$D59-1,0),MATCH(P$4,'VM suunnitelma'!$D$10:$W$10,0))</f>
        <v>2.5008045422950702</v>
      </c>
      <c r="Q59" s="327">
        <f ca="1">INDEX(OFFSET('VM suunnitelma'!$D$1:$W$1,$D59-1,0),MATCH(Q$4,'VM suunnitelma'!$D$10:$W$10,0))</f>
        <v>2.4314023582373641</v>
      </c>
      <c r="R59" s="327">
        <f ca="1">INDEX(OFFSET('VM suunnitelma'!$D$1:$W$1,$D59-1,0),MATCH(R$4,'VM suunnitelma'!$D$10:$W$10,0))</f>
        <v>2.3605816013400687</v>
      </c>
      <c r="S59" s="327">
        <f ca="1">INDEX(OFFSET('VM suunnitelma'!$D$1:$W$1,$D59-1,0),MATCH(S$4,'VM suunnitelma'!$D$10:$W$10,0))</f>
        <v>2.2608889394231042</v>
      </c>
      <c r="T59" s="327">
        <f ca="1">INDEX(OFFSET('VM suunnitelma'!$D$1:$W$1,$D59-1,0),MATCH(T$4,'VM suunnitelma'!$D$10:$W$10,0))</f>
        <v>2.1226848879025235</v>
      </c>
      <c r="U59" s="327">
        <f ca="1">INDEX(OFFSET('VM suunnitelma'!$D$1:$W$1,$D59-1,0),MATCH(U$4,'VM suunnitelma'!$D$10:$W$10,0))</f>
        <v>1.9755901441264785</v>
      </c>
      <c r="V59" s="327">
        <f ca="1">INDEX(OFFSET('VM suunnitelma'!$D$1:$W$1,$D59-1,0),MATCH(V$4,'VM suunnitelma'!$D$10:$W$10,0))</f>
        <v>1.8131075886732964</v>
      </c>
      <c r="W59" s="327">
        <f ca="1">INDEX(OFFSET('VM suunnitelma'!$D$1:$W$1,$D59-1,0),MATCH(W$4,'VM suunnitelma'!$D$10:$W$10,0))</f>
        <v>1.6280239265431877</v>
      </c>
      <c r="X59" s="327">
        <f ca="1">INDEX(OFFSET('VM suunnitelma'!$D$1:$W$1,$D59-1,0),MATCH(X$4,'VM suunnitelma'!$D$10:$W$10,0))</f>
        <v>1.406552916598161</v>
      </c>
      <c r="Y59" s="5"/>
    </row>
    <row r="60" spans="1:25" x14ac:dyDescent="0.2">
      <c r="A60" s="5"/>
      <c r="B60" s="334">
        <f>B59+1</f>
        <v>3</v>
      </c>
      <c r="C60" s="341" t="s">
        <v>129</v>
      </c>
      <c r="D60" s="339">
        <v>103</v>
      </c>
      <c r="E60" s="340" t="s">
        <v>221</v>
      </c>
      <c r="F60" s="327">
        <f ca="1">INDEX(OFFSET('VM suunnitelma'!$D$1:$W$1,$D60-1,0),MATCH(F$4,'VM suunnitelma'!$D$10:$W$10,0))</f>
        <v>6.9964135836832329</v>
      </c>
      <c r="G60" s="327">
        <f ca="1">INDEX(OFFSET('VM suunnitelma'!$D$1:$W$1,$D60-1,0),MATCH(G$4,'VM suunnitelma'!$D$10:$W$10,0))</f>
        <v>7.4338450593811274</v>
      </c>
      <c r="H60" s="327">
        <f ca="1">INDEX(OFFSET('VM suunnitelma'!$D$1:$W$1,$D60-1,0),MATCH(H$4,'VM suunnitelma'!$D$10:$W$10,0))</f>
        <v>7.839603321443338</v>
      </c>
      <c r="I60" s="327">
        <f ca="1">INDEX(OFFSET('VM suunnitelma'!$D$1:$W$1,$D60-1,0),MATCH(I$4,'VM suunnitelma'!$D$10:$W$10,0))</f>
        <v>7.9919539027004278</v>
      </c>
      <c r="J60" s="327">
        <f ca="1">INDEX(OFFSET('VM suunnitelma'!$D$1:$W$1,$D60-1,0),MATCH(J$4,'VM suunnitelma'!$D$10:$W$10,0))</f>
        <v>8.0831951321896938</v>
      </c>
      <c r="K60" s="327">
        <f ca="1">INDEX(OFFSET('VM suunnitelma'!$D$1:$W$1,$D60-1,0),MATCH(K$4,'VM suunnitelma'!$D$10:$W$10,0))</f>
        <v>8.0935955847006547</v>
      </c>
      <c r="L60" s="327">
        <f ca="1">INDEX(OFFSET('VM suunnitelma'!$D$1:$W$1,$D60-1,0),MATCH(L$4,'VM suunnitelma'!$D$10:$W$10,0))</f>
        <v>8.0422401950289597</v>
      </c>
      <c r="M60" s="327">
        <f ca="1">INDEX(OFFSET('VM suunnitelma'!$D$1:$W$1,$D60-1,0),MATCH(M$4,'VM suunnitelma'!$D$10:$W$10,0))</f>
        <v>7.9149707866899348</v>
      </c>
      <c r="N60" s="327">
        <f ca="1">INDEX(OFFSET('VM suunnitelma'!$D$1:$W$1,$D60-1,0),MATCH(N$4,'VM suunnitelma'!$D$10:$W$10,0))</f>
        <v>7.7562824933495857</v>
      </c>
      <c r="O60" s="327">
        <f ca="1">INDEX(OFFSET('VM suunnitelma'!$D$1:$W$1,$D60-1,0),MATCH(O$4,'VM suunnitelma'!$D$10:$W$10,0))</f>
        <v>7.5969145550830719</v>
      </c>
      <c r="P60" s="327">
        <f ca="1">INDEX(OFFSET('VM suunnitelma'!$D$1:$W$1,$D60-1,0),MATCH(P$4,'VM suunnitelma'!$D$10:$W$10,0))</f>
        <v>7.4240947943765052</v>
      </c>
      <c r="Q60" s="327">
        <f ca="1">INDEX(OFFSET('VM suunnitelma'!$D$1:$W$1,$D60-1,0),MATCH(Q$4,'VM suunnitelma'!$D$10:$W$10,0))</f>
        <v>7.2233390516297868</v>
      </c>
      <c r="R60" s="327">
        <f ca="1">INDEX(OFFSET('VM suunnitelma'!$D$1:$W$1,$D60-1,0),MATCH(R$4,'VM suunnitelma'!$D$10:$W$10,0))</f>
        <v>7.0154003362944906</v>
      </c>
      <c r="S60" s="327">
        <f ca="1">INDEX(OFFSET('VM suunnitelma'!$D$1:$W$1,$D60-1,0),MATCH(S$4,'VM suunnitelma'!$D$10:$W$10,0))</f>
        <v>6.7200317913435788</v>
      </c>
      <c r="T60" s="327">
        <f ca="1">INDEX(OFFSET('VM suunnitelma'!$D$1:$W$1,$D60-1,0),MATCH(T$4,'VM suunnitelma'!$D$10:$W$10,0))</f>
        <v>6.2418259770106239</v>
      </c>
      <c r="U60" s="327">
        <f ca="1">INDEX(OFFSET('VM suunnitelma'!$D$1:$W$1,$D60-1,0),MATCH(U$4,'VM suunnitelma'!$D$10:$W$10,0))</f>
        <v>5.5876147157809211</v>
      </c>
      <c r="V60" s="327">
        <f ca="1">INDEX(OFFSET('VM suunnitelma'!$D$1:$W$1,$D60-1,0),MATCH(V$4,'VM suunnitelma'!$D$10:$W$10,0))</f>
        <v>4.7587379871084918</v>
      </c>
      <c r="W60" s="327">
        <f ca="1">INDEX(OFFSET('VM suunnitelma'!$D$1:$W$1,$D60-1,0),MATCH(W$4,'VM suunnitelma'!$D$10:$W$10,0))</f>
        <v>3.7778770214796933</v>
      </c>
      <c r="X60" s="327">
        <f ca="1">INDEX(OFFSET('VM suunnitelma'!$D$1:$W$1,$D60-1,0),MATCH(X$4,'VM suunnitelma'!$D$10:$W$10,0))</f>
        <v>2.6954213096688195</v>
      </c>
      <c r="Y60" s="5"/>
    </row>
    <row r="61" spans="1:25" x14ac:dyDescent="0.2">
      <c r="A61" s="5"/>
      <c r="B61" s="334">
        <f>B60+1</f>
        <v>4</v>
      </c>
      <c r="C61" s="341" t="s">
        <v>130</v>
      </c>
      <c r="D61" s="339">
        <v>104</v>
      </c>
      <c r="E61" s="340" t="s">
        <v>221</v>
      </c>
      <c r="F61" s="327">
        <f ca="1">INDEX(OFFSET('VM suunnitelma'!$D$1:$W$1,$D61-1,0),MATCH(F$4,'VM suunnitelma'!$D$10:$W$10,0))</f>
        <v>4.4868133712998963</v>
      </c>
      <c r="G61" s="327">
        <f ca="1">INDEX(OFFSET('VM suunnitelma'!$D$1:$W$1,$D61-1,0),MATCH(G$4,'VM suunnitelma'!$D$10:$W$10,0))</f>
        <v>5.5183648065170443</v>
      </c>
      <c r="H61" s="327">
        <f ca="1">INDEX(OFFSET('VM suunnitelma'!$D$1:$W$1,$D61-1,0),MATCH(H$4,'VM suunnitelma'!$D$10:$W$10,0))</f>
        <v>3.7413074759407587</v>
      </c>
      <c r="I61" s="327">
        <f ca="1">INDEX(OFFSET('VM suunnitelma'!$D$1:$W$1,$D61-1,0),MATCH(I$4,'VM suunnitelma'!$D$10:$W$10,0))</f>
        <v>3.3300638352419467</v>
      </c>
      <c r="J61" s="327">
        <f ca="1">INDEX(OFFSET('VM suunnitelma'!$D$1:$W$1,$D61-1,0),MATCH(J$4,'VM suunnitelma'!$D$10:$W$10,0))</f>
        <v>2.528256780685088</v>
      </c>
      <c r="K61" s="327">
        <f ca="1">INDEX(OFFSET('VM suunnitelma'!$D$1:$W$1,$D61-1,0),MATCH(K$4,'VM suunnitelma'!$D$10:$W$10,0))</f>
        <v>1.9860719395208315</v>
      </c>
      <c r="L61" s="327">
        <f ca="1">INDEX(OFFSET('VM suunnitelma'!$D$1:$W$1,$D61-1,0),MATCH(L$4,'VM suunnitelma'!$D$10:$W$10,0))</f>
        <v>1.2826118472446966</v>
      </c>
      <c r="M61" s="327">
        <f ca="1">INDEX(OFFSET('VM suunnitelma'!$D$1:$W$1,$D61-1,0),MATCH(M$4,'VM suunnitelma'!$D$10:$W$10,0))</f>
        <v>0.96245541251851552</v>
      </c>
      <c r="N61" s="327">
        <f ca="1">INDEX(OFFSET('VM suunnitelma'!$D$1:$W$1,$D61-1,0),MATCH(N$4,'VM suunnitelma'!$D$10:$W$10,0))</f>
        <v>1.0463688417962358</v>
      </c>
      <c r="O61" s="327">
        <f ca="1">INDEX(OFFSET('VM suunnitelma'!$D$1:$W$1,$D61-1,0),MATCH(O$4,'VM suunnitelma'!$D$10:$W$10,0))</f>
        <v>0.91343633982229255</v>
      </c>
      <c r="P61" s="327">
        <f ca="1">INDEX(OFFSET('VM suunnitelma'!$D$1:$W$1,$D61-1,0),MATCH(P$4,'VM suunnitelma'!$D$10:$W$10,0))</f>
        <v>0.60310490722709997</v>
      </c>
      <c r="Q61" s="327">
        <f ca="1">INDEX(OFFSET('VM suunnitelma'!$D$1:$W$1,$D61-1,0),MATCH(Q$4,'VM suunnitelma'!$D$10:$W$10,0))</f>
        <v>0.28269724275638897</v>
      </c>
      <c r="R61" s="327">
        <f ca="1">INDEX(OFFSET('VM suunnitelma'!$D$1:$W$1,$D61-1,0),MATCH(R$4,'VM suunnitelma'!$D$10:$W$10,0))</f>
        <v>0.10592998102488416</v>
      </c>
      <c r="S61" s="327">
        <f ca="1">INDEX(OFFSET('VM suunnitelma'!$D$1:$W$1,$D61-1,0),MATCH(S$4,'VM suunnitelma'!$D$10:$W$10,0))</f>
        <v>0</v>
      </c>
      <c r="T61" s="327">
        <f ca="1">INDEX(OFFSET('VM suunnitelma'!$D$1:$W$1,$D61-1,0),MATCH(T$4,'VM suunnitelma'!$D$10:$W$10,0))</f>
        <v>0</v>
      </c>
      <c r="U61" s="327">
        <f ca="1">INDEX(OFFSET('VM suunnitelma'!$D$1:$W$1,$D61-1,0),MATCH(U$4,'VM suunnitelma'!$D$10:$W$10,0))</f>
        <v>0</v>
      </c>
      <c r="V61" s="327">
        <f ca="1">INDEX(OFFSET('VM suunnitelma'!$D$1:$W$1,$D61-1,0),MATCH(V$4,'VM suunnitelma'!$D$10:$W$10,0))</f>
        <v>0</v>
      </c>
      <c r="W61" s="327">
        <f ca="1">INDEX(OFFSET('VM suunnitelma'!$D$1:$W$1,$D61-1,0),MATCH(W$4,'VM suunnitelma'!$D$10:$W$10,0))</f>
        <v>0</v>
      </c>
      <c r="X61" s="327">
        <f ca="1">INDEX(OFFSET('VM suunnitelma'!$D$1:$W$1,$D61-1,0),MATCH(X$4,'VM suunnitelma'!$D$10:$W$10,0))</f>
        <v>0</v>
      </c>
      <c r="Y61" s="5"/>
    </row>
    <row r="62" spans="1:25" x14ac:dyDescent="0.2">
      <c r="A62" s="5"/>
      <c r="B62" s="334">
        <f>B61+1</f>
        <v>5</v>
      </c>
      <c r="C62" s="341" t="s">
        <v>131</v>
      </c>
      <c r="D62" s="339">
        <v>105</v>
      </c>
      <c r="E62" s="340" t="s">
        <v>221</v>
      </c>
      <c r="F62" s="327">
        <f ca="1">INDEX(OFFSET('VM suunnitelma'!$D$1:$W$1,$D62-1,0),MATCH(F$4,'VM suunnitelma'!$D$10:$W$10,0))</f>
        <v>0.54490094832997338</v>
      </c>
      <c r="G62" s="327">
        <f ca="1">INDEX(OFFSET('VM suunnitelma'!$D$1:$W$1,$D62-1,0),MATCH(G$4,'VM suunnitelma'!$D$10:$W$10,0))</f>
        <v>0.67017768903339203</v>
      </c>
      <c r="H62" s="327">
        <f ca="1">INDEX(OFFSET('VM suunnitelma'!$D$1:$W$1,$D62-1,0),MATCH(H$4,'VM suunnitelma'!$D$10:$W$10,0))</f>
        <v>0.45436300174070166</v>
      </c>
      <c r="I62" s="327">
        <f ca="1">INDEX(OFFSET('VM suunnitelma'!$D$1:$W$1,$D62-1,0),MATCH(I$4,'VM suunnitelma'!$D$10:$W$10,0))</f>
        <v>0.40441952710348222</v>
      </c>
      <c r="J62" s="327">
        <f ca="1">INDEX(OFFSET('VM suunnitelma'!$D$1:$W$1,$D62-1,0),MATCH(J$4,'VM suunnitelma'!$D$10:$W$10,0))</f>
        <v>0.30704408750967604</v>
      </c>
      <c r="K62" s="327">
        <f ca="1">INDEX(OFFSET('VM suunnitelma'!$D$1:$W$1,$D62-1,0),MATCH(K$4,'VM suunnitelma'!$D$10:$W$10,0))</f>
        <v>0.24119846174544979</v>
      </c>
      <c r="L62" s="327">
        <f ca="1">INDEX(OFFSET('VM suunnitelma'!$D$1:$W$1,$D62-1,0),MATCH(L$4,'VM suunnitelma'!$D$10:$W$10,0))</f>
        <v>0.15576676675999418</v>
      </c>
      <c r="M62" s="327">
        <f ca="1">INDEX(OFFSET('VM suunnitelma'!$D$1:$W$1,$D62-1,0),MATCH(M$4,'VM suunnitelma'!$D$10:$W$10,0))</f>
        <v>0.11688537579059501</v>
      </c>
      <c r="N62" s="327">
        <f ca="1">INDEX(OFFSET('VM suunnitelma'!$D$1:$W$1,$D62-1,0),MATCH(N$4,'VM suunnitelma'!$D$10:$W$10,0))</f>
        <v>0.12707624031006193</v>
      </c>
      <c r="O62" s="327">
        <f ca="1">INDEX(OFFSET('VM suunnitelma'!$D$1:$W$1,$D62-1,0),MATCH(O$4,'VM suunnitelma'!$D$10:$W$10,0))</f>
        <v>0.1109322556164235</v>
      </c>
      <c r="P62" s="327">
        <f ca="1">INDEX(OFFSET('VM suunnitelma'!$D$1:$W$1,$D62-1,0),MATCH(P$4,'VM suunnitelma'!$D$10:$W$10,0))</f>
        <v>7.3244061808458438E-2</v>
      </c>
      <c r="Q62" s="327">
        <f ca="1">INDEX(OFFSET('VM suunnitelma'!$D$1:$W$1,$D62-1,0),MATCH(Q$4,'VM suunnitelma'!$D$10:$W$10,0))</f>
        <v>3.4332160248420764E-2</v>
      </c>
      <c r="R62" s="327">
        <f ca="1">INDEX(OFFSET('VM suunnitelma'!$D$1:$W$1,$D62-1,0),MATCH(R$4,'VM suunnitelma'!$D$10:$W$10,0))</f>
        <v>1.2864664148112926E-2</v>
      </c>
      <c r="S62" s="327">
        <f ca="1">INDEX(OFFSET('VM suunnitelma'!$D$1:$W$1,$D62-1,0),MATCH(S$4,'VM suunnitelma'!$D$10:$W$10,0))</f>
        <v>0</v>
      </c>
      <c r="T62" s="327">
        <f ca="1">INDEX(OFFSET('VM suunnitelma'!$D$1:$W$1,$D62-1,0),MATCH(T$4,'VM suunnitelma'!$D$10:$W$10,0))</f>
        <v>0</v>
      </c>
      <c r="U62" s="327">
        <f ca="1">INDEX(OFFSET('VM suunnitelma'!$D$1:$W$1,$D62-1,0),MATCH(U$4,'VM suunnitelma'!$D$10:$W$10,0))</f>
        <v>0</v>
      </c>
      <c r="V62" s="327">
        <f ca="1">INDEX(OFFSET('VM suunnitelma'!$D$1:$W$1,$D62-1,0),MATCH(V$4,'VM suunnitelma'!$D$10:$W$10,0))</f>
        <v>0</v>
      </c>
      <c r="W62" s="327">
        <f ca="1">INDEX(OFFSET('VM suunnitelma'!$D$1:$W$1,$D62-1,0),MATCH(W$4,'VM suunnitelma'!$D$10:$W$10,0))</f>
        <v>0</v>
      </c>
      <c r="X62" s="327">
        <f ca="1">INDEX(OFFSET('VM suunnitelma'!$D$1:$W$1,$D62-1,0),MATCH(X$4,'VM suunnitelma'!$D$10:$W$10,0))</f>
        <v>0</v>
      </c>
      <c r="Y62" s="5"/>
    </row>
    <row r="63" spans="1:25" x14ac:dyDescent="0.2">
      <c r="A63" s="5"/>
      <c r="B63" s="5"/>
      <c r="C63" s="5"/>
      <c r="D63" s="5"/>
      <c r="E63" s="5"/>
      <c r="F63" s="5"/>
      <c r="G63" s="5"/>
      <c r="H63" s="5"/>
      <c r="I63" s="5"/>
      <c r="J63" s="5"/>
      <c r="K63" s="5"/>
      <c r="L63" s="5"/>
      <c r="M63" s="5"/>
      <c r="N63" s="5"/>
      <c r="O63" s="5"/>
      <c r="P63" s="5"/>
      <c r="Q63" s="5"/>
      <c r="R63" s="5"/>
      <c r="S63" s="5"/>
      <c r="T63" s="5"/>
      <c r="U63" s="5"/>
      <c r="V63" s="5"/>
      <c r="W63" s="5"/>
      <c r="X63" s="5"/>
      <c r="Y63" s="5"/>
    </row>
  </sheetData>
  <conditionalFormatting sqref="V4:X63">
    <cfRule type="expression" dxfId="0" priority="2">
      <formula>#REF!=4</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 id="{D4889C7C-2BC4-4F4B-831C-552B8B76840F}">
            <xm:f>'Criteria results'!$F$5=4</xm:f>
            <x14:dxf>
              <font>
                <color theme="0"/>
              </font>
              <fill>
                <patternFill>
                  <bgColor theme="0"/>
                </patternFill>
              </fill>
            </x14:dxf>
          </x14:cfRule>
          <xm:sqref>V4:X63</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3268F-3CB2-413A-8DD9-4FF4DFCEE105}">
  <sheetPr codeName="Sheet21"/>
  <dimension ref="A1:N23"/>
  <sheetViews>
    <sheetView workbookViewId="0"/>
  </sheetViews>
  <sheetFormatPr defaultRowHeight="12.75" x14ac:dyDescent="0.2"/>
  <cols>
    <col min="13" max="13" width="9.85546875" customWidth="1"/>
  </cols>
  <sheetData>
    <row r="1" spans="1:14" x14ac:dyDescent="0.2">
      <c r="A1" t="s">
        <v>206</v>
      </c>
      <c r="B1" t="s">
        <v>207</v>
      </c>
      <c r="C1" t="s">
        <v>208</v>
      </c>
      <c r="D1" t="s">
        <v>209</v>
      </c>
      <c r="E1" t="s">
        <v>210</v>
      </c>
      <c r="F1" t="s">
        <v>211</v>
      </c>
      <c r="G1" t="s">
        <v>212</v>
      </c>
      <c r="H1" t="s">
        <v>213</v>
      </c>
      <c r="I1" t="s">
        <v>214</v>
      </c>
      <c r="J1" t="s">
        <v>215</v>
      </c>
      <c r="K1" t="s">
        <v>216</v>
      </c>
      <c r="L1" t="s">
        <v>217</v>
      </c>
    </row>
    <row r="2" spans="1:14" x14ac:dyDescent="0.2">
      <c r="A2" t="str">
        <f>'VM suunnitelma'!C$3</f>
        <v>FI</v>
      </c>
      <c r="B2">
        <v>2021</v>
      </c>
      <c r="C2" s="7" cm="1">
        <f t="array" ref="C2:C22">TRANSPOSE('Adjust. no safeguard'!C12:W12)</f>
        <v>-2.1345519999999998</v>
      </c>
      <c r="D2" s="7">
        <v>1</v>
      </c>
      <c r="E2" s="7" cm="1">
        <f t="array" ref="E2:E22">TRANSPOSE('Adjust. no safeguard'!C62:W62)</f>
        <v>0</v>
      </c>
      <c r="F2" s="7" cm="1">
        <f t="array" ref="F2:F22">TRANSPOSE('Adjust. no safeguard'!C24:W24)</f>
        <v>2.8381799999999999</v>
      </c>
      <c r="G2" s="7" cm="1">
        <f t="array" ref="G2:G22">TRANSPOSE('Adjust. no safeguard'!C42:W42)</f>
        <v>2.397958</v>
      </c>
      <c r="H2" s="7" cm="1">
        <f t="array" ref="H2:H22">TRANSPOSE('Adjust. no safeguard'!C14:W14)</f>
        <v>0</v>
      </c>
      <c r="I2" s="7" cm="1">
        <f t="array" ref="I2:I22">TRANSPOSE('Adjust. no safeguard'!C15:W15)</f>
        <v>-1.1351690000000001</v>
      </c>
      <c r="J2" s="7" cm="1">
        <f t="array" ref="J2:J22">TRANSPOSE('Adjust. no safeguard'!C64:W64)+TRANSPOSE('Adjust. no safeguard'!C65:W65)+TRANSPOSE('Adjust. no safeguard'!C66:W66)</f>
        <v>0</v>
      </c>
      <c r="K2" s="7" cm="1">
        <f t="array" ref="K2:K22">TRANSPOSE('Adjust. no safeguard'!C57:W57)</f>
        <v>72.584819999999993</v>
      </c>
      <c r="L2" s="7" cm="1">
        <f t="array" ref="L2:L22">TRANSPOSE('Adjust. no safeguard'!C36:W36)</f>
        <v>0.73297140000000005</v>
      </c>
      <c r="M2" s="7"/>
      <c r="N2" s="7"/>
    </row>
    <row r="3" spans="1:14" x14ac:dyDescent="0.2">
      <c r="A3" t="str">
        <f>'VM suunnitelma'!C$3</f>
        <v>FI</v>
      </c>
      <c r="B3">
        <v>2022</v>
      </c>
      <c r="C3" s="7">
        <v>0.29205680000000001</v>
      </c>
      <c r="D3" s="7">
        <v>1</v>
      </c>
      <c r="E3" s="7">
        <v>8.5104384961754986E-2</v>
      </c>
      <c r="F3" s="7">
        <v>1.335467</v>
      </c>
      <c r="G3" s="7">
        <v>5.3837979999999996</v>
      </c>
      <c r="H3" s="7">
        <v>0</v>
      </c>
      <c r="I3" s="7">
        <v>5.1764349999999997</v>
      </c>
      <c r="J3" s="7">
        <v>0</v>
      </c>
      <c r="K3" s="7">
        <v>73.511610584961744</v>
      </c>
      <c r="L3" s="7">
        <v>0.83926920000000005</v>
      </c>
      <c r="M3" s="7"/>
      <c r="N3" s="7"/>
    </row>
    <row r="4" spans="1:14" x14ac:dyDescent="0.2">
      <c r="A4" t="str">
        <f>'VM suunnitelma'!C$3</f>
        <v>FI</v>
      </c>
      <c r="B4">
        <v>2023</v>
      </c>
      <c r="C4" s="7">
        <v>-0.3391101166058319</v>
      </c>
      <c r="D4" s="7">
        <v>1</v>
      </c>
      <c r="E4" s="7">
        <v>1.3792226763121378</v>
      </c>
      <c r="F4" s="7">
        <v>-1.1595058938339342</v>
      </c>
      <c r="G4" s="7">
        <v>3.9011728023607306</v>
      </c>
      <c r="H4" s="7">
        <v>0</v>
      </c>
      <c r="I4" s="7">
        <v>2.1420457294413482</v>
      </c>
      <c r="J4" s="7">
        <v>0</v>
      </c>
      <c r="K4" s="7">
        <v>76.572506382321123</v>
      </c>
      <c r="L4" s="7">
        <v>1.5804370000000001</v>
      </c>
      <c r="M4" s="7"/>
      <c r="N4" s="7"/>
    </row>
    <row r="5" spans="1:14" x14ac:dyDescent="0.2">
      <c r="A5" t="str">
        <f>'VM suunnitelma'!C$3</f>
        <v>FI</v>
      </c>
      <c r="B5">
        <v>2024</v>
      </c>
      <c r="C5" s="7">
        <v>-0.3744433445451063</v>
      </c>
      <c r="D5" s="7">
        <v>1</v>
      </c>
      <c r="E5" s="7">
        <v>2.0304758386485537</v>
      </c>
      <c r="F5" s="7">
        <v>-0.22177088705733761</v>
      </c>
      <c r="G5" s="7">
        <v>1.6905743485635893</v>
      </c>
      <c r="H5" s="7">
        <v>0</v>
      </c>
      <c r="I5" s="7">
        <v>2.543156615765406</v>
      </c>
      <c r="J5" s="7">
        <v>0</v>
      </c>
      <c r="K5" s="7">
        <v>81.669832373893243</v>
      </c>
      <c r="L5" s="7">
        <v>1.6625099999999999</v>
      </c>
      <c r="M5" s="7"/>
      <c r="N5" s="7"/>
    </row>
    <row r="6" spans="1:14" x14ac:dyDescent="0.2">
      <c r="A6" t="str">
        <f>'VM suunnitelma'!C$3</f>
        <v>FI</v>
      </c>
      <c r="B6">
        <v>2025</v>
      </c>
      <c r="C6" s="7">
        <v>-0.27444334454510633</v>
      </c>
      <c r="D6" s="7">
        <v>1</v>
      </c>
      <c r="E6" s="7">
        <v>1.5713147105025493</v>
      </c>
      <c r="F6" s="7">
        <v>1.7601999999999896</v>
      </c>
      <c r="G6" s="7">
        <v>2.1354755393935054</v>
      </c>
      <c r="H6" s="7">
        <v>0</v>
      </c>
      <c r="I6" s="7">
        <v>1.2833361388111759</v>
      </c>
      <c r="J6" s="7">
        <v>0</v>
      </c>
      <c r="K6" s="7">
        <v>83.193157241487697</v>
      </c>
      <c r="L6" s="7">
        <v>1.8895660000000001</v>
      </c>
      <c r="M6" s="7"/>
      <c r="N6" s="7"/>
    </row>
    <row r="7" spans="1:14" x14ac:dyDescent="0.2">
      <c r="A7" t="str">
        <f>'VM suunnitelma'!C$3</f>
        <v>FI</v>
      </c>
      <c r="B7">
        <v>2026</v>
      </c>
      <c r="C7" s="7">
        <v>-0.17444334454510632</v>
      </c>
      <c r="D7" s="7">
        <v>1</v>
      </c>
      <c r="E7" s="7">
        <v>1.0896211825295963</v>
      </c>
      <c r="F7" s="7">
        <v>1.7936716614600723</v>
      </c>
      <c r="G7" s="7">
        <v>2.1872910969693171</v>
      </c>
      <c r="H7" s="7">
        <v>0</v>
      </c>
      <c r="I7" s="7">
        <v>1.726862012716794</v>
      </c>
      <c r="J7" s="7">
        <v>0</v>
      </c>
      <c r="K7" s="7">
        <v>84.556754593314608</v>
      </c>
      <c r="L7" s="7">
        <v>1.9854717385163656</v>
      </c>
      <c r="M7" s="7"/>
      <c r="N7" s="7"/>
    </row>
    <row r="8" spans="1:14" x14ac:dyDescent="0.2">
      <c r="A8" t="str">
        <f>'VM suunnitelma'!C$3</f>
        <v>FI</v>
      </c>
      <c r="B8">
        <v>2027</v>
      </c>
      <c r="C8" s="7">
        <v>-7.4443344545106316E-2</v>
      </c>
      <c r="D8" s="7">
        <v>1</v>
      </c>
      <c r="E8" s="7">
        <v>0.76885008708703162</v>
      </c>
      <c r="F8" s="7">
        <v>1.5020208166012239</v>
      </c>
      <c r="G8" s="7">
        <v>2.2391066545451288</v>
      </c>
      <c r="H8" s="7">
        <v>0</v>
      </c>
      <c r="I8" s="7">
        <v>1.4444254457205716</v>
      </c>
      <c r="J8" s="7">
        <v>0</v>
      </c>
      <c r="K8" s="7">
        <v>85.459120171217933</v>
      </c>
      <c r="L8" s="7">
        <v>2.0745438140806316</v>
      </c>
      <c r="M8" s="7"/>
      <c r="N8" s="7"/>
    </row>
    <row r="9" spans="1:14" x14ac:dyDescent="0.2">
      <c r="A9" t="str">
        <f>'VM suunnitelma'!C$3</f>
        <v>FI</v>
      </c>
      <c r="B9">
        <v>2028</v>
      </c>
      <c r="C9" s="7">
        <v>2.555665545489369E-2</v>
      </c>
      <c r="D9" s="7">
        <v>1</v>
      </c>
      <c r="E9" s="7">
        <v>0.55524103964059646</v>
      </c>
      <c r="F9" s="7">
        <v>1.3105173579600171</v>
      </c>
      <c r="G9" s="7">
        <v>2.2909222121209409</v>
      </c>
      <c r="H9" s="7">
        <v>0</v>
      </c>
      <c r="I9" s="7">
        <v>1.3768241518246929</v>
      </c>
      <c r="J9" s="7">
        <v>0</v>
      </c>
      <c r="K9" s="7">
        <v>86.145056856268312</v>
      </c>
      <c r="L9" s="7">
        <v>2.1513437547152869</v>
      </c>
      <c r="M9" s="7"/>
      <c r="N9" s="7"/>
    </row>
    <row r="10" spans="1:14" x14ac:dyDescent="0.2">
      <c r="A10" t="str">
        <f>'VM suunnitelma'!C$3</f>
        <v>FI</v>
      </c>
      <c r="B10">
        <v>2029</v>
      </c>
      <c r="C10" s="7">
        <v>0.1255566554548937</v>
      </c>
      <c r="D10" s="7">
        <v>1</v>
      </c>
      <c r="E10" s="7">
        <v>0.41299373058046251</v>
      </c>
      <c r="F10" s="7">
        <v>1.184172884051593</v>
      </c>
      <c r="G10" s="7">
        <v>2.3427377696967526</v>
      </c>
      <c r="H10" s="7">
        <v>0</v>
      </c>
      <c r="I10" s="7">
        <v>1.0241608740131771</v>
      </c>
      <c r="J10" s="7">
        <v>0</v>
      </c>
      <c r="K10" s="7">
        <v>86.34726643202589</v>
      </c>
      <c r="L10" s="7">
        <v>2.221061078171136</v>
      </c>
      <c r="M10" s="7"/>
      <c r="N10" s="7"/>
    </row>
    <row r="11" spans="1:14" x14ac:dyDescent="0.2">
      <c r="A11" t="str">
        <f>'VM suunnitelma'!C$3</f>
        <v>FI</v>
      </c>
      <c r="B11">
        <v>2030</v>
      </c>
      <c r="C11" s="7">
        <v>0.2255566554548937</v>
      </c>
      <c r="D11" s="7">
        <v>1</v>
      </c>
      <c r="E11" s="7">
        <v>0.31826788831518421</v>
      </c>
      <c r="F11" s="7">
        <v>1.1005552291055487</v>
      </c>
      <c r="G11" s="7">
        <v>2.3945533272725643</v>
      </c>
      <c r="H11" s="7">
        <v>0</v>
      </c>
      <c r="I11" s="7">
        <v>1.0623847406019649</v>
      </c>
      <c r="J11" s="7">
        <v>0</v>
      </c>
      <c r="K11" s="7">
        <v>86.468995590643061</v>
      </c>
      <c r="L11" s="7">
        <v>2.2825617644185887</v>
      </c>
      <c r="M11" s="7"/>
      <c r="N11" s="7"/>
    </row>
    <row r="12" spans="1:14" x14ac:dyDescent="0.2">
      <c r="A12" t="str">
        <f>'VM suunnitelma'!C$3</f>
        <v>FI</v>
      </c>
      <c r="B12">
        <v>2031</v>
      </c>
      <c r="C12" s="7">
        <v>0.32555665545489371</v>
      </c>
      <c r="D12" s="7">
        <v>1</v>
      </c>
      <c r="E12" s="7">
        <v>0.25518771300533455</v>
      </c>
      <c r="F12" s="7">
        <v>1.0451002292715117</v>
      </c>
      <c r="G12" s="7">
        <v>2.4463688848483764</v>
      </c>
      <c r="H12" s="7">
        <v>0</v>
      </c>
      <c r="I12" s="7">
        <v>1.5229809999999999</v>
      </c>
      <c r="J12" s="7">
        <v>0</v>
      </c>
      <c r="K12" s="7">
        <v>86.939180456571577</v>
      </c>
      <c r="L12" s="7">
        <v>2.3409157047574327</v>
      </c>
      <c r="M12" s="7"/>
      <c r="N12" s="7"/>
    </row>
    <row r="13" spans="1:14" x14ac:dyDescent="0.2">
      <c r="A13" t="str">
        <f>'VM suunnitelma'!C$3</f>
        <v>FI</v>
      </c>
      <c r="B13">
        <v>2032</v>
      </c>
      <c r="C13" s="7">
        <v>0.32555665545489371</v>
      </c>
      <c r="D13" s="7">
        <v>1</v>
      </c>
      <c r="E13" s="7">
        <v>0.17012514200355205</v>
      </c>
      <c r="F13" s="7">
        <v>1.0832720066293211</v>
      </c>
      <c r="G13" s="7">
        <v>2.4981844424241881</v>
      </c>
      <c r="H13" s="7">
        <v>0</v>
      </c>
      <c r="I13" s="7">
        <v>1.526135</v>
      </c>
      <c r="J13" s="7">
        <v>2.7518999999999405E-2</v>
      </c>
      <c r="K13" s="7">
        <v>87.323596912258168</v>
      </c>
      <c r="L13" s="7">
        <v>2.4003298177013139</v>
      </c>
      <c r="M13" s="7"/>
      <c r="N13" s="7"/>
    </row>
    <row r="14" spans="1:14" x14ac:dyDescent="0.2">
      <c r="A14" t="str">
        <f>'VM suunnitelma'!C$3</f>
        <v>FI</v>
      </c>
      <c r="B14">
        <v>2033</v>
      </c>
      <c r="C14" s="7">
        <v>0.32555665545489371</v>
      </c>
      <c r="D14" s="7">
        <v>1</v>
      </c>
      <c r="E14" s="7">
        <v>8.506257100176956E-2</v>
      </c>
      <c r="F14" s="7">
        <v>1.0830548100238646</v>
      </c>
      <c r="G14" s="7">
        <v>2.5499999999999998</v>
      </c>
      <c r="H14" s="7">
        <v>0</v>
      </c>
      <c r="I14" s="7">
        <v>1.3735219999999999</v>
      </c>
      <c r="J14" s="7">
        <v>1.7478999999996248E-2</v>
      </c>
      <c r="K14" s="7">
        <v>87.460515838477733</v>
      </c>
      <c r="L14" s="7">
        <v>2.4574559766088915</v>
      </c>
      <c r="M14" s="7"/>
      <c r="N14" s="7"/>
    </row>
    <row r="15" spans="1:14" x14ac:dyDescent="0.2">
      <c r="A15" t="str">
        <f>'VM suunnitelma'!C$3</f>
        <v>FI</v>
      </c>
      <c r="B15">
        <v>2034</v>
      </c>
      <c r="C15" s="7">
        <v>0.32555665545489371</v>
      </c>
      <c r="D15" s="7">
        <v>1</v>
      </c>
      <c r="E15" s="7">
        <v>0</v>
      </c>
      <c r="F15" s="7">
        <v>1.0828382492377386</v>
      </c>
      <c r="G15" s="7">
        <v>2.5225</v>
      </c>
      <c r="H15" s="7">
        <v>0</v>
      </c>
      <c r="I15" s="7">
        <v>1.2209080000000001</v>
      </c>
      <c r="J15" s="7">
        <v>7.8789999999977489E-3</v>
      </c>
      <c r="K15" s="7">
        <v>87.415515073401792</v>
      </c>
      <c r="L15" s="7">
        <v>2.5090863471564124</v>
      </c>
      <c r="M15" s="7"/>
      <c r="N15" s="7"/>
    </row>
    <row r="16" spans="1:14" x14ac:dyDescent="0.2">
      <c r="A16" t="str">
        <f>'VM suunnitelma'!C$3</f>
        <v>FI</v>
      </c>
      <c r="B16">
        <v>2035</v>
      </c>
      <c r="C16" s="7">
        <v>0.32555665545489371</v>
      </c>
      <c r="D16" s="7">
        <v>1</v>
      </c>
      <c r="E16" s="7">
        <v>8.9534430257165444E-6</v>
      </c>
      <c r="F16" s="7">
        <v>0.93508447222221402</v>
      </c>
      <c r="G16" s="7">
        <v>2.4949999999999997</v>
      </c>
      <c r="H16" s="7">
        <v>0</v>
      </c>
      <c r="I16" s="7">
        <v>1.068295</v>
      </c>
      <c r="J16" s="7">
        <v>-1.0241000000004608E-2</v>
      </c>
      <c r="K16" s="7">
        <v>87.391049674355173</v>
      </c>
      <c r="L16" s="7">
        <v>2.557563482111489</v>
      </c>
      <c r="M16" s="7"/>
      <c r="N16" s="7"/>
    </row>
    <row r="17" spans="1:14" x14ac:dyDescent="0.2">
      <c r="A17" t="str">
        <f>'VM suunnitelma'!C$3</f>
        <v>FI</v>
      </c>
      <c r="B17">
        <v>2036</v>
      </c>
      <c r="C17" s="7">
        <v>0.32555665545489371</v>
      </c>
      <c r="D17" s="7">
        <v>1</v>
      </c>
      <c r="E17" s="7">
        <v>1.6753668573454839E-5</v>
      </c>
      <c r="F17" s="7">
        <v>0.93508647222222407</v>
      </c>
      <c r="G17" s="7">
        <v>2.4674999999999998</v>
      </c>
      <c r="H17" s="7">
        <v>0</v>
      </c>
      <c r="I17" s="7">
        <v>0.91568099999999997</v>
      </c>
      <c r="J17" s="7">
        <v>-4.4330999999999676E-2</v>
      </c>
      <c r="K17" s="7">
        <v>87.242385231669843</v>
      </c>
      <c r="L17" s="7">
        <v>2.6037622045018916</v>
      </c>
      <c r="M17" s="7"/>
      <c r="N17" s="7"/>
    </row>
    <row r="18" spans="1:14" x14ac:dyDescent="0.2">
      <c r="A18" t="str">
        <f>'VM suunnitelma'!C$3</f>
        <v>FI</v>
      </c>
      <c r="B18">
        <v>2037</v>
      </c>
      <c r="C18" s="7">
        <v>0.32555665545489371</v>
      </c>
      <c r="D18" s="7">
        <v>1</v>
      </c>
      <c r="E18" s="7">
        <v>2.6283716987873792E-5</v>
      </c>
      <c r="F18" s="7">
        <v>0.9350834722222201</v>
      </c>
      <c r="G18" s="7">
        <v>2.44</v>
      </c>
      <c r="H18" s="7">
        <v>0</v>
      </c>
      <c r="I18" s="7">
        <v>0.76306750000000001</v>
      </c>
      <c r="J18" s="7">
        <v>-9.7351999999999439E-2</v>
      </c>
      <c r="K18" s="7">
        <v>86.949637568464595</v>
      </c>
      <c r="L18" s="7">
        <v>2.6477604452969841</v>
      </c>
      <c r="M18" s="7"/>
      <c r="N18" s="7"/>
    </row>
    <row r="19" spans="1:14" x14ac:dyDescent="0.2">
      <c r="A19" t="str">
        <f>'VM suunnitelma'!C$3</f>
        <v>FI</v>
      </c>
      <c r="B19">
        <v>2038</v>
      </c>
      <c r="C19" s="7">
        <v>0.32555665545489371</v>
      </c>
      <c r="D19" s="7">
        <v>1</v>
      </c>
      <c r="E19" s="7">
        <v>3.2354116580335374E-5</v>
      </c>
      <c r="F19" s="7">
        <v>0.93508947222222805</v>
      </c>
      <c r="G19" s="7">
        <v>2.4124999999999996</v>
      </c>
      <c r="H19" s="7">
        <v>0</v>
      </c>
      <c r="I19" s="7">
        <v>0.61045400000000005</v>
      </c>
      <c r="J19" s="7">
        <v>-0.16611200000000004</v>
      </c>
      <c r="K19" s="7">
        <v>86.496014648635622</v>
      </c>
      <c r="L19" s="7">
        <v>2.6896020032023693</v>
      </c>
      <c r="M19" s="7"/>
      <c r="N19" s="7"/>
    </row>
    <row r="20" spans="1:14" x14ac:dyDescent="0.2">
      <c r="A20" t="str">
        <f>'VM suunnitelma'!C$3</f>
        <v>FI</v>
      </c>
      <c r="B20">
        <v>2039</v>
      </c>
      <c r="C20" s="7">
        <v>0.32555665545489371</v>
      </c>
      <c r="D20" s="7">
        <v>1</v>
      </c>
      <c r="E20" s="7">
        <v>4.0154338994247138E-5</v>
      </c>
      <c r="F20" s="7">
        <v>0.93508647222222407</v>
      </c>
      <c r="G20" s="7">
        <v>2.3849999999999998</v>
      </c>
      <c r="H20" s="7">
        <v>0</v>
      </c>
      <c r="I20" s="7">
        <v>0.45784049999999998</v>
      </c>
      <c r="J20" s="7">
        <v>-0.24909199999999876</v>
      </c>
      <c r="K20" s="7">
        <v>85.86613473634462</v>
      </c>
      <c r="L20" s="7">
        <v>2.7293402664360746</v>
      </c>
      <c r="M20" s="7"/>
      <c r="N20" s="7"/>
    </row>
    <row r="21" spans="1:14" x14ac:dyDescent="0.2">
      <c r="A21" t="str">
        <f>'VM suunnitelma'!C$3</f>
        <v>FI</v>
      </c>
      <c r="B21">
        <v>2040</v>
      </c>
      <c r="C21" s="7">
        <v>0.32555665545489371</v>
      </c>
      <c r="D21" s="7">
        <v>1</v>
      </c>
      <c r="E21" s="7">
        <v>4.5071521670880799E-5</v>
      </c>
      <c r="F21" s="7">
        <v>0.93509147222221589</v>
      </c>
      <c r="G21" s="7">
        <v>2.3574999999999999</v>
      </c>
      <c r="H21" s="7">
        <v>0</v>
      </c>
      <c r="I21" s="7">
        <v>0.30522700000000003</v>
      </c>
      <c r="J21" s="7">
        <v>-0.33103200000000133</v>
      </c>
      <c r="K21" s="7">
        <v>85.059687124988073</v>
      </c>
      <c r="L21" s="7">
        <v>2.7670199356705982</v>
      </c>
      <c r="M21" s="7"/>
      <c r="N21" s="7"/>
    </row>
    <row r="22" spans="1:14" x14ac:dyDescent="0.2">
      <c r="A22" t="str">
        <f>'VM suunnitelma'!C$3</f>
        <v>FI</v>
      </c>
      <c r="B22">
        <v>2041</v>
      </c>
      <c r="C22" s="7">
        <v>0.32555665545489371</v>
      </c>
      <c r="D22" s="7">
        <v>1</v>
      </c>
      <c r="E22" s="7">
        <v>5.1718527000965682E-5</v>
      </c>
      <c r="F22" s="7">
        <v>0.93508847222221192</v>
      </c>
      <c r="G22" s="7">
        <v>2.33</v>
      </c>
      <c r="H22" s="7">
        <v>0</v>
      </c>
      <c r="I22" s="7">
        <v>0.15261350000000001</v>
      </c>
      <c r="J22" s="7">
        <v>-0.39626200000000056</v>
      </c>
      <c r="K22" s="7">
        <v>84.091860468205766</v>
      </c>
      <c r="L22" s="7">
        <v>2.8027723080079183</v>
      </c>
      <c r="M22" s="7"/>
      <c r="N22" s="7"/>
    </row>
    <row r="23" spans="1:14" x14ac:dyDescent="0.2">
      <c r="N23"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Vaihe xmlns="68b2ce2a-c09a-44ce-b99b-1ad9468634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siakirja" ma:contentTypeID="0x01010087F82CBE4CBA6243B265CBD512A8306F" ma:contentTypeVersion="1" ma:contentTypeDescription="Luo uusi asiakirja." ma:contentTypeScope="" ma:versionID="ff5afeb471f6a7b62e1954b345e07c95">
  <xsd:schema xmlns:xsd="http://www.w3.org/2001/XMLSchema" xmlns:xs="http://www.w3.org/2001/XMLSchema" xmlns:p="http://schemas.microsoft.com/office/2006/metadata/properties" xmlns:ns2="68b2ce2a-c09a-44ce-b99b-1ad94686346f" targetNamespace="http://schemas.microsoft.com/office/2006/metadata/properties" ma:root="true" ma:fieldsID="58aa58ccbe9105e308f404517e91b3b2" ns2:_="">
    <xsd:import namespace="68b2ce2a-c09a-44ce-b99b-1ad94686346f"/>
    <xsd:element name="properties">
      <xsd:complexType>
        <xsd:sequence>
          <xsd:element name="documentManagement">
            <xsd:complexType>
              <xsd:all>
                <xsd:element ref="ns2:Vaih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b2ce2a-c09a-44ce-b99b-1ad94686346f" elementFormDefault="qualified">
    <xsd:import namespace="http://schemas.microsoft.com/office/2006/documentManagement/types"/>
    <xsd:import namespace="http://schemas.microsoft.com/office/infopath/2007/PartnerControls"/>
    <xsd:element name="Vaihe" ma:index="8" nillable="true" ma:displayName="Vaihe" ma:format="Dropdown" ma:internalName="Vaihe">
      <xsd:simpleType>
        <xsd:restriction base="dms:Choice">
          <xsd:enumeration value="Esitykset"/>
          <xsd:enumeration value="Suunnittelu"/>
          <xsd:enumeration value="Raporttiluonnos"/>
          <xsd:enumeration value="Julkaisu"/>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E1AD19-26CE-486A-AEF9-44A7210D2685}">
  <ds:schemaRefs>
    <ds:schemaRef ds:uri="http://schemas.microsoft.com/office/2006/metadata/properties"/>
    <ds:schemaRef ds:uri="b29b9b01-a41b-4cdd-ba34-21bb9c415350"/>
    <ds:schemaRef ds:uri="http://purl.org/dc/terms/"/>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150bf796-665d-42d8-bec5-8541ade97521"/>
    <ds:schemaRef ds:uri="http://www.w3.org/XML/1998/namespace"/>
  </ds:schemaRefs>
</ds:datastoreItem>
</file>

<file path=customXml/itemProps2.xml><?xml version="1.0" encoding="utf-8"?>
<ds:datastoreItem xmlns:ds="http://schemas.openxmlformats.org/officeDocument/2006/customXml" ds:itemID="{7D5379F7-D4E7-4A0C-87B7-761C7833B493}">
  <ds:schemaRefs>
    <ds:schemaRef ds:uri="http://schemas.microsoft.com/sharepoint/v3/contenttype/forms"/>
  </ds:schemaRefs>
</ds:datastoreItem>
</file>

<file path=customXml/itemProps3.xml><?xml version="1.0" encoding="utf-8"?>
<ds:datastoreItem xmlns:ds="http://schemas.openxmlformats.org/officeDocument/2006/customXml" ds:itemID="{7A32BAE7-6E5D-420C-890C-3E3322145B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 me</vt:lpstr>
      <vt:lpstr>Criteria results</vt:lpstr>
      <vt:lpstr>Input data</vt:lpstr>
      <vt:lpstr>Baseline NFPC</vt:lpstr>
      <vt:lpstr>VM suunnitelma</vt:lpstr>
      <vt:lpstr>VM "no safeguard"</vt:lpstr>
      <vt:lpstr>VM suunnitelma + potbkt</vt:lpstr>
      <vt:lpstr>VM suunnitelma + tasa</vt:lpstr>
      <vt:lpstr>VM suunnitelma + sfa</vt:lpstr>
      <vt:lpstr>VM suunnitelma (uusi)</vt:lpstr>
      <vt:lpstr>Adjust. no safeguard</vt:lpstr>
      <vt:lpstr>STOCH</vt:lpstr>
      <vt:lpstr>Financial stress</vt:lpstr>
      <vt:lpstr>Lower SPB</vt:lpstr>
      <vt:lpstr>Adverse (r-g)</vt:lpstr>
      <vt:lpstr>Stochastic</vt:lpstr>
      <vt:lpstr>FASTOP reporting</vt:lpstr>
      <vt:lpstr>Data_stochastic</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SAIL Etienne (ECFIN)</dc:creator>
  <cp:keywords/>
  <dc:description/>
  <cp:lastModifiedBy>Keskinen Peetu (VTV)</cp:lastModifiedBy>
  <cp:revision/>
  <dcterms:created xsi:type="dcterms:W3CDTF">2013-04-12T08:50:12Z</dcterms:created>
  <dcterms:modified xsi:type="dcterms:W3CDTF">2025-05-12T14:26:45Z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2023-01-31T12:59:42Z</vt:lpwstr>
  </property>
  <property fmtid="{D5CDD505-2E9C-101B-9397-08002B2CF9AE}" pid="4" name="MSIP_Label_6bd9ddd1-4d20-43f6-abfa-fc3c07406f94_Method">
    <vt:lpwstr>Privileged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b0fa60c5-7b78-4404-9a0b-188770adde17</vt:lpwstr>
  </property>
  <property fmtid="{D5CDD505-2E9C-101B-9397-08002B2CF9AE}" pid="8" name="MSIP_Label_6bd9ddd1-4d20-43f6-abfa-fc3c07406f94_ContentBits">
    <vt:lpwstr>0</vt:lpwstr>
  </property>
  <property fmtid="{D5CDD505-2E9C-101B-9397-08002B2CF9AE}" pid="9" name="ContentTypeId">
    <vt:lpwstr>0x01010087F82CBE4CBA6243B265CBD512A8306F</vt:lpwstr>
  </property>
</Properties>
</file>