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yotilat.vtv.fi/fipovalvonnanraportit/kevat2025/EU-säännöt/DSA koodit/"/>
    </mc:Choice>
  </mc:AlternateContent>
  <xr:revisionPtr revIDLastSave="0" documentId="8_{E9C7CC94-179E-4B2F-A20A-18D8BFB24FC3}" xr6:coauthVersionLast="47" xr6:coauthVersionMax="47" xr10:uidLastSave="{00000000-0000-0000-0000-000000000000}"/>
  <bookViews>
    <workbookView xWindow="-120" yWindow="-120" windowWidth="29040" windowHeight="15720" tabRatio="656" xr2:uid="{00000000-000D-0000-FFFF-FFFF00000000}"/>
  </bookViews>
  <sheets>
    <sheet name="Input data" sheetId="8" r:id="rId1"/>
    <sheet name="Baseline NFPC" sheetId="9" r:id="rId2"/>
    <sheet name="STOCH" sheetId="4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9" l="1"/>
  <c r="E97" i="9" l="1"/>
  <c r="D93" i="9"/>
  <c r="D56" i="9"/>
  <c r="D87" i="9"/>
  <c r="D88" i="9"/>
  <c r="F35" i="9"/>
  <c r="G98" i="9"/>
  <c r="G96" i="9"/>
  <c r="G36" i="9"/>
  <c r="H36" i="9" s="1"/>
  <c r="G22" i="9" l="1"/>
  <c r="F29" i="9"/>
  <c r="G29" i="9"/>
  <c r="F22" i="9"/>
  <c r="H23" i="9"/>
  <c r="H29" i="9"/>
  <c r="S49" i="45"/>
  <c r="F49" i="45"/>
  <c r="E49" i="45"/>
  <c r="D49" i="45"/>
  <c r="C49" i="45"/>
  <c r="S48" i="45"/>
  <c r="F48" i="45"/>
  <c r="E48" i="45"/>
  <c r="D48" i="45"/>
  <c r="C48" i="45"/>
  <c r="S47" i="45"/>
  <c r="F47" i="45"/>
  <c r="E47" i="45"/>
  <c r="D47" i="45"/>
  <c r="C47" i="45"/>
  <c r="S46" i="45"/>
  <c r="F46" i="45"/>
  <c r="E46" i="45"/>
  <c r="D46" i="45"/>
  <c r="C46" i="45"/>
  <c r="S45" i="45"/>
  <c r="F45" i="45"/>
  <c r="E45" i="45"/>
  <c r="D45" i="45"/>
  <c r="C45" i="45"/>
  <c r="S44" i="45"/>
  <c r="F44" i="45"/>
  <c r="E44" i="45"/>
  <c r="D44" i="45"/>
  <c r="C44" i="45"/>
  <c r="S43" i="45"/>
  <c r="F43" i="45"/>
  <c r="E43" i="45"/>
  <c r="D43" i="45"/>
  <c r="C43" i="45"/>
  <c r="S42" i="45"/>
  <c r="F42" i="45"/>
  <c r="E42" i="45"/>
  <c r="D42" i="45"/>
  <c r="C42" i="45"/>
  <c r="S41" i="45"/>
  <c r="F41" i="45"/>
  <c r="E41" i="45"/>
  <c r="D41" i="45"/>
  <c r="C41" i="45"/>
  <c r="S40" i="45"/>
  <c r="F40" i="45"/>
  <c r="E40" i="45"/>
  <c r="D40" i="45"/>
  <c r="C40" i="45"/>
  <c r="S39" i="45"/>
  <c r="F39" i="45"/>
  <c r="E39" i="45"/>
  <c r="D39" i="45"/>
  <c r="C39" i="45"/>
  <c r="S38" i="45"/>
  <c r="F38" i="45"/>
  <c r="E38" i="45"/>
  <c r="D38" i="45"/>
  <c r="C38" i="45"/>
  <c r="S37" i="45"/>
  <c r="F37" i="45"/>
  <c r="E37" i="45"/>
  <c r="D37" i="45"/>
  <c r="C37" i="45"/>
  <c r="S36" i="45"/>
  <c r="F36" i="45"/>
  <c r="E36" i="45"/>
  <c r="D36" i="45"/>
  <c r="C36" i="45"/>
  <c r="S35" i="45"/>
  <c r="F35" i="45"/>
  <c r="E35" i="45"/>
  <c r="D35" i="45"/>
  <c r="C35" i="45"/>
  <c r="S34" i="45"/>
  <c r="F34" i="45"/>
  <c r="E34" i="45"/>
  <c r="D34" i="45"/>
  <c r="C34" i="45"/>
  <c r="S33" i="45"/>
  <c r="F33" i="45"/>
  <c r="E33" i="45"/>
  <c r="D33" i="45"/>
  <c r="C33" i="45"/>
  <c r="S32" i="45"/>
  <c r="F32" i="45"/>
  <c r="E32" i="45"/>
  <c r="D32" i="45"/>
  <c r="C32" i="45"/>
  <c r="S31" i="45"/>
  <c r="F31" i="45"/>
  <c r="E31" i="45"/>
  <c r="D31" i="45"/>
  <c r="C31" i="45"/>
  <c r="S30" i="45"/>
  <c r="F30" i="45"/>
  <c r="E30" i="45"/>
  <c r="D30" i="45"/>
  <c r="C30" i="45"/>
  <c r="S29" i="45"/>
  <c r="F29" i="45"/>
  <c r="E29" i="45"/>
  <c r="D29" i="45"/>
  <c r="C29" i="45"/>
  <c r="S28" i="45"/>
  <c r="F28" i="45"/>
  <c r="E28" i="45"/>
  <c r="D28" i="45"/>
  <c r="C28" i="45"/>
  <c r="S27" i="45"/>
  <c r="F27" i="45"/>
  <c r="E27" i="45"/>
  <c r="D27" i="45"/>
  <c r="C27" i="45"/>
  <c r="S26" i="45"/>
  <c r="F26" i="45"/>
  <c r="E26" i="45"/>
  <c r="D26" i="45"/>
  <c r="C26" i="45"/>
  <c r="S25" i="45"/>
  <c r="F25" i="45"/>
  <c r="E25" i="45"/>
  <c r="D25" i="45"/>
  <c r="C25" i="45"/>
  <c r="S24" i="45"/>
  <c r="F24" i="45"/>
  <c r="E24" i="45"/>
  <c r="D24" i="45"/>
  <c r="C24" i="45"/>
  <c r="S23" i="45"/>
  <c r="F23" i="45"/>
  <c r="E23" i="45"/>
  <c r="D23" i="45"/>
  <c r="C23" i="45"/>
  <c r="S22" i="45"/>
  <c r="F22" i="45"/>
  <c r="E22" i="45"/>
  <c r="D22" i="45"/>
  <c r="C22" i="45"/>
  <c r="S21" i="45"/>
  <c r="F21" i="45"/>
  <c r="E21" i="45"/>
  <c r="D21" i="45"/>
  <c r="C21" i="45"/>
  <c r="S20" i="45"/>
  <c r="F20" i="45"/>
  <c r="E20" i="45"/>
  <c r="D20" i="45"/>
  <c r="C20" i="45"/>
  <c r="S19" i="45"/>
  <c r="F19" i="45"/>
  <c r="E19" i="45"/>
  <c r="D19" i="45"/>
  <c r="C19" i="45"/>
  <c r="S18" i="45"/>
  <c r="F18" i="45"/>
  <c r="E18" i="45"/>
  <c r="D18" i="45"/>
  <c r="C18" i="45"/>
  <c r="S17" i="45"/>
  <c r="F17" i="45"/>
  <c r="E17" i="45"/>
  <c r="D17" i="45"/>
  <c r="C17" i="45"/>
  <c r="S16" i="45"/>
  <c r="F16" i="45"/>
  <c r="E16" i="45"/>
  <c r="D16" i="45"/>
  <c r="C16" i="45"/>
  <c r="S15" i="45"/>
  <c r="F15" i="45"/>
  <c r="E15" i="45"/>
  <c r="D15" i="45"/>
  <c r="C15" i="45"/>
  <c r="S14" i="45"/>
  <c r="F14" i="45"/>
  <c r="E14" i="45"/>
  <c r="D14" i="45"/>
  <c r="C14" i="45"/>
  <c r="S13" i="45"/>
  <c r="F13" i="45"/>
  <c r="E13" i="45"/>
  <c r="D13" i="45"/>
  <c r="C13" i="45"/>
  <c r="S12" i="45"/>
  <c r="F12" i="45"/>
  <c r="E12" i="45"/>
  <c r="D12" i="45"/>
  <c r="C12" i="45"/>
  <c r="S11" i="45"/>
  <c r="F11" i="45"/>
  <c r="E11" i="45"/>
  <c r="D11" i="45"/>
  <c r="C11" i="45"/>
  <c r="S10" i="45"/>
  <c r="F10" i="45"/>
  <c r="E10" i="45"/>
  <c r="D10" i="45"/>
  <c r="C10" i="45"/>
  <c r="S9" i="45"/>
  <c r="F9" i="45"/>
  <c r="E9" i="45"/>
  <c r="D9" i="45"/>
  <c r="C9" i="45"/>
  <c r="C51" i="45" s="1"/>
  <c r="S8" i="45"/>
  <c r="F8" i="45"/>
  <c r="E8" i="45"/>
  <c r="D8" i="45"/>
  <c r="C8" i="45"/>
  <c r="S7" i="45"/>
  <c r="F7" i="45"/>
  <c r="E7" i="45"/>
  <c r="D7" i="45"/>
  <c r="C7" i="45"/>
  <c r="S6" i="45"/>
  <c r="F6" i="45"/>
  <c r="E6" i="45"/>
  <c r="D6" i="45"/>
  <c r="C6" i="45"/>
  <c r="S5" i="45"/>
  <c r="F5" i="45"/>
  <c r="E5" i="45"/>
  <c r="E51" i="45" s="1"/>
  <c r="D5" i="45"/>
  <c r="D51" i="45" s="1"/>
  <c r="C5" i="45"/>
  <c r="S4" i="45"/>
  <c r="F4" i="45"/>
  <c r="E4" i="45"/>
  <c r="D4" i="45"/>
  <c r="C4" i="45"/>
  <c r="S3" i="45"/>
  <c r="F3" i="45"/>
  <c r="E3" i="45"/>
  <c r="D3" i="45"/>
  <c r="C3" i="45"/>
  <c r="C6" i="8" l="1"/>
  <c r="B5" i="9" l="1"/>
  <c r="I99" i="9" l="1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H99" i="9"/>
  <c r="H62" i="9"/>
  <c r="E99" i="9" l="1"/>
  <c r="F99" i="9"/>
  <c r="G99" i="9"/>
  <c r="B16" i="9" l="1"/>
  <c r="O41" i="9" l="1"/>
  <c r="D71" i="9"/>
  <c r="D78" i="9" l="1"/>
  <c r="F78" i="9"/>
  <c r="E78" i="9"/>
  <c r="F71" i="9"/>
  <c r="G23" i="9"/>
  <c r="E37" i="9"/>
  <c r="F37" i="9"/>
  <c r="G71" i="9"/>
  <c r="G37" i="9"/>
  <c r="C58" i="8"/>
  <c r="V14" i="9"/>
  <c r="L14" i="9"/>
  <c r="W14" i="9"/>
  <c r="M14" i="9"/>
  <c r="N14" i="9"/>
  <c r="Q14" i="9"/>
  <c r="T14" i="9"/>
  <c r="K14" i="9"/>
  <c r="J14" i="9"/>
  <c r="S14" i="9"/>
  <c r="U14" i="9"/>
  <c r="R14" i="9"/>
  <c r="H14" i="9"/>
  <c r="H72" i="9" s="1"/>
  <c r="P14" i="9"/>
  <c r="I14" i="9"/>
  <c r="O14" i="9"/>
  <c r="F36" i="9"/>
  <c r="E36" i="9"/>
  <c r="U41" i="9"/>
  <c r="V41" i="9"/>
  <c r="W41" i="9"/>
  <c r="G35" i="9"/>
  <c r="Q41" i="9"/>
  <c r="R41" i="9"/>
  <c r="S41" i="9"/>
  <c r="T41" i="9"/>
  <c r="P41" i="9"/>
  <c r="O37" i="9"/>
  <c r="G41" i="9"/>
  <c r="O36" i="9"/>
  <c r="G13" i="9"/>
  <c r="C5" i="9"/>
  <c r="C6" i="9" s="1"/>
  <c r="H41" i="9" l="1"/>
  <c r="H64" i="9"/>
  <c r="H37" i="9"/>
  <c r="F63" i="9"/>
  <c r="F64" i="9"/>
  <c r="V37" i="9"/>
  <c r="W37" i="9"/>
  <c r="U37" i="9"/>
  <c r="W36" i="9"/>
  <c r="U36" i="9"/>
  <c r="V36" i="9"/>
  <c r="S37" i="9"/>
  <c r="T37" i="9"/>
  <c r="Q37" i="9"/>
  <c r="P37" i="9"/>
  <c r="R37" i="9"/>
  <c r="Q36" i="9"/>
  <c r="S36" i="9"/>
  <c r="T36" i="9"/>
  <c r="P36" i="9"/>
  <c r="R36" i="9"/>
  <c r="I41" i="9"/>
  <c r="N41" i="9"/>
  <c r="J41" i="9"/>
  <c r="K41" i="9"/>
  <c r="L41" i="9"/>
  <c r="M41" i="9"/>
  <c r="G32" i="9"/>
  <c r="D23" i="9"/>
  <c r="E23" i="9"/>
  <c r="F23" i="9"/>
  <c r="C3" i="9"/>
  <c r="N38" i="9" l="1"/>
  <c r="I37" i="9"/>
  <c r="I36" i="9"/>
  <c r="V38" i="9"/>
  <c r="W38" i="9"/>
  <c r="U38" i="9"/>
  <c r="O38" i="9"/>
  <c r="P38" i="9"/>
  <c r="G38" i="9" l="1"/>
  <c r="M38" i="9"/>
  <c r="L38" i="9"/>
  <c r="K38" i="9"/>
  <c r="J38" i="9"/>
  <c r="I38" i="9"/>
  <c r="H38" i="9"/>
  <c r="J37" i="9"/>
  <c r="J36" i="9"/>
  <c r="G101" i="9"/>
  <c r="K36" i="9" l="1"/>
  <c r="K37" i="9"/>
  <c r="L37" i="9" l="1"/>
  <c r="L36" i="9"/>
  <c r="S38" i="9"/>
  <c r="Q38" i="9"/>
  <c r="R38" i="9"/>
  <c r="T38" i="9"/>
  <c r="D35" i="9"/>
  <c r="C12" i="9"/>
  <c r="D12" i="9"/>
  <c r="E12" i="9"/>
  <c r="F12" i="9"/>
  <c r="D49" i="9" l="1"/>
  <c r="E49" i="9" s="1"/>
  <c r="F49" i="9" s="1"/>
  <c r="M36" i="9"/>
  <c r="M37" i="9"/>
  <c r="D96" i="9"/>
  <c r="G12" i="9"/>
  <c r="G78" i="9" s="1"/>
  <c r="C35" i="9"/>
  <c r="C96" i="9" s="1"/>
  <c r="G49" i="9" l="1"/>
  <c r="N37" i="9"/>
  <c r="N36" i="9"/>
  <c r="H12" i="9"/>
  <c r="H78" i="9" s="1"/>
  <c r="H49" i="9" l="1"/>
  <c r="H59" i="9"/>
  <c r="I12" i="9"/>
  <c r="I78" i="9" s="1"/>
  <c r="C46" i="9"/>
  <c r="I49" i="9" l="1"/>
  <c r="J12" i="9"/>
  <c r="J78" i="9" s="1"/>
  <c r="F51" i="9"/>
  <c r="G51" i="9"/>
  <c r="H51" i="9"/>
  <c r="D50" i="9"/>
  <c r="B18" i="9"/>
  <c r="J49" i="9" l="1"/>
  <c r="K12" i="9"/>
  <c r="K78" i="9" s="1"/>
  <c r="E63" i="9"/>
  <c r="D64" i="9"/>
  <c r="D63" i="9"/>
  <c r="E64" i="9"/>
  <c r="K49" i="9" l="1"/>
  <c r="L12" i="9"/>
  <c r="L78" i="9" s="1"/>
  <c r="L49" i="9" l="1"/>
  <c r="M12" i="9"/>
  <c r="M49" i="9" l="1"/>
  <c r="M78" i="9"/>
  <c r="N12" i="9"/>
  <c r="N49" i="9" l="1"/>
  <c r="N78" i="9"/>
  <c r="O12" i="9"/>
  <c r="C47" i="9"/>
  <c r="E35" i="9"/>
  <c r="O49" i="9" l="1"/>
  <c r="O78" i="9"/>
  <c r="P12" i="9"/>
  <c r="F98" i="9"/>
  <c r="E98" i="9"/>
  <c r="E96" i="9" s="1"/>
  <c r="C22" i="9"/>
  <c r="D22" i="9" s="1"/>
  <c r="C26" i="9"/>
  <c r="G59" i="9"/>
  <c r="O51" i="9"/>
  <c r="J59" i="9"/>
  <c r="I59" i="9"/>
  <c r="L51" i="9"/>
  <c r="L59" i="9"/>
  <c r="D59" i="9"/>
  <c r="D51" i="9"/>
  <c r="E59" i="9"/>
  <c r="N59" i="9"/>
  <c r="F59" i="9"/>
  <c r="E51" i="9"/>
  <c r="M59" i="9"/>
  <c r="J51" i="9"/>
  <c r="K51" i="9"/>
  <c r="M51" i="9"/>
  <c r="O59" i="9"/>
  <c r="K59" i="9"/>
  <c r="I51" i="9"/>
  <c r="N51" i="9"/>
  <c r="C23" i="9"/>
  <c r="P49" i="9" l="1"/>
  <c r="P78" i="9"/>
  <c r="P51" i="9"/>
  <c r="P59" i="9"/>
  <c r="Q12" i="9"/>
  <c r="F96" i="9"/>
  <c r="E22" i="9"/>
  <c r="D26" i="9"/>
  <c r="E26" i="9" s="1"/>
  <c r="C29" i="9"/>
  <c r="F50" i="9"/>
  <c r="E50" i="9"/>
  <c r="G50" i="9"/>
  <c r="Q49" i="9" l="1"/>
  <c r="Q78" i="9"/>
  <c r="F26" i="9"/>
  <c r="R12" i="9"/>
  <c r="Q51" i="9"/>
  <c r="Q59" i="9"/>
  <c r="E29" i="9"/>
  <c r="E61" i="9" s="1"/>
  <c r="H50" i="9"/>
  <c r="D29" i="9"/>
  <c r="D61" i="9" s="1"/>
  <c r="R49" i="9" l="1"/>
  <c r="R78" i="9"/>
  <c r="S12" i="9"/>
  <c r="R59" i="9"/>
  <c r="R51" i="9"/>
  <c r="G26" i="9"/>
  <c r="I50" i="9"/>
  <c r="F61" i="9"/>
  <c r="S49" i="9" l="1"/>
  <c r="S78" i="9"/>
  <c r="H26" i="9"/>
  <c r="T12" i="9"/>
  <c r="S59" i="9"/>
  <c r="S51" i="9"/>
  <c r="H22" i="9"/>
  <c r="G61" i="9"/>
  <c r="J50" i="9"/>
  <c r="T49" i="9" l="1"/>
  <c r="T78" i="9"/>
  <c r="U12" i="9"/>
  <c r="T51" i="9"/>
  <c r="T59" i="9"/>
  <c r="H32" i="9"/>
  <c r="I26" i="9"/>
  <c r="H61" i="9"/>
  <c r="I22" i="9"/>
  <c r="I23" i="9" s="1"/>
  <c r="K50" i="9"/>
  <c r="U49" i="9" l="1"/>
  <c r="U78" i="9"/>
  <c r="V12" i="9"/>
  <c r="U59" i="9"/>
  <c r="U51" i="9"/>
  <c r="J26" i="9"/>
  <c r="J22" i="9"/>
  <c r="K22" i="9" s="1"/>
  <c r="I29" i="9"/>
  <c r="I61" i="9" s="1"/>
  <c r="L50" i="9"/>
  <c r="V49" i="9" l="1"/>
  <c r="V78" i="9"/>
  <c r="K26" i="9"/>
  <c r="K29" i="9" s="1"/>
  <c r="K61" i="9" s="1"/>
  <c r="V51" i="9"/>
  <c r="W12" i="9"/>
  <c r="V59" i="9"/>
  <c r="J23" i="9"/>
  <c r="J29" i="9"/>
  <c r="J61" i="9" s="1"/>
  <c r="K23" i="9"/>
  <c r="M50" i="9"/>
  <c r="L22" i="9"/>
  <c r="W49" i="9" l="1"/>
  <c r="W78" i="9"/>
  <c r="W51" i="9"/>
  <c r="W59" i="9"/>
  <c r="L26" i="9"/>
  <c r="L29" i="9" s="1"/>
  <c r="L61" i="9" s="1"/>
  <c r="M22" i="9"/>
  <c r="N50" i="9"/>
  <c r="L23" i="9"/>
  <c r="M26" i="9" l="1"/>
  <c r="M29" i="9" s="1"/>
  <c r="M61" i="9" s="1"/>
  <c r="O50" i="9"/>
  <c r="N22" i="9"/>
  <c r="M23" i="9"/>
  <c r="N26" i="9" l="1"/>
  <c r="N29" i="9" s="1"/>
  <c r="N61" i="9" s="1"/>
  <c r="O22" i="9"/>
  <c r="P50" i="9"/>
  <c r="N23" i="9"/>
  <c r="O26" i="9" l="1"/>
  <c r="P22" i="9"/>
  <c r="Q50" i="9"/>
  <c r="O23" i="9"/>
  <c r="O29" i="9"/>
  <c r="O61" i="9" s="1"/>
  <c r="P26" i="9" l="1"/>
  <c r="R50" i="9"/>
  <c r="Q22" i="9"/>
  <c r="P29" i="9"/>
  <c r="P61" i="9" s="1"/>
  <c r="P23" i="9"/>
  <c r="Q26" i="9" l="1"/>
  <c r="S50" i="9"/>
  <c r="R22" i="9"/>
  <c r="Q29" i="9"/>
  <c r="Q61" i="9" s="1"/>
  <c r="Q23" i="9"/>
  <c r="R26" i="9" l="1"/>
  <c r="R29" i="9" s="1"/>
  <c r="R61" i="9" s="1"/>
  <c r="R23" i="9"/>
  <c r="T50" i="9"/>
  <c r="S22" i="9"/>
  <c r="S26" i="9" l="1"/>
  <c r="S29" i="9" s="1"/>
  <c r="S61" i="9" s="1"/>
  <c r="U50" i="9"/>
  <c r="S23" i="9"/>
  <c r="T22" i="9"/>
  <c r="T26" i="9" l="1"/>
  <c r="V50" i="9"/>
  <c r="U22" i="9"/>
  <c r="U23" i="9" s="1"/>
  <c r="T29" i="9"/>
  <c r="T61" i="9" s="1"/>
  <c r="T23" i="9"/>
  <c r="U26" i="9" l="1"/>
  <c r="V22" i="9"/>
  <c r="V23" i="9" s="1"/>
  <c r="W50" i="9"/>
  <c r="U29" i="9"/>
  <c r="U61" i="9" s="1"/>
  <c r="V26" i="9" l="1"/>
  <c r="V29" i="9" s="1"/>
  <c r="V61" i="9" s="1"/>
  <c r="W22" i="9"/>
  <c r="W23" i="9" s="1"/>
  <c r="W26" i="9" l="1"/>
  <c r="W29" i="9" l="1"/>
  <c r="W61" i="9" s="1"/>
  <c r="M71" i="9"/>
  <c r="R71" i="9"/>
  <c r="Q71" i="9"/>
  <c r="J71" i="9"/>
  <c r="S71" i="9"/>
  <c r="P71" i="9"/>
  <c r="K71" i="9"/>
  <c r="H71" i="9"/>
  <c r="U71" i="9"/>
  <c r="V71" i="9"/>
  <c r="I71" i="9"/>
  <c r="T71" i="9"/>
  <c r="N71" i="9"/>
  <c r="W71" i="9"/>
  <c r="O71" i="9"/>
  <c r="L71" i="9"/>
  <c r="Q72" i="9" l="1"/>
  <c r="Q73" i="9" s="1"/>
  <c r="L72" i="9"/>
  <c r="L73" i="9" s="1"/>
  <c r="I62" i="9"/>
  <c r="K72" i="9"/>
  <c r="K73" i="9" s="1"/>
  <c r="G72" i="9"/>
  <c r="G73" i="9" s="1"/>
  <c r="O72" i="9"/>
  <c r="O73" i="9" s="1"/>
  <c r="Q62" i="9"/>
  <c r="K62" i="9"/>
  <c r="W62" i="9"/>
  <c r="N62" i="9"/>
  <c r="J72" i="9"/>
  <c r="J73" i="9" s="1"/>
  <c r="W72" i="9"/>
  <c r="W73" i="9" s="1"/>
  <c r="P72" i="9"/>
  <c r="P73" i="9" s="1"/>
  <c r="M72" i="9"/>
  <c r="M73" i="9" s="1"/>
  <c r="U62" i="9"/>
  <c r="O62" i="9"/>
  <c r="L62" i="9"/>
  <c r="N72" i="9"/>
  <c r="N73" i="9" s="1"/>
  <c r="S72" i="9"/>
  <c r="S73" i="9" s="1"/>
  <c r="V72" i="9"/>
  <c r="V73" i="9" s="1"/>
  <c r="S62" i="9"/>
  <c r="M62" i="9"/>
  <c r="T72" i="9"/>
  <c r="T73" i="9" s="1"/>
  <c r="R62" i="9"/>
  <c r="J62" i="9"/>
  <c r="G62" i="9"/>
  <c r="U72" i="9"/>
  <c r="U73" i="9" s="1"/>
  <c r="T62" i="9"/>
  <c r="V62" i="9"/>
  <c r="H73" i="9"/>
  <c r="R72" i="9"/>
  <c r="R73" i="9" s="1"/>
  <c r="I72" i="9"/>
  <c r="I73" i="9" s="1"/>
  <c r="P62" i="9"/>
  <c r="E71" i="9" l="1"/>
  <c r="C20" i="8" l="1"/>
  <c r="W20" i="8"/>
  <c r="D20" i="8"/>
  <c r="U20" i="8"/>
  <c r="J20" i="8"/>
  <c r="T20" i="8"/>
  <c r="S20" i="8"/>
  <c r="D14" i="9"/>
  <c r="D72" i="9" s="1"/>
  <c r="D73" i="9" s="1"/>
  <c r="Q20" i="8"/>
  <c r="J18" i="9"/>
  <c r="J64" i="9"/>
  <c r="N20" i="8"/>
  <c r="M20" i="8"/>
  <c r="N32" i="9"/>
  <c r="E20" i="8"/>
  <c r="L18" i="9"/>
  <c r="L64" i="9"/>
  <c r="Q18" i="9"/>
  <c r="Q64" i="9"/>
  <c r="V20" i="8"/>
  <c r="K20" i="8"/>
  <c r="U18" i="9"/>
  <c r="U64" i="9"/>
  <c r="G20" i="8"/>
  <c r="R20" i="8"/>
  <c r="H18" i="9"/>
  <c r="R64" i="9"/>
  <c r="R18" i="9"/>
  <c r="C56" i="9"/>
  <c r="G64" i="9"/>
  <c r="G18" i="9"/>
  <c r="L20" i="8"/>
  <c r="P64" i="9"/>
  <c r="P18" i="9"/>
  <c r="D13" i="9"/>
  <c r="D62" i="9" s="1"/>
  <c r="D58" i="9" s="1"/>
  <c r="S18" i="9"/>
  <c r="S64" i="9"/>
  <c r="K18" i="9"/>
  <c r="K64" i="9"/>
  <c r="H20" i="8"/>
  <c r="D18" i="9"/>
  <c r="I20" i="8"/>
  <c r="I18" i="9"/>
  <c r="I64" i="9"/>
  <c r="M18" i="9"/>
  <c r="M64" i="9"/>
  <c r="N64" i="9"/>
  <c r="N18" i="9"/>
  <c r="F41" i="9"/>
  <c r="F13" i="9"/>
  <c r="F62" i="9" s="1"/>
  <c r="F58" i="9" s="1"/>
  <c r="W64" i="9"/>
  <c r="W18" i="9"/>
  <c r="E14" i="9"/>
  <c r="E72" i="9" s="1"/>
  <c r="E73" i="9" s="1"/>
  <c r="F14" i="9"/>
  <c r="F72" i="9" s="1"/>
  <c r="F73" i="9" s="1"/>
  <c r="P20" i="8"/>
  <c r="F20" i="8"/>
  <c r="C14" i="9"/>
  <c r="F18" i="9"/>
  <c r="E13" i="9"/>
  <c r="E62" i="9" s="1"/>
  <c r="E58" i="9" s="1"/>
  <c r="T18" i="9"/>
  <c r="T64" i="9"/>
  <c r="E18" i="9"/>
  <c r="C13" i="9"/>
  <c r="O18" i="9"/>
  <c r="O64" i="9"/>
  <c r="C18" i="9"/>
  <c r="E41" i="9"/>
  <c r="C41" i="9"/>
  <c r="C101" i="9" s="1"/>
  <c r="O20" i="8"/>
  <c r="D41" i="9"/>
  <c r="D101" i="9" s="1"/>
  <c r="V64" i="9"/>
  <c r="V18" i="9"/>
  <c r="F101" i="9" l="1"/>
  <c r="E101" i="9"/>
  <c r="H63" i="9"/>
  <c r="H58" i="9" s="1"/>
  <c r="U17" i="9"/>
  <c r="G63" i="9"/>
  <c r="G58" i="9" s="1"/>
  <c r="C17" i="9"/>
  <c r="W17" i="9"/>
  <c r="T17" i="9"/>
  <c r="S63" i="9"/>
  <c r="S58" i="9" s="1"/>
  <c r="S17" i="9"/>
  <c r="J17" i="9"/>
  <c r="D17" i="9"/>
  <c r="W63" i="9"/>
  <c r="W58" i="9" s="1"/>
  <c r="T63" i="9"/>
  <c r="T58" i="9" s="1"/>
  <c r="E32" i="9"/>
  <c r="O63" i="9"/>
  <c r="O58" i="9" s="1"/>
  <c r="F17" i="9"/>
  <c r="L17" i="9"/>
  <c r="L63" i="9"/>
  <c r="L58" i="9" s="1"/>
  <c r="V32" i="9"/>
  <c r="O32" i="9"/>
  <c r="R32" i="9"/>
  <c r="W32" i="9"/>
  <c r="V17" i="9"/>
  <c r="V63" i="9"/>
  <c r="V58" i="9" s="1"/>
  <c r="F32" i="9"/>
  <c r="S32" i="9"/>
  <c r="P63" i="9"/>
  <c r="P58" i="9" s="1"/>
  <c r="P17" i="9"/>
  <c r="I17" i="9"/>
  <c r="I63" i="9"/>
  <c r="I58" i="9" s="1"/>
  <c r="U32" i="9"/>
  <c r="M17" i="9"/>
  <c r="M63" i="9"/>
  <c r="M58" i="9" s="1"/>
  <c r="J63" i="9"/>
  <c r="J58" i="9" s="1"/>
  <c r="C32" i="9"/>
  <c r="C87" i="9"/>
  <c r="D69" i="9"/>
  <c r="R17" i="9"/>
  <c r="R63" i="9"/>
  <c r="R58" i="9" s="1"/>
  <c r="Q32" i="9"/>
  <c r="N63" i="9"/>
  <c r="N58" i="9" s="1"/>
  <c r="N17" i="9"/>
  <c r="U63" i="9"/>
  <c r="U58" i="9" s="1"/>
  <c r="Q63" i="9"/>
  <c r="Q58" i="9" s="1"/>
  <c r="Q17" i="9"/>
  <c r="D32" i="9"/>
  <c r="D68" i="9" s="1"/>
  <c r="O17" i="9"/>
  <c r="H17" i="9"/>
  <c r="G17" i="9"/>
  <c r="P32" i="9"/>
  <c r="K63" i="9"/>
  <c r="K58" i="9" s="1"/>
  <c r="K17" i="9"/>
  <c r="E17" i="9"/>
  <c r="T32" i="9"/>
  <c r="D67" i="9" l="1"/>
  <c r="D66" i="9" s="1"/>
  <c r="L32" i="9"/>
  <c r="K32" i="9"/>
  <c r="J32" i="9"/>
  <c r="M32" i="9"/>
  <c r="I32" i="9"/>
  <c r="D76" i="9" l="1"/>
  <c r="D77" i="9"/>
  <c r="D57" i="9" l="1"/>
  <c r="E68" i="9" l="1"/>
  <c r="E67" i="9"/>
  <c r="E69" i="9"/>
  <c r="E76" i="9" l="1"/>
  <c r="E77" i="9"/>
  <c r="D89" i="9"/>
  <c r="D90" i="9"/>
  <c r="D92" i="9"/>
  <c r="D91" i="9"/>
  <c r="D83" i="9"/>
  <c r="D84" i="9" s="1"/>
  <c r="E66" i="9" l="1"/>
  <c r="E57" i="9" s="1"/>
  <c r="E56" i="9" s="1"/>
  <c r="D94" i="9"/>
  <c r="E87" i="9" l="1"/>
  <c r="F67" i="9"/>
  <c r="F76" i="9" s="1"/>
  <c r="F68" i="9"/>
  <c r="F69" i="9"/>
  <c r="E83" i="9" l="1"/>
  <c r="E92" i="9" s="1"/>
  <c r="F77" i="9"/>
  <c r="E91" i="9"/>
  <c r="E84" i="9" l="1"/>
  <c r="E89" i="9" s="1"/>
  <c r="F66" i="9"/>
  <c r="F57" i="9" s="1"/>
  <c r="F56" i="9" s="1"/>
  <c r="E90" i="9"/>
  <c r="E88" i="9" l="1"/>
  <c r="E93" i="9" s="1"/>
  <c r="G67" i="9"/>
  <c r="G69" i="9"/>
  <c r="G68" i="9"/>
  <c r="F87" i="9"/>
  <c r="F97" i="9"/>
  <c r="E94" i="9"/>
  <c r="G77" i="9" l="1"/>
  <c r="G76" i="9"/>
  <c r="G66" i="9"/>
  <c r="G57" i="9" s="1"/>
  <c r="G56" i="9" s="1"/>
  <c r="F83" i="9"/>
  <c r="G87" i="9" l="1"/>
  <c r="H69" i="9"/>
  <c r="H68" i="9"/>
  <c r="F91" i="9"/>
  <c r="F84" i="9"/>
  <c r="F89" i="9" s="1"/>
  <c r="F92" i="9"/>
  <c r="F90" i="9" l="1"/>
  <c r="F88" i="9" l="1"/>
  <c r="G97" i="9"/>
  <c r="F94" i="9"/>
  <c r="F93" i="9" l="1"/>
  <c r="G83" i="9"/>
  <c r="G91" i="9" s="1"/>
  <c r="G92" i="9" l="1"/>
  <c r="G84" i="9"/>
  <c r="G90" i="9" s="1"/>
  <c r="G89" i="9" l="1"/>
  <c r="G88" i="9" l="1"/>
  <c r="G93" i="9" l="1"/>
  <c r="G94" i="9"/>
  <c r="H97" i="9"/>
  <c r="H98" i="9" s="1"/>
  <c r="H96" i="9" l="1"/>
  <c r="H101" i="9" l="1"/>
  <c r="H87" i="9" s="1"/>
  <c r="H35" i="9"/>
  <c r="H67" i="9" s="1"/>
  <c r="H77" i="9" s="1"/>
  <c r="H83" i="9"/>
  <c r="H84" i="9" s="1"/>
  <c r="H90" i="9" s="1"/>
  <c r="H91" i="9" l="1"/>
  <c r="H66" i="9"/>
  <c r="H57" i="9" s="1"/>
  <c r="H56" i="9" s="1"/>
  <c r="H92" i="9"/>
  <c r="H76" i="9"/>
  <c r="H89" i="9"/>
  <c r="H88" i="9" s="1"/>
  <c r="H94" i="9" l="1"/>
  <c r="I68" i="9"/>
  <c r="I69" i="9"/>
  <c r="H93" i="9"/>
  <c r="I97" i="9"/>
  <c r="I98" i="9" s="1"/>
  <c r="I96" i="9" l="1"/>
  <c r="I101" i="9" l="1"/>
  <c r="I87" i="9" s="1"/>
  <c r="I35" i="9"/>
  <c r="I67" i="9" l="1"/>
  <c r="I83" i="9"/>
  <c r="I84" i="9" s="1"/>
  <c r="I89" i="9" s="1"/>
  <c r="I77" i="9" l="1"/>
  <c r="I76" i="9"/>
  <c r="I66" i="9"/>
  <c r="I57" i="9" s="1"/>
  <c r="I56" i="9" s="1"/>
  <c r="J68" i="9" s="1"/>
  <c r="I90" i="9"/>
  <c r="I88" i="9" s="1"/>
  <c r="I92" i="9"/>
  <c r="I91" i="9"/>
  <c r="J69" i="9" l="1"/>
  <c r="J97" i="9"/>
  <c r="J98" i="9" s="1"/>
  <c r="J96" i="9" s="1"/>
  <c r="J101" i="9" s="1"/>
  <c r="J87" i="9" s="1"/>
  <c r="I94" i="9"/>
  <c r="I93" i="9"/>
  <c r="J35" i="9" l="1"/>
  <c r="J67" i="9" s="1"/>
  <c r="J77" i="9" s="1"/>
  <c r="J83" i="9"/>
  <c r="J84" i="9" s="1"/>
  <c r="J90" i="9" s="1"/>
  <c r="J66" i="9" l="1"/>
  <c r="J57" i="9" s="1"/>
  <c r="J56" i="9" s="1"/>
  <c r="J76" i="9"/>
  <c r="J92" i="9"/>
  <c r="J89" i="9"/>
  <c r="J88" i="9" s="1"/>
  <c r="J91" i="9"/>
  <c r="K69" i="9"/>
  <c r="K68" i="9" l="1"/>
  <c r="K97" i="9"/>
  <c r="K98" i="9" s="1"/>
  <c r="K96" i="9" s="1"/>
  <c r="J93" i="9"/>
  <c r="J94" i="9"/>
  <c r="K101" i="9" l="1"/>
  <c r="K87" i="9" s="1"/>
  <c r="K35" i="9"/>
  <c r="K67" i="9" l="1"/>
  <c r="K77" i="9" s="1"/>
  <c r="K83" i="9"/>
  <c r="K84" i="9" s="1"/>
  <c r="K89" i="9" s="1"/>
  <c r="K66" i="9"/>
  <c r="K57" i="9" s="1"/>
  <c r="K56" i="9" s="1"/>
  <c r="K76" i="9" l="1"/>
  <c r="K92" i="9"/>
  <c r="K91" i="9"/>
  <c r="K90" i="9"/>
  <c r="K88" i="9" s="1"/>
  <c r="L68" i="9"/>
  <c r="L69" i="9"/>
  <c r="L97" i="9" l="1"/>
  <c r="L98" i="9" s="1"/>
  <c r="L96" i="9" s="1"/>
  <c r="L101" i="9" s="1"/>
  <c r="L87" i="9" s="1"/>
  <c r="K94" i="9"/>
  <c r="K93" i="9"/>
  <c r="L35" i="9" l="1"/>
  <c r="L67" i="9" l="1"/>
  <c r="L77" i="9" s="1"/>
  <c r="L83" i="9"/>
  <c r="L84" i="9" s="1"/>
  <c r="L66" i="9" l="1"/>
  <c r="L57" i="9" s="1"/>
  <c r="L56" i="9" s="1"/>
  <c r="L76" i="9"/>
  <c r="L92" i="9"/>
  <c r="L90" i="9"/>
  <c r="L89" i="9"/>
  <c r="L91" i="9"/>
  <c r="M68" i="9" l="1"/>
  <c r="M69" i="9"/>
  <c r="L88" i="9"/>
  <c r="L94" i="9" s="1"/>
  <c r="L93" i="9" l="1"/>
  <c r="M97" i="9"/>
  <c r="M98" i="9" s="1"/>
  <c r="M96" i="9" s="1"/>
  <c r="M101" i="9" l="1"/>
  <c r="M87" i="9" s="1"/>
  <c r="M35" i="9"/>
  <c r="M67" i="9" l="1"/>
  <c r="M77" i="9" s="1"/>
  <c r="M83" i="9"/>
  <c r="M84" i="9" s="1"/>
  <c r="M89" i="9" s="1"/>
  <c r="M66" i="9" l="1"/>
  <c r="M57" i="9" s="1"/>
  <c r="M56" i="9" s="1"/>
  <c r="M76" i="9"/>
  <c r="M92" i="9"/>
  <c r="M91" i="9"/>
  <c r="M90" i="9"/>
  <c r="M88" i="9" s="1"/>
  <c r="N68" i="9"/>
  <c r="N69" i="9" l="1"/>
  <c r="N97" i="9"/>
  <c r="N98" i="9" s="1"/>
  <c r="M94" i="9"/>
  <c r="M93" i="9"/>
  <c r="N96" i="9" l="1"/>
  <c r="N101" i="9" s="1"/>
  <c r="N87" i="9" s="1"/>
  <c r="N35" i="9" l="1"/>
  <c r="N67" i="9" l="1"/>
  <c r="N83" i="9"/>
  <c r="N66" i="9" l="1"/>
  <c r="N57" i="9" s="1"/>
  <c r="N56" i="9" s="1"/>
  <c r="N77" i="9"/>
  <c r="N76" i="9"/>
  <c r="N92" i="9"/>
  <c r="N91" i="9"/>
  <c r="N84" i="9"/>
  <c r="N90" i="9" s="1"/>
  <c r="O69" i="9" l="1"/>
  <c r="O68" i="9"/>
  <c r="N89" i="9"/>
  <c r="N88" i="9" l="1"/>
  <c r="N94" i="9" s="1"/>
  <c r="O97" i="9" l="1"/>
  <c r="O98" i="9" s="1"/>
  <c r="O96" i="9" s="1"/>
  <c r="N93" i="9"/>
  <c r="O35" i="9" l="1"/>
  <c r="O101" i="9"/>
  <c r="O87" i="9" s="1"/>
  <c r="O67" i="9" l="1"/>
  <c r="O66" i="9" s="1"/>
  <c r="O57" i="9" s="1"/>
  <c r="O56" i="9" s="1"/>
  <c r="P69" i="9" s="1"/>
  <c r="O83" i="9"/>
  <c r="O84" i="9" s="1"/>
  <c r="O76" i="9" l="1"/>
  <c r="O77" i="9"/>
  <c r="P68" i="9"/>
  <c r="O92" i="9"/>
  <c r="O89" i="9"/>
  <c r="O91" i="9"/>
  <c r="O90" i="9"/>
  <c r="O88" i="9" l="1"/>
  <c r="O94" i="9" s="1"/>
  <c r="O93" i="9" l="1"/>
  <c r="P97" i="9"/>
  <c r="P98" i="9" s="1"/>
  <c r="P96" i="9" s="1"/>
  <c r="P101" i="9" s="1"/>
  <c r="P87" i="9" s="1"/>
  <c r="P35" i="9" l="1"/>
  <c r="P83" i="9"/>
  <c r="P84" i="9" s="1"/>
  <c r="P90" i="9" s="1"/>
  <c r="P67" i="9" l="1"/>
  <c r="P66" i="9" s="1"/>
  <c r="P57" i="9" s="1"/>
  <c r="P56" i="9" s="1"/>
  <c r="P91" i="9"/>
  <c r="P92" i="9"/>
  <c r="P89" i="9"/>
  <c r="P88" i="9" s="1"/>
  <c r="P77" i="9" l="1"/>
  <c r="Q68" i="9"/>
  <c r="P76" i="9"/>
  <c r="Q69" i="9"/>
  <c r="P94" i="9"/>
  <c r="P93" i="9"/>
  <c r="Q97" i="9"/>
  <c r="Q98" i="9" s="1"/>
  <c r="Q96" i="9" s="1"/>
  <c r="Q101" i="9" s="1"/>
  <c r="Q87" i="9" s="1"/>
  <c r="Q35" i="9" l="1"/>
  <c r="Q67" i="9" l="1"/>
  <c r="Q83" i="9"/>
  <c r="Q84" i="9" s="1"/>
  <c r="Q76" i="9" l="1"/>
  <c r="Q66" i="9"/>
  <c r="Q57" i="9" s="1"/>
  <c r="Q56" i="9" s="1"/>
  <c r="Q77" i="9"/>
  <c r="Q90" i="9"/>
  <c r="Q91" i="9"/>
  <c r="Q92" i="9"/>
  <c r="Q89" i="9"/>
  <c r="R69" i="9" l="1"/>
  <c r="R68" i="9"/>
  <c r="Q88" i="9"/>
  <c r="Q93" i="9" s="1"/>
  <c r="Q94" i="9" l="1"/>
  <c r="R97" i="9"/>
  <c r="R98" i="9" s="1"/>
  <c r="R96" i="9" s="1"/>
  <c r="R101" i="9" s="1"/>
  <c r="R87" i="9" s="1"/>
  <c r="R35" i="9" l="1"/>
  <c r="R67" i="9" l="1"/>
  <c r="R83" i="9"/>
  <c r="R84" i="9" s="1"/>
  <c r="R77" i="9" l="1"/>
  <c r="R76" i="9"/>
  <c r="R66" i="9"/>
  <c r="R57" i="9" s="1"/>
  <c r="R56" i="9" s="1"/>
  <c r="R92" i="9"/>
  <c r="R90" i="9"/>
  <c r="R91" i="9"/>
  <c r="R89" i="9"/>
  <c r="S68" i="9" l="1"/>
  <c r="S69" i="9"/>
  <c r="R88" i="9"/>
  <c r="R94" i="9" s="1"/>
  <c r="S97" i="9" l="1"/>
  <c r="S98" i="9" s="1"/>
  <c r="S96" i="9" s="1"/>
  <c r="R93" i="9"/>
  <c r="S35" i="9" l="1"/>
  <c r="S101" i="9"/>
  <c r="S87" i="9" s="1"/>
  <c r="S67" i="9" l="1"/>
  <c r="S76" i="9" s="1"/>
  <c r="S83" i="9"/>
  <c r="S84" i="9" s="1"/>
  <c r="S77" i="9" l="1"/>
  <c r="S66" i="9"/>
  <c r="S57" i="9" s="1"/>
  <c r="S56" i="9" s="1"/>
  <c r="S89" i="9"/>
  <c r="S92" i="9"/>
  <c r="S91" i="9"/>
  <c r="S90" i="9"/>
  <c r="T68" i="9" l="1"/>
  <c r="T69" i="9"/>
  <c r="S88" i="9"/>
  <c r="S94" i="9" s="1"/>
  <c r="S93" i="9" l="1"/>
  <c r="T97" i="9"/>
  <c r="T98" i="9" s="1"/>
  <c r="T96" i="9" s="1"/>
  <c r="T35" i="9" s="1"/>
  <c r="T67" i="9" l="1"/>
  <c r="T66" i="9" s="1"/>
  <c r="T57" i="9" s="1"/>
  <c r="T56" i="9" s="1"/>
  <c r="T101" i="9"/>
  <c r="T87" i="9" s="1"/>
  <c r="T77" i="9" l="1"/>
  <c r="T83" i="9"/>
  <c r="T84" i="9" s="1"/>
  <c r="T90" i="9" s="1"/>
  <c r="T76" i="9"/>
  <c r="U69" i="9"/>
  <c r="U68" i="9"/>
  <c r="T92" i="9" l="1"/>
  <c r="T91" i="9"/>
  <c r="T89" i="9"/>
  <c r="T88" i="9" s="1"/>
  <c r="T93" i="9" l="1"/>
  <c r="T94" i="9"/>
  <c r="U97" i="9"/>
  <c r="U98" i="9" s="1"/>
  <c r="U96" i="9" s="1"/>
  <c r="U101" i="9" s="1"/>
  <c r="U87" i="9" s="1"/>
  <c r="U35" i="9" l="1"/>
  <c r="U83" i="9"/>
  <c r="U84" i="9" s="1"/>
  <c r="U67" i="9" l="1"/>
  <c r="U77" i="9" s="1"/>
  <c r="U91" i="9"/>
  <c r="U92" i="9"/>
  <c r="U89" i="9"/>
  <c r="U90" i="9"/>
  <c r="U76" i="9" l="1"/>
  <c r="U66" i="9"/>
  <c r="U57" i="9" s="1"/>
  <c r="U56" i="9" s="1"/>
  <c r="U88" i="9"/>
  <c r="U93" i="9" s="1"/>
  <c r="V69" i="9" l="1"/>
  <c r="V68" i="9"/>
  <c r="U94" i="9"/>
  <c r="V97" i="9"/>
  <c r="V98" i="9" s="1"/>
  <c r="V96" i="9" s="1"/>
  <c r="V35" i="9" l="1"/>
  <c r="V101" i="9"/>
  <c r="V87" i="9" s="1"/>
  <c r="V67" i="9" l="1"/>
  <c r="V77" i="9" s="1"/>
  <c r="V83" i="9"/>
  <c r="V84" i="9" s="1"/>
  <c r="V66" i="9" l="1"/>
  <c r="V57" i="9" s="1"/>
  <c r="V56" i="9" s="1"/>
  <c r="W69" i="9" s="1"/>
  <c r="V76" i="9"/>
  <c r="V92" i="9"/>
  <c r="V91" i="9"/>
  <c r="V89" i="9"/>
  <c r="V90" i="9"/>
  <c r="W68" i="9" l="1"/>
  <c r="V88" i="9"/>
  <c r="V93" i="9" s="1"/>
  <c r="W97" i="9" l="1"/>
  <c r="W98" i="9" s="1"/>
  <c r="W96" i="9" s="1"/>
  <c r="W101" i="9" s="1"/>
  <c r="V94" i="9"/>
  <c r="W35" i="9" l="1"/>
  <c r="W87" i="9"/>
  <c r="W67" i="9" l="1"/>
  <c r="W76" i="9" s="1"/>
  <c r="W83" i="9"/>
  <c r="W84" i="9" s="1"/>
  <c r="W77" i="9" l="1"/>
  <c r="W66" i="9"/>
  <c r="W57" i="9" s="1"/>
  <c r="W56" i="9" s="1"/>
  <c r="W91" i="9"/>
  <c r="W90" i="9"/>
  <c r="W89" i="9"/>
  <c r="W92" i="9"/>
  <c r="W88" i="9" l="1"/>
  <c r="W94" i="9" s="1"/>
  <c r="W93" i="9" l="1"/>
</calcChain>
</file>

<file path=xl/sharedStrings.xml><?xml version="1.0" encoding="utf-8"?>
<sst xmlns="http://schemas.openxmlformats.org/spreadsheetml/2006/main" count="335" uniqueCount="244">
  <si>
    <t>Country</t>
  </si>
  <si>
    <t>Net primary expenditure growth</t>
  </si>
  <si>
    <t>Key years</t>
  </si>
  <si>
    <t>Headline balance</t>
  </si>
  <si>
    <t>Structural balance</t>
  </si>
  <si>
    <t>Debt</t>
  </si>
  <si>
    <t>Last year of adjustment</t>
  </si>
  <si>
    <t>Key assumptions</t>
  </si>
  <si>
    <t>Fiscal assumptions (% of GDP)</t>
  </si>
  <si>
    <t/>
  </si>
  <si>
    <t>Structural primary balance ('+' means 'surplus')</t>
  </si>
  <si>
    <t>One-off and other temporary measures</t>
  </si>
  <si>
    <t>Stock-flow adjustments (without exchange rate effect)</t>
  </si>
  <si>
    <t>Stock-flow adjustment (total)</t>
  </si>
  <si>
    <t>Total ageing cost (net of taxes on pensions)</t>
  </si>
  <si>
    <t>of which: Public pensions expenditure</t>
  </si>
  <si>
    <t xml:space="preserve">            Health care expenditure</t>
  </si>
  <si>
    <t xml:space="preserve">            Long-term care expenditure</t>
  </si>
  <si>
    <t xml:space="preserve">            Education &amp; unemployment benefits expenditure</t>
  </si>
  <si>
    <t xml:space="preserve">           Taxes on pensions</t>
  </si>
  <si>
    <t>Property income</t>
  </si>
  <si>
    <t>Actual GDP</t>
  </si>
  <si>
    <t>Growth rate</t>
  </si>
  <si>
    <t>Level</t>
  </si>
  <si>
    <t>Potential GDP</t>
  </si>
  <si>
    <t>Nominal implicit interest rate on debt</t>
  </si>
  <si>
    <t>Short-term nominal interest rate</t>
  </si>
  <si>
    <t>Long-term nominal interest rate</t>
  </si>
  <si>
    <t>GDP deflator (national currency)</t>
  </si>
  <si>
    <t>Additional parameters</t>
  </si>
  <si>
    <t>Fiscal multiplier</t>
  </si>
  <si>
    <t xml:space="preserve">Carnot, N. and de Castro, F. (2015), “The Discretionary Fiscal Effort: an Assessment of Fiscal Policy and its Output Effect”, European Economy, Economic Papers, No. 543. </t>
  </si>
  <si>
    <t>Mourre, G. et al. (2019), "The Semi-Elasticities Underlying the Cyclically-Adjusted Budget Balance: An Update and Further Analysis", European Economy, Discussion Paper, No. 098.</t>
  </si>
  <si>
    <t>Bloomberg data, country-specific forward market rates.</t>
  </si>
  <si>
    <t>DSM 2023</t>
  </si>
  <si>
    <t>Share of short-term debt in total government debt</t>
  </si>
  <si>
    <t>Share of long-term debt in total government debt</t>
  </si>
  <si>
    <t>Bloomberg data, inflation swaps.</t>
  </si>
  <si>
    <t>Central bank inflation target</t>
  </si>
  <si>
    <t>Share of outstanding debt in total debt in 2022</t>
  </si>
  <si>
    <t>Derived from the model and made consistent with the short-term forecast.</t>
  </si>
  <si>
    <t>Share of new long-term debt in 2022</t>
  </si>
  <si>
    <t>Share of new short-term debt in 2022</t>
  </si>
  <si>
    <t>Stochastic projections: ranges around adjustment scenario</t>
  </si>
  <si>
    <t>T+1</t>
  </si>
  <si>
    <t>T+2</t>
  </si>
  <si>
    <t>T+3</t>
  </si>
  <si>
    <t>T+4</t>
  </si>
  <si>
    <t>T+5</t>
  </si>
  <si>
    <t>Stock flow adjustments (without exchange rate effect)</t>
  </si>
  <si>
    <t>GDP growth assumptions</t>
  </si>
  <si>
    <t>Actual GDP (real)</t>
  </si>
  <si>
    <t xml:space="preserve">Potential GDP (real) </t>
  </si>
  <si>
    <t>Output gap</t>
  </si>
  <si>
    <t>Actual GDP (nominal, national currency)</t>
  </si>
  <si>
    <t>Interest rate</t>
  </si>
  <si>
    <t>Long-term interest rate</t>
  </si>
  <si>
    <t>Short-term interest rate</t>
  </si>
  <si>
    <t>Share of long-term debt that matures every year</t>
  </si>
  <si>
    <t>Inflation and exchange rate</t>
  </si>
  <si>
    <t>Exchange rate composite change (weighted by share of debt in each currency)</t>
  </si>
  <si>
    <t>Intermediate calculations (growth rate equation)</t>
  </si>
  <si>
    <t>Auxiliary variable to control the closure of the output gap</t>
  </si>
  <si>
    <t>OG intermediate auxiliary value</t>
  </si>
  <si>
    <t>GDP intermediate growth rate - only feedback effect and no closure of the OG</t>
  </si>
  <si>
    <t>Debt projections</t>
  </si>
  <si>
    <t xml:space="preserve">Gross debt </t>
  </si>
  <si>
    <t>Change in debt (-1+2+3)</t>
  </si>
  <si>
    <t>(1) Primary balance (1.1 + 1.2 - 1.3 -1.4 -1.5 - 1.6 -1.7)</t>
  </si>
  <si>
    <t>(1.1) Structural primary balance (before ageing cost)</t>
  </si>
  <si>
    <t>(1.2) Cumulated budgetary effort (in terms of primary balance)</t>
  </si>
  <si>
    <t>(1.3) Cyclical component</t>
  </si>
  <si>
    <t>(1.4) One-off and other temporary measures</t>
  </si>
  <si>
    <t>(1.5) Cost of ageing</t>
  </si>
  <si>
    <t>(1.6) Property incomes</t>
  </si>
  <si>
    <t>(1.7) Revenues</t>
  </si>
  <si>
    <t>(2) Snowball effect (2.1 + 2.2 + 2.3)</t>
  </si>
  <si>
    <t>(2.1) Interest expenditure</t>
  </si>
  <si>
    <t>(2.2) Growth effect</t>
  </si>
  <si>
    <t>(2.3) Inflation effect</t>
  </si>
  <si>
    <t>(2.4) Exchange rate effect linked to the interest rate</t>
  </si>
  <si>
    <t>(3 ) Stock flow adjustments (3.1 + 3.2)</t>
  </si>
  <si>
    <t>(3.1) Base</t>
  </si>
  <si>
    <t>(3.2) Adjustment due to the exchange rate effect linked to debt value</t>
  </si>
  <si>
    <t>Other budgetary variables</t>
  </si>
  <si>
    <t>Net expenditure growth</t>
  </si>
  <si>
    <t>Debt decomposition and IIR</t>
  </si>
  <si>
    <t>Auxiliary variable identifying whether debt is increasing</t>
  </si>
  <si>
    <t>Auxiliary variable identifying whether some debt is rolled over even though debt is decreasing</t>
  </si>
  <si>
    <r>
      <rPr>
        <i/>
        <sz val="8"/>
        <color theme="1"/>
        <rFont val="Arial"/>
        <family val="2"/>
      </rPr>
      <t>Of which</t>
    </r>
    <r>
      <rPr>
        <sz val="8"/>
        <color theme="1"/>
        <rFont val="Arial"/>
        <family val="2"/>
      </rPr>
      <t xml:space="preserve"> Outstanding debt</t>
    </r>
  </si>
  <si>
    <t>Rolled over long-term debt</t>
  </si>
  <si>
    <t>Rolled over short-term debt</t>
  </si>
  <si>
    <t>New long-term debt</t>
  </si>
  <si>
    <t>New short-term debt</t>
  </si>
  <si>
    <t>IIR</t>
  </si>
  <si>
    <t>Long-term implicit interest rate</t>
  </si>
  <si>
    <r>
      <t>Nominal implicit interest rate on debt (</t>
    </r>
    <r>
      <rPr>
        <b/>
        <sz val="8"/>
        <color theme="1"/>
        <rFont val="Arial"/>
        <family val="2"/>
      </rPr>
      <t>Excel approximation</t>
    </r>
    <r>
      <rPr>
        <sz val="8"/>
        <color theme="1"/>
        <rFont val="Arial"/>
        <family val="2"/>
      </rPr>
      <t>)</t>
    </r>
  </si>
  <si>
    <t>Diff. STATA</t>
  </si>
  <si>
    <t>Per memo - STATA results</t>
  </si>
  <si>
    <t>CY</t>
  </si>
  <si>
    <t>EL</t>
  </si>
  <si>
    <t>IE</t>
  </si>
  <si>
    <t>PT</t>
  </si>
  <si>
    <t>FI</t>
  </si>
  <si>
    <t>Last year before the adjustment</t>
  </si>
  <si>
    <t>Sources</t>
  </si>
  <si>
    <t>Eurostat, average shares over the 3 last available years.</t>
  </si>
  <si>
    <t>ECB, country-specific historical average shares over the 6 last available years. For post-programme countries (CY, El , IE and PT), the redemption profile of official loans has been taken into account for the computation of the share of long-term debt that matures every year. For these countries, changing this parameter would not affect debt projections.</t>
  </si>
  <si>
    <t>Share of rolled-over long-term debt in 2022</t>
  </si>
  <si>
    <t>Share of rolled-over short-term debt in 2022</t>
  </si>
  <si>
    <t>Difference between debt level in 50th and 10th percentiles of the distribution</t>
  </si>
  <si>
    <t>Difference between debt level in 50th and 30th percentiles of the distribution</t>
  </si>
  <si>
    <t>Difference between debt level in 70th and 50th percentiles of the distribution</t>
  </si>
  <si>
    <t>Difference between debt level in 90th and 50th percentiles of the distribution</t>
  </si>
  <si>
    <t>IIR difference STATA - Excel</t>
  </si>
  <si>
    <t>(i - g)</t>
  </si>
  <si>
    <t>Level (billions, national currency)</t>
  </si>
  <si>
    <t>year</t>
  </si>
  <si>
    <t>SF24</t>
  </si>
  <si>
    <t>Real GDP growth assumptions (based on SF 2024 T+10 projections and AR 2024 projections)</t>
  </si>
  <si>
    <t xml:space="preserve">Share of primary expenditure in GDP in 2024 </t>
  </si>
  <si>
    <t>Long-term nominal interest rate (T+10 convergence value)</t>
  </si>
  <si>
    <t>Short-term nominal interest rate (T+10 convergence value)</t>
  </si>
  <si>
    <t>Long-term nominal interest rate (T+30 convergence value)</t>
  </si>
  <si>
    <t>Short-term nominal interest rate (T+30 convergence value)</t>
  </si>
  <si>
    <t>Share of long-term debt that matures every year (T+10 convergence value)</t>
  </si>
  <si>
    <t>GDP deflator (national currency) (T+10 convergence value)</t>
  </si>
  <si>
    <t>GDP deflator (national currency) (T+30 convergence value)</t>
  </si>
  <si>
    <t>Interest rates (SF 2024, %)</t>
  </si>
  <si>
    <t>Inflation (SF 2024, %)</t>
  </si>
  <si>
    <t>Net primary expenditure growth (SF 2024, %)</t>
  </si>
  <si>
    <t>Budget balance semi-elasticity</t>
  </si>
  <si>
    <t>Cost of ageing and selected public revenue (based on the Commission-Council 2024 Ageing Report ("AR 2024"))</t>
  </si>
  <si>
    <t>Subject to an excessive deficit procedure (EDP) (0-no/1-yes)</t>
  </si>
  <si>
    <t>Key fiscal variables (based on the Commission 2024 spring forecast ("SF 2024") T+2 forecast and the June 2024 report prepared under Art. 126(3) of the Treaty)</t>
  </si>
  <si>
    <t>AMECO DEMEANED</t>
  </si>
  <si>
    <t>DARVAS Stochastic data</t>
  </si>
  <si>
    <t>AMECO</t>
  </si>
  <si>
    <t>ISO</t>
  </si>
  <si>
    <t>d_ngdp</t>
  </si>
  <si>
    <t>pb</t>
  </si>
  <si>
    <t>iir</t>
  </si>
  <si>
    <t>sfa</t>
  </si>
  <si>
    <t>q</t>
  </si>
  <si>
    <t>stir</t>
  </si>
  <si>
    <t>ltrate</t>
  </si>
  <si>
    <t>snowball term</t>
  </si>
  <si>
    <t>FIN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</si>
  <si>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</si>
  <si>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</si>
  <si>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</si>
  <si>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</si>
  <si>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</si>
  <si>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</si>
  <si>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</si>
  <si>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</si>
  <si>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</si>
  <si>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</si>
  <si>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</si>
  <si>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</si>
  <si>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</si>
  <si>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</si>
  <si>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</si>
  <si>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</si>
  <si>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</si>
  <si>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</si>
  <si>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</si>
  <si>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</si>
  <si>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</si>
  <si>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</si>
  <si>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</si>
  <si>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</si>
  <si>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</si>
  <si>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</si>
  <si>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</si>
  <si>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</si>
  <si>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</si>
  <si>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</si>
  <si>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</si>
  <si>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</si>
  <si>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</si>
  <si>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</si>
  <si>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</si>
  <si>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</si>
  <si>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</si>
  <si>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</si>
  <si>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</si>
  <si>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</si>
  <si>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</si>
  <si>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</si>
  <si>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</si>
  <si>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</si>
  <si>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</si>
  <si>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</si>
  <si>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</si>
  <si>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</si>
  <si>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SD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</si>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</sst>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"/>
    <numFmt numFmtId="167" formatCode="0.00000"/>
    <numFmt numFmtId="168" formatCode="0.000000"/>
    <numFmt numFmtId="169" formatCode="0.0000000"/>
  </numFmts>
  <fonts count="2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color rgb="FF00206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rgb="FF0070C0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6" fillId="0" borderId="0"/>
    <xf numFmtId="0" fontId="6" fillId="0" borderId="0"/>
    <xf numFmtId="0" fontId="5" fillId="0" borderId="0"/>
    <xf numFmtId="0" fontId="15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</cellStyleXfs>
  <cellXfs count="169">
    <xf numFmtId="0" fontId="0" fillId="0" borderId="0" xfId="0"/>
    <xf numFmtId="165" fontId="13" fillId="2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>
      <alignment horizontal="center"/>
    </xf>
    <xf numFmtId="0" fontId="16" fillId="6" borderId="0" xfId="0" applyFont="1" applyFill="1"/>
    <xf numFmtId="0" fontId="7" fillId="2" borderId="0" xfId="0" applyFont="1" applyFill="1"/>
    <xf numFmtId="0" fontId="14" fillId="2" borderId="0" xfId="0" applyFont="1" applyFill="1" applyAlignment="1">
      <alignment horizontal="left" vertical="center"/>
    </xf>
    <xf numFmtId="0" fontId="9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/>
    </xf>
    <xf numFmtId="165" fontId="7" fillId="2" borderId="0" xfId="0" applyNumberFormat="1" applyFont="1" applyFill="1" applyAlignment="1">
      <alignment horizontal="center"/>
    </xf>
    <xf numFmtId="0" fontId="7" fillId="2" borderId="5" xfId="0" applyFont="1" applyFill="1" applyBorder="1"/>
    <xf numFmtId="2" fontId="7" fillId="2" borderId="0" xfId="0" applyNumberFormat="1" applyFont="1" applyFill="1" applyAlignment="1">
      <alignment horizontal="center"/>
    </xf>
    <xf numFmtId="165" fontId="13" fillId="2" borderId="5" xfId="0" applyNumberFormat="1" applyFont="1" applyFill="1" applyBorder="1" applyAlignment="1">
      <alignment horizontal="center"/>
    </xf>
    <xf numFmtId="165" fontId="7" fillId="2" borderId="0" xfId="0" applyNumberFormat="1" applyFont="1" applyFill="1"/>
    <xf numFmtId="0" fontId="1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5" fontId="14" fillId="2" borderId="0" xfId="0" applyNumberFormat="1" applyFont="1" applyFill="1" applyAlignment="1">
      <alignment horizontal="center"/>
    </xf>
    <xf numFmtId="165" fontId="11" fillId="2" borderId="5" xfId="0" applyNumberFormat="1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165" fontId="12" fillId="2" borderId="2" xfId="0" applyNumberFormat="1" applyFont="1" applyFill="1" applyBorder="1" applyAlignment="1">
      <alignment horizontal="center"/>
    </xf>
    <xf numFmtId="0" fontId="7" fillId="2" borderId="9" xfId="0" applyFont="1" applyFill="1" applyBorder="1"/>
    <xf numFmtId="2" fontId="7" fillId="2" borderId="0" xfId="0" applyNumberFormat="1" applyFont="1" applyFill="1"/>
    <xf numFmtId="0" fontId="9" fillId="2" borderId="1" xfId="0" applyFont="1" applyFill="1" applyBorder="1"/>
    <xf numFmtId="2" fontId="7" fillId="2" borderId="3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/>
    <xf numFmtId="2" fontId="7" fillId="2" borderId="6" xfId="0" applyNumberFormat="1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Alignment="1" applyProtection="1">
      <alignment horizontal="center"/>
      <protection locked="0"/>
    </xf>
    <xf numFmtId="165" fontId="13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164" fontId="7" fillId="2" borderId="0" xfId="0" applyNumberFormat="1" applyFont="1" applyFill="1"/>
    <xf numFmtId="0" fontId="13" fillId="2" borderId="0" xfId="0" applyFont="1" applyFill="1"/>
    <xf numFmtId="2" fontId="13" fillId="2" borderId="0" xfId="0" applyNumberFormat="1" applyFont="1" applyFill="1" applyAlignment="1" applyProtection="1">
      <alignment horizontal="center"/>
      <protection locked="0"/>
    </xf>
    <xf numFmtId="0" fontId="8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8" fillId="6" borderId="0" xfId="0" applyFont="1" applyFill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right" vertical="center"/>
    </xf>
    <xf numFmtId="0" fontId="16" fillId="6" borderId="0" xfId="0" applyFont="1" applyFill="1" applyAlignment="1">
      <alignment vertical="center"/>
    </xf>
    <xf numFmtId="2" fontId="18" fillId="6" borderId="0" xfId="0" applyNumberFormat="1" applyFont="1" applyFill="1" applyAlignment="1">
      <alignment horizontal="center" vertical="center"/>
    </xf>
    <xf numFmtId="0" fontId="7" fillId="2" borderId="2" xfId="0" applyFont="1" applyFill="1" applyBorder="1"/>
    <xf numFmtId="165" fontId="7" fillId="2" borderId="2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0" fillId="2" borderId="2" xfId="0" applyFont="1" applyFill="1" applyBorder="1"/>
    <xf numFmtId="0" fontId="10" fillId="2" borderId="9" xfId="0" applyFont="1" applyFill="1" applyBorder="1"/>
    <xf numFmtId="0" fontId="10" fillId="2" borderId="9" xfId="0" applyFont="1" applyFill="1" applyBorder="1" applyAlignment="1">
      <alignment horizontal="center"/>
    </xf>
    <xf numFmtId="0" fontId="14" fillId="2" borderId="2" xfId="0" applyFont="1" applyFill="1" applyBorder="1"/>
    <xf numFmtId="0" fontId="11" fillId="2" borderId="0" xfId="0" applyFont="1" applyFill="1" applyAlignment="1">
      <alignment horizontal="left" indent="1"/>
    </xf>
    <xf numFmtId="0" fontId="13" fillId="2" borderId="5" xfId="0" applyFont="1" applyFill="1" applyBorder="1" applyAlignment="1">
      <alignment horizontal="left" indent="1"/>
    </xf>
    <xf numFmtId="0" fontId="14" fillId="2" borderId="0" xfId="0" applyFont="1" applyFill="1"/>
    <xf numFmtId="0" fontId="18" fillId="6" borderId="0" xfId="0" applyFont="1" applyFill="1"/>
    <xf numFmtId="0" fontId="16" fillId="6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right"/>
    </xf>
    <xf numFmtId="166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 indent="3"/>
    </xf>
    <xf numFmtId="0" fontId="14" fillId="2" borderId="5" xfId="0" applyFont="1" applyFill="1" applyBorder="1"/>
    <xf numFmtId="0" fontId="7" fillId="2" borderId="5" xfId="0" applyFont="1" applyFill="1" applyBorder="1" applyAlignment="1">
      <alignment horizontal="left" indent="3"/>
    </xf>
    <xf numFmtId="2" fontId="7" fillId="2" borderId="5" xfId="0" applyNumberFormat="1" applyFont="1" applyFill="1" applyBorder="1" applyAlignment="1">
      <alignment horizontal="center"/>
    </xf>
    <xf numFmtId="0" fontId="18" fillId="2" borderId="0" xfId="0" applyFont="1" applyFill="1"/>
    <xf numFmtId="165" fontId="14" fillId="2" borderId="5" xfId="0" applyNumberFormat="1" applyFont="1" applyFill="1" applyBorder="1" applyAlignment="1">
      <alignment horizontal="center"/>
    </xf>
    <xf numFmtId="0" fontId="14" fillId="2" borderId="9" xfId="0" applyFont="1" applyFill="1" applyBorder="1"/>
    <xf numFmtId="165" fontId="7" fillId="2" borderId="5" xfId="0" applyNumberFormat="1" applyFont="1" applyFill="1" applyBorder="1"/>
    <xf numFmtId="165" fontId="14" fillId="2" borderId="9" xfId="0" applyNumberFormat="1" applyFont="1" applyFill="1" applyBorder="1" applyAlignment="1">
      <alignment horizontal="center"/>
    </xf>
    <xf numFmtId="168" fontId="7" fillId="2" borderId="0" xfId="0" applyNumberFormat="1" applyFont="1" applyFill="1"/>
    <xf numFmtId="0" fontId="13" fillId="2" borderId="0" xfId="0" applyFont="1" applyFill="1" applyAlignment="1">
      <alignment horizontal="left"/>
    </xf>
    <xf numFmtId="166" fontId="7" fillId="2" borderId="0" xfId="0" applyNumberFormat="1" applyFont="1" applyFill="1"/>
    <xf numFmtId="0" fontId="17" fillId="2" borderId="0" xfId="0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left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6" borderId="0" xfId="0" applyFill="1" applyProtection="1">
      <protection locked="0"/>
    </xf>
    <xf numFmtId="0" fontId="16" fillId="6" borderId="0" xfId="0" applyFont="1" applyFill="1" applyProtection="1">
      <protection locked="0"/>
    </xf>
    <xf numFmtId="0" fontId="7" fillId="6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0" fillId="2" borderId="5" xfId="0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165" fontId="13" fillId="3" borderId="0" xfId="0" applyNumberFormat="1" applyFont="1" applyFill="1" applyAlignment="1" applyProtection="1">
      <alignment horizontal="center"/>
      <protection locked="0"/>
    </xf>
    <xf numFmtId="165" fontId="13" fillId="4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 indent="1"/>
      <protection locked="0"/>
    </xf>
    <xf numFmtId="0" fontId="7" fillId="2" borderId="5" xfId="0" applyFont="1" applyFill="1" applyBorder="1" applyProtection="1">
      <protection locked="0"/>
    </xf>
    <xf numFmtId="165" fontId="7" fillId="2" borderId="0" xfId="0" applyNumberFormat="1" applyFont="1" applyFill="1" applyAlignment="1" applyProtection="1">
      <alignment horizontal="center"/>
      <protection locked="0"/>
    </xf>
    <xf numFmtId="165" fontId="7" fillId="4" borderId="0" xfId="0" applyNumberFormat="1" applyFont="1" applyFill="1" applyAlignment="1" applyProtection="1">
      <alignment horizontal="center"/>
      <protection locked="0"/>
    </xf>
    <xf numFmtId="169" fontId="13" fillId="2" borderId="0" xfId="0" applyNumberFormat="1" applyFont="1" applyFill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left"/>
      <protection locked="0"/>
    </xf>
    <xf numFmtId="165" fontId="13" fillId="2" borderId="5" xfId="0" applyNumberFormat="1" applyFont="1" applyFill="1" applyBorder="1" applyAlignment="1" applyProtection="1">
      <alignment horizontal="center"/>
      <protection locked="0"/>
    </xf>
    <xf numFmtId="164" fontId="13" fillId="2" borderId="5" xfId="0" applyNumberFormat="1" applyFont="1" applyFill="1" applyBorder="1" applyAlignment="1" applyProtection="1">
      <alignment horizontal="center"/>
      <protection locked="0"/>
    </xf>
    <xf numFmtId="165" fontId="13" fillId="6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5" fontId="13" fillId="5" borderId="0" xfId="0" applyNumberFormat="1" applyFont="1" applyFill="1" applyAlignment="1" applyProtection="1">
      <alignment horizontal="center"/>
      <protection locked="0"/>
    </xf>
    <xf numFmtId="165" fontId="7" fillId="5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Protection="1">
      <protection locked="0"/>
    </xf>
    <xf numFmtId="165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165" fontId="13" fillId="7" borderId="0" xfId="0" applyNumberFormat="1" applyFont="1" applyFill="1" applyAlignment="1">
      <alignment horizontal="center"/>
    </xf>
    <xf numFmtId="168" fontId="0" fillId="2" borderId="0" xfId="0" applyNumberFormat="1" applyFill="1" applyProtection="1">
      <protection locked="0"/>
    </xf>
    <xf numFmtId="164" fontId="13" fillId="2" borderId="0" xfId="0" applyNumberFormat="1" applyFont="1" applyFill="1" applyAlignment="1">
      <alignment horizontal="center"/>
    </xf>
    <xf numFmtId="0" fontId="20" fillId="10" borderId="0" xfId="3" applyFont="1" applyFill="1" applyAlignment="1">
      <alignment horizontal="left" vertical="top"/>
    </xf>
    <xf numFmtId="168" fontId="7" fillId="2" borderId="0" xfId="0" applyNumberFormat="1" applyFont="1" applyFill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5" fontId="7" fillId="7" borderId="5" xfId="0" applyNumberFormat="1" applyFont="1" applyFill="1" applyBorder="1" applyAlignment="1">
      <alignment horizontal="center"/>
    </xf>
    <xf numFmtId="169" fontId="7" fillId="2" borderId="0" xfId="0" applyNumberFormat="1" applyFont="1" applyFill="1"/>
    <xf numFmtId="2" fontId="13" fillId="2" borderId="0" xfId="0" applyNumberFormat="1" applyFont="1" applyFill="1" applyAlignment="1">
      <alignment horizontal="center"/>
    </xf>
    <xf numFmtId="165" fontId="7" fillId="9" borderId="0" xfId="0" applyNumberFormat="1" applyFont="1" applyFill="1" applyAlignment="1">
      <alignment horizontal="center"/>
    </xf>
    <xf numFmtId="165" fontId="7" fillId="3" borderId="5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9" fontId="13" fillId="2" borderId="0" xfId="0" applyNumberFormat="1" applyFont="1" applyFill="1" applyAlignment="1" applyProtection="1">
      <alignment horizontal="left"/>
      <protection locked="0"/>
    </xf>
    <xf numFmtId="165" fontId="13" fillId="7" borderId="1" xfId="0" applyNumberFormat="1" applyFont="1" applyFill="1" applyBorder="1" applyAlignment="1" applyProtection="1">
      <alignment horizontal="center"/>
      <protection locked="0"/>
    </xf>
    <xf numFmtId="165" fontId="13" fillId="7" borderId="3" xfId="0" applyNumberFormat="1" applyFont="1" applyFill="1" applyBorder="1" applyAlignment="1" applyProtection="1">
      <alignment horizontal="center"/>
      <protection locked="0"/>
    </xf>
    <xf numFmtId="165" fontId="13" fillId="7" borderId="8" xfId="0" applyNumberFormat="1" applyFont="1" applyFill="1" applyBorder="1" applyAlignment="1" applyProtection="1">
      <alignment horizontal="center"/>
      <protection locked="0"/>
    </xf>
    <xf numFmtId="165" fontId="13" fillId="7" borderId="6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165" fontId="13" fillId="2" borderId="0" xfId="0" applyNumberFormat="1" applyFont="1" applyFill="1" applyAlignment="1" applyProtection="1">
      <alignment horizontal="left"/>
      <protection locked="0"/>
    </xf>
    <xf numFmtId="1" fontId="13" fillId="11" borderId="0" xfId="0" applyNumberFormat="1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>
      <alignment horizontal="center"/>
    </xf>
    <xf numFmtId="2" fontId="13" fillId="4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13" fillId="7" borderId="0" xfId="0" applyNumberFormat="1" applyFont="1" applyFill="1" applyAlignment="1">
      <alignment horizontal="center"/>
    </xf>
    <xf numFmtId="2" fontId="13" fillId="5" borderId="0" xfId="0" applyNumberFormat="1" applyFont="1" applyFill="1" applyAlignment="1">
      <alignment horizontal="center"/>
    </xf>
    <xf numFmtId="0" fontId="22" fillId="0" borderId="0" xfId="0" applyFont="1"/>
    <xf numFmtId="165" fontId="23" fillId="0" borderId="0" xfId="0" applyNumberFormat="1" applyFont="1" applyAlignment="1">
      <alignment horizontal="center" vertical="center"/>
    </xf>
    <xf numFmtId="165" fontId="19" fillId="0" borderId="1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4" fillId="0" borderId="11" xfId="0" applyFont="1" applyBorder="1" applyAlignment="1">
      <alignment horizontal="center" vertical="top"/>
    </xf>
    <xf numFmtId="0" fontId="24" fillId="0" borderId="12" xfId="0" applyFont="1" applyBorder="1" applyAlignment="1">
      <alignment horizontal="center" vertical="top"/>
    </xf>
    <xf numFmtId="0" fontId="24" fillId="0" borderId="13" xfId="0" applyFont="1" applyBorder="1" applyAlignment="1">
      <alignment horizontal="center" vertical="top"/>
    </xf>
    <xf numFmtId="0" fontId="0" fillId="0" borderId="0" xfId="0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2" fontId="0" fillId="0" borderId="0" xfId="0" applyNumberFormat="1"/>
    <xf numFmtId="0" fontId="24" fillId="0" borderId="0" xfId="0" applyFont="1" applyAlignment="1">
      <alignment horizontal="center" vertical="top"/>
    </xf>
    <xf numFmtId="1" fontId="19" fillId="0" borderId="0" xfId="0" applyNumberFormat="1" applyFont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/>
    </xf>
    <xf numFmtId="2" fontId="7" fillId="3" borderId="0" xfId="0" applyNumberFormat="1" applyFont="1" applyFill="1" applyAlignment="1" applyProtection="1">
      <alignment horizontal="center"/>
      <protection locked="0"/>
    </xf>
    <xf numFmtId="164" fontId="13" fillId="7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64" fontId="7" fillId="9" borderId="0" xfId="0" applyNumberFormat="1" applyFont="1" applyFill="1" applyAlignment="1">
      <alignment horizontal="center"/>
    </xf>
    <xf numFmtId="167" fontId="7" fillId="2" borderId="5" xfId="0" applyNumberFormat="1" applyFont="1" applyFill="1" applyBorder="1" applyAlignment="1">
      <alignment horizontal="center"/>
    </xf>
    <xf numFmtId="164" fontId="13" fillId="3" borderId="0" xfId="0" applyNumberFormat="1" applyFont="1" applyFill="1" applyAlignment="1">
      <alignment horizontal="center"/>
    </xf>
    <xf numFmtId="167" fontId="7" fillId="9" borderId="0" xfId="0" applyNumberFormat="1" applyFont="1" applyFill="1" applyAlignment="1">
      <alignment horizontal="center"/>
    </xf>
    <xf numFmtId="2" fontId="7" fillId="4" borderId="0" xfId="0" applyNumberFormat="1" applyFont="1" applyFill="1" applyAlignment="1" applyProtection="1">
      <alignment horizontal="center"/>
      <protection locked="0"/>
    </xf>
    <xf numFmtId="0" fontId="22" fillId="8" borderId="10" xfId="0" applyFont="1" applyFill="1" applyBorder="1" applyAlignment="1">
      <alignment horizontal="center"/>
    </xf>
    <xf numFmtId="0" fontId="22" fillId="12" borderId="0" xfId="0" applyFont="1" applyFill="1" applyAlignment="1">
      <alignment horizontal="center"/>
    </xf>
  </cellXfs>
  <cellStyles count="14">
    <cellStyle name="Hyperlink 2" xfId="4" xr:uid="{00000000-0005-0000-0000-000000000000}"/>
    <cellStyle name="Normal" xfId="0" builtinId="0"/>
    <cellStyle name="Normal 2" xfId="3" xr:uid="{00000000-0005-0000-0000-000002000000}"/>
    <cellStyle name="Normal 2 2" xfId="5" xr:uid="{00000000-0005-0000-0000-000003000000}"/>
    <cellStyle name="Normal 2 2 2" xfId="6" xr:uid="{00000000-0005-0000-0000-000004000000}"/>
    <cellStyle name="Normal 2 2 2 2" xfId="11" xr:uid="{D0E23963-54C4-40C3-A08B-C51BBEBC5911}"/>
    <cellStyle name="Normal 2 2 2 3" xfId="12" xr:uid="{E686E16B-8FF5-42A3-854C-C9783938C00C}"/>
    <cellStyle name="Normal 2 2 3" xfId="10" xr:uid="{8E0939B2-890A-4E4A-9A67-9A990C4259EA}"/>
    <cellStyle name="Normal 2 3" xfId="9" xr:uid="{6D6AF9E9-B81E-4C25-8D2A-8C5EC56A28D7}"/>
    <cellStyle name="Normal 4 5" xfId="13" xr:uid="{961F5BD5-E2A8-4CCD-93A3-2FC6DE1553AE}"/>
    <cellStyle name="Normal 5" xfId="2" xr:uid="{00000000-0005-0000-0000-000005000000}"/>
    <cellStyle name="Normal 5 2" xfId="8" xr:uid="{BE5ABAF7-F156-47EA-94C7-F5604FBB16A1}"/>
    <cellStyle name="Normal 6" xfId="1" xr:uid="{00000000-0005-0000-0000-000006000000}"/>
    <cellStyle name="Normal 6 2" xfId="7" xr:uid="{D760FB6E-0ACD-4E7B-8A23-51253FCE930B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FFCC"/>
      <color rgb="FFF8A8ED"/>
      <color rgb="FFFFC7CE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B7DC54-38DF-4F97-8302-BDF605CAF2E1}">
  <we:reference id="dc57e6d2-28bf-4130-be1a-5961fe0ee311" version="1.0.0.0" store="https://eceuropaeu.sharepoint.com/sites/AppCatalog" storeType="SP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8" tint="0.39997558519241921"/>
  </sheetPr>
  <dimension ref="A1:BB77"/>
  <sheetViews>
    <sheetView tabSelected="1" zoomScale="115" zoomScaleNormal="115" workbookViewId="0">
      <selection activeCell="E16" sqref="E16"/>
    </sheetView>
  </sheetViews>
  <sheetFormatPr defaultColWidth="8.85546875" defaultRowHeight="12.75" x14ac:dyDescent="0.2"/>
  <cols>
    <col min="1" max="1" width="8.7109375" style="89" customWidth="1"/>
    <col min="2" max="2" width="58.42578125" style="89" customWidth="1"/>
    <col min="3" max="6" width="8.7109375" style="89" customWidth="1"/>
    <col min="7" max="16384" width="8.85546875" style="89"/>
  </cols>
  <sheetData>
    <row r="1" spans="1:54" s="39" customFormat="1" ht="24.75" customHeight="1" x14ac:dyDescent="0.2">
      <c r="B1" s="82"/>
    </row>
    <row r="2" spans="1:54" s="39" customFormat="1" ht="11.25" customHeight="1" x14ac:dyDescent="0.2">
      <c r="B2" s="83"/>
    </row>
    <row r="3" spans="1:54" s="39" customFormat="1" ht="11.25" customHeight="1" x14ac:dyDescent="0.2">
      <c r="B3" s="84" t="s">
        <v>0</v>
      </c>
      <c r="C3" s="85" t="s">
        <v>103</v>
      </c>
    </row>
    <row r="4" spans="1:54" s="39" customFormat="1" ht="11.25" customHeight="1" x14ac:dyDescent="0.2">
      <c r="B4" s="86"/>
      <c r="C4" s="7"/>
    </row>
    <row r="5" spans="1:54" s="39" customFormat="1" ht="11.25" customHeight="1" x14ac:dyDescent="0.2">
      <c r="B5" s="87" t="s">
        <v>104</v>
      </c>
      <c r="C5" s="7">
        <v>2024</v>
      </c>
    </row>
    <row r="6" spans="1:54" x14ac:dyDescent="0.2">
      <c r="A6" s="39"/>
      <c r="B6" s="88" t="s">
        <v>6</v>
      </c>
      <c r="C6" s="128" t="e">
        <f>C5+#REF!</f>
        <v>#REF!</v>
      </c>
    </row>
    <row r="8" spans="1:54" s="90" customFormat="1" ht="12" customHeight="1" x14ac:dyDescent="0.2">
      <c r="B8" s="91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1:54" x14ac:dyDescent="0.2">
      <c r="B9" s="39"/>
      <c r="C9" s="93">
        <v>2021</v>
      </c>
      <c r="D9" s="93">
        <v>2022</v>
      </c>
      <c r="E9" s="93">
        <v>2023</v>
      </c>
      <c r="F9" s="93">
        <v>2024</v>
      </c>
      <c r="G9" s="93">
        <v>2025</v>
      </c>
      <c r="H9" s="93">
        <v>2026</v>
      </c>
      <c r="I9" s="93">
        <v>2027</v>
      </c>
      <c r="J9" s="93">
        <v>2028</v>
      </c>
      <c r="K9" s="93">
        <v>2029</v>
      </c>
      <c r="L9" s="93">
        <v>2030</v>
      </c>
      <c r="M9" s="93">
        <v>2031</v>
      </c>
      <c r="N9" s="93">
        <v>2032</v>
      </c>
      <c r="O9" s="93">
        <v>2033</v>
      </c>
      <c r="P9" s="93">
        <v>2034</v>
      </c>
      <c r="Q9" s="93">
        <v>2035</v>
      </c>
      <c r="R9" s="93">
        <v>2036</v>
      </c>
      <c r="S9" s="93">
        <v>2037</v>
      </c>
      <c r="T9" s="93">
        <v>2038</v>
      </c>
      <c r="U9" s="93">
        <v>2039</v>
      </c>
      <c r="V9" s="93">
        <v>2040</v>
      </c>
      <c r="W9" s="93">
        <v>2041</v>
      </c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</row>
    <row r="10" spans="1:54" s="94" customFormat="1" x14ac:dyDescent="0.2">
      <c r="B10" s="95" t="s">
        <v>8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</row>
    <row r="11" spans="1:54" x14ac:dyDescent="0.2">
      <c r="B11" s="97" t="s">
        <v>134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</row>
    <row r="12" spans="1:54" x14ac:dyDescent="0.2">
      <c r="A12" s="39"/>
      <c r="B12" s="39" t="s">
        <v>5</v>
      </c>
      <c r="C12" s="38">
        <v>72.584819999999993</v>
      </c>
      <c r="D12" s="99">
        <v>73.511600000000001</v>
      </c>
      <c r="E12" s="99">
        <v>75.830699999999993</v>
      </c>
      <c r="F12" s="99">
        <v>80.487430000000003</v>
      </c>
      <c r="G12" s="38" t="s">
        <v>9</v>
      </c>
      <c r="H12" s="38" t="s">
        <v>9</v>
      </c>
      <c r="I12" s="38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</row>
    <row r="13" spans="1:54" x14ac:dyDescent="0.2">
      <c r="A13" s="39"/>
      <c r="B13" s="39" t="s">
        <v>10</v>
      </c>
      <c r="C13" s="38">
        <v>-2.1345519999999998</v>
      </c>
      <c r="D13" s="99">
        <v>0.29205680000000001</v>
      </c>
      <c r="E13" s="99">
        <v>-0.2445959</v>
      </c>
      <c r="F13" s="99">
        <v>-0.53010330000000006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</row>
    <row r="14" spans="1:54" x14ac:dyDescent="0.2">
      <c r="A14" s="39"/>
      <c r="B14" s="39" t="s">
        <v>11</v>
      </c>
      <c r="C14" s="38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</row>
    <row r="15" spans="1:54" x14ac:dyDescent="0.2">
      <c r="A15" s="39"/>
      <c r="B15" s="39" t="s">
        <v>12</v>
      </c>
      <c r="C15" s="38">
        <v>-1.1351690000000001</v>
      </c>
      <c r="D15" s="99">
        <v>4.8490650000000004</v>
      </c>
      <c r="E15" s="99">
        <v>2.318794</v>
      </c>
      <c r="F15" s="99">
        <v>2.6028570000000002</v>
      </c>
      <c r="G15" s="99">
        <v>1.6620999999999999</v>
      </c>
      <c r="H15" s="99">
        <v>1.6902729999999999</v>
      </c>
      <c r="I15" s="99">
        <v>1.702215</v>
      </c>
      <c r="J15" s="99">
        <v>1.648048</v>
      </c>
      <c r="K15" s="99">
        <v>1.5813470000000001</v>
      </c>
      <c r="L15" s="99">
        <v>1.5408029999999999</v>
      </c>
      <c r="M15" s="99">
        <v>1.5229809999999999</v>
      </c>
      <c r="N15" s="99">
        <v>1.526135</v>
      </c>
      <c r="O15" s="99">
        <v>1.3735219999999999</v>
      </c>
      <c r="P15" s="99">
        <v>1.2209080000000001</v>
      </c>
      <c r="Q15" s="99">
        <v>1.068295</v>
      </c>
      <c r="R15" s="99">
        <v>0.91568099999999997</v>
      </c>
      <c r="S15" s="99">
        <v>0.76306750000000001</v>
      </c>
      <c r="T15" s="99">
        <v>0.61045400000000005</v>
      </c>
      <c r="U15" s="99">
        <v>0.45784049999999998</v>
      </c>
      <c r="V15" s="99">
        <v>0.30522700000000003</v>
      </c>
      <c r="W15" s="99">
        <v>0.15261350000000001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</row>
    <row r="16" spans="1:54" x14ac:dyDescent="0.2">
      <c r="A16" s="39"/>
      <c r="B16" s="39" t="s">
        <v>13</v>
      </c>
      <c r="C16" s="38">
        <v>-1.1932039999999999</v>
      </c>
      <c r="D16" s="99">
        <v>5.1764349999999997</v>
      </c>
      <c r="E16" s="99">
        <v>2.2785220000000002</v>
      </c>
      <c r="F16" s="99">
        <v>2.6170640000000001</v>
      </c>
      <c r="G16" s="99">
        <v>1.6700109999999999</v>
      </c>
      <c r="H16" s="99">
        <v>1.6902729999999999</v>
      </c>
      <c r="I16" s="99">
        <v>1.702215</v>
      </c>
      <c r="J16" s="99">
        <v>1.648048</v>
      </c>
      <c r="K16" s="99">
        <v>1.5813470000000001</v>
      </c>
      <c r="L16" s="99">
        <v>1.5408029999999999</v>
      </c>
      <c r="M16" s="99">
        <v>1.5229809999999999</v>
      </c>
      <c r="N16" s="99">
        <v>1.526135</v>
      </c>
      <c r="O16" s="99">
        <v>1.3735219999999999</v>
      </c>
      <c r="P16" s="99">
        <v>1.2209080000000001</v>
      </c>
      <c r="Q16" s="99">
        <v>1.068295</v>
      </c>
      <c r="R16" s="99">
        <v>0.91568099999999997</v>
      </c>
      <c r="S16" s="99">
        <v>0.76306750000000001</v>
      </c>
      <c r="T16" s="99">
        <v>0.61045400000000005</v>
      </c>
      <c r="U16" s="99">
        <v>0.45784049999999998</v>
      </c>
      <c r="V16" s="99">
        <v>0.30522700000000003</v>
      </c>
      <c r="W16" s="99">
        <v>0.15261350000000001</v>
      </c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4" x14ac:dyDescent="0.2">
      <c r="A17" s="39"/>
      <c r="B17" s="137" t="s">
        <v>133</v>
      </c>
      <c r="C17" s="38"/>
      <c r="D17" s="138">
        <v>0</v>
      </c>
      <c r="E17" s="138">
        <v>0</v>
      </c>
      <c r="F17" s="138">
        <v>0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</row>
    <row r="18" spans="1:54" x14ac:dyDescent="0.2">
      <c r="A18" s="39"/>
      <c r="B18" s="3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54" x14ac:dyDescent="0.2">
      <c r="A19" s="39"/>
      <c r="B19" s="97" t="s">
        <v>132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54" x14ac:dyDescent="0.2">
      <c r="A20" s="39"/>
      <c r="B20" s="39" t="s">
        <v>14</v>
      </c>
      <c r="C20" s="38">
        <f t="shared" ref="C20:T20" si="0">(C21+C22+C23+C24-C25)</f>
        <v>0</v>
      </c>
      <c r="D20" s="100">
        <f t="shared" si="0"/>
        <v>23.655849999999997</v>
      </c>
      <c r="E20" s="100">
        <f t="shared" si="0"/>
        <v>23.83699</v>
      </c>
      <c r="F20" s="100">
        <f t="shared" si="0"/>
        <v>23.96105</v>
      </c>
      <c r="G20" s="100">
        <f t="shared" si="0"/>
        <v>23.911249999999999</v>
      </c>
      <c r="H20" s="100">
        <f t="shared" si="0"/>
        <v>23.909049999999997</v>
      </c>
      <c r="I20" s="100">
        <f t="shared" si="0"/>
        <v>23.948919999999998</v>
      </c>
      <c r="J20" s="100">
        <f t="shared" si="0"/>
        <v>24.046380000000003</v>
      </c>
      <c r="K20" s="100">
        <f t="shared" si="0"/>
        <v>24.15964</v>
      </c>
      <c r="L20" s="100">
        <f t="shared" si="0"/>
        <v>24.232299999999999</v>
      </c>
      <c r="M20" s="100">
        <f t="shared" si="0"/>
        <v>24.288240000000002</v>
      </c>
      <c r="N20" s="100">
        <f t="shared" si="0"/>
        <v>24.322410000000001</v>
      </c>
      <c r="O20" s="100">
        <f t="shared" si="0"/>
        <v>24.319019999999998</v>
      </c>
      <c r="P20" s="100">
        <f t="shared" si="0"/>
        <v>24.31607</v>
      </c>
      <c r="Q20" s="100">
        <f t="shared" si="0"/>
        <v>24.304599999999997</v>
      </c>
      <c r="R20" s="100">
        <f t="shared" si="0"/>
        <v>24.277160000000002</v>
      </c>
      <c r="S20" s="100">
        <f t="shared" si="0"/>
        <v>24.230790000000002</v>
      </c>
      <c r="T20" s="100">
        <f t="shared" si="0"/>
        <v>24.168680000000002</v>
      </c>
      <c r="U20" s="100">
        <f>(U21+U22+U23+U24-U25)</f>
        <v>24.092350000000003</v>
      </c>
      <c r="V20" s="100">
        <f>(V21+V22+V23+V24-V25)</f>
        <v>24.017060000000001</v>
      </c>
      <c r="W20" s="100">
        <f>(W21+W22+W23+W24-W25)</f>
        <v>23.958480000000002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</row>
    <row r="21" spans="1:54" x14ac:dyDescent="0.2">
      <c r="A21" s="39"/>
      <c r="B21" s="101" t="s">
        <v>15</v>
      </c>
      <c r="C21" s="38">
        <v>0</v>
      </c>
      <c r="D21" s="100">
        <v>12.75253</v>
      </c>
      <c r="E21" s="100">
        <v>13.051629999999999</v>
      </c>
      <c r="F21" s="100">
        <v>13.265540000000001</v>
      </c>
      <c r="G21" s="100">
        <v>13.18962</v>
      </c>
      <c r="H21" s="100">
        <v>13.142029999999998</v>
      </c>
      <c r="I21" s="100">
        <v>13.11401</v>
      </c>
      <c r="J21" s="100">
        <v>13.178880000000001</v>
      </c>
      <c r="K21" s="100">
        <v>13.25747</v>
      </c>
      <c r="L21" s="100">
        <v>13.29903</v>
      </c>
      <c r="M21" s="100">
        <v>13.31495</v>
      </c>
      <c r="N21" s="100">
        <v>13.304360000000001</v>
      </c>
      <c r="O21" s="100">
        <v>13.2629</v>
      </c>
      <c r="P21" s="100">
        <v>13.217840000000001</v>
      </c>
      <c r="Q21" s="100">
        <v>13.158149999999999</v>
      </c>
      <c r="R21" s="100">
        <v>13.081250000000001</v>
      </c>
      <c r="S21" s="100">
        <v>12.982460000000001</v>
      </c>
      <c r="T21" s="100">
        <v>12.873180000000001</v>
      </c>
      <c r="U21" s="100">
        <v>12.750959999999999</v>
      </c>
      <c r="V21" s="100">
        <v>12.636140000000001</v>
      </c>
      <c r="W21" s="100">
        <v>12.55068</v>
      </c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</row>
    <row r="22" spans="1:54" x14ac:dyDescent="0.2">
      <c r="A22" s="39"/>
      <c r="B22" s="102" t="s">
        <v>16</v>
      </c>
      <c r="C22" s="38">
        <v>0</v>
      </c>
      <c r="D22" s="100">
        <v>6.2264300000000006</v>
      </c>
      <c r="E22" s="100">
        <v>6.2125199999999996</v>
      </c>
      <c r="F22" s="100">
        <v>6.2122099999999998</v>
      </c>
      <c r="G22" s="100">
        <v>6.24024</v>
      </c>
      <c r="H22" s="100">
        <v>6.2697900000000004</v>
      </c>
      <c r="I22" s="100">
        <v>6.30023</v>
      </c>
      <c r="J22" s="100">
        <v>6.3258499999999991</v>
      </c>
      <c r="K22" s="100">
        <v>6.3533200000000001</v>
      </c>
      <c r="L22" s="100">
        <v>6.3764799999999999</v>
      </c>
      <c r="M22" s="100">
        <v>6.3974199999999994</v>
      </c>
      <c r="N22" s="100">
        <v>6.4209000000000005</v>
      </c>
      <c r="O22" s="100">
        <v>6.4349299999999996</v>
      </c>
      <c r="P22" s="100">
        <v>6.44834</v>
      </c>
      <c r="Q22" s="100">
        <v>6.4629599999999998</v>
      </c>
      <c r="R22" s="100">
        <v>6.4788600000000001</v>
      </c>
      <c r="S22" s="100">
        <v>6.4963300000000004</v>
      </c>
      <c r="T22" s="100">
        <v>6.5105800000000009</v>
      </c>
      <c r="U22" s="100">
        <v>6.5257800000000001</v>
      </c>
      <c r="V22" s="100">
        <v>6.5442399999999994</v>
      </c>
      <c r="W22" s="100">
        <v>6.5568400000000002</v>
      </c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</row>
    <row r="23" spans="1:54" x14ac:dyDescent="0.2">
      <c r="A23" s="39"/>
      <c r="B23" s="102" t="s">
        <v>17</v>
      </c>
      <c r="C23" s="38">
        <v>0</v>
      </c>
      <c r="D23" s="100">
        <v>2.09605</v>
      </c>
      <c r="E23" s="100">
        <v>2.1229299999999998</v>
      </c>
      <c r="F23" s="100">
        <v>2.1484399999999999</v>
      </c>
      <c r="G23" s="100">
        <v>2.1887400000000001</v>
      </c>
      <c r="H23" s="100">
        <v>2.2475000000000001</v>
      </c>
      <c r="I23" s="100">
        <v>2.3259499999999997</v>
      </c>
      <c r="J23" s="100">
        <v>2.38679</v>
      </c>
      <c r="K23" s="100">
        <v>2.4540600000000001</v>
      </c>
      <c r="L23" s="100">
        <v>2.5214699999999999</v>
      </c>
      <c r="M23" s="100">
        <v>2.59592</v>
      </c>
      <c r="N23" s="100">
        <v>2.67021</v>
      </c>
      <c r="O23" s="100">
        <v>2.7360500000000001</v>
      </c>
      <c r="P23" s="100">
        <v>2.7967599999999999</v>
      </c>
      <c r="Q23" s="100">
        <v>2.8543799999999999</v>
      </c>
      <c r="R23" s="100">
        <v>2.9076200000000001</v>
      </c>
      <c r="S23" s="100">
        <v>2.95608</v>
      </c>
      <c r="T23" s="100">
        <v>2.99587</v>
      </c>
      <c r="U23" s="100">
        <v>3.0290600000000003</v>
      </c>
      <c r="V23" s="100">
        <v>3.0579700000000001</v>
      </c>
      <c r="W23" s="100">
        <v>3.0828700000000002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</row>
    <row r="24" spans="1:54" x14ac:dyDescent="0.2">
      <c r="A24" s="39"/>
      <c r="B24" s="102" t="s">
        <v>18</v>
      </c>
      <c r="C24" s="38">
        <v>0</v>
      </c>
      <c r="D24" s="100">
        <v>5.2752499999999998</v>
      </c>
      <c r="E24" s="100">
        <v>5.2078899999999999</v>
      </c>
      <c r="F24" s="100">
        <v>5.1376900000000001</v>
      </c>
      <c r="G24" s="100">
        <v>5.0797400000000001</v>
      </c>
      <c r="H24" s="100">
        <v>5.0267200000000001</v>
      </c>
      <c r="I24" s="100">
        <v>4.9797799999999999</v>
      </c>
      <c r="J24" s="100">
        <v>4.9394800000000005</v>
      </c>
      <c r="K24" s="100">
        <v>4.8961999999999994</v>
      </c>
      <c r="L24" s="100">
        <v>4.84544</v>
      </c>
      <c r="M24" s="100">
        <v>4.79352</v>
      </c>
      <c r="N24" s="100">
        <v>4.7381199999999994</v>
      </c>
      <c r="O24" s="100">
        <v>4.6875800000000005</v>
      </c>
      <c r="P24" s="100">
        <v>4.6461000000000006</v>
      </c>
      <c r="Q24" s="100">
        <v>4.6093999999999999</v>
      </c>
      <c r="R24" s="100">
        <v>4.5734399999999997</v>
      </c>
      <c r="S24" s="100">
        <v>4.5390300000000003</v>
      </c>
      <c r="T24" s="100">
        <v>4.50922</v>
      </c>
      <c r="U24" s="100">
        <v>4.4807199999999998</v>
      </c>
      <c r="V24" s="100">
        <v>4.4487300000000003</v>
      </c>
      <c r="W24" s="100">
        <v>4.42014</v>
      </c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</row>
    <row r="25" spans="1:54" x14ac:dyDescent="0.2">
      <c r="A25" s="39"/>
      <c r="B25" s="102" t="s">
        <v>19</v>
      </c>
      <c r="C25" s="38">
        <v>0</v>
      </c>
      <c r="D25" s="100">
        <v>2.69441</v>
      </c>
      <c r="E25" s="100">
        <v>2.7579800000000003</v>
      </c>
      <c r="F25" s="100">
        <v>2.8028299999999997</v>
      </c>
      <c r="G25" s="100">
        <v>2.7870900000000001</v>
      </c>
      <c r="H25" s="100">
        <v>2.7769900000000001</v>
      </c>
      <c r="I25" s="100">
        <v>2.7710499999999998</v>
      </c>
      <c r="J25" s="100">
        <v>2.7846200000000003</v>
      </c>
      <c r="K25" s="100">
        <v>2.8014100000000002</v>
      </c>
      <c r="L25" s="100">
        <v>2.81012</v>
      </c>
      <c r="M25" s="100">
        <v>2.8135699999999999</v>
      </c>
      <c r="N25" s="100">
        <v>2.8111799999999998</v>
      </c>
      <c r="O25" s="100">
        <v>2.8024400000000003</v>
      </c>
      <c r="P25" s="100">
        <v>2.79297</v>
      </c>
      <c r="Q25" s="100">
        <v>2.7802899999999999</v>
      </c>
      <c r="R25" s="100">
        <v>2.7640099999999999</v>
      </c>
      <c r="S25" s="100">
        <v>2.7431100000000002</v>
      </c>
      <c r="T25" s="100">
        <v>2.72017</v>
      </c>
      <c r="U25" s="100">
        <v>2.6941699999999997</v>
      </c>
      <c r="V25" s="100">
        <v>2.6700200000000001</v>
      </c>
      <c r="W25" s="100">
        <v>2.65205</v>
      </c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</row>
    <row r="26" spans="1:54" x14ac:dyDescent="0.2">
      <c r="A26" s="39"/>
      <c r="B26" s="101" t="s">
        <v>20</v>
      </c>
      <c r="C26" s="38">
        <v>2.0641180000000001</v>
      </c>
      <c r="D26" s="100">
        <v>2.1110479999999998</v>
      </c>
      <c r="E26" s="100">
        <v>2.1176979999999999</v>
      </c>
      <c r="F26" s="100">
        <v>2.1243479999999999</v>
      </c>
      <c r="G26" s="100">
        <v>2.1309979999999999</v>
      </c>
      <c r="H26" s="100">
        <v>2.137648</v>
      </c>
      <c r="I26" s="100">
        <v>2.1442990000000002</v>
      </c>
      <c r="J26" s="100">
        <v>2.1509490000000002</v>
      </c>
      <c r="K26" s="100">
        <v>2.1575989999999998</v>
      </c>
      <c r="L26" s="100">
        <v>2.1642489999999999</v>
      </c>
      <c r="M26" s="100">
        <v>2.1708989999999999</v>
      </c>
      <c r="N26" s="100">
        <v>2.1775500000000001</v>
      </c>
      <c r="O26" s="100">
        <v>2.1842000000000001</v>
      </c>
      <c r="P26" s="100">
        <v>2.1908500000000002</v>
      </c>
      <c r="Q26" s="100">
        <v>2.1974999999999998</v>
      </c>
      <c r="R26" s="100">
        <v>2.2041499999999998</v>
      </c>
      <c r="S26" s="100">
        <v>2.210801</v>
      </c>
      <c r="T26" s="100">
        <v>2.2174510000000001</v>
      </c>
      <c r="U26" s="100">
        <v>2.2241010000000001</v>
      </c>
      <c r="V26" s="100">
        <v>2.2307510000000002</v>
      </c>
      <c r="W26" s="100">
        <v>2.2374010000000002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</row>
    <row r="27" spans="1:54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54" s="94" customFormat="1" x14ac:dyDescent="0.2">
      <c r="A28" s="103"/>
      <c r="B28" s="95" t="s">
        <v>119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54" x14ac:dyDescent="0.2">
      <c r="A29" s="39"/>
      <c r="B29" s="97" t="s">
        <v>21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1:54" x14ac:dyDescent="0.2">
      <c r="A30" s="39"/>
      <c r="B30" s="39" t="s">
        <v>22</v>
      </c>
      <c r="C30" s="37">
        <v>2.8381799999999999</v>
      </c>
      <c r="D30" s="158">
        <v>1.335467</v>
      </c>
      <c r="E30" s="158">
        <v>-1.0353760000000001</v>
      </c>
      <c r="F30" s="158">
        <v>3.9589600000000003E-2</v>
      </c>
      <c r="G30" s="158">
        <v>1.6580349999999999</v>
      </c>
      <c r="H30" s="158">
        <v>1.3102849999999999</v>
      </c>
      <c r="I30" s="158">
        <v>1.414615</v>
      </c>
      <c r="J30" s="158">
        <v>1.0487979999999999</v>
      </c>
      <c r="K30" s="158">
        <v>0.58138120000000004</v>
      </c>
      <c r="L30" s="158">
        <v>0.55843980000000004</v>
      </c>
      <c r="M30" s="158">
        <v>0.58565610000000001</v>
      </c>
      <c r="N30" s="158">
        <v>0.65826850000000003</v>
      </c>
      <c r="O30" s="158">
        <v>0.68445089999999997</v>
      </c>
      <c r="P30" s="105">
        <v>0.88988429999999996</v>
      </c>
      <c r="Q30" s="105">
        <v>1.09531</v>
      </c>
      <c r="R30" s="105">
        <v>1.3007420000000001</v>
      </c>
      <c r="S30" s="105">
        <v>1.375005</v>
      </c>
      <c r="T30" s="105">
        <v>1.4239539999999999</v>
      </c>
      <c r="U30" s="105">
        <v>1.4860420000000001</v>
      </c>
      <c r="V30" s="105">
        <v>1.5330820000000001</v>
      </c>
      <c r="W30" s="105">
        <v>1.4883029999999999</v>
      </c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</row>
    <row r="31" spans="1:54" x14ac:dyDescent="0.2">
      <c r="A31" s="39"/>
      <c r="B31" s="135" t="s">
        <v>116</v>
      </c>
      <c r="C31" s="104">
        <v>230.55600000000001</v>
      </c>
    </row>
    <row r="32" spans="1:54" x14ac:dyDescent="0.2">
      <c r="A32" s="39"/>
      <c r="B32" s="97" t="s">
        <v>24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</row>
    <row r="33" spans="1:54" x14ac:dyDescent="0.2">
      <c r="A33" s="39"/>
      <c r="B33" s="39" t="s">
        <v>22</v>
      </c>
      <c r="C33" s="104">
        <v>0.68060670000000001</v>
      </c>
      <c r="D33" s="158">
        <v>1.2226809999999999</v>
      </c>
      <c r="E33" s="158">
        <v>1.0916300000000001</v>
      </c>
      <c r="F33" s="158">
        <v>0.63010730000000004</v>
      </c>
      <c r="G33" s="158">
        <v>0.63180159999999996</v>
      </c>
      <c r="H33" s="158">
        <v>0.68473079999999997</v>
      </c>
      <c r="I33" s="158">
        <v>0.58650530000000001</v>
      </c>
      <c r="J33" s="158">
        <v>0.63791129999999996</v>
      </c>
      <c r="K33" s="158">
        <v>0.58138040000000002</v>
      </c>
      <c r="L33" s="158">
        <v>0.55843730000000003</v>
      </c>
      <c r="M33" s="158">
        <v>0.58565659999999997</v>
      </c>
      <c r="N33" s="158">
        <v>0.65826910000000005</v>
      </c>
      <c r="O33" s="158">
        <v>0.68445239999999996</v>
      </c>
      <c r="P33" s="166">
        <v>0.88988239999999996</v>
      </c>
      <c r="Q33" s="166">
        <v>1.095313</v>
      </c>
      <c r="R33" s="166">
        <v>1.300743</v>
      </c>
      <c r="S33" s="166">
        <v>1.3750089999999999</v>
      </c>
      <c r="T33" s="166">
        <v>1.4239520000000001</v>
      </c>
      <c r="U33" s="166">
        <v>1.486043</v>
      </c>
      <c r="V33" s="166">
        <v>1.5330779999999999</v>
      </c>
      <c r="W33" s="166">
        <v>1.488302</v>
      </c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</row>
    <row r="34" spans="1:54" x14ac:dyDescent="0.2">
      <c r="A34" s="39"/>
      <c r="B34" s="135" t="s">
        <v>116</v>
      </c>
      <c r="C34" s="104">
        <v>231.15090000000001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</row>
    <row r="35" spans="1:54" x14ac:dyDescent="0.2">
      <c r="A35" s="39"/>
      <c r="B35" s="135"/>
      <c r="C35" s="104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</row>
    <row r="36" spans="1:54" s="94" customFormat="1" x14ac:dyDescent="0.2">
      <c r="A36" s="103"/>
      <c r="B36" s="95" t="s">
        <v>128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</row>
    <row r="37" spans="1:54" x14ac:dyDescent="0.2">
      <c r="A37" s="39"/>
      <c r="B37" s="39" t="s">
        <v>25</v>
      </c>
      <c r="C37" s="38">
        <v>0.73297140000000005</v>
      </c>
      <c r="D37" s="99">
        <v>0.83926920000000005</v>
      </c>
      <c r="E37" s="99">
        <v>1.5804370000000001</v>
      </c>
      <c r="F37" s="99">
        <v>1.6625099999999999</v>
      </c>
      <c r="G37" s="99">
        <v>1.8895660000000001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</row>
    <row r="38" spans="1:54" x14ac:dyDescent="0.2">
      <c r="A38" s="39"/>
      <c r="B38" s="101" t="s">
        <v>26</v>
      </c>
      <c r="D38" s="99">
        <v>0.35</v>
      </c>
      <c r="E38" s="99">
        <v>3.43</v>
      </c>
      <c r="F38" s="130">
        <v>3.5642079999999998</v>
      </c>
      <c r="G38" s="131">
        <v>2.8163749999999999</v>
      </c>
      <c r="H38" s="38"/>
    </row>
    <row r="39" spans="1:54" x14ac:dyDescent="0.2">
      <c r="A39" s="39"/>
      <c r="B39" s="101" t="s">
        <v>27</v>
      </c>
      <c r="D39" s="99">
        <v>1.69</v>
      </c>
      <c r="E39" s="99">
        <v>3.04</v>
      </c>
      <c r="F39" s="132">
        <v>2.9418000000000002</v>
      </c>
      <c r="G39" s="133">
        <v>3.0140359999999999</v>
      </c>
      <c r="H39" s="38"/>
    </row>
    <row r="40" spans="1:54" x14ac:dyDescent="0.2">
      <c r="A40" s="39"/>
      <c r="B40" s="102"/>
      <c r="C40" s="38"/>
      <c r="D40" s="38"/>
      <c r="E40" s="106"/>
      <c r="F40" s="129" t="s">
        <v>33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</row>
    <row r="41" spans="1:54" s="94" customFormat="1" x14ac:dyDescent="0.2">
      <c r="A41" s="103"/>
      <c r="B41" s="107" t="s">
        <v>129</v>
      </c>
      <c r="C41" s="108"/>
      <c r="D41" s="108"/>
      <c r="E41" s="108"/>
      <c r="F41" s="108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</row>
    <row r="42" spans="1:54" x14ac:dyDescent="0.2">
      <c r="A42" s="39"/>
      <c r="B42" s="39" t="s">
        <v>28</v>
      </c>
      <c r="C42" s="38">
        <v>2.397958</v>
      </c>
      <c r="D42" s="99">
        <v>5.3837979999999996</v>
      </c>
      <c r="E42" s="99">
        <v>4.7975909999999997</v>
      </c>
      <c r="F42" s="99">
        <v>1.8000020000000001</v>
      </c>
      <c r="G42" s="99">
        <v>2.124962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</row>
    <row r="43" spans="1:54" x14ac:dyDescent="0.2">
      <c r="A43" s="39"/>
    </row>
    <row r="44" spans="1:54" s="94" customFormat="1" x14ac:dyDescent="0.2">
      <c r="A44" s="103"/>
      <c r="B44" s="107" t="s">
        <v>130</v>
      </c>
      <c r="C44" s="108"/>
      <c r="D44" s="108"/>
      <c r="E44" s="108"/>
      <c r="F44" s="108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</row>
    <row r="45" spans="1:54" x14ac:dyDescent="0.2">
      <c r="A45" s="39"/>
      <c r="B45" s="39" t="s">
        <v>1</v>
      </c>
      <c r="C45" s="38">
        <v>2.9505508900764243</v>
      </c>
      <c r="D45" s="99">
        <v>5.7681103325160432</v>
      </c>
      <c r="E45" s="99">
        <v>7.4830230810080138</v>
      </c>
      <c r="F45" s="99">
        <v>3.9912900392291735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</row>
    <row r="46" spans="1:54" x14ac:dyDescent="0.2">
      <c r="A46" s="39"/>
    </row>
    <row r="47" spans="1:54" s="90" customFormat="1" x14ac:dyDescent="0.2">
      <c r="A47" s="92"/>
      <c r="B47" s="91" t="s">
        <v>29</v>
      </c>
      <c r="C47" s="110"/>
      <c r="D47" s="110"/>
    </row>
    <row r="48" spans="1:54" x14ac:dyDescent="0.2">
      <c r="A48" s="39"/>
      <c r="B48" s="111"/>
      <c r="C48" s="38"/>
      <c r="D48" s="38"/>
      <c r="E48" s="136" t="s">
        <v>105</v>
      </c>
    </row>
    <row r="49" spans="1:5" x14ac:dyDescent="0.2">
      <c r="A49" s="39"/>
      <c r="B49" s="39" t="s">
        <v>30</v>
      </c>
      <c r="C49" s="42">
        <v>0.75</v>
      </c>
      <c r="D49" s="38"/>
      <c r="E49" s="39" t="s">
        <v>31</v>
      </c>
    </row>
    <row r="50" spans="1:5" x14ac:dyDescent="0.2">
      <c r="A50" s="39"/>
      <c r="B50" s="39" t="s">
        <v>131</v>
      </c>
      <c r="C50" s="38">
        <v>0.58199999999999996</v>
      </c>
      <c r="D50" s="38"/>
      <c r="E50" s="39" t="s">
        <v>32</v>
      </c>
    </row>
    <row r="51" spans="1:5" x14ac:dyDescent="0.2">
      <c r="A51" s="39"/>
      <c r="B51" s="39"/>
      <c r="C51" s="38"/>
      <c r="D51" s="38"/>
    </row>
    <row r="52" spans="1:5" x14ac:dyDescent="0.2">
      <c r="A52" s="39"/>
      <c r="B52" s="101" t="s">
        <v>121</v>
      </c>
      <c r="C52" s="112">
        <v>3.2313800000000001</v>
      </c>
      <c r="D52" s="38"/>
      <c r="E52" s="39" t="s">
        <v>33</v>
      </c>
    </row>
    <row r="53" spans="1:5" x14ac:dyDescent="0.2">
      <c r="A53" s="39"/>
      <c r="B53" s="101" t="s">
        <v>122</v>
      </c>
      <c r="C53" s="112">
        <v>2.7260900000000001</v>
      </c>
      <c r="D53" s="38"/>
      <c r="E53" s="39" t="s">
        <v>33</v>
      </c>
    </row>
    <row r="54" spans="1:5" x14ac:dyDescent="0.2">
      <c r="A54" s="39"/>
      <c r="B54" s="101" t="s">
        <v>123</v>
      </c>
      <c r="C54" s="99">
        <v>4</v>
      </c>
      <c r="D54" s="38"/>
      <c r="E54" s="39" t="s">
        <v>34</v>
      </c>
    </row>
    <row r="55" spans="1:5" x14ac:dyDescent="0.2">
      <c r="A55" s="39"/>
      <c r="B55" s="101" t="s">
        <v>124</v>
      </c>
      <c r="C55" s="99">
        <v>2</v>
      </c>
      <c r="D55" s="38"/>
      <c r="E55" s="39" t="s">
        <v>34</v>
      </c>
    </row>
    <row r="56" spans="1:5" x14ac:dyDescent="0.2">
      <c r="A56" s="39"/>
      <c r="B56" s="101"/>
      <c r="C56" s="38"/>
      <c r="D56" s="38"/>
    </row>
    <row r="57" spans="1:5" x14ac:dyDescent="0.2">
      <c r="A57" s="39"/>
      <c r="B57" s="39" t="s">
        <v>35</v>
      </c>
      <c r="C57" s="104">
        <v>0.1082933</v>
      </c>
      <c r="D57" s="118"/>
      <c r="E57" s="135" t="s">
        <v>106</v>
      </c>
    </row>
    <row r="58" spans="1:5" x14ac:dyDescent="0.2">
      <c r="A58" s="39"/>
      <c r="B58" s="39" t="s">
        <v>36</v>
      </c>
      <c r="C58" s="18">
        <f>1-C57</f>
        <v>0.89170669999999996</v>
      </c>
      <c r="E58" s="135" t="s">
        <v>106</v>
      </c>
    </row>
    <row r="59" spans="1:5" x14ac:dyDescent="0.2">
      <c r="A59" s="39"/>
      <c r="B59" s="39" t="s">
        <v>125</v>
      </c>
      <c r="C59" s="104">
        <v>3.7849389999999997E-2</v>
      </c>
      <c r="E59" s="135" t="s">
        <v>107</v>
      </c>
    </row>
    <row r="60" spans="1:5" x14ac:dyDescent="0.2">
      <c r="A60" s="39"/>
      <c r="B60" s="39"/>
      <c r="C60" s="104"/>
    </row>
    <row r="61" spans="1:5" x14ac:dyDescent="0.2">
      <c r="A61" s="39"/>
      <c r="B61" s="39" t="s">
        <v>126</v>
      </c>
      <c r="C61" s="113">
        <v>2.5499999999999998</v>
      </c>
      <c r="E61" s="39" t="s">
        <v>37</v>
      </c>
    </row>
    <row r="62" spans="1:5" x14ac:dyDescent="0.2">
      <c r="A62" s="39"/>
      <c r="B62" s="39" t="s">
        <v>127</v>
      </c>
      <c r="C62" s="104">
        <v>2</v>
      </c>
      <c r="E62" s="39" t="s">
        <v>38</v>
      </c>
    </row>
    <row r="63" spans="1:5" x14ac:dyDescent="0.2">
      <c r="A63" s="39"/>
      <c r="B63" s="39"/>
      <c r="C63" s="104"/>
      <c r="E63" s="39"/>
    </row>
    <row r="64" spans="1:5" x14ac:dyDescent="0.2">
      <c r="A64" s="39"/>
      <c r="B64" s="39" t="s">
        <v>120</v>
      </c>
      <c r="C64" s="99">
        <v>55.167771482475928</v>
      </c>
      <c r="E64" s="39" t="s">
        <v>118</v>
      </c>
    </row>
    <row r="65" spans="1:7" x14ac:dyDescent="0.2">
      <c r="A65" s="39"/>
      <c r="B65" s="39"/>
      <c r="C65" s="104"/>
      <c r="E65" s="39"/>
    </row>
    <row r="66" spans="1:7" x14ac:dyDescent="0.2">
      <c r="A66" s="39"/>
      <c r="B66" s="39" t="s">
        <v>39</v>
      </c>
      <c r="C66" s="117">
        <v>0.80328982092622114</v>
      </c>
      <c r="D66" s="1"/>
      <c r="E66" s="39" t="s">
        <v>40</v>
      </c>
    </row>
    <row r="67" spans="1:7" x14ac:dyDescent="0.2">
      <c r="A67" s="39"/>
      <c r="B67" s="134" t="s">
        <v>108</v>
      </c>
      <c r="C67" s="117">
        <v>3.4906994270292035E-2</v>
      </c>
      <c r="D67" s="1"/>
      <c r="E67" s="39" t="s">
        <v>40</v>
      </c>
    </row>
    <row r="68" spans="1:7" x14ac:dyDescent="0.2">
      <c r="A68" s="39"/>
      <c r="B68" s="134" t="s">
        <v>109</v>
      </c>
      <c r="C68" s="117">
        <v>9.0857973435485018E-2</v>
      </c>
      <c r="D68" s="1"/>
      <c r="E68" s="39" t="s">
        <v>40</v>
      </c>
    </row>
    <row r="69" spans="1:7" x14ac:dyDescent="0.2">
      <c r="A69" s="39"/>
      <c r="B69" s="101" t="s">
        <v>41</v>
      </c>
      <c r="C69" s="117">
        <v>6.400704106562774E-2</v>
      </c>
      <c r="D69" s="1"/>
      <c r="E69" s="39" t="s">
        <v>40</v>
      </c>
    </row>
    <row r="70" spans="1:7" x14ac:dyDescent="0.2">
      <c r="A70" s="39"/>
      <c r="B70" s="101" t="s">
        <v>42</v>
      </c>
      <c r="C70" s="117">
        <v>6.938167581714995E-3</v>
      </c>
      <c r="D70" s="1"/>
      <c r="E70" s="39" t="s">
        <v>40</v>
      </c>
    </row>
    <row r="71" spans="1:7" x14ac:dyDescent="0.2">
      <c r="A71" s="39"/>
      <c r="B71" s="101"/>
      <c r="C71" s="38"/>
      <c r="E71" s="39"/>
    </row>
    <row r="72" spans="1:7" s="90" customFormat="1" x14ac:dyDescent="0.2">
      <c r="B72" s="91" t="s">
        <v>43</v>
      </c>
      <c r="C72" s="110"/>
      <c r="D72" s="110"/>
    </row>
    <row r="73" spans="1:7" x14ac:dyDescent="0.2">
      <c r="B73" s="114"/>
      <c r="C73" s="115" t="s">
        <v>44</v>
      </c>
      <c r="D73" s="115" t="s">
        <v>45</v>
      </c>
      <c r="E73" s="116" t="s">
        <v>46</v>
      </c>
      <c r="F73" s="116" t="s">
        <v>47</v>
      </c>
      <c r="G73" s="116" t="s">
        <v>48</v>
      </c>
    </row>
    <row r="74" spans="1:7" x14ac:dyDescent="0.2">
      <c r="A74" s="39"/>
      <c r="B74" s="135" t="s">
        <v>110</v>
      </c>
      <c r="C74" s="18">
        <v>-5.509918212890625</v>
      </c>
      <c r="D74" s="18">
        <v>-7.7355880737304688</v>
      </c>
      <c r="E74" s="18">
        <v>-9.3208160400390625</v>
      </c>
      <c r="F74" s="18">
        <v>-10.7491455078125</v>
      </c>
      <c r="G74" s="18">
        <v>-11.610519409179688</v>
      </c>
    </row>
    <row r="75" spans="1:7" x14ac:dyDescent="0.2">
      <c r="A75" s="39"/>
      <c r="B75" s="135" t="s">
        <v>111</v>
      </c>
      <c r="C75" s="18">
        <v>-2.3272857666015625</v>
      </c>
      <c r="D75" s="18">
        <v>-3.1960678100585938</v>
      </c>
      <c r="E75" s="18">
        <v>-3.84124755859375</v>
      </c>
      <c r="F75" s="18">
        <v>-4.437347412109375</v>
      </c>
      <c r="G75" s="18">
        <v>-4.8707504272460938</v>
      </c>
    </row>
    <row r="76" spans="1:7" x14ac:dyDescent="0.2">
      <c r="A76" s="39"/>
      <c r="B76" s="135" t="s">
        <v>112</v>
      </c>
      <c r="C76" s="18">
        <v>2.3377532958984375</v>
      </c>
      <c r="D76" s="18">
        <v>3.1748428344726563</v>
      </c>
      <c r="E76" s="18">
        <v>3.8534317016601563</v>
      </c>
      <c r="F76" s="18">
        <v>4.7290725708007813</v>
      </c>
      <c r="G76" s="18">
        <v>5.16644287109375</v>
      </c>
    </row>
    <row r="77" spans="1:7" x14ac:dyDescent="0.2">
      <c r="A77" s="39"/>
      <c r="B77" s="135" t="s">
        <v>113</v>
      </c>
      <c r="C77" s="18">
        <v>5.8120574951171875</v>
      </c>
      <c r="D77" s="18">
        <v>8.1052932739257813</v>
      </c>
      <c r="E77" s="18">
        <v>9.7723388671875</v>
      </c>
      <c r="F77" s="18">
        <v>11.541404724121094</v>
      </c>
      <c r="G77" s="18">
        <v>12.887916564941406</v>
      </c>
    </row>
  </sheetData>
  <phoneticPr fontId="13" type="noConversion"/>
  <pageMargins left="0.7" right="0.7" top="0.75" bottom="0.75" header="0.3" footer="0.3"/>
  <pageSetup paperSize="9" orientation="portrait" r:id="rId1"/>
  <ignoredErrors>
    <ignoredError sqref="X58:Y58 C4:C6 D58 F58:W58 C18:Y20 C5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70C0"/>
  </sheetPr>
  <dimension ref="A1:AY123"/>
  <sheetViews>
    <sheetView topLeftCell="B1" zoomScale="160" zoomScaleNormal="160" workbookViewId="0">
      <selection activeCell="G14" sqref="G14"/>
    </sheetView>
  </sheetViews>
  <sheetFormatPr defaultColWidth="9.28515625" defaultRowHeight="11.25" outlineLevelRow="1" x14ac:dyDescent="0.2"/>
  <cols>
    <col min="1" max="1" width="9.28515625" style="10" customWidth="1"/>
    <col min="2" max="2" width="57.42578125" style="10" customWidth="1"/>
    <col min="3" max="38" width="9.28515625" style="10" customWidth="1"/>
    <col min="39" max="48" width="11.42578125" style="10" bestFit="1" customWidth="1"/>
    <col min="49" max="16384" width="9.28515625" style="10"/>
  </cols>
  <sheetData>
    <row r="1" spans="1:51" ht="24.75" customHeight="1" x14ac:dyDescent="0.2">
      <c r="B1" s="23"/>
    </row>
    <row r="2" spans="1:51" ht="11.25" customHeight="1" x14ac:dyDescent="0.2">
      <c r="B2" s="11"/>
    </row>
    <row r="3" spans="1:51" ht="11.25" customHeight="1" x14ac:dyDescent="0.2">
      <c r="B3" s="3" t="s">
        <v>0</v>
      </c>
      <c r="C3" s="4" t="str">
        <f>'Input data'!C3</f>
        <v>FI</v>
      </c>
    </row>
    <row r="4" spans="1:51" x14ac:dyDescent="0.2">
      <c r="B4" s="43" t="s">
        <v>2</v>
      </c>
      <c r="C4" s="5"/>
    </row>
    <row r="5" spans="1:51" x14ac:dyDescent="0.2">
      <c r="A5" s="13"/>
      <c r="B5" s="6" t="str">
        <f>'Input data'!B5</f>
        <v>Last year before the adjustment</v>
      </c>
      <c r="C5" s="7">
        <f>+'Input data'!C5</f>
        <v>2024</v>
      </c>
    </row>
    <row r="6" spans="1:51" x14ac:dyDescent="0.2">
      <c r="A6" s="13"/>
      <c r="B6" s="44" t="s">
        <v>6</v>
      </c>
      <c r="C6" s="7" t="e">
        <f>+C5+#REF!</f>
        <v>#REF!</v>
      </c>
      <c r="E6" s="24"/>
      <c r="F6" s="13"/>
    </row>
    <row r="7" spans="1:51" x14ac:dyDescent="0.2">
      <c r="A7" s="13"/>
      <c r="B7" s="8"/>
      <c r="C7" s="45"/>
      <c r="E7" s="24"/>
      <c r="F7" s="13"/>
    </row>
    <row r="8" spans="1:51" x14ac:dyDescent="0.2">
      <c r="A8" s="13"/>
      <c r="C8" s="13"/>
      <c r="E8" s="24"/>
      <c r="F8" s="13"/>
    </row>
    <row r="9" spans="1:51" s="46" customFormat="1" ht="12.75" x14ac:dyDescent="0.2">
      <c r="B9" s="9" t="s">
        <v>7</v>
      </c>
    </row>
    <row r="10" spans="1:51" x14ac:dyDescent="0.2">
      <c r="C10" s="15">
        <v>2021</v>
      </c>
      <c r="D10" s="15">
        <v>2022</v>
      </c>
      <c r="E10" s="15">
        <v>2023</v>
      </c>
      <c r="F10" s="15">
        <v>2024</v>
      </c>
      <c r="G10" s="15">
        <v>2025</v>
      </c>
      <c r="H10" s="15">
        <v>2026</v>
      </c>
      <c r="I10" s="15">
        <v>2027</v>
      </c>
      <c r="J10" s="15">
        <v>2028</v>
      </c>
      <c r="K10" s="15">
        <v>2029</v>
      </c>
      <c r="L10" s="15">
        <v>2030</v>
      </c>
      <c r="M10" s="15">
        <v>2031</v>
      </c>
      <c r="N10" s="15">
        <v>2032</v>
      </c>
      <c r="O10" s="15">
        <v>2033</v>
      </c>
      <c r="P10" s="15">
        <v>2034</v>
      </c>
      <c r="Q10" s="15">
        <v>2035</v>
      </c>
      <c r="R10" s="15">
        <v>2036</v>
      </c>
      <c r="S10" s="15">
        <v>2037</v>
      </c>
      <c r="T10" s="15">
        <v>2038</v>
      </c>
      <c r="U10" s="15">
        <v>2039</v>
      </c>
      <c r="V10" s="15">
        <v>2040</v>
      </c>
      <c r="W10" s="15">
        <v>2041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1" x14ac:dyDescent="0.2">
      <c r="B11" s="12" t="s">
        <v>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1" x14ac:dyDescent="0.2">
      <c r="B12" s="10" t="s">
        <v>10</v>
      </c>
      <c r="C12" s="125">
        <f>'Input data'!C13</f>
        <v>-2.1345519999999998</v>
      </c>
      <c r="D12" s="125">
        <f>'Input data'!D13</f>
        <v>0.29205680000000001</v>
      </c>
      <c r="E12" s="139">
        <f>'Input data'!E13</f>
        <v>-0.2445959</v>
      </c>
      <c r="F12" s="139">
        <f>'Input data'!F13</f>
        <v>-0.53010330000000006</v>
      </c>
      <c r="G12" s="125">
        <f>F12</f>
        <v>-0.53010330000000006</v>
      </c>
      <c r="H12" s="125">
        <f t="shared" ref="H12:W12" si="0">G12</f>
        <v>-0.53010330000000006</v>
      </c>
      <c r="I12" s="125">
        <f t="shared" si="0"/>
        <v>-0.53010330000000006</v>
      </c>
      <c r="J12" s="125">
        <f t="shared" si="0"/>
        <v>-0.53010330000000006</v>
      </c>
      <c r="K12" s="125">
        <f t="shared" si="0"/>
        <v>-0.53010330000000006</v>
      </c>
      <c r="L12" s="125">
        <f t="shared" si="0"/>
        <v>-0.53010330000000006</v>
      </c>
      <c r="M12" s="125">
        <f t="shared" si="0"/>
        <v>-0.53010330000000006</v>
      </c>
      <c r="N12" s="125">
        <f t="shared" si="0"/>
        <v>-0.53010330000000006</v>
      </c>
      <c r="O12" s="125">
        <f t="shared" si="0"/>
        <v>-0.53010330000000006</v>
      </c>
      <c r="P12" s="125">
        <f t="shared" si="0"/>
        <v>-0.53010330000000006</v>
      </c>
      <c r="Q12" s="125">
        <f t="shared" si="0"/>
        <v>-0.53010330000000006</v>
      </c>
      <c r="R12" s="125">
        <f t="shared" si="0"/>
        <v>-0.53010330000000006</v>
      </c>
      <c r="S12" s="125">
        <f t="shared" si="0"/>
        <v>-0.53010330000000006</v>
      </c>
      <c r="T12" s="125">
        <f t="shared" si="0"/>
        <v>-0.53010330000000006</v>
      </c>
      <c r="U12" s="1">
        <f t="shared" si="0"/>
        <v>-0.53010330000000006</v>
      </c>
      <c r="V12" s="1">
        <f t="shared" si="0"/>
        <v>-0.53010330000000006</v>
      </c>
      <c r="W12" s="1">
        <f t="shared" si="0"/>
        <v>-0.53010330000000006</v>
      </c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</row>
    <row r="13" spans="1:51" x14ac:dyDescent="0.2">
      <c r="B13" s="10" t="s">
        <v>11</v>
      </c>
      <c r="C13" s="125">
        <f>'Input data'!C14</f>
        <v>0</v>
      </c>
      <c r="D13" s="125">
        <f>'Input data'!D14</f>
        <v>0</v>
      </c>
      <c r="E13" s="139">
        <f>'Input data'!E14</f>
        <v>0</v>
      </c>
      <c r="F13" s="139">
        <f>'Input data'!F14</f>
        <v>0</v>
      </c>
      <c r="G13" s="139">
        <f>'Input data'!G14</f>
        <v>0</v>
      </c>
      <c r="H13" s="139">
        <v>0</v>
      </c>
      <c r="I13" s="139">
        <v>0</v>
      </c>
      <c r="J13" s="139">
        <v>0</v>
      </c>
      <c r="K13" s="139">
        <v>0</v>
      </c>
      <c r="L13" s="139">
        <v>0</v>
      </c>
      <c r="M13" s="139">
        <v>0</v>
      </c>
      <c r="N13" s="139">
        <v>0</v>
      </c>
      <c r="O13" s="139">
        <v>0</v>
      </c>
      <c r="P13" s="139">
        <v>0</v>
      </c>
      <c r="Q13" s="139">
        <v>0</v>
      </c>
      <c r="R13" s="139">
        <v>0</v>
      </c>
      <c r="S13" s="139">
        <v>0</v>
      </c>
      <c r="T13" s="139">
        <v>0</v>
      </c>
      <c r="U13" s="2">
        <v>0</v>
      </c>
      <c r="V13" s="2">
        <v>0</v>
      </c>
      <c r="W13" s="2">
        <v>0</v>
      </c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</row>
    <row r="14" spans="1:51" x14ac:dyDescent="0.2">
      <c r="B14" s="10" t="s">
        <v>49</v>
      </c>
      <c r="C14" s="125">
        <f>'Input data'!C15</f>
        <v>-1.1351690000000001</v>
      </c>
      <c r="D14" s="125">
        <f>'Input data'!D15</f>
        <v>4.8490650000000004</v>
      </c>
      <c r="E14" s="139">
        <f>'Input data'!E15</f>
        <v>2.318794</v>
      </c>
      <c r="F14" s="139">
        <f>'Input data'!F15</f>
        <v>2.6028570000000002</v>
      </c>
      <c r="G14" s="139">
        <f>'Input data'!G15</f>
        <v>1.6620999999999999</v>
      </c>
      <c r="H14" s="139">
        <f>'Input data'!H15</f>
        <v>1.6902729999999999</v>
      </c>
      <c r="I14" s="139">
        <f>'Input data'!I15</f>
        <v>1.702215</v>
      </c>
      <c r="J14" s="139">
        <f>'Input data'!J15</f>
        <v>1.648048</v>
      </c>
      <c r="K14" s="139">
        <f>'Input data'!K15</f>
        <v>1.5813470000000001</v>
      </c>
      <c r="L14" s="139">
        <f>'Input data'!L15</f>
        <v>1.5408029999999999</v>
      </c>
      <c r="M14" s="139">
        <f>'Input data'!M15</f>
        <v>1.5229809999999999</v>
      </c>
      <c r="N14" s="139">
        <f>'Input data'!N15</f>
        <v>1.526135</v>
      </c>
      <c r="O14" s="139">
        <f>'Input data'!O15</f>
        <v>1.3735219999999999</v>
      </c>
      <c r="P14" s="139">
        <f>'Input data'!P15</f>
        <v>1.2209080000000001</v>
      </c>
      <c r="Q14" s="139">
        <f>'Input data'!Q15</f>
        <v>1.068295</v>
      </c>
      <c r="R14" s="139">
        <f>'Input data'!R15</f>
        <v>0.91568099999999997</v>
      </c>
      <c r="S14" s="139">
        <f>'Input data'!S15</f>
        <v>0.76306750000000001</v>
      </c>
      <c r="T14" s="139">
        <f>'Input data'!T15</f>
        <v>0.61045400000000005</v>
      </c>
      <c r="U14" s="2">
        <f>'Input data'!U15</f>
        <v>0.45784049999999998</v>
      </c>
      <c r="V14" s="2">
        <f>'Input data'!V15</f>
        <v>0.30522700000000003</v>
      </c>
      <c r="W14" s="2">
        <f>'Input data'!W15</f>
        <v>0.15261350000000001</v>
      </c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</row>
    <row r="15" spans="1:51" ht="5.65" customHeight="1" x14ac:dyDescent="0.2"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1" ht="11.25" customHeight="1" x14ac:dyDescent="0.2">
      <c r="B16" s="14" t="str">
        <f>'Input data'!B19</f>
        <v>Cost of ageing and selected public revenue (based on the Commission-Council 2024 Ageing Report ("AR 2024"))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s="40"/>
      <c r="B17" s="10" t="s">
        <v>14</v>
      </c>
      <c r="C17" s="125">
        <f>'Input data'!C20</f>
        <v>0</v>
      </c>
      <c r="D17" s="125">
        <f>'Input data'!D20</f>
        <v>23.655849999999997</v>
      </c>
      <c r="E17" s="140">
        <f>'Input data'!E20</f>
        <v>23.83699</v>
      </c>
      <c r="F17" s="140">
        <f>'Input data'!F20</f>
        <v>23.96105</v>
      </c>
      <c r="G17" s="140">
        <f>'Input data'!G20</f>
        <v>23.911249999999999</v>
      </c>
      <c r="H17" s="140">
        <f>'Input data'!H20</f>
        <v>23.909049999999997</v>
      </c>
      <c r="I17" s="140">
        <f>'Input data'!I20</f>
        <v>23.948919999999998</v>
      </c>
      <c r="J17" s="140">
        <f>'Input data'!J20</f>
        <v>24.046380000000003</v>
      </c>
      <c r="K17" s="140">
        <f>'Input data'!K20</f>
        <v>24.15964</v>
      </c>
      <c r="L17" s="140">
        <f>'Input data'!L20</f>
        <v>24.232299999999999</v>
      </c>
      <c r="M17" s="140">
        <f>'Input data'!M20</f>
        <v>24.288240000000002</v>
      </c>
      <c r="N17" s="140">
        <f>'Input data'!N20</f>
        <v>24.322410000000001</v>
      </c>
      <c r="O17" s="140">
        <f>'Input data'!O20</f>
        <v>24.319019999999998</v>
      </c>
      <c r="P17" s="140">
        <f>'Input data'!P20</f>
        <v>24.31607</v>
      </c>
      <c r="Q17" s="140">
        <f>'Input data'!Q20</f>
        <v>24.304599999999997</v>
      </c>
      <c r="R17" s="140">
        <f>'Input data'!R20</f>
        <v>24.277160000000002</v>
      </c>
      <c r="S17" s="140">
        <f>'Input data'!S20</f>
        <v>24.230790000000002</v>
      </c>
      <c r="T17" s="140">
        <f>'Input data'!T20</f>
        <v>24.168680000000002</v>
      </c>
      <c r="U17" s="68">
        <f>'Input data'!U20</f>
        <v>24.092350000000003</v>
      </c>
      <c r="V17" s="68">
        <f>'Input data'!V20</f>
        <v>24.017060000000001</v>
      </c>
      <c r="W17" s="68">
        <f>'Input data'!W20</f>
        <v>23.958480000000002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">
      <c r="A18" s="40"/>
      <c r="B18" s="10" t="str">
        <f>'Input data'!B26</f>
        <v>Property income</v>
      </c>
      <c r="C18" s="125">
        <f>'Input data'!C26</f>
        <v>2.0641180000000001</v>
      </c>
      <c r="D18" s="125">
        <f>'Input data'!D26</f>
        <v>2.1110479999999998</v>
      </c>
      <c r="E18" s="140">
        <f>'Input data'!E26</f>
        <v>2.1176979999999999</v>
      </c>
      <c r="F18" s="140">
        <f>'Input data'!F26</f>
        <v>2.1243479999999999</v>
      </c>
      <c r="G18" s="140">
        <f>'Input data'!G26</f>
        <v>2.1309979999999999</v>
      </c>
      <c r="H18" s="140">
        <f>'Input data'!H26</f>
        <v>2.137648</v>
      </c>
      <c r="I18" s="140">
        <f>'Input data'!I26</f>
        <v>2.1442990000000002</v>
      </c>
      <c r="J18" s="140">
        <f>'Input data'!J26</f>
        <v>2.1509490000000002</v>
      </c>
      <c r="K18" s="140">
        <f>'Input data'!K26</f>
        <v>2.1575989999999998</v>
      </c>
      <c r="L18" s="140">
        <f>'Input data'!L26</f>
        <v>2.1642489999999999</v>
      </c>
      <c r="M18" s="140">
        <f>'Input data'!M26</f>
        <v>2.1708989999999999</v>
      </c>
      <c r="N18" s="140">
        <f>'Input data'!N26</f>
        <v>2.1775500000000001</v>
      </c>
      <c r="O18" s="140">
        <f>'Input data'!O26</f>
        <v>2.1842000000000001</v>
      </c>
      <c r="P18" s="140">
        <f>'Input data'!P26</f>
        <v>2.1908500000000002</v>
      </c>
      <c r="Q18" s="140">
        <f>'Input data'!Q26</f>
        <v>2.1974999999999998</v>
      </c>
      <c r="R18" s="140">
        <f>'Input data'!R26</f>
        <v>2.2041499999999998</v>
      </c>
      <c r="S18" s="140">
        <f>'Input data'!S26</f>
        <v>2.210801</v>
      </c>
      <c r="T18" s="140">
        <f>'Input data'!T26</f>
        <v>2.2174510000000001</v>
      </c>
      <c r="U18" s="68">
        <f>'Input data'!U26</f>
        <v>2.2241010000000001</v>
      </c>
      <c r="V18" s="68">
        <f>'Input data'!V26</f>
        <v>2.2307510000000002</v>
      </c>
      <c r="W18" s="68">
        <f>'Input data'!W26</f>
        <v>2.2374010000000002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"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50" x14ac:dyDescent="0.2">
      <c r="B20" s="12" t="s">
        <v>50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50" ht="10.5" customHeight="1" x14ac:dyDescent="0.2">
      <c r="B21" s="14" t="s">
        <v>51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50" x14ac:dyDescent="0.2">
      <c r="B22" s="10" t="s">
        <v>23</v>
      </c>
      <c r="C22" s="20">
        <f>'Input data'!C31</f>
        <v>230.55600000000001</v>
      </c>
      <c r="D22" s="20">
        <f>C22*(D23/100+1)</f>
        <v>233.63499929652002</v>
      </c>
      <c r="E22" s="141">
        <f>D22*(E23/100+1)</f>
        <v>231.21599858620368</v>
      </c>
      <c r="F22" s="141">
        <f>E22*(F23/100+1)</f>
        <v>231.30753607517994</v>
      </c>
      <c r="G22" s="141">
        <f>F22*(G23/100+1)</f>
        <v>235.14269598094404</v>
      </c>
      <c r="H22" s="20">
        <f>IF(AND(H49&gt;1,G49&gt;1),IF(AND(H49&gt;0,G49&gt;0),H26*(H50/100+1),0)+IF(H49&gt;0,G22*(1+H51/100),0)-G22*(1+'Input data'!H30/100),IF(H49=1,H26,G22*(1+H51/100)))</f>
        <v>238.22373545497797</v>
      </c>
      <c r="I22" s="20">
        <f>IF(AND(I49&gt;1,H49&gt;1),IF(AND(I49&gt;0,H49&gt;0),I26*(I50/100+1),0)+IF(I49&gt;0,H22*(1+I51/100),0)-H22*(1+'Input data'!I30/100),IF(I49=1,I26,H22*(1+I51/100)))</f>
        <v>241.59368415028439</v>
      </c>
      <c r="J22" s="20">
        <f>IF(AND(J49&gt;1,I49&gt;1),IF(AND(J49&gt;0,I49&gt;0),J26*(J50/100+1),0)+IF(J49&gt;0,I22*(1+J51/100),0)-I22*(1+'Input data'!J30/100),IF(J49=1,J26,I22*(1+J51/100)))</f>
        <v>244.12751387777888</v>
      </c>
      <c r="K22" s="20">
        <f>IF(AND(K49&gt;1,J49&gt;1),IF(AND(K49&gt;0,J49&gt;0),K26*(K50/100+1),0)+IF(K49&gt;0,J22*(1+K51/100),0)-J22*(1+'Input data'!K30/100),IF(K49=1,K26,J22*(1+K51/100)))</f>
        <v>245.54682534749168</v>
      </c>
      <c r="L22" s="20">
        <f>IF(AND(L49&gt;1,K49&gt;1),IF(AND(L49&gt;0,K49&gt;0),L26*(L50/100+1),0)+IF(L49&gt;0,K22*(1+L51/100),0)-K22*(1+'Input data'!L30/100),IF(L49=1,L26,K22*(1+L51/100)))</f>
        <v>246.91805654786859</v>
      </c>
      <c r="M22" s="20">
        <f>IF(AND(M49&gt;1,L49&gt;1),IF(AND(M49&gt;0,L49&gt;0),M26*(M50/100+1),0)+IF(M49&gt;0,L22*(1+M51/100),0)-L22*(1+'Input data'!M30/100),IF(M49=1,M26,L22*(1+M51/100)))</f>
        <v>248.36414720804265</v>
      </c>
      <c r="N22" s="20">
        <f>IF(AND(N49&gt;1,M49&gt;1),IF(AND(N49&gt;0,M49&gt;0),N26*(N50/100+1),0)+IF(N49&gt;0,M22*(1+N51/100),0)-M22*(1+'Input data'!N30/100),IF(N49=1,N26,M22*(1+N51/100)))</f>
        <v>249.9990501544068</v>
      </c>
      <c r="O22" s="20">
        <f>IF(AND(O49&gt;1,N49&gt;1),IF(AND(O49&gt;0,N49&gt;0),O26*(O50/100+1),0)+IF(O49&gt;0,N22*(1+O51/100),0)-N22*(1+'Input data'!O30/100),IF(O49=1,O26,N22*(1+O51/100)))</f>
        <v>251.71017090318009</v>
      </c>
      <c r="P22" s="20">
        <f>IF(AND(P49&gt;1,O49&gt;1),IF(AND(P49&gt;0,O49&gt;0),P26*(P50/100+1),0)+IF(P49&gt;0,O22*(1+P51/100),0)-O22*(1+'Input data'!P30/100),IF(P49=1,P26,O22*(1+P51/100)))</f>
        <v>253.95010019555068</v>
      </c>
      <c r="Q22" s="20">
        <f>IF(AND(Q49&gt;1,P49&gt;1),IF(AND(Q49&gt;0,P49&gt;0),Q26*(Q50/100+1),0)+IF(Q49&gt;0,P22*(1+Q51/100),0)-P22*(1+'Input data'!Q30/100),IF(Q49=1,Q26,P22*(1+Q51/100)))</f>
        <v>256.73164103800258</v>
      </c>
      <c r="R22" s="20">
        <f>IF(AND(R49&gt;1,Q49&gt;1),IF(AND(R49&gt;0,Q49&gt;0),R26*(R50/100+1),0)+IF(R49&gt;0,Q22*(1+R51/100),0)-Q22*(1+'Input data'!R30/100),IF(R49=1,R26,Q22*(1+R51/100)))</f>
        <v>260.07105732027316</v>
      </c>
      <c r="S22" s="20">
        <f>IF(AND(S49&gt;1,R49&gt;1),IF(AND(S49&gt;0,R49&gt;0),S26*(S50/100+1),0)+IF(S49&gt;0,R22*(1+S51/100),0)-R22*(1+'Input data'!S30/100),IF(S49=1,S26,R22*(1+S51/100)))</f>
        <v>263.64704736197979</v>
      </c>
      <c r="T22" s="20">
        <f>IF(AND(T49&gt;1,S49&gt;1),IF(AND(T49&gt;0,S49&gt;0),T26*(T50/100+1),0)+IF(T49&gt;0,S22*(1+T51/100),0)-S22*(1+'Input data'!T30/100),IF(T49=1,T26,S22*(1+T51/100)))</f>
        <v>267.40126003877259</v>
      </c>
      <c r="U22" s="18">
        <f>IF(AND(U49&gt;1,T49&gt;1),IF(AND(U49&gt;0,T49&gt;0),U26*(U50/100+1),0)+IF(U49&gt;0,T22*(1+U51/100),0)-T22*(1+'Input data'!U30/100),IF(U49=1,U26,T22*(1+U51/100)))</f>
        <v>271.37495507147798</v>
      </c>
      <c r="V22" s="18">
        <f>IF(AND(V49&gt;1,U49&gt;1),IF(AND(V49&gt;0,U49&gt;0),V26*(V50/100+1),0)+IF(V49&gt;0,U22*(1+V51/100),0)-U22*(1+'Input data'!V30/100),IF(V49=1,V26,U22*(1+V51/100)))</f>
        <v>275.53535566018689</v>
      </c>
      <c r="W22" s="18">
        <f>IF(AND(W49&gt;1,V49&gt;1),IF(AND(W49&gt;0,V49&gt;0),W26*(W50/100+1),0)+IF(W49&gt;0,V22*(1+W51/100),0)-V22*(1+'Input data'!W30/100),IF(W49=1,W26,V22*(1+W51/100)))</f>
        <v>279.63615662453816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</row>
    <row r="23" spans="1:50" x14ac:dyDescent="0.2">
      <c r="A23" s="40"/>
      <c r="B23" s="41" t="s">
        <v>22</v>
      </c>
      <c r="C23" s="20">
        <f>+'Input data'!C30</f>
        <v>2.8381799999999999</v>
      </c>
      <c r="D23" s="20">
        <f>+'Input data'!D30</f>
        <v>1.335467</v>
      </c>
      <c r="E23" s="141">
        <f>+'Input data'!E30</f>
        <v>-1.0353760000000001</v>
      </c>
      <c r="F23" s="141">
        <f>+'Input data'!F30</f>
        <v>3.9589600000000003E-2</v>
      </c>
      <c r="G23" s="141">
        <f>+'Input data'!G30</f>
        <v>1.6580349999999999</v>
      </c>
      <c r="H23" s="20">
        <f>100*(H22/G22-1)</f>
        <v>1.310285000000011</v>
      </c>
      <c r="I23" s="20">
        <f>100*(I22/H22-1)</f>
        <v>1.4146149999999968</v>
      </c>
      <c r="J23" s="20">
        <f t="shared" ref="J23:T23" si="1">100*(J22/I22-1)</f>
        <v>1.0487979999999952</v>
      </c>
      <c r="K23" s="20">
        <f t="shared" si="1"/>
        <v>0.58138119999999738</v>
      </c>
      <c r="L23" s="20">
        <f t="shared" si="1"/>
        <v>0.55843980000001014</v>
      </c>
      <c r="M23" s="20">
        <f t="shared" si="1"/>
        <v>0.58565610000000934</v>
      </c>
      <c r="N23" s="20">
        <f t="shared" si="1"/>
        <v>0.65826849999999215</v>
      </c>
      <c r="O23" s="20">
        <f t="shared" si="1"/>
        <v>0.68445089999999986</v>
      </c>
      <c r="P23" s="20">
        <f t="shared" si="1"/>
        <v>0.88988430000001006</v>
      </c>
      <c r="Q23" s="20">
        <f t="shared" si="1"/>
        <v>1.0953100000000049</v>
      </c>
      <c r="R23" s="20">
        <f t="shared" si="1"/>
        <v>1.3007420000000103</v>
      </c>
      <c r="S23" s="20">
        <f t="shared" si="1"/>
        <v>1.3750050000000069</v>
      </c>
      <c r="T23" s="20">
        <f t="shared" si="1"/>
        <v>1.4239539999999939</v>
      </c>
      <c r="U23" s="18">
        <f>100*(U22/T22-1)</f>
        <v>1.4860419999999985</v>
      </c>
      <c r="V23" s="18">
        <f>100*(V22/U22-1)</f>
        <v>1.5330819999999967</v>
      </c>
      <c r="W23" s="18">
        <f>100*(W22/V22-1)</f>
        <v>1.4883030000000019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5.25" customHeight="1" x14ac:dyDescent="0.2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</row>
    <row r="25" spans="1:50" ht="15" x14ac:dyDescent="0.2">
      <c r="A25" s="120"/>
      <c r="B25" s="14" t="s">
        <v>52</v>
      </c>
      <c r="C25" s="20"/>
      <c r="D25" s="20"/>
      <c r="E25" s="20"/>
      <c r="F25" s="20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50" x14ac:dyDescent="0.2">
      <c r="B26" s="10" t="s">
        <v>23</v>
      </c>
      <c r="C26" s="20">
        <f>'Input data'!C34</f>
        <v>231.15090000000001</v>
      </c>
      <c r="D26" s="20">
        <f>+C26*(1+'Input data'!D33/100)</f>
        <v>233.97713813562902</v>
      </c>
      <c r="E26" s="141">
        <f>+D26*(1+'Input data'!E33/100)</f>
        <v>236.531302768659</v>
      </c>
      <c r="F26" s="141">
        <f>+E26*(1+'Input data'!F33/100)</f>
        <v>238.0217037741894</v>
      </c>
      <c r="G26" s="141">
        <f>+F26*(1+'Input data'!G33/100)</f>
        <v>239.52552870698202</v>
      </c>
      <c r="H26" s="20">
        <f>+G26*(1+'Input data'!H33/100)</f>
        <v>241.16563377590157</v>
      </c>
      <c r="I26" s="20">
        <f>+H26*(1+'Input data'!I33/100)</f>
        <v>242.58008299977581</v>
      </c>
      <c r="J26" s="20">
        <f>+I26*(1+'Input data'!J33/100)</f>
        <v>244.12752876078073</v>
      </c>
      <c r="K26" s="20">
        <f>+J26*(1+'Input data'!K33/100)</f>
        <v>245.54683836400028</v>
      </c>
      <c r="L26" s="20">
        <f>+K26*(1+'Input data'!L33/100)</f>
        <v>246.91806349839558</v>
      </c>
      <c r="M26" s="20">
        <f>+L26*(1+'Input data'!M33/100)</f>
        <v>248.36415543386613</v>
      </c>
      <c r="N26" s="20">
        <f>+M26*(1+'Input data'!N33/100)</f>
        <v>249.99905992456323</v>
      </c>
      <c r="O26" s="20">
        <f>+N26*(1+'Input data'!O33/100)</f>
        <v>251.71018449019431</v>
      </c>
      <c r="P26" s="20">
        <f>+O26*(1+'Input data'!P33/100)</f>
        <v>253.9501091209801</v>
      </c>
      <c r="Q26" s="20">
        <f>+P26*(1+'Input data'!Q33/100)</f>
        <v>256.73165767969641</v>
      </c>
      <c r="R26" s="20">
        <f>+Q26*(1+'Input data'!R33/100)</f>
        <v>260.07107674574905</v>
      </c>
      <c r="S26" s="20">
        <f>+R26*(1+'Input data'!S33/100)</f>
        <v>263.64707745740003</v>
      </c>
      <c r="T26" s="20">
        <f>+S26*(1+'Input data'!T33/100)</f>
        <v>267.40128528979625</v>
      </c>
      <c r="U26" s="18">
        <f>+T26*(1+'Input data'!U33/100)</f>
        <v>271.37498337175526</v>
      </c>
      <c r="V26" s="18">
        <f>+U26*(1+'Input data'!V33/100)</f>
        <v>275.53537353933132</v>
      </c>
      <c r="W26" s="18">
        <f>+V26*(1+'Input data'!W33/100)</f>
        <v>279.63617201442469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</row>
    <row r="27" spans="1:50" ht="5.25" customHeight="1" x14ac:dyDescent="0.2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</row>
    <row r="28" spans="1:50" x14ac:dyDescent="0.2">
      <c r="B28" s="14" t="s">
        <v>53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</row>
    <row r="29" spans="1:50" x14ac:dyDescent="0.2">
      <c r="B29" s="10" t="s">
        <v>53</v>
      </c>
      <c r="C29" s="20">
        <f t="shared" ref="C29:T29" si="2">100*(C22/C26-1)</f>
        <v>-0.25736434510962303</v>
      </c>
      <c r="D29" s="20">
        <f t="shared" si="2"/>
        <v>-0.14622746557002575</v>
      </c>
      <c r="E29" s="141">
        <f t="shared" si="2"/>
        <v>-2.2471884779047602</v>
      </c>
      <c r="F29" s="141">
        <f>100*(F22/F26-1)</f>
        <v>-2.8208216278374221</v>
      </c>
      <c r="G29" s="141">
        <f>100*(G22/G26-1)</f>
        <v>-1.8297977462768067</v>
      </c>
      <c r="H29" s="66">
        <f>100*(H22/H26-1)</f>
        <v>-1.219866311324147</v>
      </c>
      <c r="I29" s="66">
        <f t="shared" si="2"/>
        <v>-0.40662812762428668</v>
      </c>
      <c r="J29" s="20">
        <f t="shared" si="2"/>
        <v>-6.0964045811573442E-6</v>
      </c>
      <c r="K29" s="20">
        <f t="shared" si="2"/>
        <v>-5.3010287937027556E-6</v>
      </c>
      <c r="L29" s="20">
        <f t="shared" si="2"/>
        <v>-2.8149123254550545E-6</v>
      </c>
      <c r="M29" s="20">
        <f t="shared" si="2"/>
        <v>-3.3120010622944562E-6</v>
      </c>
      <c r="N29" s="20">
        <f t="shared" si="2"/>
        <v>-3.9080772618049764E-6</v>
      </c>
      <c r="O29" s="20">
        <f t="shared" si="2"/>
        <v>-5.3978802094789557E-6</v>
      </c>
      <c r="P29" s="20">
        <f t="shared" si="2"/>
        <v>-3.5146389465445793E-6</v>
      </c>
      <c r="Q29" s="20">
        <f t="shared" si="2"/>
        <v>-6.4821354617272675E-6</v>
      </c>
      <c r="R29" s="20">
        <f t="shared" si="2"/>
        <v>-7.4692949825205801E-6</v>
      </c>
      <c r="S29" s="20">
        <f t="shared" si="2"/>
        <v>-1.1415040335194249E-5</v>
      </c>
      <c r="T29" s="20">
        <f t="shared" si="2"/>
        <v>-9.4431197750211027E-6</v>
      </c>
      <c r="U29" s="18">
        <f>100*(U22/U26-1)</f>
        <v>-1.0428476837631706E-5</v>
      </c>
      <c r="V29" s="18">
        <f>100*(V22/V26-1)</f>
        <v>-6.4888744377711305E-6</v>
      </c>
      <c r="W29" s="18">
        <f>100*(W22/W26-1)</f>
        <v>-5.5035392687585727E-6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</row>
    <row r="30" spans="1:50" ht="5.25" customHeight="1" x14ac:dyDescent="0.2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</row>
    <row r="31" spans="1:50" x14ac:dyDescent="0.2">
      <c r="B31" s="14" t="s">
        <v>54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</row>
    <row r="32" spans="1:50" x14ac:dyDescent="0.2">
      <c r="B32" s="10" t="s">
        <v>22</v>
      </c>
      <c r="C32" s="125">
        <f t="shared" ref="C32:W32" si="3">100*((1+C23/100)*(1+C41/100)-1)</f>
        <v>5.3041963643644108</v>
      </c>
      <c r="D32" s="125">
        <f t="shared" si="3"/>
        <v>6.7911638456366497</v>
      </c>
      <c r="E32" s="139">
        <f t="shared" si="3"/>
        <v>3.7125418942078214</v>
      </c>
      <c r="F32" s="139">
        <f t="shared" si="3"/>
        <v>1.8403042135917813</v>
      </c>
      <c r="G32" s="139">
        <f>100*((1+G23/100)*(1+G41/100)-1)</f>
        <v>3.8182296136966887</v>
      </c>
      <c r="H32" s="125">
        <f>100*((1+H23/100)*(1+H41/100)-1)</f>
        <v>3.5169159594865107</v>
      </c>
      <c r="I32" s="125">
        <f t="shared" si="3"/>
        <v>3.6773996940222098</v>
      </c>
      <c r="J32" s="125">
        <f t="shared" si="3"/>
        <v>3.3571074802229539</v>
      </c>
      <c r="K32" s="125">
        <f t="shared" si="3"/>
        <v>2.9324518750875717</v>
      </c>
      <c r="L32" s="125">
        <f t="shared" si="3"/>
        <v>2.9624006718910856</v>
      </c>
      <c r="M32" s="125">
        <f t="shared" si="3"/>
        <v>3.0437085153064425</v>
      </c>
      <c r="N32" s="125">
        <f t="shared" si="3"/>
        <v>3.1715748603416083</v>
      </c>
      <c r="O32" s="125">
        <f t="shared" si="3"/>
        <v>3.2519043979500006</v>
      </c>
      <c r="P32" s="125">
        <f t="shared" si="3"/>
        <v>3.4348316314675165</v>
      </c>
      <c r="Q32" s="125">
        <f t="shared" si="3"/>
        <v>3.6176379845000106</v>
      </c>
      <c r="R32" s="125">
        <f t="shared" si="3"/>
        <v>3.8003378088500073</v>
      </c>
      <c r="S32" s="125">
        <f t="shared" si="3"/>
        <v>3.8485551219999969</v>
      </c>
      <c r="T32" s="125">
        <f t="shared" si="3"/>
        <v>3.8708068902499893</v>
      </c>
      <c r="U32" s="1">
        <f t="shared" si="3"/>
        <v>3.9064841016999807</v>
      </c>
      <c r="V32" s="1">
        <f t="shared" si="3"/>
        <v>3.9267244081499841</v>
      </c>
      <c r="W32" s="1">
        <f t="shared" si="3"/>
        <v>3.8529804599000128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2:51" x14ac:dyDescent="0.2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2:51" x14ac:dyDescent="0.2">
      <c r="B34" s="12" t="s">
        <v>55</v>
      </c>
      <c r="C34" s="32"/>
      <c r="D34" s="32"/>
      <c r="E34" s="160">
        <v>1</v>
      </c>
      <c r="F34" s="161">
        <v>2</v>
      </c>
      <c r="G34" s="161">
        <v>3</v>
      </c>
      <c r="H34" s="161">
        <v>4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2:51" x14ac:dyDescent="0.2">
      <c r="B35" s="10" t="s">
        <v>25</v>
      </c>
      <c r="C35" s="125">
        <f>'Input data'!C37</f>
        <v>0.73297140000000005</v>
      </c>
      <c r="D35" s="125">
        <f>'Input data'!D37</f>
        <v>0.83926920000000005</v>
      </c>
      <c r="E35" s="164">
        <f>'Input data'!E37</f>
        <v>1.5804370000000001</v>
      </c>
      <c r="F35" s="164">
        <f>'Input data'!F37</f>
        <v>1.6625099999999999</v>
      </c>
      <c r="G35" s="164">
        <f>'Input data'!G37</f>
        <v>1.8895660000000001</v>
      </c>
      <c r="H35" s="119">
        <f>H96</f>
        <v>2.0004040156117218</v>
      </c>
      <c r="I35" s="119">
        <f t="shared" ref="I35:W35" si="4">I96</f>
        <v>2.0871486469393683</v>
      </c>
      <c r="J35" s="119">
        <f t="shared" si="4"/>
        <v>2.1648167418849633</v>
      </c>
      <c r="K35" s="119">
        <f t="shared" si="4"/>
        <v>2.2369310539903711</v>
      </c>
      <c r="L35" s="119">
        <f t="shared" si="4"/>
        <v>2.3062364543417102</v>
      </c>
      <c r="M35" s="119">
        <f t="shared" si="4"/>
        <v>2.3726831093821188</v>
      </c>
      <c r="N35" s="119">
        <f t="shared" si="4"/>
        <v>2.4364411615692991</v>
      </c>
      <c r="O35" s="119">
        <f t="shared" si="4"/>
        <v>2.4976264793270038</v>
      </c>
      <c r="P35" s="125">
        <f t="shared" si="4"/>
        <v>2.5533138022917004</v>
      </c>
      <c r="Q35" s="125">
        <f t="shared" si="4"/>
        <v>2.6059527376903731</v>
      </c>
      <c r="R35" s="125">
        <f t="shared" si="4"/>
        <v>2.6558543241958836</v>
      </c>
      <c r="S35" s="125">
        <f t="shared" si="4"/>
        <v>2.7032387952296744</v>
      </c>
      <c r="T35" s="125">
        <f>T96</f>
        <v>2.7482655436019821</v>
      </c>
      <c r="U35" s="1">
        <f t="shared" si="4"/>
        <v>2.7910892046447042</v>
      </c>
      <c r="V35" s="1">
        <f t="shared" si="4"/>
        <v>2.8318500148877472</v>
      </c>
      <c r="W35" s="1">
        <f t="shared" si="4"/>
        <v>2.8707474083716433</v>
      </c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9"/>
    </row>
    <row r="36" spans="2:51" x14ac:dyDescent="0.2">
      <c r="B36" s="16" t="s">
        <v>56</v>
      </c>
      <c r="C36" s="125"/>
      <c r="D36" s="125"/>
      <c r="E36" s="139">
        <f>'Input data'!E39</f>
        <v>3.04</v>
      </c>
      <c r="F36" s="142">
        <f>'Input data'!F39</f>
        <v>2.9418000000000002</v>
      </c>
      <c r="G36" s="142">
        <f>'Input data'!G39</f>
        <v>3.0140359999999999</v>
      </c>
      <c r="H36" s="125">
        <f t="shared" ref="H36:N36" si="5">G36+($O$36-$G$36)/($O$10-$G$10)</f>
        <v>3.041204</v>
      </c>
      <c r="I36" s="125">
        <f t="shared" si="5"/>
        <v>3.0683720000000001</v>
      </c>
      <c r="J36" s="125">
        <f t="shared" si="5"/>
        <v>3.0955400000000002</v>
      </c>
      <c r="K36" s="125">
        <f t="shared" si="5"/>
        <v>3.1227080000000003</v>
      </c>
      <c r="L36" s="125">
        <f t="shared" si="5"/>
        <v>3.1498760000000003</v>
      </c>
      <c r="M36" s="125">
        <f t="shared" si="5"/>
        <v>3.1770440000000004</v>
      </c>
      <c r="N36" s="125">
        <f t="shared" si="5"/>
        <v>3.2042120000000005</v>
      </c>
      <c r="O36" s="143">
        <f>'Input data'!$C$52</f>
        <v>3.2313800000000001</v>
      </c>
      <c r="P36" s="125">
        <f>$O$36+('Input data'!$C$54-'Input data'!$C$52)/20*('Baseline NFPC'!P$10-2033)</f>
        <v>3.2698110000000002</v>
      </c>
      <c r="Q36" s="125">
        <f>$O$36+('Input data'!$C$54-'Input data'!$C$52)/20*('Baseline NFPC'!Q$10-2033)</f>
        <v>3.3082419999999999</v>
      </c>
      <c r="R36" s="125">
        <f>$O$36+('Input data'!$C$54-'Input data'!$C$52)/20*('Baseline NFPC'!R$10-2033)</f>
        <v>3.346673</v>
      </c>
      <c r="S36" s="125">
        <f>$O$36+('Input data'!$C$54-'Input data'!$C$52)/20*('Baseline NFPC'!S$10-2033)</f>
        <v>3.3851040000000001</v>
      </c>
      <c r="T36" s="125">
        <f>$O$36+('Input data'!$C$54-'Input data'!$C$52)/20*('Baseline NFPC'!T$10-2033)</f>
        <v>3.4235350000000002</v>
      </c>
      <c r="U36" s="1">
        <f>$O$36+('Input data'!$C$54-'Input data'!$C$52)/20*('Baseline NFPC'!U$10-2033)</f>
        <v>3.4619660000000003</v>
      </c>
      <c r="V36" s="1">
        <f>$O$36+('Input data'!$C$54-'Input data'!$C$52)/20*('Baseline NFPC'!V$10-2033)</f>
        <v>3.500397</v>
      </c>
      <c r="W36" s="1">
        <f>$O$36+('Input data'!$C$54-'Input data'!$C$52)/20*('Baseline NFPC'!W$10-2033)</f>
        <v>3.5388280000000001</v>
      </c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9"/>
    </row>
    <row r="37" spans="2:51" x14ac:dyDescent="0.2">
      <c r="B37" s="16" t="s">
        <v>57</v>
      </c>
      <c r="C37" s="125"/>
      <c r="D37" s="125"/>
      <c r="E37" s="164">
        <f>'Input data'!E$38</f>
        <v>3.43</v>
      </c>
      <c r="F37" s="159">
        <f>'Input data'!F$38</f>
        <v>3.5642079999999998</v>
      </c>
      <c r="G37" s="142">
        <f>'Input data'!G$38</f>
        <v>2.8163749999999999</v>
      </c>
      <c r="H37" s="125">
        <f>G37+($O$37-$G$37)/($O$10-$G$10)</f>
        <v>2.8050893749999997</v>
      </c>
      <c r="I37" s="125">
        <f t="shared" ref="I37:N37" si="6">H37+($O$37-$G$37)/($O$10-$G$10)</f>
        <v>2.7938037499999995</v>
      </c>
      <c r="J37" s="125">
        <f t="shared" si="6"/>
        <v>2.7825181249999993</v>
      </c>
      <c r="K37" s="125">
        <f t="shared" si="6"/>
        <v>2.7712324999999991</v>
      </c>
      <c r="L37" s="125">
        <f t="shared" si="6"/>
        <v>2.7599468749999989</v>
      </c>
      <c r="M37" s="125">
        <f t="shared" si="6"/>
        <v>2.7486612499999987</v>
      </c>
      <c r="N37" s="125">
        <f t="shared" si="6"/>
        <v>2.7373756249999985</v>
      </c>
      <c r="O37" s="143">
        <f>'Input data'!$C$53</f>
        <v>2.7260900000000001</v>
      </c>
      <c r="P37" s="125">
        <f>$O$37+('Input data'!$C$55-'Input data'!$C$53)/20*('Baseline NFPC'!P$10-2033)</f>
        <v>2.6897855000000002</v>
      </c>
      <c r="Q37" s="125">
        <f>$O$37+('Input data'!$C$55-'Input data'!$C$53)/20*('Baseline NFPC'!Q$10-2033)</f>
        <v>2.6534810000000002</v>
      </c>
      <c r="R37" s="125">
        <f>$O$37+('Input data'!$C$55-'Input data'!$C$53)/20*('Baseline NFPC'!R$10-2033)</f>
        <v>2.6171765000000002</v>
      </c>
      <c r="S37" s="125">
        <f>$O$37+('Input data'!$C$55-'Input data'!$C$53)/20*('Baseline NFPC'!S$10-2033)</f>
        <v>2.5808720000000003</v>
      </c>
      <c r="T37" s="125">
        <f>$O$37+('Input data'!$C$55-'Input data'!$C$53)/20*('Baseline NFPC'!T$10-2033)</f>
        <v>2.5445675000000003</v>
      </c>
      <c r="U37" s="1">
        <f>$O$37+('Input data'!$C$55-'Input data'!$C$53)/20*('Baseline NFPC'!U$10-2033)</f>
        <v>2.5082629999999999</v>
      </c>
      <c r="V37" s="1">
        <f>$O$37+('Input data'!$C$55-'Input data'!$C$53)/20*('Baseline NFPC'!V$10-2033)</f>
        <v>2.4719584999999999</v>
      </c>
      <c r="W37" s="1">
        <f>$O$37+('Input data'!$C$55-'Input data'!$C$53)/20*('Baseline NFPC'!W$10-2033)</f>
        <v>2.435654</v>
      </c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9"/>
    </row>
    <row r="38" spans="2:51" x14ac:dyDescent="0.2">
      <c r="B38" s="10" t="s">
        <v>58</v>
      </c>
      <c r="C38" s="125">
        <v>6.1590999999999998E-3</v>
      </c>
      <c r="D38" s="125">
        <v>4.1645340000000003E-2</v>
      </c>
      <c r="E38" s="125">
        <v>3.9429850000000002E-2</v>
      </c>
      <c r="F38" s="125">
        <v>3.1775579999999998E-2</v>
      </c>
      <c r="G38" s="125">
        <f>IF(OR($C$3="EL",$C$3="CY",$C$3="IE",$C$3="PT"),VLOOKUP($C$3,$B$110:$T$114,MATCH(G$10,$B$110:$T$110,0),0),$F$38+('Input data'!$C$59-$F$38)/($O$10-$F$10)*(G10-$F$10))</f>
        <v>3.2450447777777773E-2</v>
      </c>
      <c r="H38" s="125">
        <f>IF(OR($C$3="EL",$C$3="CY",$C$3="IE",$C$3="PT"),VLOOKUP($C$3,$B$110:$T$114,MATCH(H$10,$B$110:$T$110,0),0),$F$38+('Input data'!$C$59-$F$38)/($O$10-$F$10)*(H10-$F$10))</f>
        <v>3.3125315555555555E-2</v>
      </c>
      <c r="I38" s="125">
        <f>IF(OR($C$3="EL",$C$3="CY",$C$3="IE",$C$3="PT"),VLOOKUP($C$3,$B$110:$T$114,MATCH(I$10,$B$110:$T$110,0),0),$F$38+('Input data'!$C$59-$F$38)/($O$10-$F$10)*(I10-$F$10))</f>
        <v>3.3800183333333331E-2</v>
      </c>
      <c r="J38" s="125">
        <f>IF(OR($C$3="EL",$C$3="CY",$C$3="IE",$C$3="PT"),VLOOKUP($C$3,$B$110:$T$114,MATCH(J$10,$B$110:$T$110,0),0),$F$38+('Input data'!$C$59-$F$38)/($O$10-$F$10)*(J10-$F$10))</f>
        <v>3.4475051111111106E-2</v>
      </c>
      <c r="K38" s="125">
        <f>IF(OR($C$3="EL",$C$3="CY",$C$3="IE",$C$3="PT"),VLOOKUP($C$3,$B$110:$T$114,MATCH(K$10,$B$110:$T$110,0),0),$F$38+('Input data'!$C$59-$F$38)/($O$10-$F$10)*(K10-$F$10))</f>
        <v>3.5149918888888888E-2</v>
      </c>
      <c r="L38" s="125">
        <f>IF(OR($C$3="EL",$C$3="CY",$C$3="IE",$C$3="PT"),VLOOKUP($C$3,$B$110:$T$114,MATCH(L$10,$B$110:$T$110,0),0),$F$38+('Input data'!$C$59-$F$38)/($O$10-$F$10)*(L10-$F$10))</f>
        <v>3.5824786666666664E-2</v>
      </c>
      <c r="M38" s="125">
        <f>IF(OR($C$3="EL",$C$3="CY",$C$3="IE",$C$3="PT"),VLOOKUP($C$3,$B$110:$T$114,MATCH(M$10,$B$110:$T$110,0),0),$F$38+('Input data'!$C$59-$F$38)/($O$10-$F$10)*(M10-$F$10))</f>
        <v>3.6499654444444439E-2</v>
      </c>
      <c r="N38" s="125">
        <f>IF(OR($C$3="EL",$C$3="CY",$C$3="IE",$C$3="PT"),VLOOKUP($C$3,$B$110:$T$114,MATCH(N$10,$B$110:$T$110,0),0),$F$38+('Input data'!$C$59-$F$38)/($O$10-$F$10)*(N10-$F$10))</f>
        <v>3.7174522222222221E-2</v>
      </c>
      <c r="O38" s="143">
        <f>IF(OR($C$3="EL",$C$3="CY",$C$3="IE",$C$3="PT"),VLOOKUP($C$3,$B$110:$T$114,MATCH(O$10,$B$110:$T$110,0),0),'Input data'!$C$59)</f>
        <v>3.7849389999999997E-2</v>
      </c>
      <c r="P38" s="125">
        <f>IF(OR($C$3="EL",$C$3="CY",$C$3="IE",$C$3="PT"),VLOOKUP($C$3,$B$110:$T$114,MATCH(P$10,$B$110:$T$110,0),0),'Input data'!$C$59)</f>
        <v>3.7849389999999997E-2</v>
      </c>
      <c r="Q38" s="125">
        <f>IF(OR($C$3="EL",$C$3="CY",$C$3="IE",$C$3="PT"),VLOOKUP($C$3,$B$110:$T$114,MATCH(Q$10,$B$110:$T$110,0),0),'Input data'!$C$59)</f>
        <v>3.7849389999999997E-2</v>
      </c>
      <c r="R38" s="125">
        <f>IF(OR($C$3="EL",$C$3="CY",$C$3="IE",$C$3="PT"),VLOOKUP($C$3,$B$110:$T$114,MATCH(R$10,$B$110:$T$110,0),0),'Input data'!$C$59)</f>
        <v>3.7849389999999997E-2</v>
      </c>
      <c r="S38" s="125">
        <f>IF(OR($C$3="EL",$C$3="CY",$C$3="IE",$C$3="PT"),VLOOKUP($C$3,$B$110:$T$114,MATCH(S$10,$B$110:$T$110,0),0),'Input data'!$C$59)</f>
        <v>3.7849389999999997E-2</v>
      </c>
      <c r="T38" s="125">
        <f>IF(OR($C$3="EL",$C$3="CY",$C$3="IE",$C$3="PT"),VLOOKUP($C$3,$B$110:$T$114,MATCH(T$10,$B$110:$T$110,0),0),'Input data'!$C$59)</f>
        <v>3.7849389999999997E-2</v>
      </c>
      <c r="U38" s="1">
        <f>IF(OR($C$3="EL",$C$3="CY",$C$3="IE",$C$3="PT"),VLOOKUP($C$3,$B$110:$W$114,MATCH(U$10,$B$110:$W$110,0),0),'Input data'!$C$59)</f>
        <v>3.7849389999999997E-2</v>
      </c>
      <c r="V38" s="1">
        <f>IF(OR($C$3="EL",$C$3="CY",$C$3="IE",$C$3="PT"),VLOOKUP($C$3,$B$110:$W$114,MATCH(V$10,$B$110:$W$110,0),0),'Input data'!$C$59)</f>
        <v>3.7849389999999997E-2</v>
      </c>
      <c r="W38" s="1">
        <f>IF(OR($C$3="EL",$C$3="CY",$C$3="IE",$C$3="PT"),VLOOKUP($C$3,$B$110:$W$114,MATCH(W$10,$B$110:$W$110,0),0),'Input data'!$C$59)</f>
        <v>3.7849389999999997E-2</v>
      </c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9"/>
    </row>
    <row r="39" spans="2:51" x14ac:dyDescent="0.2"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"/>
      <c r="V39" s="1"/>
      <c r="W39" s="1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9"/>
    </row>
    <row r="40" spans="2:51" x14ac:dyDescent="0.2">
      <c r="B40" s="12" t="s">
        <v>59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"/>
      <c r="V40" s="1"/>
      <c r="W40" s="1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9"/>
    </row>
    <row r="41" spans="2:51" x14ac:dyDescent="0.2">
      <c r="B41" s="10" t="s">
        <v>28</v>
      </c>
      <c r="C41" s="125">
        <f>'Input data'!C42</f>
        <v>2.397958</v>
      </c>
      <c r="D41" s="125">
        <f>'Input data'!D42</f>
        <v>5.3837979999999996</v>
      </c>
      <c r="E41" s="139">
        <f>'Input data'!E42</f>
        <v>4.7975909999999997</v>
      </c>
      <c r="F41" s="139">
        <f>'Input data'!F42</f>
        <v>1.8000020000000001</v>
      </c>
      <c r="G41" s="139">
        <f>'Input data'!G42</f>
        <v>2.124962</v>
      </c>
      <c r="H41" s="125">
        <f t="shared" ref="H41:N41" si="7">$G$41+($O$41-$G$41)/($O$10-$G$10)*(H10-$G$10)</f>
        <v>2.1780917500000001</v>
      </c>
      <c r="I41" s="125">
        <f t="shared" si="7"/>
        <v>2.2312215000000002</v>
      </c>
      <c r="J41" s="125">
        <f t="shared" si="7"/>
        <v>2.2843512499999998</v>
      </c>
      <c r="K41" s="125">
        <f t="shared" si="7"/>
        <v>2.3374809999999999</v>
      </c>
      <c r="L41" s="125">
        <f t="shared" si="7"/>
        <v>2.39061075</v>
      </c>
      <c r="M41" s="125">
        <f t="shared" si="7"/>
        <v>2.4437404999999996</v>
      </c>
      <c r="N41" s="125">
        <f t="shared" si="7"/>
        <v>2.4968702499999997</v>
      </c>
      <c r="O41" s="143">
        <f>'Input data'!$C$61</f>
        <v>2.5499999999999998</v>
      </c>
      <c r="P41" s="125">
        <f>$O$41+('Input data'!$C$62-'Input data'!$C$61)/20*(P$10-2033)</f>
        <v>2.5225</v>
      </c>
      <c r="Q41" s="125">
        <f>$O$41+('Input data'!$C$62-'Input data'!$C$61)/20*(Q$10-2033)</f>
        <v>2.4949999999999997</v>
      </c>
      <c r="R41" s="125">
        <f>$O$41+('Input data'!$C$62-'Input data'!$C$61)/20*(R$10-2033)</f>
        <v>2.4674999999999998</v>
      </c>
      <c r="S41" s="125">
        <f>$O$41+('Input data'!$C$62-'Input data'!$C$61)/20*(S$10-2033)</f>
        <v>2.44</v>
      </c>
      <c r="T41" s="125">
        <f>$O$41+('Input data'!$C$62-'Input data'!$C$61)/20*(T$10-2033)</f>
        <v>2.4124999999999996</v>
      </c>
      <c r="U41" s="1">
        <f>$O$41+('Input data'!$C$62-'Input data'!$C$61)/20*(U$10-2033)</f>
        <v>2.3849999999999998</v>
      </c>
      <c r="V41" s="1">
        <f>$O$41+('Input data'!$C$62-'Input data'!$C$61)/20*(V$10-2033)</f>
        <v>2.3574999999999999</v>
      </c>
      <c r="W41" s="1">
        <f>$O$41+('Input data'!$C$62-'Input data'!$C$61)/20*(W$10-2033)</f>
        <v>2.33</v>
      </c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9"/>
    </row>
    <row r="42" spans="2:51" x14ac:dyDescent="0.2">
      <c r="B42" s="10" t="s">
        <v>60</v>
      </c>
      <c r="C42" s="125">
        <v>0.99918229999999997</v>
      </c>
      <c r="D42" s="125">
        <v>1.0048170000000001</v>
      </c>
      <c r="E42" s="125">
        <v>0.99943179999999998</v>
      </c>
      <c r="F42" s="125">
        <v>1.0001910000000001</v>
      </c>
      <c r="G42" s="125">
        <v>1.000102</v>
      </c>
      <c r="H42" s="125">
        <v>1</v>
      </c>
      <c r="I42" s="125">
        <v>1</v>
      </c>
      <c r="J42" s="125">
        <v>1</v>
      </c>
      <c r="K42" s="125">
        <v>1</v>
      </c>
      <c r="L42" s="125">
        <v>1</v>
      </c>
      <c r="M42" s="125">
        <v>1</v>
      </c>
      <c r="N42" s="125">
        <v>1</v>
      </c>
      <c r="O42" s="125">
        <v>1</v>
      </c>
      <c r="P42" s="125">
        <v>1</v>
      </c>
      <c r="Q42" s="125">
        <v>1</v>
      </c>
      <c r="R42" s="125">
        <v>1</v>
      </c>
      <c r="S42" s="125">
        <v>1</v>
      </c>
      <c r="T42" s="125">
        <v>1</v>
      </c>
      <c r="U42" s="1">
        <v>1</v>
      </c>
      <c r="V42" s="1">
        <v>1</v>
      </c>
      <c r="W42" s="1">
        <v>1</v>
      </c>
      <c r="X42" s="1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39"/>
    </row>
    <row r="43" spans="2:51" x14ac:dyDescent="0.2">
      <c r="C43" s="20"/>
    </row>
    <row r="44" spans="2:51" s="46" customFormat="1" ht="12.75" x14ac:dyDescent="0.2">
      <c r="B44" s="50" t="s">
        <v>61</v>
      </c>
      <c r="C44" s="51"/>
    </row>
    <row r="45" spans="2:51" x14ac:dyDescent="0.2">
      <c r="C45" s="20"/>
    </row>
    <row r="46" spans="2:51" x14ac:dyDescent="0.2">
      <c r="B46" s="33" t="s">
        <v>30</v>
      </c>
      <c r="C46" s="34">
        <f>'Input data'!C49</f>
        <v>0.75</v>
      </c>
    </row>
    <row r="47" spans="2:51" x14ac:dyDescent="0.2">
      <c r="B47" s="35" t="s">
        <v>131</v>
      </c>
      <c r="C47" s="36">
        <f>'Input data'!C50</f>
        <v>0.58199999999999996</v>
      </c>
    </row>
    <row r="48" spans="2:51" x14ac:dyDescent="0.2">
      <c r="C48" s="37"/>
    </row>
    <row r="49" spans="2:48" outlineLevel="1" x14ac:dyDescent="0.2">
      <c r="B49" s="10" t="s">
        <v>62</v>
      </c>
      <c r="C49" s="18"/>
      <c r="D49" s="18">
        <f>IF(AND(ABS((D12-C12)-('Input data'!D13-'Input data'!C13))&gt;0.0001,ABS(D12-C12)&gt;0.0001,D$10&gt;$C$5),4,IF(C49=4,3,IF(C49=3,2,IF(C49=2,1,0))))</f>
        <v>0</v>
      </c>
      <c r="E49" s="18">
        <f>IF(AND(ABS((E12-D12)-('Input data'!E13-'Input data'!D13))&gt;0.0001,ABS(E12-D12)&gt;0.0001,E$10&gt;$C$5),4,IF(D49=4,3,IF(D49=3,2,IF(D49=2,1,0))))</f>
        <v>0</v>
      </c>
      <c r="F49" s="18">
        <f>IF(AND(ABS((F12-E12)-('Input data'!F13-'Input data'!E13))&gt;0.0001,ABS(F12-E12)&gt;0.0001,F$10&gt;$C$5),4,IF(E49=4,3,IF(E49=3,2,IF(E49=2,1,0))))</f>
        <v>0</v>
      </c>
      <c r="G49" s="18">
        <f>IF(AND(ABS((G12-F12)-('Input data'!G13-'Input data'!F13))&gt;0.0001,ABS(G12-F12)&gt;0.0001,G$10&gt;$C$5),4,IF(F49=4,3,IF(F49=3,2,IF(F49=2,1,0))))</f>
        <v>0</v>
      </c>
      <c r="H49" s="18">
        <f>IF(AND(ABS((H12-G12)-('Input data'!H13-'Input data'!G13))&gt;0.0001,ABS(H12-G12)&gt;0.0001,H$10&gt;$C$5),4,IF(G49=4,3,IF(G49=3,2,IF(G49=2,1,0))))</f>
        <v>0</v>
      </c>
      <c r="I49" s="18">
        <f>IF(AND(ABS((I12-H12)-('Input data'!I13-'Input data'!H13))&gt;0.0001,ABS(I12-H12)&gt;0.0001,I$10&gt;$C$5),4,IF(H49=4,3,IF(H49=3,2,IF(H49=2,1,0))))</f>
        <v>0</v>
      </c>
      <c r="J49" s="18">
        <f>IF(AND(ABS((J12-I12)-('Input data'!J13-'Input data'!I13))&gt;0.0001,ABS(J12-I12)&gt;0.0001,J$10&gt;$C$5),4,IF(I49=4,3,IF(I49=3,2,IF(I49=2,1,0))))</f>
        <v>0</v>
      </c>
      <c r="K49" s="18">
        <f>IF(AND(ABS((K12-J12)-('Input data'!K13-'Input data'!J13))&gt;0.0001,ABS(K12-J12)&gt;0.0001,K$10&gt;$C$5),4,IF(J49=4,3,IF(J49=3,2,IF(J49=2,1,0))))</f>
        <v>0</v>
      </c>
      <c r="L49" s="18">
        <f>IF(AND(ABS((L12-K12)-('Input data'!L13-'Input data'!K13))&gt;0.0001,ABS(L12-K12)&gt;0.0001,L$10&gt;$C$5),4,IF(K49=4,3,IF(K49=3,2,IF(K49=2,1,0))))</f>
        <v>0</v>
      </c>
      <c r="M49" s="18">
        <f>IF(AND(ABS((M12-L12)-('Input data'!M13-'Input data'!L13))&gt;0.0001,ABS(M12-L12)&gt;0.0001,M$10&gt;$C$5),4,IF(L49=4,3,IF(L49=3,2,IF(L49=2,1,0))))</f>
        <v>0</v>
      </c>
      <c r="N49" s="18">
        <f>IF(AND(ABS((N12-M12)-('Input data'!N13-'Input data'!M13))&gt;0.0001,ABS(N12-M12)&gt;0.0001,N$10&gt;$C$5),4,IF(M49=4,3,IF(M49=3,2,IF(M49=2,1,0))))</f>
        <v>0</v>
      </c>
      <c r="O49" s="18">
        <f>IF(AND(ABS((O12-N12)-('Input data'!O13-'Input data'!N13))&gt;0.0001,ABS(O12-N12)&gt;0.0001,O$10&gt;$C$5),4,IF(N49=4,3,IF(N49=3,2,IF(N49=2,1,0))))</f>
        <v>0</v>
      </c>
      <c r="P49" s="18">
        <f>IF(AND(ABS((P12-O12)-('Input data'!P13-'Input data'!O13))&gt;0.0001,ABS(P12-O12)&gt;0.0001,P$10&gt;$C$5),4,IF(O49=4,3,IF(O49=3,2,IF(O49=2,1,0))))</f>
        <v>0</v>
      </c>
      <c r="Q49" s="18">
        <f>IF(AND(ABS((Q12-P12)-('Input data'!Q13-'Input data'!P13))&gt;0.0001,ABS(Q12-P12)&gt;0.0001,Q$10&gt;$C$5),4,IF(P49=4,3,IF(P49=3,2,IF(P49=2,1,0))))</f>
        <v>0</v>
      </c>
      <c r="R49" s="18">
        <f>IF(AND(ABS((R12-Q12)-('Input data'!R13-'Input data'!Q13))&gt;0.0001,ABS(R12-Q12)&gt;0.0001,R$10&gt;$C$5),4,IF(Q49=4,3,IF(Q49=3,2,IF(Q49=2,1,0))))</f>
        <v>0</v>
      </c>
      <c r="S49" s="18">
        <f>IF(AND(ABS((S12-R12)-('Input data'!S13-'Input data'!R13))&gt;0.0001,ABS(S12-R12)&gt;0.0001,S$10&gt;$C$5),4,IF(R49=4,3,IF(R49=3,2,IF(R49=2,1,0))))</f>
        <v>0</v>
      </c>
      <c r="T49" s="18">
        <f>IF(AND(ABS((T12-S12)-('Input data'!T13-'Input data'!S13))&gt;0.0001,ABS(T12-S12)&gt;0.0001,T$10&gt;$C$5),4,IF(S49=4,3,IF(S49=3,2,IF(S49=2,1,0))))</f>
        <v>0</v>
      </c>
      <c r="U49" s="18">
        <f>IF(AND(ABS((U12-T12)-('Input data'!U13-'Input data'!T13))&gt;0.0001,ABS(U12-T12)&gt;0.0001,U$10&gt;$C$5),4,IF(T49=4,3,IF(T49=3,2,IF(T49=2,1,0))))</f>
        <v>0</v>
      </c>
      <c r="V49" s="18">
        <f>IF(AND(ABS((V12-U12)-('Input data'!V13-'Input data'!U13))&gt;0.0001,ABS(V12-U12)&gt;0.0001,V$10&gt;$C$5),4,IF(U49=4,3,IF(U49=3,2,IF(U49=2,1,0))))</f>
        <v>0</v>
      </c>
      <c r="W49" s="18">
        <f>IF(AND(ABS((W12-V12)-('Input data'!W13-'Input data'!V13))&gt;0.0001,ABS(W12-V12)&gt;0.0001,W$10&gt;$C$5),4,IF(V49=4,3,IF(V49=3,2,IF(V49=2,1,0))))</f>
        <v>0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</row>
    <row r="50" spans="2:48" outlineLevel="1" x14ac:dyDescent="0.2">
      <c r="B50" s="10" t="s">
        <v>63</v>
      </c>
      <c r="C50" s="18"/>
      <c r="D50" s="18">
        <f t="shared" ref="D50:W50" si="8">IF(C49=4,2/3*C29,IF(C49=3,1/3*B29,0))</f>
        <v>0</v>
      </c>
      <c r="E50" s="18">
        <f t="shared" si="8"/>
        <v>0</v>
      </c>
      <c r="F50" s="18">
        <f t="shared" si="8"/>
        <v>0</v>
      </c>
      <c r="G50" s="18">
        <f t="shared" si="8"/>
        <v>0</v>
      </c>
      <c r="H50" s="18">
        <f t="shared" si="8"/>
        <v>0</v>
      </c>
      <c r="I50" s="18">
        <f t="shared" si="8"/>
        <v>0</v>
      </c>
      <c r="J50" s="18">
        <f t="shared" si="8"/>
        <v>0</v>
      </c>
      <c r="K50" s="18">
        <f t="shared" si="8"/>
        <v>0</v>
      </c>
      <c r="L50" s="18">
        <f t="shared" si="8"/>
        <v>0</v>
      </c>
      <c r="M50" s="18">
        <f t="shared" si="8"/>
        <v>0</v>
      </c>
      <c r="N50" s="18">
        <f t="shared" si="8"/>
        <v>0</v>
      </c>
      <c r="O50" s="18">
        <f t="shared" si="8"/>
        <v>0</v>
      </c>
      <c r="P50" s="18">
        <f t="shared" si="8"/>
        <v>0</v>
      </c>
      <c r="Q50" s="18">
        <f t="shared" si="8"/>
        <v>0</v>
      </c>
      <c r="R50" s="18">
        <f t="shared" si="8"/>
        <v>0</v>
      </c>
      <c r="S50" s="18">
        <f t="shared" si="8"/>
        <v>0</v>
      </c>
      <c r="T50" s="18">
        <f t="shared" si="8"/>
        <v>0</v>
      </c>
      <c r="U50" s="18">
        <f t="shared" si="8"/>
        <v>0</v>
      </c>
      <c r="V50" s="18">
        <f t="shared" si="8"/>
        <v>0</v>
      </c>
      <c r="W50" s="18">
        <f t="shared" si="8"/>
        <v>0</v>
      </c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</row>
    <row r="51" spans="2:48" outlineLevel="1" x14ac:dyDescent="0.2">
      <c r="B51" s="10" t="s">
        <v>64</v>
      </c>
      <c r="C51" s="18"/>
      <c r="D51" s="18">
        <f>'Input data'!D30-$C$46*((D12-C12)-('Input data'!D13-'Input data'!C13))</f>
        <v>1.335467</v>
      </c>
      <c r="E51" s="18">
        <f>'Input data'!E30-$C$46*((E12-D12)-('Input data'!E13-'Input data'!D13))</f>
        <v>-1.0353760000000001</v>
      </c>
      <c r="F51" s="18">
        <f>'Input data'!F30-$C$46*((F12-E12)-('Input data'!F13-'Input data'!E13))</f>
        <v>3.9589600000000003E-2</v>
      </c>
      <c r="G51" s="18">
        <f>'Input data'!G30-$C$46*((G12-F12)-('Input data'!G13-'Input data'!F13))</f>
        <v>2.0556124750000002</v>
      </c>
      <c r="H51" s="18">
        <f>'Input data'!H30-$C$46*((H12-G12))</f>
        <v>1.3102849999999999</v>
      </c>
      <c r="I51" s="18">
        <f>'Input data'!I30-$C$46*((I12-H12))</f>
        <v>1.414615</v>
      </c>
      <c r="J51" s="18">
        <f>'Input data'!J30-$C$46*((J12-I12))</f>
        <v>1.0487979999999999</v>
      </c>
      <c r="K51" s="18">
        <f>'Input data'!K30-$C$46*((K12-J12))</f>
        <v>0.58138120000000004</v>
      </c>
      <c r="L51" s="18">
        <f>'Input data'!L30-$C$46*((L12-K12))</f>
        <v>0.55843980000000004</v>
      </c>
      <c r="M51" s="18">
        <f>'Input data'!M30-$C$46*((M12-L12))</f>
        <v>0.58565610000000001</v>
      </c>
      <c r="N51" s="18">
        <f>'Input data'!N30-$C$46*((N12-M12))</f>
        <v>0.65826850000000003</v>
      </c>
      <c r="O51" s="18">
        <f>'Input data'!O30-$C$46*((O12-N12))</f>
        <v>0.68445089999999997</v>
      </c>
      <c r="P51" s="18">
        <f>'Input data'!P30-$C$46*((P12-O12))</f>
        <v>0.88988429999999996</v>
      </c>
      <c r="Q51" s="18">
        <f>'Input data'!Q30-$C$46*((Q12-P12))</f>
        <v>1.09531</v>
      </c>
      <c r="R51" s="18">
        <f>'Input data'!R30-$C$46*((R12-Q12))</f>
        <v>1.3007420000000001</v>
      </c>
      <c r="S51" s="18">
        <f>'Input data'!S30-$C$46*((S12-R12))</f>
        <v>1.375005</v>
      </c>
      <c r="T51" s="18">
        <f>'Input data'!T30-$C$46*((T12-S12))</f>
        <v>1.4239539999999999</v>
      </c>
      <c r="U51" s="18">
        <f>'Input data'!U30-$C$46*((U12-T12))</f>
        <v>1.4860420000000001</v>
      </c>
      <c r="V51" s="18">
        <f>'Input data'!V30-$C$46*((V12-U12))</f>
        <v>1.5330820000000001</v>
      </c>
      <c r="W51" s="18">
        <f>'Input data'!W30-$C$46*((W12-V12))</f>
        <v>1.4883029999999999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</row>
    <row r="52" spans="2:48" x14ac:dyDescent="0.2">
      <c r="C52" s="20"/>
    </row>
    <row r="53" spans="2:48" s="46" customFormat="1" ht="12.75" outlineLevel="1" x14ac:dyDescent="0.2">
      <c r="B53" s="47" t="s">
        <v>65</v>
      </c>
      <c r="C53" s="48"/>
      <c r="E53" s="49"/>
      <c r="F53" s="48"/>
    </row>
    <row r="54" spans="2:48" outlineLevel="1" x14ac:dyDescent="0.2">
      <c r="B54" s="24"/>
      <c r="C54" s="13"/>
      <c r="E54" s="25"/>
      <c r="F54" s="13"/>
    </row>
    <row r="55" spans="2:48" outlineLevel="1" x14ac:dyDescent="0.2">
      <c r="B55" s="56"/>
      <c r="C55" s="57">
        <v>2021</v>
      </c>
      <c r="D55" s="57">
        <v>2022</v>
      </c>
      <c r="E55" s="57">
        <v>2023</v>
      </c>
      <c r="F55" s="57">
        <v>2024</v>
      </c>
      <c r="G55" s="57">
        <v>2025</v>
      </c>
      <c r="H55" s="57">
        <v>2026</v>
      </c>
      <c r="I55" s="57">
        <v>2027</v>
      </c>
      <c r="J55" s="57">
        <v>2028</v>
      </c>
      <c r="K55" s="57">
        <v>2029</v>
      </c>
      <c r="L55" s="57">
        <v>2030</v>
      </c>
      <c r="M55" s="57">
        <v>2031</v>
      </c>
      <c r="N55" s="57">
        <v>2032</v>
      </c>
      <c r="O55" s="57">
        <v>2033</v>
      </c>
      <c r="P55" s="57">
        <v>2034</v>
      </c>
      <c r="Q55" s="57">
        <v>2035</v>
      </c>
      <c r="R55" s="57">
        <v>2036</v>
      </c>
      <c r="S55" s="57">
        <v>2037</v>
      </c>
      <c r="T55" s="57">
        <v>2038</v>
      </c>
      <c r="U55" s="57">
        <v>2039</v>
      </c>
      <c r="V55" s="57">
        <v>2040</v>
      </c>
      <c r="W55" s="57">
        <v>2041</v>
      </c>
    </row>
    <row r="56" spans="2:48" ht="10.5" customHeight="1" outlineLevel="1" x14ac:dyDescent="0.2">
      <c r="B56" s="58" t="s">
        <v>66</v>
      </c>
      <c r="C56" s="26">
        <f>+'Input data'!C12</f>
        <v>72.584819999999993</v>
      </c>
      <c r="D56" s="26">
        <f>+C56+D57</f>
        <v>73.511610584961744</v>
      </c>
      <c r="E56" s="26">
        <f t="shared" ref="E56:T56" si="9">+D56+E57</f>
        <v>75.830716179102311</v>
      </c>
      <c r="F56" s="26">
        <f>+E56+F57</f>
        <v>80.48745186650369</v>
      </c>
      <c r="G56" s="26">
        <f>+F56+G57</f>
        <v>82.200968454836797</v>
      </c>
      <c r="H56" s="26">
        <f t="shared" si="9"/>
        <v>83.861771395756733</v>
      </c>
      <c r="I56" s="26">
        <f t="shared" si="9"/>
        <v>85.012356326105916</v>
      </c>
      <c r="J56" s="26">
        <f t="shared" si="9"/>
        <v>86.268567944088318</v>
      </c>
      <c r="K56" s="26">
        <f t="shared" si="9"/>
        <v>87.962438382725793</v>
      </c>
      <c r="L56" s="26">
        <f t="shared" si="9"/>
        <v>89.704123654275037</v>
      </c>
      <c r="M56" s="26">
        <f t="shared" si="9"/>
        <v>91.453691470839715</v>
      </c>
      <c r="N56" s="26">
        <f t="shared" si="9"/>
        <v>93.166450380361766</v>
      </c>
      <c r="O56" s="26">
        <f t="shared" si="9"/>
        <v>94.687595367764587</v>
      </c>
      <c r="P56" s="26">
        <f t="shared" si="9"/>
        <v>95.920156738065046</v>
      </c>
      <c r="Q56" s="26">
        <f t="shared" si="9"/>
        <v>96.852426994594637</v>
      </c>
      <c r="R56" s="26">
        <f>+Q56+R57</f>
        <v>97.466646547257554</v>
      </c>
      <c r="S56" s="26">
        <f t="shared" si="9"/>
        <v>97.8681789277218</v>
      </c>
      <c r="T56" s="26">
        <f t="shared" si="9"/>
        <v>98.06559832847374</v>
      </c>
      <c r="U56" s="26">
        <f>+T56+U57</f>
        <v>98.032399893046119</v>
      </c>
      <c r="V56" s="26">
        <f>+U56+V57</f>
        <v>97.784563645315032</v>
      </c>
      <c r="W56" s="26">
        <f>+V56+W57</f>
        <v>97.426822190042984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</row>
    <row r="57" spans="2:48" outlineLevel="1" x14ac:dyDescent="0.2">
      <c r="B57" s="59" t="s">
        <v>67</v>
      </c>
      <c r="C57" s="27"/>
      <c r="D57" s="27">
        <f>-D58+D66+D71</f>
        <v>0.92679058496175504</v>
      </c>
      <c r="E57" s="27">
        <f t="shared" ref="E57:T57" si="10">-E58+E66+E71</f>
        <v>2.3191055941405705</v>
      </c>
      <c r="F57" s="27">
        <f>-F58+F66+F71</f>
        <v>4.6567356874013797</v>
      </c>
      <c r="G57" s="27">
        <f>-G58+G66+G71</f>
        <v>1.7135165883331003</v>
      </c>
      <c r="H57" s="27">
        <f t="shared" si="10"/>
        <v>1.6608029409199319</v>
      </c>
      <c r="I57" s="27">
        <f t="shared" si="10"/>
        <v>1.1505849303491766</v>
      </c>
      <c r="J57" s="27">
        <f t="shared" si="10"/>
        <v>1.2562116179824012</v>
      </c>
      <c r="K57" s="27">
        <f t="shared" si="10"/>
        <v>1.6938704386374732</v>
      </c>
      <c r="L57" s="27">
        <f t="shared" si="10"/>
        <v>1.7416852715492377</v>
      </c>
      <c r="M57" s="27">
        <f t="shared" si="10"/>
        <v>1.7495678165646824</v>
      </c>
      <c r="N57" s="27">
        <f t="shared" si="10"/>
        <v>1.7127589095220499</v>
      </c>
      <c r="O57" s="27">
        <f t="shared" si="10"/>
        <v>1.5211449874028138</v>
      </c>
      <c r="P57" s="27">
        <f t="shared" si="10"/>
        <v>1.2325613703004552</v>
      </c>
      <c r="Q57" s="27">
        <f t="shared" si="10"/>
        <v>0.93227025652959084</v>
      </c>
      <c r="R57" s="27">
        <f>-R58+R66+R71</f>
        <v>0.61421955266292116</v>
      </c>
      <c r="S57" s="27">
        <f t="shared" si="10"/>
        <v>0.40153238046424511</v>
      </c>
      <c r="T57" s="27">
        <f t="shared" si="10"/>
        <v>0.1974194007519372</v>
      </c>
      <c r="U57" s="27">
        <f>-U58+U66+U71</f>
        <v>-3.3198435427616468E-2</v>
      </c>
      <c r="V57" s="27">
        <f>-V58+V66+V71</f>
        <v>-0.24783624773108848</v>
      </c>
      <c r="W57" s="27">
        <f>-W58+W66+W71</f>
        <v>-0.35774145527204398</v>
      </c>
    </row>
    <row r="58" spans="2:48" outlineLevel="1" x14ac:dyDescent="0.2">
      <c r="B58" s="55" t="s">
        <v>68</v>
      </c>
      <c r="C58" s="28"/>
      <c r="D58" s="28">
        <f>D59+D60-D61-D62-D63-D64-D65</f>
        <v>0.20695241503824502</v>
      </c>
      <c r="E58" s="157">
        <f>E59+E60-E61-E62-E63-E64-E65</f>
        <v>-1.5524595941405703</v>
      </c>
      <c r="F58" s="157">
        <f>F59+F60-F61-F62-F63-F64-F65</f>
        <v>-2.1718214874013797</v>
      </c>
      <c r="G58" s="28">
        <f t="shared" ref="G58:T58" si="11">G59+G60-G61-G62-G63-G64-G65</f>
        <v>-1.5385955883331004</v>
      </c>
      <c r="H58" s="28">
        <f t="shared" si="11"/>
        <v>-1.1747654931906504</v>
      </c>
      <c r="I58" s="28">
        <f t="shared" si="11"/>
        <v>-0.73467987027733195</v>
      </c>
      <c r="J58" s="28">
        <f t="shared" si="11"/>
        <v>-0.58883584810746858</v>
      </c>
      <c r="K58" s="28">
        <f t="shared" si="11"/>
        <v>-0.69544538519875743</v>
      </c>
      <c r="L58" s="28">
        <f t="shared" si="11"/>
        <v>-0.7614539382789719</v>
      </c>
      <c r="M58" s="28">
        <f t="shared" si="11"/>
        <v>-0.81074422758461995</v>
      </c>
      <c r="N58" s="28">
        <f t="shared" si="11"/>
        <v>-0.83826357450096745</v>
      </c>
      <c r="O58" s="28">
        <f t="shared" si="11"/>
        <v>-0.82822444156627983</v>
      </c>
      <c r="P58" s="28">
        <f t="shared" si="11"/>
        <v>-0.81862334551986637</v>
      </c>
      <c r="Q58" s="28">
        <f t="shared" si="11"/>
        <v>-0.80050507260283577</v>
      </c>
      <c r="R58" s="28">
        <f t="shared" si="11"/>
        <v>-0.7664156471296818</v>
      </c>
      <c r="S58" s="28">
        <f t="shared" si="11"/>
        <v>-0.71339694355347738</v>
      </c>
      <c r="T58" s="28">
        <f t="shared" si="11"/>
        <v>-0.64463579589571074</v>
      </c>
      <c r="U58" s="28">
        <f>U59+U60-U61-U62-U63-U64-U65</f>
        <v>-0.56165636937352248</v>
      </c>
      <c r="V58" s="28">
        <f>V59+V60-V61-V62-V63-V64-V65</f>
        <v>-0.47971407652492315</v>
      </c>
      <c r="W58" s="28">
        <f>W59+W60-W61-W62-W63-W64-W65</f>
        <v>-0.4144835030598556</v>
      </c>
    </row>
    <row r="59" spans="2:48" outlineLevel="1" x14ac:dyDescent="0.2">
      <c r="B59" s="54" t="s">
        <v>69</v>
      </c>
      <c r="C59" s="1"/>
      <c r="D59" s="1">
        <f>D12</f>
        <v>0.29205680000000001</v>
      </c>
      <c r="E59" s="1">
        <f>E12</f>
        <v>-0.2445959</v>
      </c>
      <c r="F59" s="1">
        <f>F12</f>
        <v>-0.53010330000000006</v>
      </c>
      <c r="G59" s="1">
        <f t="shared" ref="G59:W59" si="12">IF(G12="",F59,G12)</f>
        <v>-0.53010330000000006</v>
      </c>
      <c r="H59" s="1">
        <f>IF(H12="",G59,H12)</f>
        <v>-0.53010330000000006</v>
      </c>
      <c r="I59" s="1">
        <f t="shared" si="12"/>
        <v>-0.53010330000000006</v>
      </c>
      <c r="J59" s="1">
        <f t="shared" si="12"/>
        <v>-0.53010330000000006</v>
      </c>
      <c r="K59" s="1">
        <f t="shared" si="12"/>
        <v>-0.53010330000000006</v>
      </c>
      <c r="L59" s="1">
        <f t="shared" si="12"/>
        <v>-0.53010330000000006</v>
      </c>
      <c r="M59" s="1">
        <f t="shared" si="12"/>
        <v>-0.53010330000000006</v>
      </c>
      <c r="N59" s="1">
        <f t="shared" si="12"/>
        <v>-0.53010330000000006</v>
      </c>
      <c r="O59" s="1">
        <f t="shared" si="12"/>
        <v>-0.53010330000000006</v>
      </c>
      <c r="P59" s="1">
        <f t="shared" si="12"/>
        <v>-0.53010330000000006</v>
      </c>
      <c r="Q59" s="1">
        <f t="shared" si="12"/>
        <v>-0.53010330000000006</v>
      </c>
      <c r="R59" s="1">
        <f t="shared" si="12"/>
        <v>-0.53010330000000006</v>
      </c>
      <c r="S59" s="1">
        <f t="shared" si="12"/>
        <v>-0.53010330000000006</v>
      </c>
      <c r="T59" s="1">
        <f t="shared" si="12"/>
        <v>-0.53010330000000006</v>
      </c>
      <c r="U59" s="1">
        <f t="shared" si="12"/>
        <v>-0.53010330000000006</v>
      </c>
      <c r="V59" s="1">
        <f t="shared" si="12"/>
        <v>-0.53010330000000006</v>
      </c>
      <c r="W59" s="1">
        <f t="shared" si="12"/>
        <v>-0.53010330000000006</v>
      </c>
    </row>
    <row r="60" spans="2:48" outlineLevel="1" x14ac:dyDescent="0.2">
      <c r="B60" s="54" t="s">
        <v>70</v>
      </c>
      <c r="C60" s="1"/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2:48" outlineLevel="1" x14ac:dyDescent="0.2">
      <c r="B61" s="54" t="s">
        <v>71</v>
      </c>
      <c r="C61" s="1"/>
      <c r="D61" s="1">
        <f t="shared" ref="D61:W61" si="13">-$C$47*D29</f>
        <v>8.5104384961754986E-2</v>
      </c>
      <c r="E61" s="1">
        <f t="shared" si="13"/>
        <v>1.3078636941405704</v>
      </c>
      <c r="F61" s="1">
        <f t="shared" si="13"/>
        <v>1.6417181874013795</v>
      </c>
      <c r="G61" s="1">
        <f t="shared" si="13"/>
        <v>1.0649422883331014</v>
      </c>
      <c r="H61" s="1">
        <f>-$C$47*H29</f>
        <v>0.70996219319065357</v>
      </c>
      <c r="I61" s="1">
        <f t="shared" si="13"/>
        <v>0.23665757027733483</v>
      </c>
      <c r="J61" s="1">
        <f>-$C$47*J29</f>
        <v>3.5481074662335741E-6</v>
      </c>
      <c r="K61" s="1">
        <f t="shared" si="13"/>
        <v>3.0851987579350034E-6</v>
      </c>
      <c r="L61" s="1">
        <f t="shared" si="13"/>
        <v>1.6382789734148417E-6</v>
      </c>
      <c r="M61" s="1">
        <f t="shared" si="13"/>
        <v>1.9275846182553735E-6</v>
      </c>
      <c r="N61" s="1">
        <f t="shared" si="13"/>
        <v>2.2745009663704959E-6</v>
      </c>
      <c r="O61" s="1">
        <f t="shared" si="13"/>
        <v>3.1415662819167519E-6</v>
      </c>
      <c r="P61" s="1">
        <f t="shared" si="13"/>
        <v>2.045519866888945E-6</v>
      </c>
      <c r="Q61" s="1">
        <f t="shared" si="13"/>
        <v>3.7726028387252694E-6</v>
      </c>
      <c r="R61" s="1">
        <f t="shared" si="13"/>
        <v>4.3471296798269769E-6</v>
      </c>
      <c r="S61" s="1">
        <f t="shared" si="13"/>
        <v>6.6435534750830525E-6</v>
      </c>
      <c r="T61" s="1">
        <f t="shared" si="13"/>
        <v>5.4958957090622812E-6</v>
      </c>
      <c r="U61" s="1">
        <f t="shared" si="13"/>
        <v>6.0693735195016528E-6</v>
      </c>
      <c r="V61" s="1">
        <f t="shared" si="13"/>
        <v>3.7765249227827975E-6</v>
      </c>
      <c r="W61" s="1">
        <f t="shared" si="13"/>
        <v>3.2030598544174891E-6</v>
      </c>
    </row>
    <row r="62" spans="2:48" outlineLevel="1" x14ac:dyDescent="0.2">
      <c r="B62" s="54" t="s">
        <v>72</v>
      </c>
      <c r="C62" s="1"/>
      <c r="D62" s="1">
        <f t="shared" ref="D62:W62" si="14">-D13</f>
        <v>0</v>
      </c>
      <c r="E62" s="1">
        <f t="shared" si="14"/>
        <v>0</v>
      </c>
      <c r="F62" s="1">
        <f t="shared" si="14"/>
        <v>0</v>
      </c>
      <c r="G62" s="1">
        <f t="shared" si="14"/>
        <v>0</v>
      </c>
      <c r="H62" s="1">
        <f>-H13</f>
        <v>0</v>
      </c>
      <c r="I62" s="1">
        <f t="shared" si="14"/>
        <v>0</v>
      </c>
      <c r="J62" s="1">
        <f t="shared" si="14"/>
        <v>0</v>
      </c>
      <c r="K62" s="1">
        <f t="shared" si="14"/>
        <v>0</v>
      </c>
      <c r="L62" s="1">
        <f t="shared" si="14"/>
        <v>0</v>
      </c>
      <c r="M62" s="1">
        <f t="shared" si="14"/>
        <v>0</v>
      </c>
      <c r="N62" s="1">
        <f t="shared" si="14"/>
        <v>0</v>
      </c>
      <c r="O62" s="1">
        <f t="shared" si="14"/>
        <v>0</v>
      </c>
      <c r="P62" s="1">
        <f t="shared" si="14"/>
        <v>0</v>
      </c>
      <c r="Q62" s="1">
        <f t="shared" si="14"/>
        <v>0</v>
      </c>
      <c r="R62" s="1">
        <f t="shared" si="14"/>
        <v>0</v>
      </c>
      <c r="S62" s="1">
        <f t="shared" si="14"/>
        <v>0</v>
      </c>
      <c r="T62" s="1">
        <f t="shared" si="14"/>
        <v>0</v>
      </c>
      <c r="U62" s="1">
        <f t="shared" si="14"/>
        <v>0</v>
      </c>
      <c r="V62" s="1">
        <f t="shared" si="14"/>
        <v>0</v>
      </c>
      <c r="W62" s="1">
        <f t="shared" si="14"/>
        <v>0</v>
      </c>
    </row>
    <row r="63" spans="2:48" outlineLevel="1" x14ac:dyDescent="0.2">
      <c r="B63" s="54" t="s">
        <v>73</v>
      </c>
      <c r="C63" s="1"/>
      <c r="D63" s="1">
        <f>IF(D$55&lt;=$C$5,0,HLOOKUP(D$55,'Input data'!$C$9:$BB$26,12,FALSE)-HLOOKUP($C$5,'Input data'!$C$9:$BB$26,12,FALSE))</f>
        <v>0</v>
      </c>
      <c r="E63" s="1">
        <f>IF(E$55&lt;=$C$5,0,HLOOKUP(E$55,'Input data'!$C$9:$BB$26,12,FALSE)-HLOOKUP($C$5,'Input data'!$C$9:$BB$26,12,FALSE))</f>
        <v>0</v>
      </c>
      <c r="F63" s="1">
        <f>IF(F$55&lt;=$C$5,0,HLOOKUP(F$55,'Input data'!$C$9:$BB$26,12,FALSE)-HLOOKUP($C$5,'Input data'!$C$9:$BB$26,12,FALSE))</f>
        <v>0</v>
      </c>
      <c r="G63" s="1">
        <f>IF(G$55&lt;=$C$5,0,HLOOKUP(G$55,'Input data'!$C$9:$BB$26,12,FALSE)-HLOOKUP($C$5,'Input data'!$C$9:$BB$26,12,FALSE))</f>
        <v>-4.9800000000001177E-2</v>
      </c>
      <c r="H63" s="1">
        <f>IF(H$55&lt;=$C$5,0,HLOOKUP(H$55,'Input data'!$C$9:$BB$26,12,FALSE)-HLOOKUP($C$5,'Input data'!$C$9:$BB$26,12,FALSE))</f>
        <v>-5.2000000000003155E-2</v>
      </c>
      <c r="I63" s="1">
        <f>IF(I$55&lt;=$C$5,0,HLOOKUP(I$55,'Input data'!$C$9:$BB$26,12,FALSE)-HLOOKUP($C$5,'Input data'!$C$9:$BB$26,12,FALSE))</f>
        <v>-1.2130000000002639E-2</v>
      </c>
      <c r="J63" s="1">
        <f>IF(J$55&lt;=$C$5,0,HLOOKUP(J$55,'Input data'!$C$9:$BB$26,12,FALSE)-HLOOKUP($C$5,'Input data'!$C$9:$BB$26,12,FALSE))</f>
        <v>8.533000000000257E-2</v>
      </c>
      <c r="K63" s="1">
        <f>IF(K$55&lt;=$C$5,0,HLOOKUP(K$55,'Input data'!$C$9:$BB$26,12,FALSE)-HLOOKUP($C$5,'Input data'!$C$9:$BB$26,12,FALSE))</f>
        <v>0.19858999999999938</v>
      </c>
      <c r="L63" s="1">
        <f>IF(L$55&lt;=$C$5,0,HLOOKUP(L$55,'Input data'!$C$9:$BB$26,12,FALSE)-HLOOKUP($C$5,'Input data'!$C$9:$BB$26,12,FALSE))</f>
        <v>0.27124999999999844</v>
      </c>
      <c r="M63" s="1">
        <f>IF(M$55&lt;=$C$5,0,HLOOKUP(M$55,'Input data'!$C$9:$BB$26,12,FALSE)-HLOOKUP($C$5,'Input data'!$C$9:$BB$26,12,FALSE))</f>
        <v>0.32719000000000165</v>
      </c>
      <c r="N63" s="1">
        <f>IF(N$55&lt;=$C$5,0,HLOOKUP(N$55,'Input data'!$C$9:$BB$26,12,FALSE)-HLOOKUP($C$5,'Input data'!$C$9:$BB$26,12,FALSE))</f>
        <v>0.36136000000000124</v>
      </c>
      <c r="O63" s="1">
        <f>IF(O$55&lt;=$C$5,0,HLOOKUP(O$55,'Input data'!$C$9:$BB$26,12,FALSE)-HLOOKUP($C$5,'Input data'!$C$9:$BB$26,12,FALSE))</f>
        <v>0.35796999999999812</v>
      </c>
      <c r="P63" s="1">
        <f>IF(P$55&lt;=$C$5,0,HLOOKUP(P$55,'Input data'!$C$9:$BB$26,12,FALSE)-HLOOKUP($C$5,'Input data'!$C$9:$BB$26,12,FALSE))</f>
        <v>0.35501999999999967</v>
      </c>
      <c r="Q63" s="1">
        <f>IF(Q$55&lt;=$C$5,0,HLOOKUP(Q$55,'Input data'!$C$9:$BB$26,12,FALSE)-HLOOKUP($C$5,'Input data'!$C$9:$BB$26,12,FALSE))</f>
        <v>0.34354999999999691</v>
      </c>
      <c r="R63" s="1">
        <f>IF(R$55&lt;=$C$5,0,HLOOKUP(R$55,'Input data'!$C$9:$BB$26,12,FALSE)-HLOOKUP($C$5,'Input data'!$C$9:$BB$26,12,FALSE))</f>
        <v>0.31611000000000189</v>
      </c>
      <c r="S63" s="1">
        <f>IF(S$55&lt;=$C$5,0,HLOOKUP(S$55,'Input data'!$C$9:$BB$26,12,FALSE)-HLOOKUP($C$5,'Input data'!$C$9:$BB$26,12,FALSE))</f>
        <v>0.26974000000000231</v>
      </c>
      <c r="T63" s="1">
        <f>IF(T$55&lt;=$C$5,0,HLOOKUP(T$55,'Input data'!$C$9:$BB$26,12,FALSE)-HLOOKUP($C$5,'Input data'!$C$9:$BB$26,12,FALSE))</f>
        <v>0.20763000000000176</v>
      </c>
      <c r="U63" s="1">
        <f>IF(U$55&lt;=$C$5,0,HLOOKUP(U$55,'Input data'!$C$9:$BB$26,12,FALSE)-HLOOKUP($C$5,'Input data'!$C$9:$BB$26,12,FALSE))</f>
        <v>0.13130000000000308</v>
      </c>
      <c r="V63" s="1">
        <f>IF(V$55&lt;=$C$5,0,HLOOKUP(V$55,'Input data'!$C$9:$BB$26,12,FALSE)-HLOOKUP($C$5,'Input data'!$C$9:$BB$26,12,FALSE))</f>
        <v>5.6010000000000559E-2</v>
      </c>
      <c r="W63" s="1">
        <f>IF(W$55&lt;=$C$5,0,HLOOKUP(W$55,'Input data'!$C$9:$BB$26,12,FALSE)-HLOOKUP($C$5,'Input data'!$C$9:$BB$26,12,FALSE))</f>
        <v>-2.5699999999986289E-3</v>
      </c>
    </row>
    <row r="64" spans="2:48" outlineLevel="1" x14ac:dyDescent="0.2">
      <c r="B64" s="54" t="s">
        <v>74</v>
      </c>
      <c r="C64" s="1"/>
      <c r="D64" s="1">
        <f>IF(D$55&lt;=$C$5,0,-HLOOKUP(D$55,'Input data'!$C$9:$BB$26,18,FALSE)+HLOOKUP($C$5,'Input data'!$C$9:$BB$26,18,FALSE))</f>
        <v>0</v>
      </c>
      <c r="E64" s="1">
        <f>IF(E$55&lt;=$C$5,0,-HLOOKUP(E$55,'Input data'!$C$9:$BB$26,18,FALSE)+HLOOKUP($C$5,'Input data'!$C$9:$BB$26,18,FALSE))</f>
        <v>0</v>
      </c>
      <c r="F64" s="1">
        <f>IF(F$55&lt;=$C$5,0,-HLOOKUP(F$55,'Input data'!$C$9:$BB$26,18,FALSE)+HLOOKUP($C$5,'Input data'!$C$9:$BB$26,18,FALSE))</f>
        <v>0</v>
      </c>
      <c r="G64" s="1">
        <f>IF(G$55&lt;=$C$5,0,-HLOOKUP(G$55,'Input data'!$C$9:$BB$26,18,FALSE)+HLOOKUP($C$5,'Input data'!$C$9:$BB$26,18,FALSE))</f>
        <v>-6.6500000000000448E-3</v>
      </c>
      <c r="H64" s="1">
        <f>IF(H$55&lt;=$C$5,0,-HLOOKUP(H$55,'Input data'!$C$9:$BB$26,18,FALSE)+HLOOKUP($C$5,'Input data'!$C$9:$BB$26,18,FALSE))</f>
        <v>-1.330000000000009E-2</v>
      </c>
      <c r="I64" s="1">
        <f>IF(I$55&lt;=$C$5,0,-HLOOKUP(I$55,'Input data'!$C$9:$BB$26,18,FALSE)+HLOOKUP($C$5,'Input data'!$C$9:$BB$26,18,FALSE))</f>
        <v>-1.9951000000000274E-2</v>
      </c>
      <c r="J64" s="1">
        <f>IF(J$55&lt;=$C$5,0,-HLOOKUP(J$55,'Input data'!$C$9:$BB$26,18,FALSE)+HLOOKUP($C$5,'Input data'!$C$9:$BB$26,18,FALSE))</f>
        <v>-2.6601000000000319E-2</v>
      </c>
      <c r="K64" s="1">
        <f>IF(K$55&lt;=$C$5,0,-HLOOKUP(K$55,'Input data'!$C$9:$BB$26,18,FALSE)+HLOOKUP($C$5,'Input data'!$C$9:$BB$26,18,FALSE))</f>
        <v>-3.325099999999992E-2</v>
      </c>
      <c r="L64" s="1">
        <f>IF(L$55&lt;=$C$5,0,-HLOOKUP(L$55,'Input data'!$C$9:$BB$26,18,FALSE)+HLOOKUP($C$5,'Input data'!$C$9:$BB$26,18,FALSE))</f>
        <v>-3.9900999999999964E-2</v>
      </c>
      <c r="M64" s="1">
        <f>IF(M$55&lt;=$C$5,0,-HLOOKUP(M$55,'Input data'!$C$9:$BB$26,18,FALSE)+HLOOKUP($C$5,'Input data'!$C$9:$BB$26,18,FALSE))</f>
        <v>-4.6551000000000009E-2</v>
      </c>
      <c r="N64" s="1">
        <f>IF(N$55&lt;=$C$5,0,-HLOOKUP(N$55,'Input data'!$C$9:$BB$26,18,FALSE)+HLOOKUP($C$5,'Input data'!$C$9:$BB$26,18,FALSE))</f>
        <v>-5.3202000000000194E-2</v>
      </c>
      <c r="O64" s="1">
        <f>IF(O$55&lt;=$C$5,0,-HLOOKUP(O$55,'Input data'!$C$9:$BB$26,18,FALSE)+HLOOKUP($C$5,'Input data'!$C$9:$BB$26,18,FALSE))</f>
        <v>-5.9852000000000238E-2</v>
      </c>
      <c r="P64" s="1">
        <f>IF(P$55&lt;=$C$5,0,-HLOOKUP(P$55,'Input data'!$C$9:$BB$26,18,FALSE)+HLOOKUP($C$5,'Input data'!$C$9:$BB$26,18,FALSE))</f>
        <v>-6.6502000000000283E-2</v>
      </c>
      <c r="Q64" s="1">
        <f>IF(Q$55&lt;=$C$5,0,-HLOOKUP(Q$55,'Input data'!$C$9:$BB$26,18,FALSE)+HLOOKUP($C$5,'Input data'!$C$9:$BB$26,18,FALSE))</f>
        <v>-7.3151999999999884E-2</v>
      </c>
      <c r="R64" s="1">
        <f>IF(R$55&lt;=$C$5,0,-HLOOKUP(R$55,'Input data'!$C$9:$BB$26,18,FALSE)+HLOOKUP($C$5,'Input data'!$C$9:$BB$26,18,FALSE))</f>
        <v>-7.9801999999999929E-2</v>
      </c>
      <c r="S64" s="1">
        <f>IF(S$55&lt;=$C$5,0,-HLOOKUP(S$55,'Input data'!$C$9:$BB$26,18,FALSE)+HLOOKUP($C$5,'Input data'!$C$9:$BB$26,18,FALSE))</f>
        <v>-8.6453000000000113E-2</v>
      </c>
      <c r="T64" s="1">
        <f>IF(T$55&lt;=$C$5,0,-HLOOKUP(T$55,'Input data'!$C$9:$BB$26,18,FALSE)+HLOOKUP($C$5,'Input data'!$C$9:$BB$26,18,FALSE))</f>
        <v>-9.3103000000000158E-2</v>
      </c>
      <c r="U64" s="1">
        <f>IF(U$55&lt;=$C$5,0,-HLOOKUP(U$55,'Input data'!$C$9:$BB$26,18,FALSE)+HLOOKUP($C$5,'Input data'!$C$9:$BB$26,18,FALSE))</f>
        <v>-9.9753000000000203E-2</v>
      </c>
      <c r="V64" s="1">
        <f>IF(V$55&lt;=$C$5,0,-HLOOKUP(V$55,'Input data'!$C$9:$BB$26,18,FALSE)+HLOOKUP($C$5,'Input data'!$C$9:$BB$26,18,FALSE))</f>
        <v>-0.10640300000000025</v>
      </c>
      <c r="W64" s="1">
        <f>IF(W$55&lt;=$C$5,0,-HLOOKUP(W$55,'Input data'!$C$9:$BB$26,18,FALSE)+HLOOKUP($C$5,'Input data'!$C$9:$BB$26,18,FALSE))</f>
        <v>-0.11305300000000029</v>
      </c>
    </row>
    <row r="65" spans="2:23" outlineLevel="1" x14ac:dyDescent="0.2">
      <c r="B65" s="54" t="s">
        <v>75</v>
      </c>
      <c r="C65" s="21"/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</row>
    <row r="66" spans="2:23" outlineLevel="1" x14ac:dyDescent="0.2">
      <c r="B66" s="55" t="s">
        <v>76</v>
      </c>
      <c r="C66" s="28"/>
      <c r="D66" s="28">
        <f>SUM(D67:D70)</f>
        <v>-4.0426919999999997</v>
      </c>
      <c r="E66" s="28">
        <f t="shared" ref="E66:T66" si="15">SUM(E67:E70)</f>
        <v>-1.511876</v>
      </c>
      <c r="F66" s="28">
        <f t="shared" si="15"/>
        <v>-0.13214980000000001</v>
      </c>
      <c r="G66" s="28">
        <f>SUM(G67:G70)</f>
        <v>-1.49509</v>
      </c>
      <c r="H66" s="28">
        <f t="shared" si="15"/>
        <v>-1.2042355522707184</v>
      </c>
      <c r="I66" s="28">
        <f t="shared" si="15"/>
        <v>-1.2863099399281552</v>
      </c>
      <c r="J66" s="28">
        <f t="shared" si="15"/>
        <v>-0.98067223012506721</v>
      </c>
      <c r="K66" s="28">
        <f t="shared" si="15"/>
        <v>-0.58292194656128427</v>
      </c>
      <c r="L66" s="28">
        <f t="shared" si="15"/>
        <v>-0.56057166672973402</v>
      </c>
      <c r="M66" s="28">
        <f t="shared" si="15"/>
        <v>-0.58415741101993746</v>
      </c>
      <c r="N66" s="28">
        <f t="shared" si="15"/>
        <v>-0.65163966497891757</v>
      </c>
      <c r="O66" s="28">
        <f t="shared" si="15"/>
        <v>-0.68060145416346596</v>
      </c>
      <c r="P66" s="28">
        <f t="shared" si="15"/>
        <v>-0.80696997521941127</v>
      </c>
      <c r="Q66" s="28">
        <f t="shared" si="15"/>
        <v>-0.93652981607324493</v>
      </c>
      <c r="R66" s="28">
        <f t="shared" si="15"/>
        <v>-1.0678770944667606</v>
      </c>
      <c r="S66" s="28">
        <f t="shared" si="15"/>
        <v>-1.0749320630892323</v>
      </c>
      <c r="T66" s="28">
        <f t="shared" si="15"/>
        <v>-1.0576703951437736</v>
      </c>
      <c r="U66" s="28">
        <f>SUM(U67:U70)</f>
        <v>-1.0526953048011389</v>
      </c>
      <c r="V66" s="28">
        <f>SUM(V67:V70)</f>
        <v>-1.0327773242560117</v>
      </c>
      <c r="W66" s="28">
        <f>SUM(W67:W70)</f>
        <v>-0.92483845833189959</v>
      </c>
    </row>
    <row r="67" spans="2:23" outlineLevel="1" x14ac:dyDescent="0.2">
      <c r="B67" s="54" t="s">
        <v>77</v>
      </c>
      <c r="C67" s="18"/>
      <c r="D67" s="18">
        <f t="shared" ref="D67:W67" si="16">C56*D35/100*(1/(1+D32/100))</f>
        <v>0.57044236264340553</v>
      </c>
      <c r="E67" s="18">
        <f t="shared" si="16"/>
        <v>1.1202161973483911</v>
      </c>
      <c r="F67" s="18">
        <f t="shared" si="16"/>
        <v>1.237911894788841</v>
      </c>
      <c r="G67" s="18">
        <f>F56*G35/100*(1/(1+G32/100))</f>
        <v>1.464929165518319</v>
      </c>
      <c r="H67" s="18">
        <f>G56*H35/100*(1/(1+H32/100))</f>
        <v>1.5884857644772097</v>
      </c>
      <c r="I67" s="18">
        <f t="shared" si="16"/>
        <v>1.6882366187342197</v>
      </c>
      <c r="J67" s="18">
        <f t="shared" si="16"/>
        <v>1.7805855516715083</v>
      </c>
      <c r="K67" s="18">
        <f t="shared" si="16"/>
        <v>1.8747910411343753</v>
      </c>
      <c r="L67" s="18">
        <f t="shared" si="16"/>
        <v>1.9702549735362807</v>
      </c>
      <c r="M67" s="18">
        <f t="shared" si="16"/>
        <v>2.0655259996276967</v>
      </c>
      <c r="N67" s="18">
        <f t="shared" si="16"/>
        <v>2.1597183001096556</v>
      </c>
      <c r="O67" s="18">
        <f t="shared" si="16"/>
        <v>2.2536629693342189</v>
      </c>
      <c r="P67" s="18">
        <f t="shared" si="16"/>
        <v>2.3373861623299947</v>
      </c>
      <c r="Q67" s="18">
        <f t="shared" si="16"/>
        <v>2.4123633766737851</v>
      </c>
      <c r="R67" s="18">
        <f t="shared" si="16"/>
        <v>2.4780838142949597</v>
      </c>
      <c r="S67" s="18">
        <f t="shared" si="16"/>
        <v>2.5371139721487421</v>
      </c>
      <c r="T67" s="18">
        <f t="shared" si="16"/>
        <v>2.5894450232424115</v>
      </c>
      <c r="U67" s="18">
        <f t="shared" si="16"/>
        <v>2.6341939601548767</v>
      </c>
      <c r="V67" s="18">
        <f t="shared" si="16"/>
        <v>2.6712383621977573</v>
      </c>
      <c r="W67" s="18">
        <f t="shared" si="16"/>
        <v>2.7030016993294712</v>
      </c>
    </row>
    <row r="68" spans="2:23" outlineLevel="1" x14ac:dyDescent="0.2">
      <c r="B68" s="54" t="s">
        <v>78</v>
      </c>
      <c r="C68" s="18"/>
      <c r="D68" s="18">
        <f t="shared" ref="D68:W68" si="17">-C56*(D23/100)*(1/(1+D32/100))</f>
        <v>-0.90770273794427436</v>
      </c>
      <c r="E68" s="18">
        <f t="shared" si="17"/>
        <v>0.7338761149895805</v>
      </c>
      <c r="F68" s="18">
        <f t="shared" si="17"/>
        <v>-2.9478581632550963E-2</v>
      </c>
      <c r="G68" s="18">
        <f t="shared" si="17"/>
        <v>-1.2854294737258005</v>
      </c>
      <c r="H68" s="18">
        <f t="shared" si="17"/>
        <v>-1.0404743510133165</v>
      </c>
      <c r="I68" s="18">
        <f t="shared" si="17"/>
        <v>-1.1442428156292601</v>
      </c>
      <c r="J68" s="18">
        <f t="shared" si="17"/>
        <v>-0.86264787651074171</v>
      </c>
      <c r="K68" s="18">
        <f t="shared" si="17"/>
        <v>-0.48726055427573289</v>
      </c>
      <c r="L68" s="18">
        <f t="shared" si="17"/>
        <v>-0.4770841217513776</v>
      </c>
      <c r="M68" s="18">
        <f t="shared" si="17"/>
        <v>-0.50983963960766676</v>
      </c>
      <c r="N68" s="18">
        <f t="shared" si="17"/>
        <v>-0.58350455913329846</v>
      </c>
      <c r="O68" s="18">
        <f t="shared" si="17"/>
        <v>-0.61759500887142971</v>
      </c>
      <c r="P68" s="18">
        <f t="shared" si="17"/>
        <v>-0.81462891362113488</v>
      </c>
      <c r="Q68" s="18">
        <f t="shared" si="17"/>
        <v>-1.0139423067382272</v>
      </c>
      <c r="R68" s="18">
        <f t="shared" si="17"/>
        <v>-1.2136763930941943</v>
      </c>
      <c r="S68" s="18">
        <f t="shared" si="17"/>
        <v>-1.2905054497703012</v>
      </c>
      <c r="T68" s="18">
        <f t="shared" si="17"/>
        <v>-1.3416646026837191</v>
      </c>
      <c r="U68" s="18">
        <f t="shared" si="17"/>
        <v>-1.4025072557416789</v>
      </c>
      <c r="V68" s="18">
        <f t="shared" si="17"/>
        <v>-1.4461314791621072</v>
      </c>
      <c r="W68" s="18">
        <f t="shared" si="17"/>
        <v>-1.4013373403684557</v>
      </c>
    </row>
    <row r="69" spans="2:23" outlineLevel="1" x14ac:dyDescent="0.2">
      <c r="B69" s="54" t="s">
        <v>79</v>
      </c>
      <c r="C69" s="18"/>
      <c r="D69" s="18">
        <f>-C56*D41/100*(1/(1+D41/100))</f>
        <v>-3.7081792093539843</v>
      </c>
      <c r="E69" s="18">
        <f t="shared" ref="E69:T69" si="18">-D56*E41/100*(1/(1+E41/100))</f>
        <v>-3.3653315689090335</v>
      </c>
      <c r="F69" s="18">
        <f>-E56*F41/100*(1/(1+F41/100))</f>
        <v>-1.3408196277227631</v>
      </c>
      <c r="G69" s="18">
        <f>-F56*G41/100*(1/(1+G41/100))</f>
        <v>-1.6747401746220421</v>
      </c>
      <c r="H69" s="18">
        <f t="shared" si="18"/>
        <v>-1.7522469657346116</v>
      </c>
      <c r="I69" s="18">
        <f t="shared" si="18"/>
        <v>-1.8303037430331148</v>
      </c>
      <c r="J69" s="18">
        <f t="shared" si="18"/>
        <v>-1.8986099052858338</v>
      </c>
      <c r="K69" s="18">
        <f t="shared" si="18"/>
        <v>-1.9704524334199267</v>
      </c>
      <c r="L69" s="18">
        <f t="shared" si="18"/>
        <v>-2.0537425185146372</v>
      </c>
      <c r="M69" s="18">
        <f t="shared" si="18"/>
        <v>-2.1398437710399674</v>
      </c>
      <c r="N69" s="18">
        <f t="shared" si="18"/>
        <v>-2.2278534059552748</v>
      </c>
      <c r="O69" s="18">
        <f t="shared" si="18"/>
        <v>-2.3166694146262552</v>
      </c>
      <c r="P69" s="18">
        <f t="shared" si="18"/>
        <v>-2.3297272239282711</v>
      </c>
      <c r="Q69" s="18">
        <f t="shared" si="18"/>
        <v>-2.3349508860088029</v>
      </c>
      <c r="R69" s="18">
        <f t="shared" si="18"/>
        <v>-2.332284515667526</v>
      </c>
      <c r="S69" s="18">
        <f t="shared" si="18"/>
        <v>-2.3215405854676732</v>
      </c>
      <c r="T69" s="18">
        <f t="shared" si="18"/>
        <v>-2.305450815702466</v>
      </c>
      <c r="U69" s="18">
        <f>-T56*U41/100*(1/(1+U41/100))</f>
        <v>-2.2843820092143368</v>
      </c>
      <c r="V69" s="18">
        <f>-U56*V41/100*(1/(1+V41/100))</f>
        <v>-2.2578842072916618</v>
      </c>
      <c r="W69" s="18">
        <f>-V56*W41/100*(1/(1+W41/100))</f>
        <v>-2.2265028172929151</v>
      </c>
    </row>
    <row r="70" spans="2:23" outlineLevel="1" x14ac:dyDescent="0.2">
      <c r="B70" s="54" t="s">
        <v>80</v>
      </c>
      <c r="C70" s="29"/>
      <c r="D70" s="29">
        <v>2.7475846548536964E-3</v>
      </c>
      <c r="E70" s="29">
        <v>-6.3674342893804692E-4</v>
      </c>
      <c r="F70" s="29">
        <v>2.3651456647297286E-4</v>
      </c>
      <c r="G70" s="29">
        <v>1.5048282952356828E-4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</row>
    <row r="71" spans="2:23" outlineLevel="1" x14ac:dyDescent="0.2">
      <c r="B71" s="55" t="s">
        <v>81</v>
      </c>
      <c r="C71" s="30"/>
      <c r="D71" s="30">
        <f>'Input data'!D16</f>
        <v>5.1764349999999997</v>
      </c>
      <c r="E71" s="30">
        <f>'Input data'!E16</f>
        <v>2.2785220000000002</v>
      </c>
      <c r="F71" s="30">
        <f>'Input data'!F16</f>
        <v>2.6170640000000001</v>
      </c>
      <c r="G71" s="30">
        <f>'Input data'!G16</f>
        <v>1.6700109999999999</v>
      </c>
      <c r="H71" s="30">
        <f>'Input data'!H16</f>
        <v>1.6902729999999999</v>
      </c>
      <c r="I71" s="30">
        <f>'Input data'!I16</f>
        <v>1.702215</v>
      </c>
      <c r="J71" s="30">
        <f>'Input data'!J16</f>
        <v>1.648048</v>
      </c>
      <c r="K71" s="30">
        <f>'Input data'!K16</f>
        <v>1.5813470000000001</v>
      </c>
      <c r="L71" s="30">
        <f>'Input data'!L16</f>
        <v>1.5408029999999999</v>
      </c>
      <c r="M71" s="30">
        <f>'Input data'!M16</f>
        <v>1.5229809999999999</v>
      </c>
      <c r="N71" s="30">
        <f>'Input data'!N16</f>
        <v>1.526135</v>
      </c>
      <c r="O71" s="30">
        <f>'Input data'!O16</f>
        <v>1.3735219999999999</v>
      </c>
      <c r="P71" s="30">
        <f>'Input data'!P16</f>
        <v>1.2209080000000001</v>
      </c>
      <c r="Q71" s="30">
        <f>'Input data'!Q16</f>
        <v>1.068295</v>
      </c>
      <c r="R71" s="30">
        <f>'Input data'!R16</f>
        <v>0.91568099999999997</v>
      </c>
      <c r="S71" s="30">
        <f>'Input data'!S16</f>
        <v>0.76306750000000001</v>
      </c>
      <c r="T71" s="30">
        <f>'Input data'!T16</f>
        <v>0.61045400000000005</v>
      </c>
      <c r="U71" s="30">
        <f>'Input data'!U16</f>
        <v>0.45784049999999998</v>
      </c>
      <c r="V71" s="30">
        <f>'Input data'!V16</f>
        <v>0.30522700000000003</v>
      </c>
      <c r="W71" s="30">
        <f>'Input data'!W16</f>
        <v>0.15261350000000001</v>
      </c>
    </row>
    <row r="72" spans="2:23" outlineLevel="1" x14ac:dyDescent="0.2">
      <c r="B72" s="54" t="s">
        <v>82</v>
      </c>
      <c r="C72" s="18"/>
      <c r="D72" s="18">
        <f t="shared" ref="D72:W72" si="19">D14</f>
        <v>4.8490650000000004</v>
      </c>
      <c r="E72" s="18">
        <f t="shared" si="19"/>
        <v>2.318794</v>
      </c>
      <c r="F72" s="18">
        <f t="shared" si="19"/>
        <v>2.6028570000000002</v>
      </c>
      <c r="G72" s="18">
        <f t="shared" si="19"/>
        <v>1.6620999999999999</v>
      </c>
      <c r="H72" s="18">
        <f>H14</f>
        <v>1.6902729999999999</v>
      </c>
      <c r="I72" s="18">
        <f t="shared" si="19"/>
        <v>1.702215</v>
      </c>
      <c r="J72" s="18">
        <f t="shared" si="19"/>
        <v>1.648048</v>
      </c>
      <c r="K72" s="18">
        <f t="shared" si="19"/>
        <v>1.5813470000000001</v>
      </c>
      <c r="L72" s="18">
        <f t="shared" si="19"/>
        <v>1.5408029999999999</v>
      </c>
      <c r="M72" s="18">
        <f t="shared" si="19"/>
        <v>1.5229809999999999</v>
      </c>
      <c r="N72" s="18">
        <f t="shared" si="19"/>
        <v>1.526135</v>
      </c>
      <c r="O72" s="18">
        <f t="shared" si="19"/>
        <v>1.3735219999999999</v>
      </c>
      <c r="P72" s="18">
        <f t="shared" si="19"/>
        <v>1.2209080000000001</v>
      </c>
      <c r="Q72" s="18">
        <f t="shared" si="19"/>
        <v>1.068295</v>
      </c>
      <c r="R72" s="18">
        <f t="shared" si="19"/>
        <v>0.91568099999999997</v>
      </c>
      <c r="S72" s="18">
        <f t="shared" si="19"/>
        <v>0.76306750000000001</v>
      </c>
      <c r="T72" s="18">
        <f t="shared" si="19"/>
        <v>0.61045400000000005</v>
      </c>
      <c r="U72" s="18">
        <f t="shared" si="19"/>
        <v>0.45784049999999998</v>
      </c>
      <c r="V72" s="18">
        <f t="shared" si="19"/>
        <v>0.30522700000000003</v>
      </c>
      <c r="W72" s="18">
        <f t="shared" si="19"/>
        <v>0.15261350000000001</v>
      </c>
    </row>
    <row r="73" spans="2:23" outlineLevel="1" x14ac:dyDescent="0.2">
      <c r="B73" s="60" t="s">
        <v>83</v>
      </c>
      <c r="C73" s="29"/>
      <c r="D73" s="29">
        <f>+D71-D72</f>
        <v>0.32736999999999927</v>
      </c>
      <c r="E73" s="29">
        <f t="shared" ref="E73:T73" si="20">+E71-E72</f>
        <v>-4.0271999999999863E-2</v>
      </c>
      <c r="F73" s="29">
        <f>+F71-F72</f>
        <v>1.4206999999999859E-2</v>
      </c>
      <c r="G73" s="29">
        <f t="shared" si="20"/>
        <v>7.9110000000000014E-3</v>
      </c>
      <c r="H73" s="29">
        <f t="shared" si="20"/>
        <v>0</v>
      </c>
      <c r="I73" s="29">
        <f t="shared" si="20"/>
        <v>0</v>
      </c>
      <c r="J73" s="29">
        <f t="shared" si="20"/>
        <v>0</v>
      </c>
      <c r="K73" s="29">
        <f t="shared" si="20"/>
        <v>0</v>
      </c>
      <c r="L73" s="29">
        <f t="shared" si="20"/>
        <v>0</v>
      </c>
      <c r="M73" s="29">
        <f t="shared" si="20"/>
        <v>0</v>
      </c>
      <c r="N73" s="29">
        <f t="shared" si="20"/>
        <v>0</v>
      </c>
      <c r="O73" s="29">
        <f t="shared" si="20"/>
        <v>0</v>
      </c>
      <c r="P73" s="29">
        <f t="shared" si="20"/>
        <v>0</v>
      </c>
      <c r="Q73" s="29">
        <f t="shared" si="20"/>
        <v>0</v>
      </c>
      <c r="R73" s="29">
        <f t="shared" si="20"/>
        <v>0</v>
      </c>
      <c r="S73" s="29">
        <f t="shared" si="20"/>
        <v>0</v>
      </c>
      <c r="T73" s="29">
        <f t="shared" si="20"/>
        <v>0</v>
      </c>
      <c r="U73" s="29">
        <f>+U71-U72</f>
        <v>0</v>
      </c>
      <c r="V73" s="29">
        <f>+V71-V72</f>
        <v>0</v>
      </c>
      <c r="W73" s="29">
        <f>+W71-W72</f>
        <v>0</v>
      </c>
    </row>
    <row r="74" spans="2:23" outlineLevel="1" x14ac:dyDescent="0.2">
      <c r="B74" s="54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2:23" ht="10.5" customHeight="1" outlineLevel="1" x14ac:dyDescent="0.2">
      <c r="B75" s="61" t="s">
        <v>84</v>
      </c>
    </row>
    <row r="76" spans="2:23" x14ac:dyDescent="0.2">
      <c r="B76" s="52" t="s">
        <v>3</v>
      </c>
      <c r="C76" s="52"/>
      <c r="D76" s="53">
        <f>D58-D67</f>
        <v>-0.36348994760516051</v>
      </c>
      <c r="E76" s="53">
        <f t="shared" ref="E76:T76" si="21">E58-E67</f>
        <v>-2.6726757914889614</v>
      </c>
      <c r="F76" s="53">
        <f t="shared" si="21"/>
        <v>-3.4097333821902209</v>
      </c>
      <c r="G76" s="53">
        <f t="shared" si="21"/>
        <v>-3.0035247538514191</v>
      </c>
      <c r="H76" s="53">
        <f t="shared" si="21"/>
        <v>-2.7632512576678598</v>
      </c>
      <c r="I76" s="53">
        <f t="shared" si="21"/>
        <v>-2.4229164890115515</v>
      </c>
      <c r="J76" s="53">
        <f t="shared" si="21"/>
        <v>-2.369421399778977</v>
      </c>
      <c r="K76" s="53">
        <f t="shared" si="21"/>
        <v>-2.5702364263331328</v>
      </c>
      <c r="L76" s="53">
        <f t="shared" si="21"/>
        <v>-2.7317089118152524</v>
      </c>
      <c r="M76" s="53">
        <f t="shared" si="21"/>
        <v>-2.8762702272123164</v>
      </c>
      <c r="N76" s="53">
        <f t="shared" si="21"/>
        <v>-2.9979818746106233</v>
      </c>
      <c r="O76" s="53">
        <f t="shared" si="21"/>
        <v>-3.0818874109004986</v>
      </c>
      <c r="P76" s="53">
        <f t="shared" si="21"/>
        <v>-3.1560095078498609</v>
      </c>
      <c r="Q76" s="53">
        <f t="shared" si="21"/>
        <v>-3.2128684492766206</v>
      </c>
      <c r="R76" s="53">
        <f t="shared" si="21"/>
        <v>-3.2444994614246414</v>
      </c>
      <c r="S76" s="53">
        <f t="shared" si="21"/>
        <v>-3.2505109157022196</v>
      </c>
      <c r="T76" s="53">
        <f t="shared" si="21"/>
        <v>-3.2340808191381223</v>
      </c>
      <c r="U76" s="53">
        <f>U58-U67</f>
        <v>-3.1958503295283993</v>
      </c>
      <c r="V76" s="53">
        <f>V58-V67</f>
        <v>-3.1509524387226806</v>
      </c>
      <c r="W76" s="53">
        <f>W58-W67</f>
        <v>-3.1174852023893269</v>
      </c>
    </row>
    <row r="77" spans="2:23" x14ac:dyDescent="0.2">
      <c r="B77" s="10" t="s">
        <v>4</v>
      </c>
      <c r="D77" s="18">
        <f>D59-D67-D63-D64-D65</f>
        <v>-0.27838556264340553</v>
      </c>
      <c r="E77" s="18">
        <f>E59-E67-E63-E64-E65</f>
        <v>-1.364812097348391</v>
      </c>
      <c r="F77" s="18">
        <f t="shared" ref="F77:W77" si="22">F59-F67-F63-F64-F65</f>
        <v>-1.7680151947888412</v>
      </c>
      <c r="G77" s="18">
        <f t="shared" si="22"/>
        <v>-1.9385824655183179</v>
      </c>
      <c r="H77" s="18">
        <f t="shared" si="22"/>
        <v>-2.0532890644772066</v>
      </c>
      <c r="I77" s="18">
        <f t="shared" si="22"/>
        <v>-2.1862589187342167</v>
      </c>
      <c r="J77" s="18">
        <f t="shared" si="22"/>
        <v>-2.3694178516715105</v>
      </c>
      <c r="K77" s="18">
        <f t="shared" si="22"/>
        <v>-2.570233341134375</v>
      </c>
      <c r="L77" s="18">
        <f t="shared" si="22"/>
        <v>-2.7317072735362791</v>
      </c>
      <c r="M77" s="18">
        <f t="shared" si="22"/>
        <v>-2.8762682996276983</v>
      </c>
      <c r="N77" s="18">
        <f t="shared" si="22"/>
        <v>-2.9979796001096566</v>
      </c>
      <c r="O77" s="18">
        <f t="shared" si="22"/>
        <v>-3.0818842693342168</v>
      </c>
      <c r="P77" s="18">
        <f t="shared" si="22"/>
        <v>-3.1560074623299941</v>
      </c>
      <c r="Q77" s="18">
        <f t="shared" si="22"/>
        <v>-3.2128646766737821</v>
      </c>
      <c r="R77" s="18">
        <f t="shared" si="22"/>
        <v>-3.2444951142949616</v>
      </c>
      <c r="S77" s="18">
        <f t="shared" si="22"/>
        <v>-3.2505042721487443</v>
      </c>
      <c r="T77" s="18">
        <f t="shared" si="22"/>
        <v>-3.2340753232424131</v>
      </c>
      <c r="U77" s="18">
        <f t="shared" si="22"/>
        <v>-3.1958442601548795</v>
      </c>
      <c r="V77" s="18">
        <f t="shared" si="22"/>
        <v>-3.1509486621977576</v>
      </c>
      <c r="W77" s="18">
        <f t="shared" si="22"/>
        <v>-3.1174819993294722</v>
      </c>
    </row>
    <row r="78" spans="2:23" x14ac:dyDescent="0.2">
      <c r="B78" s="19" t="s">
        <v>85</v>
      </c>
      <c r="C78" s="19"/>
      <c r="D78" s="127">
        <f>'Input data'!D45</f>
        <v>5.7681103325160432</v>
      </c>
      <c r="E78" s="127">
        <f>'Input data'!E45</f>
        <v>7.4830230810080138</v>
      </c>
      <c r="F78" s="127">
        <f>'Input data'!F45</f>
        <v>3.9912900392291735</v>
      </c>
      <c r="G78" s="29">
        <f>'Input data'!G33+G41-(G$12-F$12)/'Input data'!$C$64*100</f>
        <v>2.7567636000000002</v>
      </c>
      <c r="H78" s="29">
        <f>'Input data'!H33+H41-(H$12-G$12)/'Input data'!$C$64*100</f>
        <v>2.8628225500000002</v>
      </c>
      <c r="I78" s="29">
        <f>'Input data'!I33+I41-(I$12-H$12)/'Input data'!$C$64*100</f>
        <v>2.8177268</v>
      </c>
      <c r="J78" s="29">
        <f>'Input data'!J33+J41-(J$12-I$12)/'Input data'!$C$64*100</f>
        <v>2.9222625499999997</v>
      </c>
      <c r="K78" s="29">
        <f>'Input data'!K33+K41-(K$12-J$12)/'Input data'!$C$64*100</f>
        <v>2.9188613999999999</v>
      </c>
      <c r="L78" s="29">
        <f>'Input data'!L33+L41-(L$12-K$12)/'Input data'!$C$64*100</f>
        <v>2.94904805</v>
      </c>
      <c r="M78" s="29">
        <f>'Input data'!M33+M41-(M$12-L$12)/'Input data'!$C$64*100</f>
        <v>3.0293970999999997</v>
      </c>
      <c r="N78" s="29">
        <f>'Input data'!N33+N41-(N$12-M$12)/'Input data'!$C$64*100</f>
        <v>3.1551393499999998</v>
      </c>
      <c r="O78" s="29">
        <f>'Input data'!O33+O41-(O$12-N$12)/'Input data'!$C$64*100</f>
        <v>3.2344523999999999</v>
      </c>
      <c r="P78" s="29">
        <f>'Input data'!P33+P41-(P$12-O$12)/'Input data'!$C$64*100</f>
        <v>3.4123823999999998</v>
      </c>
      <c r="Q78" s="29">
        <f>'Input data'!Q33+Q41-(Q$12-P$12)/'Input data'!$C$64*100</f>
        <v>3.5903129999999996</v>
      </c>
      <c r="R78" s="29">
        <f>'Input data'!R33+R41-(R$12-Q$12)/'Input data'!$C$64*100</f>
        <v>3.768243</v>
      </c>
      <c r="S78" s="29">
        <f>'Input data'!S33+S41-(S$12-R$12)/'Input data'!$C$64*100</f>
        <v>3.8150089999999999</v>
      </c>
      <c r="T78" s="29">
        <f>'Input data'!T33+T41-(T$12-S$12)/'Input data'!$C$64*100</f>
        <v>3.8364519999999995</v>
      </c>
      <c r="U78" s="29">
        <f>'Input data'!U33+U41-(U$12-T$12)/'Input data'!$C$64*100</f>
        <v>3.8710429999999998</v>
      </c>
      <c r="V78" s="29">
        <f>'Input data'!V33+V41-(V$12-U$12)/'Input data'!$C$64*100</f>
        <v>3.8905779999999996</v>
      </c>
      <c r="W78" s="29">
        <f>'Input data'!W33+W41-(W$12-V$12)/'Input data'!$C$64*100</f>
        <v>3.8183020000000001</v>
      </c>
    </row>
    <row r="79" spans="2:23" x14ac:dyDescent="0.2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2:23" x14ac:dyDescent="0.2">
      <c r="D80" s="32"/>
    </row>
    <row r="81" spans="2:23" s="62" customFormat="1" ht="12.75" outlineLevel="1" x14ac:dyDescent="0.2">
      <c r="B81" s="63" t="s">
        <v>86</v>
      </c>
      <c r="C81" s="64"/>
      <c r="E81" s="65"/>
      <c r="F81" s="64"/>
    </row>
    <row r="82" spans="2:23" x14ac:dyDescent="0.2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2:23" x14ac:dyDescent="0.2">
      <c r="B83" s="10" t="s">
        <v>87</v>
      </c>
      <c r="D83" s="13">
        <f t="shared" ref="D83:W83" si="23">IF((D87-C87*D42/((1+D23/100)*(1+D41/100)))&gt;0,1,0)</f>
        <v>1</v>
      </c>
      <c r="E83" s="13">
        <f t="shared" si="23"/>
        <v>1</v>
      </c>
      <c r="F83" s="13">
        <f t="shared" si="23"/>
        <v>1</v>
      </c>
      <c r="G83" s="13">
        <f t="shared" si="23"/>
        <v>1</v>
      </c>
      <c r="H83" s="13">
        <f t="shared" si="23"/>
        <v>1</v>
      </c>
      <c r="I83" s="13">
        <f t="shared" si="23"/>
        <v>1</v>
      </c>
      <c r="J83" s="13">
        <f t="shared" si="23"/>
        <v>1</v>
      </c>
      <c r="K83" s="13">
        <f t="shared" si="23"/>
        <v>1</v>
      </c>
      <c r="L83" s="13">
        <f t="shared" si="23"/>
        <v>1</v>
      </c>
      <c r="M83" s="13">
        <f t="shared" si="23"/>
        <v>1</v>
      </c>
      <c r="N83" s="13">
        <f t="shared" si="23"/>
        <v>1</v>
      </c>
      <c r="O83" s="13">
        <f t="shared" si="23"/>
        <v>1</v>
      </c>
      <c r="P83" s="13">
        <f t="shared" si="23"/>
        <v>1</v>
      </c>
      <c r="Q83" s="13">
        <f t="shared" si="23"/>
        <v>1</v>
      </c>
      <c r="R83" s="13">
        <f t="shared" si="23"/>
        <v>1</v>
      </c>
      <c r="S83" s="13">
        <f t="shared" si="23"/>
        <v>1</v>
      </c>
      <c r="T83" s="13">
        <f t="shared" si="23"/>
        <v>1</v>
      </c>
      <c r="U83" s="13">
        <f t="shared" si="23"/>
        <v>1</v>
      </c>
      <c r="V83" s="13">
        <f t="shared" si="23"/>
        <v>1</v>
      </c>
      <c r="W83" s="13">
        <f t="shared" si="23"/>
        <v>1</v>
      </c>
    </row>
    <row r="84" spans="2:23" x14ac:dyDescent="0.2">
      <c r="B84" s="10" t="s">
        <v>88</v>
      </c>
      <c r="D84" s="13">
        <f t="shared" ref="D84:W84" si="24">IF(AND(D83=0,ABS(D87-C87*D42/((1+D23/100)*(1+D41/100)))&lt;((C93*C87*D42/((1+D23/100)*(1+D41/100))+(D38*C87*C94*D42/((1+D23/100)*(1+D41/100)))))),1,0)</f>
        <v>0</v>
      </c>
      <c r="E84" s="13">
        <f t="shared" si="24"/>
        <v>0</v>
      </c>
      <c r="F84" s="13">
        <f t="shared" si="24"/>
        <v>0</v>
      </c>
      <c r="G84" s="13">
        <f t="shared" si="24"/>
        <v>0</v>
      </c>
      <c r="H84" s="13">
        <f t="shared" si="24"/>
        <v>0</v>
      </c>
      <c r="I84" s="13">
        <f t="shared" si="24"/>
        <v>0</v>
      </c>
      <c r="J84" s="13">
        <f t="shared" si="24"/>
        <v>0</v>
      </c>
      <c r="K84" s="13">
        <f t="shared" si="24"/>
        <v>0</v>
      </c>
      <c r="L84" s="13">
        <f t="shared" si="24"/>
        <v>0</v>
      </c>
      <c r="M84" s="13">
        <f t="shared" si="24"/>
        <v>0</v>
      </c>
      <c r="N84" s="13">
        <f t="shared" si="24"/>
        <v>0</v>
      </c>
      <c r="O84" s="13">
        <f t="shared" si="24"/>
        <v>0</v>
      </c>
      <c r="P84" s="13">
        <f t="shared" si="24"/>
        <v>0</v>
      </c>
      <c r="Q84" s="13">
        <f t="shared" si="24"/>
        <v>0</v>
      </c>
      <c r="R84" s="13">
        <f t="shared" si="24"/>
        <v>0</v>
      </c>
      <c r="S84" s="13">
        <f t="shared" si="24"/>
        <v>0</v>
      </c>
      <c r="T84" s="13">
        <f t="shared" si="24"/>
        <v>0</v>
      </c>
      <c r="U84" s="13">
        <f t="shared" si="24"/>
        <v>0</v>
      </c>
      <c r="V84" s="13">
        <f t="shared" si="24"/>
        <v>0</v>
      </c>
      <c r="W84" s="13">
        <f t="shared" si="24"/>
        <v>0</v>
      </c>
    </row>
    <row r="86" spans="2:23" x14ac:dyDescent="0.2">
      <c r="B86" s="31"/>
      <c r="C86" s="57">
        <v>2021</v>
      </c>
      <c r="D86" s="57">
        <v>2022</v>
      </c>
      <c r="E86" s="57">
        <v>2023</v>
      </c>
      <c r="F86" s="57">
        <v>2024</v>
      </c>
      <c r="G86" s="57">
        <v>2025</v>
      </c>
      <c r="H86" s="57">
        <v>2026</v>
      </c>
      <c r="I86" s="57">
        <v>2027</v>
      </c>
      <c r="J86" s="57">
        <v>2028</v>
      </c>
      <c r="K86" s="57">
        <v>2029</v>
      </c>
      <c r="L86" s="57">
        <v>2030</v>
      </c>
      <c r="M86" s="57">
        <v>2031</v>
      </c>
      <c r="N86" s="57">
        <v>2032</v>
      </c>
      <c r="O86" s="57">
        <v>2033</v>
      </c>
      <c r="P86" s="57">
        <v>2034</v>
      </c>
      <c r="Q86" s="57">
        <v>2035</v>
      </c>
      <c r="R86" s="57">
        <v>2036</v>
      </c>
      <c r="S86" s="57">
        <v>2037</v>
      </c>
      <c r="T86" s="57">
        <v>2038</v>
      </c>
      <c r="U86" s="57">
        <v>2039</v>
      </c>
      <c r="V86" s="57">
        <v>2040</v>
      </c>
      <c r="W86" s="57">
        <v>2041</v>
      </c>
    </row>
    <row r="87" spans="2:23" x14ac:dyDescent="0.2">
      <c r="B87" s="71" t="s">
        <v>66</v>
      </c>
      <c r="C87" s="75">
        <f>C56</f>
        <v>72.584819999999993</v>
      </c>
      <c r="D87" s="75">
        <f>D56</f>
        <v>73.511610584961744</v>
      </c>
      <c r="E87" s="75">
        <f>E56</f>
        <v>75.830716179102311</v>
      </c>
      <c r="F87" s="75">
        <f>F56</f>
        <v>80.48745186650369</v>
      </c>
      <c r="G87" s="75">
        <f>G56</f>
        <v>82.200968454836797</v>
      </c>
      <c r="H87" s="75">
        <f t="shared" ref="H87:W87" si="25">G87*(1+H101/100)*H42-H59-H60+H61+H62+H63+H64+H65+H71</f>
        <v>83.861771395756705</v>
      </c>
      <c r="I87" s="75">
        <f t="shared" si="25"/>
        <v>85.012356326105888</v>
      </c>
      <c r="J87" s="75">
        <f t="shared" si="25"/>
        <v>86.268567944088289</v>
      </c>
      <c r="K87" s="75">
        <f t="shared" si="25"/>
        <v>87.962438382725736</v>
      </c>
      <c r="L87" s="75">
        <f t="shared" si="25"/>
        <v>89.704123654274966</v>
      </c>
      <c r="M87" s="75">
        <f t="shared" si="25"/>
        <v>91.453691470839644</v>
      </c>
      <c r="N87" s="75">
        <f t="shared" si="25"/>
        <v>93.166450380361695</v>
      </c>
      <c r="O87" s="75">
        <f t="shared" si="25"/>
        <v>94.687595367764501</v>
      </c>
      <c r="P87" s="75">
        <f t="shared" si="25"/>
        <v>95.920156738064918</v>
      </c>
      <c r="Q87" s="75">
        <f t="shared" si="25"/>
        <v>96.852426994594509</v>
      </c>
      <c r="R87" s="75">
        <f t="shared" si="25"/>
        <v>97.466646547257426</v>
      </c>
      <c r="S87" s="75">
        <f t="shared" si="25"/>
        <v>97.868178927721658</v>
      </c>
      <c r="T87" s="75">
        <f t="shared" si="25"/>
        <v>98.065598328473598</v>
      </c>
      <c r="U87" s="75">
        <f t="shared" si="25"/>
        <v>98.032399893045991</v>
      </c>
      <c r="V87" s="75">
        <f t="shared" si="25"/>
        <v>97.784563645314904</v>
      </c>
      <c r="W87" s="75">
        <f t="shared" si="25"/>
        <v>97.426822190042841</v>
      </c>
    </row>
    <row r="88" spans="2:23" x14ac:dyDescent="0.2">
      <c r="B88" s="10" t="s">
        <v>89</v>
      </c>
      <c r="C88" s="18"/>
      <c r="D88" s="122">
        <f>'Input data'!C66*$D$87</f>
        <v>59.051128502792025</v>
      </c>
      <c r="E88" s="18">
        <f>IF(E87=0,0,IF(E83=1,D87*E42/((1+E23/100)*(1+E41/100))-E89-E90,IF(AND(E83=0,E84=1),(1-D93-E38*D94)*D87*E42/((1+E23/100)*(1+E41/100)),E87)))</f>
        <v>61.391972720723572</v>
      </c>
      <c r="F88" s="18">
        <f t="shared" ref="F88:W88" si="26">IF(F87=0,0,IF(F83=1,E87*F42/((1+F23/100)*(1+F41/100))-F89-F90,IF(AND(F83=0,F84=1),(1-E93-F38*E94)*E87*F42/((1+F23/100)*(1+F41/100)),F87)))</f>
        <v>65.006446801647428</v>
      </c>
      <c r="G88" s="18">
        <f t="shared" si="26"/>
        <v>67.575769693157639</v>
      </c>
      <c r="H88" s="18">
        <f t="shared" si="26"/>
        <v>69.120416340003004</v>
      </c>
      <c r="I88" s="18">
        <f t="shared" si="26"/>
        <v>70.323117805384015</v>
      </c>
      <c r="J88" s="18">
        <f t="shared" si="26"/>
        <v>71.427688594332253</v>
      </c>
      <c r="K88" s="18">
        <f t="shared" si="26"/>
        <v>72.7022867534873</v>
      </c>
      <c r="L88" s="18">
        <f t="shared" si="26"/>
        <v>74.027806238749079</v>
      </c>
      <c r="M88" s="18">
        <f t="shared" si="26"/>
        <v>75.353228466381537</v>
      </c>
      <c r="N88" s="18">
        <f t="shared" si="26"/>
        <v>76.646557623816008</v>
      </c>
      <c r="O88" s="18">
        <f t="shared" si="26"/>
        <v>77.939800270843193</v>
      </c>
      <c r="P88" s="18">
        <f t="shared" si="26"/>
        <v>79.047207662378838</v>
      </c>
      <c r="Q88" s="18">
        <f t="shared" si="26"/>
        <v>79.91150208258729</v>
      </c>
      <c r="R88" s="18">
        <f t="shared" si="26"/>
        <v>80.524355062357799</v>
      </c>
      <c r="S88" s="18">
        <f t="shared" si="26"/>
        <v>80.977156934146691</v>
      </c>
      <c r="T88" s="18">
        <f t="shared" si="26"/>
        <v>81.274646580848966</v>
      </c>
      <c r="U88" s="18">
        <f t="shared" si="26"/>
        <v>81.393466044090559</v>
      </c>
      <c r="V88" s="18">
        <f t="shared" si="26"/>
        <v>81.334395003649632</v>
      </c>
      <c r="W88" s="18">
        <f t="shared" si="26"/>
        <v>81.172100231702572</v>
      </c>
    </row>
    <row r="89" spans="2:23" x14ac:dyDescent="0.2">
      <c r="B89" s="70" t="s">
        <v>90</v>
      </c>
      <c r="C89" s="18"/>
      <c r="D89" s="122">
        <f>'Input data'!C67*$D$87</f>
        <v>2.5660693694891989</v>
      </c>
      <c r="E89" s="18">
        <f t="shared" ref="E89:W89" si="27">IF(E87=0,0,IF(E83=1,E38*D87*D94*E42/((1+E23/100)*(1+E41/100)),IF(AND(E83=0,E84=1),(E38*D87*D94*E42/((1+E23/100)*(1+E41/100)))*(1-ABS(E87-D87*E42/((1+E23/100)*(1+E41/100)))/((E38*D87*D94*E42/((1+E23/100)*(1+E41/100)))+(D93*D87*E42/((1+E23/100)*(1+E41/100))))),0)))</f>
        <v>2.5200411188940466</v>
      </c>
      <c r="F89" s="18">
        <f t="shared" si="27"/>
        <v>2.1334078217749264</v>
      </c>
      <c r="G89" s="18">
        <f t="shared" si="27"/>
        <v>2.2664100049806057</v>
      </c>
      <c r="H89" s="18">
        <f t="shared" si="27"/>
        <v>2.3680789655896075</v>
      </c>
      <c r="I89" s="18">
        <f t="shared" si="27"/>
        <v>2.46008561934307</v>
      </c>
      <c r="J89" s="18">
        <f t="shared" si="27"/>
        <v>2.5503983277406843</v>
      </c>
      <c r="K89" s="18">
        <f t="shared" si="27"/>
        <v>2.6485767400039557</v>
      </c>
      <c r="L89" s="18">
        <f t="shared" si="27"/>
        <v>2.7505689103290241</v>
      </c>
      <c r="M89" s="18">
        <f t="shared" si="27"/>
        <v>2.854557149857933</v>
      </c>
      <c r="N89" s="18">
        <f t="shared" si="27"/>
        <v>2.9593100986687939</v>
      </c>
      <c r="O89" s="18">
        <f t="shared" si="27"/>
        <v>3.066020918464365</v>
      </c>
      <c r="P89" s="18">
        <f t="shared" si="27"/>
        <v>3.1095844664323029</v>
      </c>
      <c r="Q89" s="18">
        <f t="shared" si="27"/>
        <v>3.1435843581803247</v>
      </c>
      <c r="R89" s="18">
        <f t="shared" si="27"/>
        <v>3.1676929657131896</v>
      </c>
      <c r="S89" s="18">
        <f t="shared" si="27"/>
        <v>3.1855054313084334</v>
      </c>
      <c r="T89" s="18">
        <f t="shared" si="27"/>
        <v>3.1972081746647949</v>
      </c>
      <c r="U89" s="18">
        <f t="shared" si="27"/>
        <v>3.2018823329068411</v>
      </c>
      <c r="V89" s="18">
        <f t="shared" si="27"/>
        <v>3.1995585773283315</v>
      </c>
      <c r="W89" s="18">
        <f t="shared" si="27"/>
        <v>3.1931741734163648</v>
      </c>
    </row>
    <row r="90" spans="2:23" x14ac:dyDescent="0.2">
      <c r="B90" s="70" t="s">
        <v>91</v>
      </c>
      <c r="C90" s="18"/>
      <c r="D90" s="122">
        <f>'Input data'!C68*$D$87</f>
        <v>6.679115961728173</v>
      </c>
      <c r="E90" s="18">
        <f t="shared" ref="E90:W90" si="28">IF(E87=0,0,IF(E83=1,(1-D94)*D87*E42/((1+E23/100)*(1+E41/100)),IF(AND(E83=0,E84=1),(D93*D87*E42/((1+E23/100)*(1+E41/100)))*(1-ABS(E87-D87*E42/((1+E23/100)*(1+E41/100)))/((E38*D87*D94*E42/((1+E23/100)*(1+E41/100)))+(D93*D87*E42/((1+E23/100)*(1+E41/100))))),0)))</f>
        <v>6.9278671872792303</v>
      </c>
      <c r="F90" s="18">
        <f t="shared" si="28"/>
        <v>7.3347852861568796</v>
      </c>
      <c r="G90" s="18">
        <f t="shared" si="28"/>
        <v>7.693010302803879</v>
      </c>
      <c r="H90" s="18">
        <f t="shared" si="28"/>
        <v>7.9197518324962513</v>
      </c>
      <c r="I90" s="18">
        <f t="shared" si="28"/>
        <v>8.1040214123672509</v>
      </c>
      <c r="J90" s="18">
        <f t="shared" si="28"/>
        <v>8.2730116222363996</v>
      </c>
      <c r="K90" s="18">
        <f t="shared" si="28"/>
        <v>8.4599914629013782</v>
      </c>
      <c r="L90" s="18">
        <f t="shared" si="28"/>
        <v>8.6532365933816262</v>
      </c>
      <c r="M90" s="18">
        <f t="shared" si="28"/>
        <v>8.8466546273878492</v>
      </c>
      <c r="N90" s="18">
        <f t="shared" si="28"/>
        <v>9.0364657832662765</v>
      </c>
      <c r="O90" s="18">
        <f t="shared" si="28"/>
        <v>9.2263647675564648</v>
      </c>
      <c r="P90" s="18">
        <f t="shared" si="28"/>
        <v>9.3864471014039523</v>
      </c>
      <c r="Q90" s="18">
        <f t="shared" si="28"/>
        <v>9.5161771045502839</v>
      </c>
      <c r="R90" s="18">
        <f t="shared" si="28"/>
        <v>9.6144180577618066</v>
      </c>
      <c r="S90" s="18">
        <f t="shared" si="28"/>
        <v>9.6919381465643344</v>
      </c>
      <c r="T90" s="18">
        <f t="shared" si="28"/>
        <v>9.7492087538217138</v>
      </c>
      <c r="U90" s="18">
        <f t="shared" si="28"/>
        <v>9.7833606865202114</v>
      </c>
      <c r="V90" s="18">
        <f t="shared" si="28"/>
        <v>9.7944306256142717</v>
      </c>
      <c r="W90" s="18">
        <f t="shared" si="28"/>
        <v>9.7914490825345801</v>
      </c>
    </row>
    <row r="91" spans="2:23" x14ac:dyDescent="0.2">
      <c r="B91" s="70" t="s">
        <v>92</v>
      </c>
      <c r="C91" s="18"/>
      <c r="D91" s="122">
        <f>'Input data'!C69*$D$87</f>
        <v>4.7052606775120811</v>
      </c>
      <c r="E91" s="18">
        <f>IF(E87=0,0,IF(E83=1,'Input data'!$C$58*(E87-D87*E42/((1+E23/100)*(1+E41/100))),0))</f>
        <v>4.4503611438171307</v>
      </c>
      <c r="F91" s="18">
        <f>IF(F87=0,0,IF(F83=1,'Input data'!$C$58*(F87-E87*F42/((1+F23/100)*(1+F41/100))),0))</f>
        <v>5.3616647078296573</v>
      </c>
      <c r="G91" s="18">
        <f>IF(G87=0,0,IF(G83=1,'Input data'!$C$58*(G87-F87*G42/((1+G23/100)*(1+G41/100))),0))</f>
        <v>4.1605059080535218</v>
      </c>
      <c r="H91" s="18">
        <f>IF(H87=0,0,IF(H83=1,'Input data'!$C$58*(H87-G87*H42/((1+H23/100)*(1+H41/100))),0))</f>
        <v>3.9712374191749493</v>
      </c>
      <c r="I91" s="18">
        <f>IF(I87=0,0,IF(I83=1,'Input data'!$C$58*(I87-H87*I42/((1+I23/100)*(1+I41/100))),0))</f>
        <v>3.6784073871325762</v>
      </c>
      <c r="J91" s="18">
        <f>IF(J87=0,0,IF(J83=1,'Input data'!$C$58*(J87-I87*J42/((1+J23/100)*(1+J41/100))),0))</f>
        <v>3.5824043808278772</v>
      </c>
      <c r="K91" s="18">
        <f>IF(K87=0,0,IF(K83=1,'Input data'!$C$58*(K87-J87*K42/((1+K23/100)*(1+K41/100))),0))</f>
        <v>3.7019947568701856</v>
      </c>
      <c r="L91" s="18">
        <f>IF(L87=0,0,IF(L83=1,'Input data'!$C$58*(L87-K87*L42/((1+L23/100)*(1+L41/100))),0))</f>
        <v>3.8098274975954616</v>
      </c>
      <c r="M91" s="18">
        <f>IF(M87=0,0,IF(M83=1,'Input data'!$C$58*(M87-L87*M42/((1+M23/100)*(1+M41/100))),0))</f>
        <v>3.9228417942884461</v>
      </c>
      <c r="N91" s="18">
        <f>IF(N87=0,0,IF(N83=1,'Input data'!$C$58*(N87-M87*N42/((1+N23/100)*(1+N41/100))),0))</f>
        <v>4.0341853286733427</v>
      </c>
      <c r="O91" s="18">
        <f>IF(O87=0,0,IF(O83=1,'Input data'!$C$58*(O87-N87*O42/((1+O23/100)*(1+O41/100))),0))</f>
        <v>3.9729184229430166</v>
      </c>
      <c r="P91" s="18">
        <f>IF(P87=0,0,IF(P83=1,'Input data'!$C$58*(P87-O87*P42/((1+P23/100)*(1+P41/100))),0))</f>
        <v>3.9029266670969913</v>
      </c>
      <c r="Q91" s="18">
        <f>IF(Q87=0,0,IF(Q83=1,'Input data'!$C$58*(Q87-P87*Q42/((1+Q23/100)*(1+Q41/100))),0))</f>
        <v>3.8175421315150708</v>
      </c>
      <c r="R91" s="18">
        <f>IF(R87=0,0,IF(R83=1,'Input data'!$C$58*(R87-Q87*R42/((1+R23/100)*(1+R41/100))),0))</f>
        <v>3.7096607906614345</v>
      </c>
      <c r="S91" s="18">
        <f>IF(S87=0,0,IF(S83=1,'Input data'!$C$58*(S87-R87*S42/((1+S23/100)*(1+S41/100))),0))</f>
        <v>3.5789347642570357</v>
      </c>
      <c r="T91" s="18">
        <f>IF(T87=0,0,IF(T83=1,'Input data'!$C$58*(T87-S87*T42/((1+T23/100)*(1+T41/100))),0))</f>
        <v>3.4281974566087485</v>
      </c>
      <c r="U91" s="18">
        <f>IF(U87=0,0,IF(U83=1,'Input data'!$C$58*(U87-T87*U42/((1+U23/100)*(1+U41/100))),0))</f>
        <v>3.2580205924190198</v>
      </c>
      <c r="V91" s="18">
        <f>IF(V87=0,0,IF(V83=1,'Input data'!$C$58*(V87-U87*V42/((1+V23/100)*(1+V41/100))),0))</f>
        <v>3.0818983619112452</v>
      </c>
      <c r="W91" s="18">
        <f>IF(W87=0,0,IF(W83=1,'Input data'!$C$58*(W87-V87*W42/((1+W23/100)*(1+W41/100))),0))</f>
        <v>2.9159689225818619</v>
      </c>
    </row>
    <row r="92" spans="2:23" x14ac:dyDescent="0.2">
      <c r="B92" s="72" t="s">
        <v>93</v>
      </c>
      <c r="C92" s="29"/>
      <c r="D92" s="123">
        <f>'Input data'!C70*$D$87</f>
        <v>0.51003587344023849</v>
      </c>
      <c r="E92" s="29">
        <f>IF(E87=0,0,IF(E83=1,'Input data'!$C$57*(E87-D87*E42/((1+E23/100)*(1+E41/100))),0))</f>
        <v>0.54047400838833182</v>
      </c>
      <c r="F92" s="29">
        <f>IF(F87=0,0,IF(F83=1,'Input data'!$C$57*(F87-E87*F42/((1+F23/100)*(1+F41/100))),0))</f>
        <v>0.65114724909480826</v>
      </c>
      <c r="G92" s="29">
        <f>IF(G87=0,0,IF(G83=1,'Input data'!$C$57*(G87-F87*G42/((1+G23/100)*(1+G41/100))),0))</f>
        <v>0.50527254584115211</v>
      </c>
      <c r="H92" s="29">
        <f>IF(H87=0,0,IF(H83=1,'Input data'!$C$57*(H87-G87*H42/((1+H23/100)*(1+H41/100))),0))</f>
        <v>0.48228683849290188</v>
      </c>
      <c r="I92" s="29">
        <f>IF(I87=0,0,IF(I83=1,'Input data'!$C$57*(I87-H87*I42/((1+I23/100)*(1+I41/100))),0))</f>
        <v>0.44672410187897454</v>
      </c>
      <c r="J92" s="29">
        <f>IF(J87=0,0,IF(J83=1,'Input data'!$C$57*(J87-I87*J42/((1+J23/100)*(1+J41/100))),0))</f>
        <v>0.43506501895108285</v>
      </c>
      <c r="K92" s="29">
        <f>IF(K87=0,0,IF(K83=1,'Input data'!$C$57*(K87-J87*K42/((1+K23/100)*(1+K41/100))),0))</f>
        <v>0.44958866946291876</v>
      </c>
      <c r="L92" s="29">
        <f>IF(L87=0,0,IF(L83=1,'Input data'!$C$57*(L87-K87*L42/((1+L23/100)*(1+L41/100))),0))</f>
        <v>0.46268441421978168</v>
      </c>
      <c r="M92" s="29">
        <f>IF(M87=0,0,IF(M83=1,'Input data'!$C$57*(M87-L87*M42/((1+M23/100)*(1+M41/100))),0))</f>
        <v>0.47640943292387167</v>
      </c>
      <c r="N92" s="29">
        <f>IF(N87=0,0,IF(N83=1,'Input data'!$C$57*(N87-M87*N42/((1+N23/100)*(1+N41/100))),0))</f>
        <v>0.48993154593726945</v>
      </c>
      <c r="O92" s="29">
        <f>IF(O87=0,0,IF(O83=1,'Input data'!$C$57*(O87-N87*O42/((1+O23/100)*(1+O41/100))),0))</f>
        <v>0.48249098795746964</v>
      </c>
      <c r="P92" s="29">
        <f>IF(P87=0,0,IF(P83=1,'Input data'!$C$57*(P87-O87*P42/((1+P23/100)*(1+P41/100))),0))</f>
        <v>0.47399084075283343</v>
      </c>
      <c r="Q92" s="29">
        <f>IF(Q87=0,0,IF(Q83=1,'Input data'!$C$57*(Q87-P87*Q42/((1+Q23/100)*(1+Q41/100))),0))</f>
        <v>0.46362131776154764</v>
      </c>
      <c r="R92" s="29">
        <f>IF(R87=0,0,IF(R83=1,'Input data'!$C$57*(R87-Q87*R42/((1+R23/100)*(1+R41/100))),0))</f>
        <v>0.45051967076319593</v>
      </c>
      <c r="S92" s="29">
        <f>IF(S87=0,0,IF(S83=1,'Input data'!$C$57*(S87-R87*S42/((1+S23/100)*(1+S41/100))),0))</f>
        <v>0.43464365144516293</v>
      </c>
      <c r="T92" s="29">
        <f>IF(T87=0,0,IF(T83=1,'Input data'!$C$57*(T87-S87*T42/((1+T23/100)*(1+T41/100))),0))</f>
        <v>0.41633736252936998</v>
      </c>
      <c r="U92" s="29">
        <f>IF(U87=0,0,IF(U83=1,'Input data'!$C$57*(U87-T87*U42/((1+U23/100)*(1+U41/100))),0))</f>
        <v>0.39567023710936639</v>
      </c>
      <c r="V92" s="29">
        <f>IF(V87=0,0,IF(V83=1,'Input data'!$C$57*(V87-U87*V42/((1+V23/100)*(1+V41/100))),0))</f>
        <v>0.37428107681142581</v>
      </c>
      <c r="W92" s="29">
        <f>IF(W87=0,0,IF(W83=1,'Input data'!$C$57*(W87-V87*W42/((1+W23/100)*(1+W41/100))),0))</f>
        <v>0.35412977980745725</v>
      </c>
    </row>
    <row r="93" spans="2:23" x14ac:dyDescent="0.2">
      <c r="B93" s="10" t="s">
        <v>35</v>
      </c>
      <c r="C93" s="20"/>
      <c r="D93" s="121">
        <f>IF(D87&lt;&gt;0,(D90+D92)/(D88+D89+D90+D91+D92),0)</f>
        <v>9.7796141283269952E-2</v>
      </c>
      <c r="E93" s="121">
        <f>IF(E87&lt;&gt;0,(E90+E92)/(E88+E89+E90+E91+E92),0)</f>
        <v>9.8487019139161358E-2</v>
      </c>
      <c r="F93" s="20">
        <f>IF(F87&lt;&gt;0,(F90+F92)/(F88+F89+F90+F91+F92),0)</f>
        <v>9.9219596968942919E-2</v>
      </c>
      <c r="G93" s="20">
        <f>IF(G87&lt;&gt;0,(G90+G92)/(G88+G89+G90+G91+G92),0)</f>
        <v>9.9734626036058996E-2</v>
      </c>
      <c r="H93" s="20">
        <f>IF(H87&lt;&gt;0,(H90+H92)/(H88+H89+H90+H91+H92),0)</f>
        <v>0.10018913899801413</v>
      </c>
      <c r="I93" s="20">
        <f t="shared" ref="I93:W93" si="29">IF(I87&lt;&gt;0,(I90+I92)/(I88+I89+I90+I91+I92),0)</f>
        <v>0.10058238453532234</v>
      </c>
      <c r="J93" s="20">
        <f t="shared" si="29"/>
        <v>0.10094147670135538</v>
      </c>
      <c r="K93" s="20">
        <f t="shared" si="29"/>
        <v>0.10128846239571709</v>
      </c>
      <c r="L93" s="20">
        <f t="shared" si="29"/>
        <v>0.10162209535355041</v>
      </c>
      <c r="M93" s="20">
        <f>IF(M87&lt;&gt;0,(M90+M92)/(M88+M89+M90+M91+M92),0)</f>
        <v>0.10194300427210655</v>
      </c>
      <c r="N93" s="20">
        <f t="shared" si="29"/>
        <v>0.10225137150026689</v>
      </c>
      <c r="O93" s="20">
        <f t="shared" si="29"/>
        <v>0.10253566708294741</v>
      </c>
      <c r="P93" s="20">
        <f t="shared" si="29"/>
        <v>0.10279839272034647</v>
      </c>
      <c r="Q93" s="20">
        <f t="shared" si="29"/>
        <v>0.10304128385826429</v>
      </c>
      <c r="R93" s="20">
        <f t="shared" si="29"/>
        <v>0.10326545628760238</v>
      </c>
      <c r="S93" s="20">
        <f t="shared" si="29"/>
        <v>0.10347164838418273</v>
      </c>
      <c r="T93" s="20">
        <f t="shared" si="29"/>
        <v>0.10366067499329673</v>
      </c>
      <c r="U93" s="20">
        <f t="shared" si="29"/>
        <v>0.10383333402767828</v>
      </c>
      <c r="V93" s="20">
        <f t="shared" si="29"/>
        <v>0.10399097079688105</v>
      </c>
      <c r="W93" s="20">
        <f t="shared" si="29"/>
        <v>0.1041353770376689</v>
      </c>
    </row>
    <row r="94" spans="2:23" x14ac:dyDescent="0.2">
      <c r="B94" s="19" t="s">
        <v>36</v>
      </c>
      <c r="C94" s="73"/>
      <c r="D94" s="163">
        <f>(D88+D89+D91)/D87</f>
        <v>0.90220385626214106</v>
      </c>
      <c r="E94" s="163">
        <f>IF(E87&lt;&gt;0,(E88+E89+E91)/(E88+E89+E90+E91+E92),1)</f>
        <v>0.90151298086083864</v>
      </c>
      <c r="F94" s="73">
        <f>IF(F87&lt;&gt;0,(F88+F89+F91)/(F88+F89+F90+F91+F92),1)</f>
        <v>0.90078040303105722</v>
      </c>
      <c r="G94" s="73">
        <f>IF(G87&lt;&gt;0,(G88+G89+G91)/(G88+G89+G90+G91+G92),1)</f>
        <v>0.90026537396394091</v>
      </c>
      <c r="H94" s="73">
        <f>IF(H87&lt;&gt;0,(H88+H89+H91)/(H88+H89+H90+H91+H92),1)</f>
        <v>0.89981086100198604</v>
      </c>
      <c r="I94" s="73">
        <f t="shared" ref="I94:W94" si="30">IF(I87&lt;&gt;0,(I88+I89+I91)/(I88+I89+I90+I91+I92),1)</f>
        <v>0.8994176154646778</v>
      </c>
      <c r="J94" s="73">
        <f t="shared" si="30"/>
        <v>0.89905852329864466</v>
      </c>
      <c r="K94" s="73">
        <f t="shared" si="30"/>
        <v>0.89871153760428302</v>
      </c>
      <c r="L94" s="73">
        <f t="shared" si="30"/>
        <v>0.89837790464644962</v>
      </c>
      <c r="M94" s="73">
        <f t="shared" si="30"/>
        <v>0.89805699572789344</v>
      </c>
      <c r="N94" s="73">
        <f t="shared" si="30"/>
        <v>0.89774862849973314</v>
      </c>
      <c r="O94" s="73">
        <f t="shared" si="30"/>
        <v>0.89746433291705252</v>
      </c>
      <c r="P94" s="73">
        <f t="shared" si="30"/>
        <v>0.89720160727965348</v>
      </c>
      <c r="Q94" s="73">
        <f t="shared" si="30"/>
        <v>0.89695871614173572</v>
      </c>
      <c r="R94" s="73">
        <f t="shared" si="30"/>
        <v>0.89673454371239758</v>
      </c>
      <c r="S94" s="73">
        <f t="shared" si="30"/>
        <v>0.89652835161581723</v>
      </c>
      <c r="T94" s="73">
        <f t="shared" si="30"/>
        <v>0.89633932500670321</v>
      </c>
      <c r="U94" s="73">
        <f t="shared" si="30"/>
        <v>0.89616666597232164</v>
      </c>
      <c r="V94" s="73">
        <f t="shared" si="30"/>
        <v>0.89600902920311898</v>
      </c>
      <c r="W94" s="73">
        <f t="shared" si="30"/>
        <v>0.89586462296233116</v>
      </c>
    </row>
    <row r="95" spans="2:23" x14ac:dyDescent="0.2">
      <c r="C95" s="20"/>
      <c r="D95" s="20"/>
      <c r="E95" s="121"/>
      <c r="F95" s="121"/>
      <c r="G95" s="121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2:23" x14ac:dyDescent="0.2">
      <c r="B96" s="76" t="s">
        <v>94</v>
      </c>
      <c r="C96" s="78">
        <f>C35</f>
        <v>0.73297140000000005</v>
      </c>
      <c r="D96" s="78">
        <f>D35</f>
        <v>0.83926920000000005</v>
      </c>
      <c r="E96" s="78">
        <f>E98+E99</f>
        <v>1.5804370000000001</v>
      </c>
      <c r="F96" s="78">
        <f>F98+F99</f>
        <v>1.6625099999999999</v>
      </c>
      <c r="G96" s="78">
        <f>G98+G99</f>
        <v>1.8895660000000001</v>
      </c>
      <c r="H96" s="78">
        <f>H98+H99</f>
        <v>2.0004040156117218</v>
      </c>
      <c r="I96" s="78">
        <f t="shared" ref="I96:W96" si="31">I98+I99</f>
        <v>2.0871486469393683</v>
      </c>
      <c r="J96" s="78">
        <f t="shared" si="31"/>
        <v>2.1648167418849633</v>
      </c>
      <c r="K96" s="78">
        <f t="shared" si="31"/>
        <v>2.2369310539903711</v>
      </c>
      <c r="L96" s="78">
        <f t="shared" si="31"/>
        <v>2.3062364543417102</v>
      </c>
      <c r="M96" s="78">
        <f t="shared" si="31"/>
        <v>2.3726831093821188</v>
      </c>
      <c r="N96" s="78">
        <f t="shared" si="31"/>
        <v>2.4364411615692991</v>
      </c>
      <c r="O96" s="78">
        <f t="shared" si="31"/>
        <v>2.4976264793270038</v>
      </c>
      <c r="P96" s="78">
        <f t="shared" si="31"/>
        <v>2.5533138022917004</v>
      </c>
      <c r="Q96" s="78">
        <f t="shared" si="31"/>
        <v>2.6059527376903731</v>
      </c>
      <c r="R96" s="78">
        <f t="shared" si="31"/>
        <v>2.6558543241958836</v>
      </c>
      <c r="S96" s="78">
        <f t="shared" si="31"/>
        <v>2.7032387952296744</v>
      </c>
      <c r="T96" s="78">
        <f t="shared" si="31"/>
        <v>2.7482655436019821</v>
      </c>
      <c r="U96" s="78">
        <f t="shared" si="31"/>
        <v>2.7910892046447042</v>
      </c>
      <c r="V96" s="78">
        <f t="shared" si="31"/>
        <v>2.8318500148877472</v>
      </c>
      <c r="W96" s="78">
        <f t="shared" si="31"/>
        <v>2.8707474083716433</v>
      </c>
    </row>
    <row r="97" spans="2:25" x14ac:dyDescent="0.2">
      <c r="B97" s="17" t="s">
        <v>95</v>
      </c>
      <c r="C97" s="1"/>
      <c r="D97" s="18"/>
      <c r="E97" s="162">
        <f>((E35*D87)-(E37*D90+D92))/(D88+D89+D91)</f>
        <v>1.3986373199095827</v>
      </c>
      <c r="F97" s="165">
        <f>((F35*E87)-(F37*E90+E92))/(E88+E89+E91)</f>
        <v>1.4750290685355381</v>
      </c>
      <c r="G97" s="126">
        <f>((G35*F87)-(G37*F90+F92))/(F88+F89+F91)</f>
        <v>1.8037925345629948</v>
      </c>
      <c r="H97" s="18">
        <f t="shared" ref="H97:W97" si="32">IF(G87&gt;0,(G97*G88+H36*(G91+G89))/(G88+G89+G91),H36)</f>
        <v>1.9112580862932227</v>
      </c>
      <c r="I97" s="18">
        <f t="shared" si="32"/>
        <v>2.0084663711271391</v>
      </c>
      <c r="J97" s="18">
        <f t="shared" si="32"/>
        <v>2.0957388441695866</v>
      </c>
      <c r="K97" s="18">
        <f t="shared" si="32"/>
        <v>2.1769425487193228</v>
      </c>
      <c r="L97" s="18">
        <f t="shared" si="32"/>
        <v>2.2551014360866897</v>
      </c>
      <c r="M97" s="18">
        <f t="shared" si="32"/>
        <v>2.3301534720667876</v>
      </c>
      <c r="N97" s="18">
        <f t="shared" si="32"/>
        <v>2.4022805643721528</v>
      </c>
      <c r="O97" s="18">
        <f t="shared" si="32"/>
        <v>2.4716050434985442</v>
      </c>
      <c r="P97" s="18">
        <f t="shared" si="32"/>
        <v>2.5377218550139959</v>
      </c>
      <c r="Q97" s="18">
        <f t="shared" si="32"/>
        <v>2.6005071065918788</v>
      </c>
      <c r="R97" s="18">
        <f t="shared" si="32"/>
        <v>2.6602975751396185</v>
      </c>
      <c r="S97" s="18">
        <f t="shared" si="32"/>
        <v>2.7173302150734235</v>
      </c>
      <c r="T97" s="18">
        <f t="shared" si="32"/>
        <v>2.7717750871720686</v>
      </c>
      <c r="U97" s="18">
        <f t="shared" si="32"/>
        <v>2.8237977497919822</v>
      </c>
      <c r="V97" s="18">
        <f t="shared" si="32"/>
        <v>2.8735484369536048</v>
      </c>
      <c r="W97" s="18">
        <f t="shared" si="32"/>
        <v>2.9212444284341879</v>
      </c>
    </row>
    <row r="98" spans="2:25" x14ac:dyDescent="0.2">
      <c r="B98" s="10" t="s">
        <v>96</v>
      </c>
      <c r="C98" s="18"/>
      <c r="D98" s="18"/>
      <c r="E98" s="126">
        <f>E35</f>
        <v>1.5804370000000001</v>
      </c>
      <c r="F98" s="126">
        <f>F35</f>
        <v>1.6625099999999999</v>
      </c>
      <c r="G98" s="126">
        <f>G35</f>
        <v>1.8895660000000001</v>
      </c>
      <c r="H98" s="18">
        <f t="shared" ref="H98:W98" si="33">(H97*(G88+G89+G91)+H37*(G90+G92))/G87</f>
        <v>2.0004040156117218</v>
      </c>
      <c r="I98" s="18">
        <f t="shared" si="33"/>
        <v>2.0871486469393683</v>
      </c>
      <c r="J98" s="18">
        <f t="shared" si="33"/>
        <v>2.1648167418849633</v>
      </c>
      <c r="K98" s="18">
        <f t="shared" si="33"/>
        <v>2.2369310539903711</v>
      </c>
      <c r="L98" s="18">
        <f t="shared" si="33"/>
        <v>2.3062364543417102</v>
      </c>
      <c r="M98" s="18">
        <f t="shared" si="33"/>
        <v>2.3726831093821188</v>
      </c>
      <c r="N98" s="18">
        <f t="shared" si="33"/>
        <v>2.4364411615692991</v>
      </c>
      <c r="O98" s="18">
        <f t="shared" si="33"/>
        <v>2.4976264793270038</v>
      </c>
      <c r="P98" s="18">
        <f t="shared" si="33"/>
        <v>2.5533138022917004</v>
      </c>
      <c r="Q98" s="18">
        <f t="shared" si="33"/>
        <v>2.6059527376903731</v>
      </c>
      <c r="R98" s="18">
        <f t="shared" si="33"/>
        <v>2.6558543241958836</v>
      </c>
      <c r="S98" s="18">
        <f t="shared" si="33"/>
        <v>2.7032387952296744</v>
      </c>
      <c r="T98" s="18">
        <f t="shared" si="33"/>
        <v>2.7482655436019821</v>
      </c>
      <c r="U98" s="18">
        <f t="shared" si="33"/>
        <v>2.7910892046447042</v>
      </c>
      <c r="V98" s="18">
        <f t="shared" si="33"/>
        <v>2.8318500148877472</v>
      </c>
      <c r="W98" s="18">
        <f t="shared" si="33"/>
        <v>2.8707474083716433</v>
      </c>
    </row>
    <row r="99" spans="2:25" x14ac:dyDescent="0.2">
      <c r="B99" s="19" t="s">
        <v>97</v>
      </c>
      <c r="C99" s="77"/>
      <c r="D99" s="29"/>
      <c r="E99" s="29">
        <f>E108</f>
        <v>0</v>
      </c>
      <c r="F99" s="29">
        <f>F108</f>
        <v>0</v>
      </c>
      <c r="G99" s="29">
        <f>G108</f>
        <v>0</v>
      </c>
      <c r="H99" s="29">
        <f>H108</f>
        <v>0</v>
      </c>
      <c r="I99" s="29">
        <f t="shared" ref="I99:W99" si="34">I108</f>
        <v>0</v>
      </c>
      <c r="J99" s="29">
        <f t="shared" si="34"/>
        <v>0</v>
      </c>
      <c r="K99" s="29">
        <f t="shared" si="34"/>
        <v>0</v>
      </c>
      <c r="L99" s="29">
        <f t="shared" si="34"/>
        <v>0</v>
      </c>
      <c r="M99" s="29">
        <f t="shared" si="34"/>
        <v>0</v>
      </c>
      <c r="N99" s="29">
        <f t="shared" si="34"/>
        <v>0</v>
      </c>
      <c r="O99" s="29">
        <f t="shared" si="34"/>
        <v>0</v>
      </c>
      <c r="P99" s="29">
        <f t="shared" si="34"/>
        <v>0</v>
      </c>
      <c r="Q99" s="29">
        <f t="shared" si="34"/>
        <v>0</v>
      </c>
      <c r="R99" s="29">
        <f t="shared" si="34"/>
        <v>0</v>
      </c>
      <c r="S99" s="29">
        <f t="shared" si="34"/>
        <v>0</v>
      </c>
      <c r="T99" s="29">
        <f t="shared" si="34"/>
        <v>0</v>
      </c>
      <c r="U99" s="29">
        <f t="shared" si="34"/>
        <v>0</v>
      </c>
      <c r="V99" s="29">
        <f t="shared" si="34"/>
        <v>0</v>
      </c>
      <c r="W99" s="29">
        <f t="shared" si="34"/>
        <v>0</v>
      </c>
    </row>
    <row r="100" spans="2:25" x14ac:dyDescent="0.2"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</row>
    <row r="101" spans="2:25" x14ac:dyDescent="0.2">
      <c r="B101" s="76" t="s">
        <v>115</v>
      </c>
      <c r="C101" s="78">
        <f t="shared" ref="C101:W101" si="35">((1+C96/100)/((1+C23/100)*(1+C41/100))-1)*100</f>
        <v>-4.3409713213587997</v>
      </c>
      <c r="D101" s="78">
        <f t="shared" si="35"/>
        <v>-5.5733961793317803</v>
      </c>
      <c r="E101" s="78">
        <f t="shared" si="35"/>
        <v>-2.0557830858901172</v>
      </c>
      <c r="F101" s="78">
        <f t="shared" si="35"/>
        <v>-0.1745813850073441</v>
      </c>
      <c r="G101" s="78">
        <f t="shared" si="35"/>
        <v>-1.8577311719465417</v>
      </c>
      <c r="H101" s="78">
        <f t="shared" si="35"/>
        <v>-1.4649894945366282</v>
      </c>
      <c r="I101" s="78">
        <f t="shared" si="35"/>
        <v>-1.5338454202903029</v>
      </c>
      <c r="J101" s="78">
        <f t="shared" si="35"/>
        <v>-1.153564343474045</v>
      </c>
      <c r="K101" s="78">
        <f t="shared" si="35"/>
        <v>-0.67570606589770765</v>
      </c>
      <c r="L101" s="78">
        <f t="shared" si="35"/>
        <v>-0.6372852743016022</v>
      </c>
      <c r="M101" s="78">
        <f t="shared" si="35"/>
        <v>-0.65120463499684922</v>
      </c>
      <c r="N101" s="78">
        <f t="shared" si="35"/>
        <v>-0.71253511421864868</v>
      </c>
      <c r="O101" s="78">
        <f t="shared" si="35"/>
        <v>-0.73052204026753387</v>
      </c>
      <c r="P101" s="78">
        <f t="shared" si="35"/>
        <v>-0.85224466001609933</v>
      </c>
      <c r="Q101" s="78">
        <f t="shared" si="35"/>
        <v>-0.9763639342569963</v>
      </c>
      <c r="R101" s="78">
        <f t="shared" si="35"/>
        <v>-1.1025816570671587</v>
      </c>
      <c r="S101" s="78">
        <f t="shared" si="35"/>
        <v>-1.1028717014163858</v>
      </c>
      <c r="T101" s="78">
        <f t="shared" si="35"/>
        <v>-1.0807091811986025</v>
      </c>
      <c r="U101" s="78">
        <f t="shared" si="35"/>
        <v>-1.073460339552601</v>
      </c>
      <c r="V101" s="78">
        <f t="shared" si="35"/>
        <v>-1.0535061116353051</v>
      </c>
      <c r="W101" s="78">
        <f t="shared" si="35"/>
        <v>-0.94579187537869869</v>
      </c>
    </row>
    <row r="102" spans="2:25" x14ac:dyDescent="0.2"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4" spans="2:25" s="62" customFormat="1" ht="12.75" x14ac:dyDescent="0.2">
      <c r="B104" s="9" t="s">
        <v>98</v>
      </c>
    </row>
    <row r="105" spans="2:25" s="74" customFormat="1" ht="12.75" x14ac:dyDescent="0.2"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</row>
    <row r="106" spans="2:25" x14ac:dyDescent="0.2">
      <c r="B106" s="80" t="s">
        <v>5</v>
      </c>
      <c r="C106" s="18">
        <v>72.584819999999993</v>
      </c>
      <c r="D106" s="18">
        <v>73.511600000000001</v>
      </c>
      <c r="E106" s="18">
        <v>75.830699999999993</v>
      </c>
      <c r="F106" s="18">
        <v>80.487430000000003</v>
      </c>
      <c r="G106" s="18">
        <v>82.200940000000003</v>
      </c>
      <c r="H106" s="18">
        <v>83.851100000000002</v>
      </c>
      <c r="I106" s="18">
        <v>84.991829999999993</v>
      </c>
      <c r="J106" s="18">
        <v>86.238829999999993</v>
      </c>
      <c r="K106" s="18">
        <v>87.923959999999994</v>
      </c>
      <c r="L106" s="18">
        <v>89.657449999999997</v>
      </c>
      <c r="M106" s="18">
        <v>91.399360000000001</v>
      </c>
      <c r="N106" s="18">
        <v>93.105029999999999</v>
      </c>
      <c r="O106" s="18">
        <v>94.619609999999994</v>
      </c>
      <c r="P106" s="18">
        <v>95.846199999999996</v>
      </c>
      <c r="Q106" s="18">
        <v>96.773070000000004</v>
      </c>
      <c r="R106" s="18">
        <v>97.382469999999998</v>
      </c>
      <c r="S106" s="18">
        <v>97.779640000000001</v>
      </c>
      <c r="T106" s="18">
        <v>97.973089999999999</v>
      </c>
      <c r="U106" s="18">
        <v>97.936279999999996</v>
      </c>
      <c r="V106" s="18">
        <v>97.685180000000003</v>
      </c>
      <c r="W106" s="18">
        <v>97.32441</v>
      </c>
    </row>
    <row r="107" spans="2:25" x14ac:dyDescent="0.2">
      <c r="B107" s="10" t="s">
        <v>94</v>
      </c>
      <c r="C107" s="18">
        <v>0.73297140000000005</v>
      </c>
      <c r="D107" s="18">
        <v>0.83926920000000005</v>
      </c>
      <c r="E107" s="18">
        <v>1.5804370000000001</v>
      </c>
      <c r="F107" s="18">
        <v>1.6625099999999999</v>
      </c>
      <c r="G107" s="18">
        <v>1.8895660000000001</v>
      </c>
      <c r="H107" s="18">
        <v>1.986993</v>
      </c>
      <c r="I107" s="18">
        <v>2.0747490000000002</v>
      </c>
      <c r="J107" s="18">
        <v>2.153314</v>
      </c>
      <c r="K107" s="18">
        <v>2.2262529999999998</v>
      </c>
      <c r="L107" s="18">
        <v>2.2963450000000001</v>
      </c>
      <c r="M107" s="18">
        <v>2.363537</v>
      </c>
      <c r="N107" s="18">
        <v>2.4279989999999998</v>
      </c>
      <c r="O107" s="18">
        <v>2.4898479999999998</v>
      </c>
      <c r="P107" s="18">
        <v>2.546144</v>
      </c>
      <c r="Q107" s="18">
        <v>2.599335</v>
      </c>
      <c r="R107" s="18">
        <v>2.6497389999999998</v>
      </c>
      <c r="S107" s="18">
        <v>2.6975799999999999</v>
      </c>
      <c r="T107" s="18">
        <v>2.74302</v>
      </c>
      <c r="U107" s="18">
        <v>2.7862179999999999</v>
      </c>
      <c r="V107" s="18">
        <v>2.8273169999999999</v>
      </c>
      <c r="W107" s="18">
        <v>2.8665210000000001</v>
      </c>
    </row>
    <row r="108" spans="2:25" x14ac:dyDescent="0.2">
      <c r="B108" s="10" t="s">
        <v>114</v>
      </c>
      <c r="C108" s="18"/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</row>
    <row r="109" spans="2:25" x14ac:dyDescent="0.2"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 spans="2:25" x14ac:dyDescent="0.2">
      <c r="B110" s="10" t="s">
        <v>58</v>
      </c>
      <c r="C110" s="15">
        <v>2021</v>
      </c>
      <c r="D110" s="15">
        <v>2022</v>
      </c>
      <c r="E110" s="15">
        <v>2023</v>
      </c>
      <c r="F110" s="15">
        <v>2024</v>
      </c>
      <c r="G110" s="15">
        <v>2025</v>
      </c>
      <c r="H110" s="15">
        <v>2026</v>
      </c>
      <c r="I110" s="15">
        <v>2027</v>
      </c>
      <c r="J110" s="15">
        <v>2028</v>
      </c>
      <c r="K110" s="15">
        <v>2029</v>
      </c>
      <c r="L110" s="15">
        <v>2030</v>
      </c>
      <c r="M110" s="15">
        <v>2031</v>
      </c>
      <c r="N110" s="15">
        <v>2032</v>
      </c>
      <c r="O110" s="15">
        <v>2033</v>
      </c>
      <c r="P110" s="15">
        <v>2034</v>
      </c>
      <c r="Q110" s="15">
        <v>2035</v>
      </c>
      <c r="R110" s="15">
        <v>2036</v>
      </c>
      <c r="S110" s="15">
        <v>2037</v>
      </c>
      <c r="T110" s="15">
        <v>2038</v>
      </c>
      <c r="U110" s="15">
        <v>2039</v>
      </c>
      <c r="V110" s="15">
        <v>2040</v>
      </c>
      <c r="W110" s="15">
        <v>2041</v>
      </c>
    </row>
    <row r="111" spans="2:25" x14ac:dyDescent="0.2">
      <c r="B111" s="10" t="s">
        <v>99</v>
      </c>
      <c r="C111" s="18">
        <v>3.8019160000000003E-2</v>
      </c>
      <c r="D111" s="18">
        <v>7.8597440000000005E-2</v>
      </c>
      <c r="E111" s="18">
        <v>5.9475470000000003E-2</v>
      </c>
      <c r="F111" s="18">
        <v>9.6876959999999998E-2</v>
      </c>
      <c r="G111" s="18">
        <v>0.11684023</v>
      </c>
      <c r="H111" s="18">
        <v>0.13811532000000001</v>
      </c>
      <c r="I111" s="18">
        <v>0.13659083</v>
      </c>
      <c r="J111" s="18">
        <v>0.14219135999999999</v>
      </c>
      <c r="K111" s="18">
        <v>0.1389396</v>
      </c>
      <c r="L111" s="18">
        <v>0.12512538000000001</v>
      </c>
      <c r="M111" s="18">
        <v>0.12849179999999999</v>
      </c>
      <c r="N111" s="18">
        <v>7.2085140000000006E-2</v>
      </c>
      <c r="O111" s="18">
        <v>6.8681389999999995E-2</v>
      </c>
      <c r="P111" s="18">
        <v>6.8049499999999999E-2</v>
      </c>
      <c r="Q111" s="18">
        <v>6.8080779999999994E-2</v>
      </c>
      <c r="R111" s="18">
        <v>6.7666320000000002E-2</v>
      </c>
      <c r="S111" s="18">
        <v>6.9220519999999994E-2</v>
      </c>
      <c r="T111" s="18">
        <v>6.6629789999999994E-2</v>
      </c>
      <c r="U111" s="18">
        <v>6.6434309999999996E-2</v>
      </c>
      <c r="V111" s="18">
        <v>6.6393380000000002E-2</v>
      </c>
      <c r="W111" s="18">
        <v>6.621254E-2</v>
      </c>
      <c r="X111" s="22"/>
    </row>
    <row r="112" spans="2:25" x14ac:dyDescent="0.2">
      <c r="B112" s="10" t="s">
        <v>100</v>
      </c>
      <c r="C112" s="18">
        <v>3.0337050000000001E-2</v>
      </c>
      <c r="D112" s="18">
        <v>3.594311E-2</v>
      </c>
      <c r="E112" s="18">
        <v>4.1166179999999997E-2</v>
      </c>
      <c r="F112" s="18">
        <v>1.594102E-2</v>
      </c>
      <c r="G112" s="18">
        <v>1.5850139999999999E-2</v>
      </c>
      <c r="H112" s="18">
        <v>3.7528779999999998E-2</v>
      </c>
      <c r="I112" s="18">
        <v>3.4050280000000002E-2</v>
      </c>
      <c r="J112" s="18">
        <v>4.734439E-2</v>
      </c>
      <c r="K112" s="18">
        <v>4.4075929999999999E-2</v>
      </c>
      <c r="L112" s="18">
        <v>5.08599E-2</v>
      </c>
      <c r="M112" s="18">
        <v>6.6237939999999995E-2</v>
      </c>
      <c r="N112" s="18">
        <v>6.0253769999999998E-2</v>
      </c>
      <c r="O112" s="18">
        <v>9.0030589999999994E-2</v>
      </c>
      <c r="P112" s="18">
        <v>7.2952390000000006E-2</v>
      </c>
      <c r="Q112" s="18">
        <v>7.7366660000000004E-2</v>
      </c>
      <c r="R112" s="18">
        <v>9.0839359999999994E-2</v>
      </c>
      <c r="S112" s="18">
        <v>9.9621100000000004E-2</v>
      </c>
      <c r="T112" s="18">
        <v>0.10965455</v>
      </c>
      <c r="U112" s="18">
        <v>9.8654409999999998E-2</v>
      </c>
      <c r="V112" s="18">
        <v>0.10313576000000001</v>
      </c>
      <c r="W112" s="18">
        <v>0.11073872999999999</v>
      </c>
      <c r="X112" s="18"/>
      <c r="Y112" s="67"/>
    </row>
    <row r="113" spans="2:24" x14ac:dyDescent="0.2">
      <c r="B113" s="10" t="s">
        <v>101</v>
      </c>
      <c r="C113" s="18">
        <v>1E-3</v>
      </c>
      <c r="D113" s="18">
        <v>7.5373060000000006E-2</v>
      </c>
      <c r="E113" s="18">
        <v>4.6882050000000001E-2</v>
      </c>
      <c r="F113" s="18">
        <v>5.4216720000000003E-2</v>
      </c>
      <c r="G113" s="18">
        <v>6.7343109999999998E-2</v>
      </c>
      <c r="H113" s="18">
        <v>7.3281109999999997E-2</v>
      </c>
      <c r="I113" s="18">
        <v>6.3735609999999998E-2</v>
      </c>
      <c r="J113" s="18">
        <v>7.1999019999999997E-2</v>
      </c>
      <c r="K113" s="18">
        <v>7.7920139999999999E-2</v>
      </c>
      <c r="L113" s="18">
        <v>7.3665930000000004E-2</v>
      </c>
      <c r="M113" s="18">
        <v>9.2833230000000003E-2</v>
      </c>
      <c r="N113" s="18">
        <v>9.7499160000000001E-2</v>
      </c>
      <c r="O113" s="18">
        <v>0.10431984</v>
      </c>
      <c r="P113" s="18">
        <v>7.7692949999999997E-2</v>
      </c>
      <c r="Q113" s="18">
        <v>8.1896739999999996E-2</v>
      </c>
      <c r="R113" s="18">
        <v>7.226059E-2</v>
      </c>
      <c r="S113" s="18">
        <v>7.2475159999999997E-2</v>
      </c>
      <c r="T113" s="18">
        <v>7.2704249999999998E-2</v>
      </c>
      <c r="U113" s="18">
        <v>7.292216E-2</v>
      </c>
      <c r="V113" s="18">
        <v>7.3112590000000005E-2</v>
      </c>
      <c r="W113" s="18">
        <v>7.3435849999999997E-2</v>
      </c>
      <c r="X113" s="22"/>
    </row>
    <row r="114" spans="2:24" x14ac:dyDescent="0.2">
      <c r="B114" s="10" t="s">
        <v>102</v>
      </c>
      <c r="C114" s="18">
        <v>8.3818409999999996E-2</v>
      </c>
      <c r="D114" s="18">
        <v>6.9391629999999996E-2</v>
      </c>
      <c r="E114" s="18">
        <v>4.6492409999999998E-2</v>
      </c>
      <c r="F114" s="18">
        <v>4.9193250000000001E-2</v>
      </c>
      <c r="G114" s="18">
        <v>5.6712739999999998E-2</v>
      </c>
      <c r="H114" s="18">
        <v>6.4011879999999993E-2</v>
      </c>
      <c r="I114" s="18">
        <v>6.4931299999999997E-2</v>
      </c>
      <c r="J114" s="18">
        <v>6.3912460000000004E-2</v>
      </c>
      <c r="K114" s="18">
        <v>6.1693610000000003E-2</v>
      </c>
      <c r="L114" s="18">
        <v>5.4426040000000002E-2</v>
      </c>
      <c r="M114" s="18">
        <v>8.556656E-2</v>
      </c>
      <c r="N114" s="18">
        <v>8.1653809999999993E-2</v>
      </c>
      <c r="O114" s="18">
        <v>7.5878589999999996E-2</v>
      </c>
      <c r="P114" s="18">
        <v>6.1356269999999997E-2</v>
      </c>
      <c r="Q114" s="18">
        <v>8.1797350000000005E-2</v>
      </c>
      <c r="R114" s="18">
        <v>8.4442320000000001E-2</v>
      </c>
      <c r="S114" s="18">
        <v>6.0270190000000001E-2</v>
      </c>
      <c r="T114" s="18">
        <v>7.2970759999999996E-2</v>
      </c>
      <c r="U114" s="18">
        <v>5.7315959999999999E-2</v>
      </c>
      <c r="V114" s="18">
        <v>6.0796679999999999E-2</v>
      </c>
      <c r="W114" s="18">
        <v>5.7293660000000003E-2</v>
      </c>
      <c r="X114" s="22"/>
    </row>
    <row r="115" spans="2:24" x14ac:dyDescent="0.2">
      <c r="C115" s="22"/>
      <c r="D115" s="22"/>
      <c r="E115" s="18"/>
      <c r="F115" s="18"/>
      <c r="G115" s="22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22"/>
    </row>
    <row r="116" spans="2:24" x14ac:dyDescent="0.2">
      <c r="E116" s="18"/>
      <c r="F116" s="18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 spans="2:24" x14ac:dyDescent="0.2">
      <c r="D117" s="124"/>
      <c r="E117" s="124"/>
      <c r="F117" s="124"/>
      <c r="G117" s="124"/>
    </row>
    <row r="118" spans="2:24" x14ac:dyDescent="0.2"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81"/>
      <c r="V118" s="81"/>
      <c r="W118" s="81"/>
    </row>
    <row r="119" spans="2:24" x14ac:dyDescent="0.2">
      <c r="E119" s="18"/>
      <c r="F119" s="18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</row>
    <row r="120" spans="2:24" x14ac:dyDescent="0.2"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</row>
    <row r="121" spans="2:24" x14ac:dyDescent="0.2">
      <c r="E121" s="18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81"/>
    </row>
    <row r="122" spans="2:24" x14ac:dyDescent="0.2">
      <c r="E122" s="18"/>
      <c r="F122" s="18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</row>
    <row r="123" spans="2:24" x14ac:dyDescent="0.2"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</row>
  </sheetData>
  <conditionalFormatting sqref="U10:W43 U45:W52 U54:W80 U82:W103 U105:W129">
    <cfRule type="expression" dxfId="0" priority="1">
      <formula>U$10&gt;($C$6+10)</formula>
    </cfRule>
  </conditionalFormatting>
  <pageMargins left="0.7" right="0.7" top="0.75" bottom="0.75" header="0.3" footer="0.3"/>
  <pageSetup paperSize="9" orientation="portrait" r:id="rId1"/>
  <ignoredErrors>
    <ignoredError sqref="C5:C6 C46:C47" unlockedFormula="1"/>
    <ignoredError sqref="V35:W35 V56:W57 V66:W69 V76:W77 V97:W98 U84:U86 V83:W86 V100:W100 U88:U94 V88:W96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893-3C18-4842-A3C7-615693AB2FD1}">
  <dimension ref="A1:S97"/>
  <sheetViews>
    <sheetView workbookViewId="0">
      <selection activeCell="U24" sqref="U24"/>
    </sheetView>
  </sheetViews>
  <sheetFormatPr defaultRowHeight="12.75" x14ac:dyDescent="0.2"/>
  <cols>
    <col min="19" max="19" width="13.5703125" customWidth="1"/>
  </cols>
  <sheetData>
    <row r="1" spans="1:19" ht="15.75" thickBot="1" x14ac:dyDescent="0.3">
      <c r="B1" s="144"/>
      <c r="C1" s="167" t="s">
        <v>135</v>
      </c>
      <c r="D1" s="167"/>
      <c r="E1" s="167"/>
      <c r="F1" s="167"/>
      <c r="I1" s="168" t="s">
        <v>136</v>
      </c>
      <c r="J1" s="168"/>
      <c r="K1" s="168"/>
      <c r="L1" s="168"/>
      <c r="N1" s="144"/>
      <c r="O1" s="167" t="s">
        <v>137</v>
      </c>
      <c r="P1" s="167"/>
      <c r="Q1" s="167"/>
      <c r="R1" s="167"/>
    </row>
    <row r="2" spans="1:19" ht="15.75" thickBot="1" x14ac:dyDescent="0.3">
      <c r="A2" s="145" t="s">
        <v>138</v>
      </c>
      <c r="B2" s="145" t="s">
        <v>117</v>
      </c>
      <c r="C2" s="146" t="s">
        <v>139</v>
      </c>
      <c r="D2" s="147" t="s">
        <v>140</v>
      </c>
      <c r="E2" s="147" t="s">
        <v>141</v>
      </c>
      <c r="F2" s="148" t="s">
        <v>142</v>
      </c>
      <c r="H2" t="s">
        <v>143</v>
      </c>
      <c r="I2" s="149" t="s">
        <v>144</v>
      </c>
      <c r="J2" s="150" t="s">
        <v>145</v>
      </c>
      <c r="K2" s="150" t="s">
        <v>139</v>
      </c>
      <c r="L2" s="151" t="s">
        <v>140</v>
      </c>
      <c r="N2" s="145"/>
      <c r="O2" s="146" t="s">
        <v>139</v>
      </c>
      <c r="P2" s="147" t="s">
        <v>140</v>
      </c>
      <c r="Q2" s="147" t="s">
        <v>141</v>
      </c>
      <c r="R2" s="148" t="s">
        <v>142</v>
      </c>
      <c r="S2" s="152" t="s">
        <v>146</v>
      </c>
    </row>
    <row r="3" spans="1:19" ht="15" x14ac:dyDescent="0.2">
      <c r="A3" s="153" t="s">
        <v>147</v>
      </c>
      <c r="B3" s="153">
        <v>1976</v>
      </c>
      <c r="C3" s="154">
        <f>O3-AVERAGE(O$3:O$49)</f>
        <v>7.5346333464602899E-2</v>
      </c>
      <c r="D3" s="154">
        <f>P3-AVERAGE(P$3:P$49)</f>
        <v>5.6096609042553194</v>
      </c>
      <c r="E3" s="154">
        <f>Q3-AVERAGE(Q$3:Q$49)</f>
        <v>3.8280406106382943</v>
      </c>
      <c r="F3" s="154">
        <f>R3-AVERAGE(R$3:R$49)</f>
        <v>7.1419603210217462</v>
      </c>
      <c r="H3" s="155" t="s">
        <v>148</v>
      </c>
      <c r="I3">
        <v>-0.45666666666665989</v>
      </c>
      <c r="J3">
        <v>0.2266666666666701</v>
      </c>
      <c r="K3">
        <v>-1.4201674874081081E-2</v>
      </c>
      <c r="L3">
        <v>-0.138153356411542</v>
      </c>
      <c r="N3" s="156">
        <v>1976</v>
      </c>
      <c r="O3">
        <v>0.13551942683934967</v>
      </c>
      <c r="P3">
        <v>8.2411182000000007</v>
      </c>
      <c r="Q3">
        <v>10.423728799999999</v>
      </c>
      <c r="R3">
        <v>11.502620850320326</v>
      </c>
      <c r="S3">
        <f>((1+Q3/100)/(1+O3))</f>
        <v>0.97245125173558544</v>
      </c>
    </row>
    <row r="4" spans="1:19" ht="15" x14ac:dyDescent="0.2">
      <c r="A4" s="153" t="s">
        <v>147</v>
      </c>
      <c r="B4" s="153">
        <v>1977</v>
      </c>
      <c r="C4" s="154">
        <f t="shared" ref="C4:F49" si="0">O4-AVERAGE(O$3:O$49)</f>
        <v>3.7380779659615566E-2</v>
      </c>
      <c r="D4" s="154">
        <f t="shared" si="0"/>
        <v>4.3686311042553188</v>
      </c>
      <c r="E4" s="154">
        <f t="shared" si="0"/>
        <v>6.371694510638295</v>
      </c>
      <c r="F4" s="154">
        <f t="shared" si="0"/>
        <v>5.3236058543575622</v>
      </c>
      <c r="H4" s="155" t="s">
        <v>149</v>
      </c>
      <c r="I4">
        <v>6.5333333333329691E-2</v>
      </c>
      <c r="J4">
        <v>0.83333333333332948</v>
      </c>
      <c r="K4">
        <v>-4.7590073729008959E-3</v>
      </c>
      <c r="L4">
        <v>0.60368067054831709</v>
      </c>
      <c r="N4" s="156">
        <v>1977</v>
      </c>
      <c r="O4">
        <v>9.7553873034362346E-2</v>
      </c>
      <c r="P4">
        <v>7.0000884000000001</v>
      </c>
      <c r="Q4">
        <v>12.9673827</v>
      </c>
      <c r="R4">
        <v>9.6842663836561425</v>
      </c>
      <c r="S4">
        <f t="shared" ref="S4:S49" si="1">((1+Q4/100)/(1+O4))</f>
        <v>1.0292650363274076</v>
      </c>
    </row>
    <row r="5" spans="1:19" ht="15" x14ac:dyDescent="0.2">
      <c r="A5" s="153" t="s">
        <v>147</v>
      </c>
      <c r="B5" s="153">
        <v>1978</v>
      </c>
      <c r="C5" s="154">
        <f t="shared" si="0"/>
        <v>4.7592007889956399E-2</v>
      </c>
      <c r="D5" s="154">
        <f t="shared" si="0"/>
        <v>1.9751452042553188</v>
      </c>
      <c r="E5" s="154">
        <f t="shared" si="0"/>
        <v>4.3952002106382944</v>
      </c>
      <c r="F5" s="154">
        <f t="shared" si="0"/>
        <v>3.5831341295972727</v>
      </c>
      <c r="H5" s="155" t="s">
        <v>150</v>
      </c>
      <c r="I5">
        <v>0.73040000000000038</v>
      </c>
      <c r="J5">
        <v>0.27000000000000052</v>
      </c>
      <c r="K5">
        <v>7.3435044398058834E-3</v>
      </c>
      <c r="L5">
        <v>-9.4698253151319634E-2</v>
      </c>
      <c r="N5" s="156">
        <v>1978</v>
      </c>
      <c r="O5">
        <v>0.10776510126470318</v>
      </c>
      <c r="P5">
        <v>4.6066025000000002</v>
      </c>
      <c r="Q5">
        <v>10.990888399999999</v>
      </c>
      <c r="R5">
        <v>7.943794658895853</v>
      </c>
      <c r="S5">
        <f t="shared" si="1"/>
        <v>1.0019352322372761</v>
      </c>
    </row>
    <row r="6" spans="1:19" ht="15" x14ac:dyDescent="0.2">
      <c r="A6" s="153" t="s">
        <v>147</v>
      </c>
      <c r="B6" s="153">
        <v>1979</v>
      </c>
      <c r="C6" s="154">
        <f t="shared" si="0"/>
        <v>9.9700763956298011E-2</v>
      </c>
      <c r="D6" s="154">
        <f t="shared" si="0"/>
        <v>1.6636969042553185</v>
      </c>
      <c r="E6" s="154">
        <f t="shared" si="0"/>
        <v>2.7963759106382957</v>
      </c>
      <c r="F6" s="154">
        <f t="shared" si="0"/>
        <v>1.490110395811552</v>
      </c>
      <c r="H6" s="155" t="s">
        <v>151</v>
      </c>
      <c r="I6">
        <v>0.11249999999999979</v>
      </c>
      <c r="J6">
        <v>0.25666666666666949</v>
      </c>
      <c r="K6">
        <v>6.804575580821961E-3</v>
      </c>
      <c r="L6">
        <v>5.8294785584567297</v>
      </c>
      <c r="N6" s="156">
        <v>1979</v>
      </c>
      <c r="O6">
        <v>0.15987385733104478</v>
      </c>
      <c r="P6">
        <v>4.2951541999999998</v>
      </c>
      <c r="Q6">
        <v>9.3920641000000007</v>
      </c>
      <c r="R6">
        <v>5.8507709251101323</v>
      </c>
      <c r="S6">
        <f t="shared" si="1"/>
        <v>0.94313759559784549</v>
      </c>
    </row>
    <row r="7" spans="1:19" ht="15" x14ac:dyDescent="0.2">
      <c r="A7" s="153" t="s">
        <v>147</v>
      </c>
      <c r="B7" s="153">
        <v>1980</v>
      </c>
      <c r="C7" s="154">
        <f t="shared" si="0"/>
        <v>9.8176300898380836E-2</v>
      </c>
      <c r="D7" s="154">
        <f t="shared" si="0"/>
        <v>2.0273061042553184</v>
      </c>
      <c r="E7" s="154">
        <f t="shared" si="0"/>
        <v>3.3671831106382948</v>
      </c>
      <c r="F7" s="154">
        <f t="shared" si="0"/>
        <v>2.4432732734764748</v>
      </c>
      <c r="H7" s="155" t="s">
        <v>152</v>
      </c>
      <c r="I7">
        <v>0.7206999999999999</v>
      </c>
      <c r="J7">
        <v>-0.17666666666666939</v>
      </c>
      <c r="K7">
        <v>9.4193745360476554E-3</v>
      </c>
      <c r="L7">
        <v>-0.83105166125406527</v>
      </c>
      <c r="N7" s="156">
        <v>1980</v>
      </c>
      <c r="O7">
        <v>0.15834939427312761</v>
      </c>
      <c r="P7">
        <v>4.6587633999999998</v>
      </c>
      <c r="Q7">
        <v>9.9628712999999998</v>
      </c>
      <c r="R7">
        <v>6.8039338027750551</v>
      </c>
      <c r="S7">
        <f t="shared" si="1"/>
        <v>0.9493065895631817</v>
      </c>
    </row>
    <row r="8" spans="1:19" ht="15" x14ac:dyDescent="0.2">
      <c r="A8" s="153" t="s">
        <v>147</v>
      </c>
      <c r="B8" s="153">
        <v>1981</v>
      </c>
      <c r="C8" s="154">
        <f t="shared" si="0"/>
        <v>7.0854627455986918E-2</v>
      </c>
      <c r="D8" s="154">
        <f t="shared" si="0"/>
        <v>3.5077184042553187</v>
      </c>
      <c r="E8" s="154">
        <f t="shared" si="0"/>
        <v>3.8204263106382959</v>
      </c>
      <c r="F8" s="154">
        <f t="shared" si="0"/>
        <v>4.7285768679221087</v>
      </c>
      <c r="H8" s="155" t="s">
        <v>153</v>
      </c>
      <c r="I8">
        <v>0.47459999999999969</v>
      </c>
      <c r="J8">
        <v>-1.333333333333009E-2</v>
      </c>
      <c r="K8">
        <v>1.1830828344763379E-2</v>
      </c>
      <c r="L8">
        <v>-1.0283920594517111</v>
      </c>
      <c r="N8" s="156">
        <v>1981</v>
      </c>
      <c r="O8">
        <v>0.13102772083073369</v>
      </c>
      <c r="P8">
        <v>6.1391757</v>
      </c>
      <c r="Q8">
        <v>10.416114500000001</v>
      </c>
      <c r="R8">
        <v>9.089237397220689</v>
      </c>
      <c r="S8">
        <f t="shared" si="1"/>
        <v>0.9762458732567576</v>
      </c>
    </row>
    <row r="9" spans="1:19" ht="15" x14ac:dyDescent="0.2">
      <c r="A9" s="153" t="s">
        <v>147</v>
      </c>
      <c r="B9" s="153">
        <v>1982</v>
      </c>
      <c r="C9" s="154">
        <f t="shared" si="0"/>
        <v>6.4239127183742112E-2</v>
      </c>
      <c r="D9" s="154">
        <f t="shared" si="0"/>
        <v>1.5972183042553185</v>
      </c>
      <c r="E9" s="154">
        <f>Q9-AVERAGE(Q$3:Q$49)</f>
        <v>4.8962012106382948</v>
      </c>
      <c r="F9" s="154">
        <f t="shared" si="0"/>
        <v>2.6715568386429194</v>
      </c>
      <c r="H9" s="155" t="s">
        <v>154</v>
      </c>
      <c r="I9">
        <v>0.28656666666667002</v>
      </c>
      <c r="J9">
        <v>-0.13666666666667029</v>
      </c>
      <c r="K9">
        <v>8.6412437459742371E-3</v>
      </c>
      <c r="L9">
        <v>0.45469224895998289</v>
      </c>
      <c r="N9" s="156">
        <v>1982</v>
      </c>
      <c r="O9">
        <v>0.1244122205584889</v>
      </c>
      <c r="P9">
        <v>4.2286755999999999</v>
      </c>
      <c r="Q9">
        <v>11.4918894</v>
      </c>
      <c r="R9">
        <v>7.0322173679414997</v>
      </c>
      <c r="S9">
        <f t="shared" si="1"/>
        <v>0.99155707632404277</v>
      </c>
    </row>
    <row r="10" spans="1:19" ht="15" x14ac:dyDescent="0.2">
      <c r="A10" s="153" t="s">
        <v>147</v>
      </c>
      <c r="B10" s="153">
        <v>1983</v>
      </c>
      <c r="C10" s="154">
        <f t="shared" si="0"/>
        <v>5.5449643349314744E-2</v>
      </c>
      <c r="D10" s="154">
        <f t="shared" si="0"/>
        <v>0.30873370425531865</v>
      </c>
      <c r="E10" s="154">
        <f t="shared" si="0"/>
        <v>4.9049893106382951</v>
      </c>
      <c r="F10" s="154">
        <f t="shared" si="0"/>
        <v>2.0055649691098631</v>
      </c>
      <c r="H10" s="155" t="s">
        <v>155</v>
      </c>
      <c r="I10">
        <v>-0.27913333333333951</v>
      </c>
      <c r="J10">
        <v>-0.33666666666667039</v>
      </c>
      <c r="K10">
        <v>-5.4855190301263687E-3</v>
      </c>
      <c r="L10">
        <v>-0.5390136298783581</v>
      </c>
      <c r="N10" s="156">
        <v>1983</v>
      </c>
      <c r="O10">
        <v>0.11562273672406152</v>
      </c>
      <c r="P10">
        <v>2.940191</v>
      </c>
      <c r="Q10">
        <v>11.5006775</v>
      </c>
      <c r="R10">
        <v>6.3662254984084434</v>
      </c>
      <c r="S10">
        <f t="shared" si="1"/>
        <v>0.99944787632612231</v>
      </c>
    </row>
    <row r="11" spans="1:19" ht="15" x14ac:dyDescent="0.2">
      <c r="A11" s="153" t="s">
        <v>147</v>
      </c>
      <c r="B11" s="153">
        <v>1984</v>
      </c>
      <c r="C11" s="154">
        <f t="shared" si="0"/>
        <v>5.9361166970369618E-2</v>
      </c>
      <c r="D11" s="154">
        <f t="shared" si="0"/>
        <v>2.1721342042553182</v>
      </c>
      <c r="E11" s="154">
        <f t="shared" si="0"/>
        <v>4.9353992106382956</v>
      </c>
      <c r="F11" s="154">
        <f t="shared" si="0"/>
        <v>2.2237016106191154</v>
      </c>
      <c r="H11" s="155" t="s">
        <v>156</v>
      </c>
      <c r="I11">
        <v>-0.15426666666666031</v>
      </c>
      <c r="J11">
        <v>0.22333333333334071</v>
      </c>
      <c r="K11">
        <v>-1.160970332916833E-2</v>
      </c>
      <c r="L11">
        <v>-0.58030451146606765</v>
      </c>
      <c r="N11" s="156">
        <v>1984</v>
      </c>
      <c r="O11">
        <v>0.1195342603451164</v>
      </c>
      <c r="P11">
        <v>4.8035914999999996</v>
      </c>
      <c r="Q11">
        <v>11.531087400000001</v>
      </c>
      <c r="R11">
        <v>6.5843621399176957</v>
      </c>
      <c r="S11">
        <f t="shared" si="1"/>
        <v>0.99622755060321733</v>
      </c>
    </row>
    <row r="12" spans="1:19" ht="15" x14ac:dyDescent="0.2">
      <c r="A12" s="153" t="s">
        <v>147</v>
      </c>
      <c r="B12" s="153">
        <v>1985</v>
      </c>
      <c r="C12" s="154">
        <f t="shared" si="0"/>
        <v>2.9333079464759333E-2</v>
      </c>
      <c r="D12" s="154">
        <f t="shared" si="0"/>
        <v>2.4316382042553188</v>
      </c>
      <c r="E12" s="154">
        <f t="shared" si="0"/>
        <v>5.8517258106382952</v>
      </c>
      <c r="F12" s="154">
        <f t="shared" si="0"/>
        <v>1.5282569743498016</v>
      </c>
      <c r="H12" s="155" t="s">
        <v>157</v>
      </c>
      <c r="I12">
        <v>-0.32293333333333951</v>
      </c>
      <c r="J12">
        <v>-8.6666666666670444E-2</v>
      </c>
      <c r="K12">
        <v>-1.788091179014302E-2</v>
      </c>
      <c r="L12">
        <v>-0.79906703038904059</v>
      </c>
      <c r="N12" s="156">
        <v>1985</v>
      </c>
      <c r="O12">
        <v>8.9506172839506112E-2</v>
      </c>
      <c r="P12">
        <v>5.0630955000000002</v>
      </c>
      <c r="Q12">
        <v>12.447414</v>
      </c>
      <c r="R12">
        <v>5.8889175036483818</v>
      </c>
      <c r="S12">
        <f t="shared" si="1"/>
        <v>1.0320952446458924</v>
      </c>
    </row>
    <row r="13" spans="1:19" ht="15" x14ac:dyDescent="0.2">
      <c r="A13" s="153" t="s">
        <v>147</v>
      </c>
      <c r="B13" s="153">
        <v>1986</v>
      </c>
      <c r="C13" s="154">
        <f t="shared" si="0"/>
        <v>1.6193976760028754E-2</v>
      </c>
      <c r="D13" s="154">
        <f t="shared" si="0"/>
        <v>2.8236972042553186</v>
      </c>
      <c r="E13" s="154">
        <f t="shared" si="0"/>
        <v>4.5057485106382957</v>
      </c>
      <c r="F13" s="154">
        <f t="shared" si="0"/>
        <v>1.1104446977602622</v>
      </c>
      <c r="H13" s="155" t="s">
        <v>158</v>
      </c>
      <c r="I13">
        <v>-0.82433333333333048</v>
      </c>
      <c r="J13">
        <v>-0.29666666666666952</v>
      </c>
      <c r="K13">
        <v>-2.4107256682901691E-2</v>
      </c>
      <c r="L13">
        <v>-1.222772027492552</v>
      </c>
      <c r="N13" s="156">
        <v>1986</v>
      </c>
      <c r="O13">
        <v>7.6367070134775533E-2</v>
      </c>
      <c r="P13">
        <v>5.4551544999999999</v>
      </c>
      <c r="Q13">
        <v>11.101436700000001</v>
      </c>
      <c r="R13">
        <v>5.4711052270588425</v>
      </c>
      <c r="S13">
        <f t="shared" si="1"/>
        <v>1.0321891089262756</v>
      </c>
    </row>
    <row r="14" spans="1:19" ht="15" x14ac:dyDescent="0.2">
      <c r="A14" s="153" t="s">
        <v>147</v>
      </c>
      <c r="B14" s="153">
        <v>1987</v>
      </c>
      <c r="C14" s="154">
        <f t="shared" si="0"/>
        <v>1.9947494250665894E-2</v>
      </c>
      <c r="D14" s="154">
        <f t="shared" si="0"/>
        <v>0.59082400425531878</v>
      </c>
      <c r="E14" s="154">
        <f t="shared" si="0"/>
        <v>3.9270413106382955</v>
      </c>
      <c r="F14" s="154">
        <f t="shared" si="0"/>
        <v>0.32065555552627689</v>
      </c>
      <c r="H14" s="155" t="s">
        <v>159</v>
      </c>
      <c r="I14">
        <v>-8.1266666666669707E-2</v>
      </c>
      <c r="J14">
        <v>0.32666666666666982</v>
      </c>
      <c r="K14">
        <v>-7.871317405845275E-3</v>
      </c>
      <c r="L14">
        <v>0.89995343456226085</v>
      </c>
      <c r="N14" s="156">
        <v>1987</v>
      </c>
      <c r="O14">
        <v>8.0120587625412673E-2</v>
      </c>
      <c r="P14">
        <v>3.2222813000000001</v>
      </c>
      <c r="Q14">
        <v>10.522729500000001</v>
      </c>
      <c r="R14">
        <v>4.6813160848248572</v>
      </c>
      <c r="S14">
        <f t="shared" si="1"/>
        <v>1.0232443559193543</v>
      </c>
    </row>
    <row r="15" spans="1:19" ht="15" x14ac:dyDescent="0.2">
      <c r="A15" s="153" t="s">
        <v>147</v>
      </c>
      <c r="B15" s="153">
        <v>1988</v>
      </c>
      <c r="C15" s="154">
        <f t="shared" si="0"/>
        <v>7.2838307180513512E-2</v>
      </c>
      <c r="D15" s="154">
        <f t="shared" si="0"/>
        <v>4.0158323042553183</v>
      </c>
      <c r="E15" s="154">
        <f>Q15-AVERAGE(Q$3:Q$49)</f>
        <v>3.4135408106382945</v>
      </c>
      <c r="F15" s="154">
        <f t="shared" si="0"/>
        <v>3.9289006192487923</v>
      </c>
      <c r="H15" s="155" t="s">
        <v>160</v>
      </c>
      <c r="I15">
        <v>8.3766666666670098E-2</v>
      </c>
      <c r="J15">
        <v>0.1666666666666696</v>
      </c>
      <c r="K15">
        <v>6.5165954781934944E-3</v>
      </c>
      <c r="L15">
        <v>-1.0465998219342589</v>
      </c>
      <c r="N15" s="156">
        <v>1988</v>
      </c>
      <c r="O15">
        <v>0.13301140055526028</v>
      </c>
      <c r="P15">
        <v>6.6472895999999997</v>
      </c>
      <c r="Q15">
        <v>10.009228999999999</v>
      </c>
      <c r="R15">
        <v>8.2895611485473726</v>
      </c>
      <c r="S15">
        <f t="shared" si="1"/>
        <v>0.97094547280007304</v>
      </c>
    </row>
    <row r="16" spans="1:19" ht="15" x14ac:dyDescent="0.2">
      <c r="A16" s="153" t="s">
        <v>147</v>
      </c>
      <c r="B16" s="153">
        <v>1989</v>
      </c>
      <c r="C16" s="154">
        <f t="shared" si="0"/>
        <v>5.9321712615634285E-2</v>
      </c>
      <c r="D16" s="154">
        <f t="shared" si="0"/>
        <v>5.4997788042553193</v>
      </c>
      <c r="E16" s="154">
        <f t="shared" si="0"/>
        <v>2.9168345106382949</v>
      </c>
      <c r="F16" s="154">
        <f t="shared" si="0"/>
        <v>3.6029212196623117</v>
      </c>
      <c r="H16" s="155" t="s">
        <v>161</v>
      </c>
      <c r="I16">
        <v>-8.8666666666670224E-2</v>
      </c>
      <c r="J16">
        <v>-0.48666666666666991</v>
      </c>
      <c r="K16">
        <v>-1.085056591948657E-2</v>
      </c>
      <c r="L16">
        <v>7.9961936117673993E-2</v>
      </c>
      <c r="N16" s="156">
        <v>1989</v>
      </c>
      <c r="O16">
        <v>0.11949480599038106</v>
      </c>
      <c r="P16">
        <v>8.1312361000000006</v>
      </c>
      <c r="Q16">
        <v>9.5125226999999999</v>
      </c>
      <c r="R16">
        <v>7.963581748960892</v>
      </c>
      <c r="S16">
        <f t="shared" si="1"/>
        <v>0.97823162835595112</v>
      </c>
    </row>
    <row r="17" spans="1:19" ht="15" x14ac:dyDescent="0.2">
      <c r="A17" s="153" t="s">
        <v>147</v>
      </c>
      <c r="B17" s="153">
        <v>1990</v>
      </c>
      <c r="C17" s="154">
        <f t="shared" si="0"/>
        <v>-1.1680753868318905E-3</v>
      </c>
      <c r="D17" s="154">
        <f t="shared" si="0"/>
        <v>4.0572706042553186</v>
      </c>
      <c r="E17" s="154">
        <f t="shared" si="0"/>
        <v>3.6055553106382954</v>
      </c>
      <c r="F17" s="154">
        <f t="shared" si="0"/>
        <v>2.257705987483706</v>
      </c>
      <c r="H17" s="155" t="s">
        <v>162</v>
      </c>
      <c r="I17">
        <v>-0.24853333333332989</v>
      </c>
      <c r="J17">
        <v>-0.2433333333333296</v>
      </c>
      <c r="K17">
        <v>1.786675390534697E-2</v>
      </c>
      <c r="L17">
        <v>-0.4519954673909039</v>
      </c>
      <c r="N17" s="156">
        <v>1990</v>
      </c>
      <c r="O17">
        <v>5.9005017987914889E-2</v>
      </c>
      <c r="P17">
        <v>6.6887278999999999</v>
      </c>
      <c r="Q17">
        <v>10.2012435</v>
      </c>
      <c r="R17">
        <v>6.6183665167822863</v>
      </c>
      <c r="S17">
        <f t="shared" si="1"/>
        <v>1.0406111550762982</v>
      </c>
    </row>
    <row r="18" spans="1:19" ht="15" x14ac:dyDescent="0.2">
      <c r="A18" s="153" t="s">
        <v>147</v>
      </c>
      <c r="B18" s="153">
        <v>1991</v>
      </c>
      <c r="C18" s="154">
        <f t="shared" si="0"/>
        <v>-0.10480858848792966</v>
      </c>
      <c r="D18" s="154">
        <f t="shared" si="0"/>
        <v>-1.6981898957446813</v>
      </c>
      <c r="E18" s="154">
        <f t="shared" si="0"/>
        <v>6.1324540106382956</v>
      </c>
      <c r="F18" s="154">
        <f t="shared" si="0"/>
        <v>0.61062797804903024</v>
      </c>
      <c r="H18" s="155" t="s">
        <v>163</v>
      </c>
      <c r="I18">
        <v>-0.42570000000000002</v>
      </c>
      <c r="J18">
        <v>-0.46333333333333998</v>
      </c>
      <c r="K18">
        <v>-1.8089981196053491E-2</v>
      </c>
      <c r="L18">
        <v>-0.78000806371859177</v>
      </c>
      <c r="N18" s="156">
        <v>1991</v>
      </c>
      <c r="O18">
        <v>-4.4635495113182884E-2</v>
      </c>
      <c r="P18">
        <v>0.93326739999999997</v>
      </c>
      <c r="Q18">
        <v>12.728142200000001</v>
      </c>
      <c r="R18">
        <v>4.9712885073476105</v>
      </c>
      <c r="S18">
        <f t="shared" si="1"/>
        <v>1.1799490312166769</v>
      </c>
    </row>
    <row r="19" spans="1:19" ht="15" x14ac:dyDescent="0.2">
      <c r="A19" s="153" t="s">
        <v>147</v>
      </c>
      <c r="B19" s="153">
        <v>1992</v>
      </c>
      <c r="C19" s="154">
        <f t="shared" si="0"/>
        <v>-8.4534708583207219E-2</v>
      </c>
      <c r="D19" s="154">
        <f t="shared" si="0"/>
        <v>-5.4834777957446814</v>
      </c>
      <c r="E19" s="154">
        <f t="shared" si="0"/>
        <v>4.4540065106382949</v>
      </c>
      <c r="F19" s="154">
        <f t="shared" si="0"/>
        <v>2.9875973556298243</v>
      </c>
      <c r="H19" s="155" t="s">
        <v>164</v>
      </c>
      <c r="I19">
        <v>-0.32120000000000021</v>
      </c>
      <c r="J19">
        <v>-0.18666666666666029</v>
      </c>
      <c r="K19">
        <v>-1.8471776227103481E-3</v>
      </c>
      <c r="L19">
        <v>-0.22989793915436779</v>
      </c>
      <c r="N19" s="156">
        <v>1992</v>
      </c>
      <c r="O19">
        <v>-2.4361615208460446E-2</v>
      </c>
      <c r="P19">
        <v>-2.8520205000000001</v>
      </c>
      <c r="Q19">
        <v>11.0496947</v>
      </c>
      <c r="R19">
        <v>7.3482578849284046</v>
      </c>
      <c r="S19">
        <f t="shared" si="1"/>
        <v>1.138225970103949</v>
      </c>
    </row>
    <row r="20" spans="1:19" ht="15" x14ac:dyDescent="0.2">
      <c r="A20" s="153" t="s">
        <v>147</v>
      </c>
      <c r="B20" s="153">
        <v>1993</v>
      </c>
      <c r="C20" s="154">
        <f t="shared" si="0"/>
        <v>-4.9250963677405335E-2</v>
      </c>
      <c r="D20" s="154">
        <f t="shared" si="0"/>
        <v>-6.4082342957446814</v>
      </c>
      <c r="E20" s="154">
        <f t="shared" si="0"/>
        <v>4.5110787106382952</v>
      </c>
      <c r="F20" s="154">
        <f t="shared" si="0"/>
        <v>1.8581288485891312</v>
      </c>
      <c r="H20" s="155" t="s">
        <v>165</v>
      </c>
      <c r="I20">
        <v>-0.2226666666666697</v>
      </c>
      <c r="J20">
        <v>0.18333333333332999</v>
      </c>
      <c r="K20">
        <v>1.3335745197899061E-2</v>
      </c>
      <c r="L20">
        <v>-0.73550093602945843</v>
      </c>
      <c r="N20" s="156">
        <v>1993</v>
      </c>
      <c r="O20">
        <v>1.0922129697341441E-2</v>
      </c>
      <c r="P20">
        <v>-3.7767770000000001</v>
      </c>
      <c r="Q20">
        <v>11.1067669</v>
      </c>
      <c r="R20">
        <v>6.2187893778877115</v>
      </c>
      <c r="S20">
        <f t="shared" si="1"/>
        <v>1.0990635543141598</v>
      </c>
    </row>
    <row r="21" spans="1:19" ht="15" x14ac:dyDescent="0.2">
      <c r="A21" s="153" t="s">
        <v>147</v>
      </c>
      <c r="B21" s="153">
        <v>1994</v>
      </c>
      <c r="C21" s="154">
        <f t="shared" si="0"/>
        <v>-1.3571135362253212E-3</v>
      </c>
      <c r="D21" s="154">
        <f t="shared" si="0"/>
        <v>-5.1075175957446817</v>
      </c>
      <c r="E21" s="154">
        <f t="shared" si="0"/>
        <v>1.2657031106382952</v>
      </c>
      <c r="F21" s="154">
        <f t="shared" si="0"/>
        <v>-0.39367466719541655</v>
      </c>
      <c r="H21" s="155" t="s">
        <v>166</v>
      </c>
      <c r="I21">
        <v>1.0399999999999739E-2</v>
      </c>
      <c r="J21">
        <v>0.1966666666666699</v>
      </c>
      <c r="K21">
        <v>-5.8571585783153066E-3</v>
      </c>
      <c r="L21">
        <v>9.0128432338558717E-2</v>
      </c>
      <c r="N21" s="156">
        <v>1994</v>
      </c>
      <c r="O21">
        <v>5.8815979838521458E-2</v>
      </c>
      <c r="P21">
        <v>-2.4760602999999999</v>
      </c>
      <c r="Q21">
        <v>7.8613913000000002</v>
      </c>
      <c r="R21">
        <v>3.9669858621031637</v>
      </c>
      <c r="S21">
        <f t="shared" si="1"/>
        <v>1.0186981813067253</v>
      </c>
    </row>
    <row r="22" spans="1:19" ht="15" x14ac:dyDescent="0.2">
      <c r="A22" s="153" t="s">
        <v>147</v>
      </c>
      <c r="B22" s="153">
        <v>1995</v>
      </c>
      <c r="C22" s="154">
        <f t="shared" si="0"/>
        <v>2.5778266970821896E-2</v>
      </c>
      <c r="D22" s="154">
        <f t="shared" si="0"/>
        <v>-4.7228026957446811</v>
      </c>
      <c r="E22" s="154">
        <f t="shared" si="0"/>
        <v>0.81942471063829458</v>
      </c>
      <c r="F22" s="154">
        <f t="shared" si="0"/>
        <v>-5.903040462123875</v>
      </c>
      <c r="H22" s="155" t="s">
        <v>167</v>
      </c>
      <c r="I22">
        <v>-8.6699999999999999E-2</v>
      </c>
      <c r="J22">
        <v>-0.26333333333333991</v>
      </c>
      <c r="K22">
        <v>2.0912914484296011E-2</v>
      </c>
      <c r="L22">
        <v>-4.9195567181653743E-2</v>
      </c>
      <c r="N22" s="156">
        <v>1995</v>
      </c>
      <c r="O22">
        <v>8.5951360345568675E-2</v>
      </c>
      <c r="P22">
        <v>-2.0913453999999998</v>
      </c>
      <c r="Q22">
        <v>7.4151128999999996</v>
      </c>
      <c r="R22">
        <v>-1.542379932825295</v>
      </c>
      <c r="S22">
        <f t="shared" si="1"/>
        <v>0.98913373860334453</v>
      </c>
    </row>
    <row r="23" spans="1:19" ht="15" x14ac:dyDescent="0.2">
      <c r="A23" s="153" t="s">
        <v>147</v>
      </c>
      <c r="B23" s="153">
        <v>1996</v>
      </c>
      <c r="C23" s="154">
        <f t="shared" si="0"/>
        <v>-2.4312759936558757E-2</v>
      </c>
      <c r="D23" s="154">
        <f t="shared" si="0"/>
        <v>-1.8193729957446814</v>
      </c>
      <c r="E23" s="154">
        <f t="shared" si="0"/>
        <v>1.0269866106382954</v>
      </c>
      <c r="F23" s="154">
        <f t="shared" si="0"/>
        <v>-6.5059736568516495</v>
      </c>
      <c r="H23" s="155" t="s">
        <v>168</v>
      </c>
      <c r="I23">
        <v>1.953333333334006E-2</v>
      </c>
      <c r="J23">
        <v>0.21333333333334001</v>
      </c>
      <c r="K23">
        <v>-1.055377356918967E-3</v>
      </c>
      <c r="L23">
        <v>-3.3362170160843967E-2</v>
      </c>
      <c r="N23" s="156">
        <v>1996</v>
      </c>
      <c r="O23">
        <v>3.5860333438188022E-2</v>
      </c>
      <c r="P23">
        <v>0.81208429999999998</v>
      </c>
      <c r="Q23">
        <v>7.6226748000000004</v>
      </c>
      <c r="R23">
        <v>-2.1453131275530697</v>
      </c>
      <c r="S23">
        <f t="shared" si="1"/>
        <v>1.0389689741548742</v>
      </c>
    </row>
    <row r="24" spans="1:19" ht="15" x14ac:dyDescent="0.2">
      <c r="A24" s="153" t="s">
        <v>147</v>
      </c>
      <c r="B24" s="153">
        <v>1997</v>
      </c>
      <c r="C24" s="154">
        <f t="shared" si="0"/>
        <v>2.5286777514627594E-2</v>
      </c>
      <c r="D24" s="154">
        <f t="shared" si="0"/>
        <v>0.2113234042553187</v>
      </c>
      <c r="E24" s="154">
        <f t="shared" si="0"/>
        <v>1.3677960106382949</v>
      </c>
      <c r="F24" s="154">
        <f t="shared" si="0"/>
        <v>-5.8226620273988807</v>
      </c>
      <c r="H24" s="155" t="s">
        <v>169</v>
      </c>
      <c r="I24">
        <v>3.3833333333329829E-2</v>
      </c>
      <c r="J24">
        <v>-3.6666666666669727E-2</v>
      </c>
      <c r="K24">
        <v>-3.4869349198487496E-5</v>
      </c>
      <c r="L24">
        <v>0.2123295430801537</v>
      </c>
      <c r="N24" s="156">
        <v>1997</v>
      </c>
      <c r="O24">
        <v>8.5459870889374373E-2</v>
      </c>
      <c r="P24">
        <v>2.8427807</v>
      </c>
      <c r="Q24">
        <v>7.9634841999999999</v>
      </c>
      <c r="R24">
        <v>-1.4620014981003004</v>
      </c>
      <c r="S24">
        <f t="shared" si="1"/>
        <v>0.9946335843032118</v>
      </c>
    </row>
    <row r="25" spans="1:19" ht="15" x14ac:dyDescent="0.2">
      <c r="A25" s="153" t="s">
        <v>147</v>
      </c>
      <c r="B25" s="153">
        <v>1998</v>
      </c>
      <c r="C25" s="154">
        <f t="shared" si="0"/>
        <v>2.7068687379176719E-2</v>
      </c>
      <c r="D25" s="154">
        <f t="shared" si="0"/>
        <v>2.4194250042553183</v>
      </c>
      <c r="E25" s="154">
        <f t="shared" si="0"/>
        <v>0.5096386106382953</v>
      </c>
      <c r="F25" s="154">
        <f t="shared" si="0"/>
        <v>-3.5970102811122495</v>
      </c>
      <c r="H25" s="155" t="s">
        <v>170</v>
      </c>
      <c r="I25">
        <v>4.7300000000000342E-2</v>
      </c>
      <c r="J25">
        <v>-0.38000000000000028</v>
      </c>
      <c r="K25">
        <v>9.5242598457913625E-3</v>
      </c>
      <c r="L25">
        <v>-0.16662731440269149</v>
      </c>
      <c r="N25" s="156">
        <v>1998</v>
      </c>
      <c r="O25">
        <v>8.7241780753923498E-2</v>
      </c>
      <c r="P25">
        <v>5.0508822999999996</v>
      </c>
      <c r="Q25">
        <v>7.1053268000000003</v>
      </c>
      <c r="R25">
        <v>0.76365024818633065</v>
      </c>
      <c r="S25">
        <f t="shared" si="1"/>
        <v>0.98511047584770162</v>
      </c>
    </row>
    <row r="26" spans="1:19" ht="15" x14ac:dyDescent="0.2">
      <c r="A26" s="153" t="s">
        <v>147</v>
      </c>
      <c r="B26" s="153">
        <v>1999</v>
      </c>
      <c r="C26" s="154">
        <f t="shared" si="0"/>
        <v>-6.7009749093518145E-3</v>
      </c>
      <c r="D26" s="154">
        <f t="shared" si="0"/>
        <v>1.9353428042553187</v>
      </c>
      <c r="E26" s="154">
        <f t="shared" si="0"/>
        <v>-7.2496289361705379E-2</v>
      </c>
      <c r="F26" s="154">
        <f t="shared" si="0"/>
        <v>-3.0921049492298733</v>
      </c>
      <c r="H26" s="155" t="s">
        <v>171</v>
      </c>
      <c r="I26">
        <v>-2.330000000000032E-2</v>
      </c>
      <c r="J26">
        <v>-0.23</v>
      </c>
      <c r="K26">
        <v>-2.4767790591472762E-3</v>
      </c>
      <c r="L26">
        <v>0.4424414694455594</v>
      </c>
      <c r="N26" s="156">
        <v>1999</v>
      </c>
      <c r="O26">
        <v>5.3472118465394965E-2</v>
      </c>
      <c r="P26">
        <v>4.5668001</v>
      </c>
      <c r="Q26">
        <v>6.5231918999999996</v>
      </c>
      <c r="R26">
        <v>1.2685555800687069</v>
      </c>
      <c r="S26">
        <f t="shared" si="1"/>
        <v>1.0111628967947777</v>
      </c>
    </row>
    <row r="27" spans="1:19" ht="15" x14ac:dyDescent="0.2">
      <c r="A27" s="153" t="s">
        <v>147</v>
      </c>
      <c r="B27" s="153">
        <v>2000</v>
      </c>
      <c r="C27" s="154">
        <f t="shared" si="0"/>
        <v>1.4884424983852694E-2</v>
      </c>
      <c r="D27" s="154">
        <f t="shared" si="0"/>
        <v>6.9330463042553188</v>
      </c>
      <c r="E27" s="154">
        <f t="shared" si="0"/>
        <v>2.001781063829533E-2</v>
      </c>
      <c r="F27" s="154">
        <f t="shared" si="0"/>
        <v>6.6330217679412717</v>
      </c>
      <c r="H27" s="155" t="s">
        <v>172</v>
      </c>
      <c r="I27">
        <v>-1.5699999999999829E-2</v>
      </c>
      <c r="J27">
        <v>-0.29666666666667002</v>
      </c>
      <c r="K27">
        <v>-1.7006129170319038E-2</v>
      </c>
      <c r="L27">
        <v>-0.2464383311683909</v>
      </c>
      <c r="N27" s="156">
        <v>2000</v>
      </c>
      <c r="O27">
        <v>7.5057518358599473E-2</v>
      </c>
      <c r="P27">
        <v>9.5645036000000001</v>
      </c>
      <c r="Q27">
        <v>6.6157060000000003</v>
      </c>
      <c r="R27">
        <v>10.993682297239852</v>
      </c>
      <c r="S27">
        <f t="shared" si="1"/>
        <v>0.99172094682693013</v>
      </c>
    </row>
    <row r="28" spans="1:19" ht="15" x14ac:dyDescent="0.2">
      <c r="A28" s="153" t="s">
        <v>147</v>
      </c>
      <c r="B28" s="153">
        <v>2001</v>
      </c>
      <c r="C28" s="154">
        <f t="shared" si="0"/>
        <v>-1.7690451794331874E-4</v>
      </c>
      <c r="D28" s="154">
        <f t="shared" si="0"/>
        <v>4.8982050042553187</v>
      </c>
      <c r="E28" s="154">
        <f t="shared" si="0"/>
        <v>-0.59705258936170491</v>
      </c>
      <c r="F28" s="154">
        <f t="shared" si="0"/>
        <v>1.4888291960658044</v>
      </c>
      <c r="H28" s="155" t="s">
        <v>173</v>
      </c>
      <c r="I28">
        <v>5.7333333333300374E-3</v>
      </c>
      <c r="J28">
        <v>-0.1866666666666599</v>
      </c>
      <c r="K28">
        <v>1.6447920969775958E-3</v>
      </c>
      <c r="L28">
        <v>3.7942155654455689E-3</v>
      </c>
      <c r="N28" s="156">
        <v>2001</v>
      </c>
      <c r="O28">
        <v>5.999618885680346E-2</v>
      </c>
      <c r="P28">
        <v>7.5296623</v>
      </c>
      <c r="Q28">
        <v>5.9986356000000001</v>
      </c>
      <c r="R28">
        <v>5.8494897253643847</v>
      </c>
      <c r="S28">
        <f t="shared" si="1"/>
        <v>0.99999072368664454</v>
      </c>
    </row>
    <row r="29" spans="1:19" ht="15" x14ac:dyDescent="0.2">
      <c r="A29" s="153" t="s">
        <v>147</v>
      </c>
      <c r="B29" s="153">
        <v>2002</v>
      </c>
      <c r="C29" s="154">
        <f t="shared" si="0"/>
        <v>-3.3497760797375833E-2</v>
      </c>
      <c r="D29" s="154">
        <f t="shared" si="0"/>
        <v>3.4546384042553191</v>
      </c>
      <c r="E29" s="154">
        <f t="shared" si="0"/>
        <v>-1.799826689361705</v>
      </c>
      <c r="F29" s="154">
        <f t="shared" si="0"/>
        <v>1.6856543018001879E-2</v>
      </c>
      <c r="H29" s="155" t="s">
        <v>174</v>
      </c>
      <c r="I29">
        <v>0.21313333333334011</v>
      </c>
      <c r="J29">
        <v>0.14999999999999991</v>
      </c>
      <c r="K29">
        <v>-5.6604303054299974E-3</v>
      </c>
      <c r="L29">
        <v>0.5340765357118169</v>
      </c>
      <c r="N29" s="156">
        <v>2002</v>
      </c>
      <c r="O29">
        <v>2.6675332577370942E-2</v>
      </c>
      <c r="P29">
        <v>6.0860957000000004</v>
      </c>
      <c r="Q29">
        <v>4.7958615</v>
      </c>
      <c r="R29">
        <v>4.3775170723165822</v>
      </c>
      <c r="S29">
        <f t="shared" si="1"/>
        <v>1.0207302949114394</v>
      </c>
    </row>
    <row r="30" spans="1:19" ht="15" x14ac:dyDescent="0.2">
      <c r="A30" s="153" t="s">
        <v>147</v>
      </c>
      <c r="B30" s="153">
        <v>2003</v>
      </c>
      <c r="C30" s="154">
        <f t="shared" si="0"/>
        <v>-3.8197957671717506E-2</v>
      </c>
      <c r="D30" s="154">
        <f t="shared" si="0"/>
        <v>1.6077799042553185</v>
      </c>
      <c r="E30" s="154">
        <f t="shared" si="0"/>
        <v>-2.2433287893617049</v>
      </c>
      <c r="F30" s="154">
        <f t="shared" si="0"/>
        <v>1.4976976806402007</v>
      </c>
      <c r="H30" s="155" t="s">
        <v>175</v>
      </c>
      <c r="I30">
        <v>0.2681</v>
      </c>
      <c r="J30">
        <v>0.14999999999999991</v>
      </c>
      <c r="K30">
        <v>4.7933410124159082E-3</v>
      </c>
      <c r="L30">
        <v>0.79627077377071487</v>
      </c>
      <c r="N30" s="156">
        <v>2003</v>
      </c>
      <c r="O30">
        <v>2.1975135703029277E-2</v>
      </c>
      <c r="P30">
        <v>4.2392371999999998</v>
      </c>
      <c r="Q30">
        <v>4.3523594000000001</v>
      </c>
      <c r="R30">
        <v>5.858358209938781</v>
      </c>
      <c r="S30">
        <f t="shared" si="1"/>
        <v>1.0210851101403238</v>
      </c>
    </row>
    <row r="31" spans="1:19" ht="15" x14ac:dyDescent="0.2">
      <c r="A31" s="153" t="s">
        <v>147</v>
      </c>
      <c r="B31" s="153">
        <v>2004</v>
      </c>
      <c r="C31" s="154">
        <f t="shared" si="0"/>
        <v>-1.3984980108761404E-2</v>
      </c>
      <c r="D31" s="154">
        <f t="shared" si="0"/>
        <v>1.2700784042553188</v>
      </c>
      <c r="E31" s="154">
        <f t="shared" si="0"/>
        <v>-2.6749781893617048</v>
      </c>
      <c r="F31" s="154">
        <f t="shared" si="0"/>
        <v>-0.37345988429171495</v>
      </c>
      <c r="H31" s="155" t="s">
        <v>176</v>
      </c>
      <c r="I31">
        <v>0.27793333333332981</v>
      </c>
      <c r="J31">
        <v>0.5</v>
      </c>
      <c r="K31">
        <v>1.5720455621923292E-2</v>
      </c>
      <c r="L31">
        <v>-0.37914270874525607</v>
      </c>
      <c r="N31" s="156">
        <v>2004</v>
      </c>
      <c r="O31">
        <v>4.6188113265985375E-2</v>
      </c>
      <c r="P31">
        <v>3.9015357000000002</v>
      </c>
      <c r="Q31">
        <v>3.9207100000000001</v>
      </c>
      <c r="R31">
        <v>3.9872006450068653</v>
      </c>
      <c r="S31">
        <f t="shared" si="1"/>
        <v>0.99332719118343638</v>
      </c>
    </row>
    <row r="32" spans="1:19" ht="15" x14ac:dyDescent="0.2">
      <c r="A32" s="153" t="s">
        <v>147</v>
      </c>
      <c r="B32" s="153">
        <v>2005</v>
      </c>
      <c r="C32" s="154">
        <f t="shared" si="0"/>
        <v>-2.2826943889366506E-2</v>
      </c>
      <c r="D32" s="154">
        <f t="shared" si="0"/>
        <v>1.631174204255319</v>
      </c>
      <c r="E32" s="154">
        <f t="shared" si="0"/>
        <v>-2.8766161893617048</v>
      </c>
      <c r="F32" s="154">
        <f t="shared" si="0"/>
        <v>-2.8851342278904548</v>
      </c>
      <c r="H32" s="155" t="s">
        <v>177</v>
      </c>
      <c r="I32">
        <v>0.33186666666667008</v>
      </c>
      <c r="J32">
        <v>-9.9999999999997868E-3</v>
      </c>
      <c r="K32">
        <v>5.102829699023914E-3</v>
      </c>
      <c r="L32">
        <v>0.8014266151029279</v>
      </c>
      <c r="N32" s="156">
        <v>2005</v>
      </c>
      <c r="O32">
        <v>3.7346149485380273E-2</v>
      </c>
      <c r="P32">
        <v>4.2626315000000004</v>
      </c>
      <c r="Q32">
        <v>3.7190720000000002</v>
      </c>
      <c r="R32">
        <v>1.4755263014081257</v>
      </c>
      <c r="S32">
        <f t="shared" si="1"/>
        <v>0.99985016622902834</v>
      </c>
    </row>
    <row r="33" spans="1:19" ht="15" x14ac:dyDescent="0.2">
      <c r="A33" s="153" t="s">
        <v>147</v>
      </c>
      <c r="B33" s="153">
        <v>2006</v>
      </c>
      <c r="C33" s="154">
        <f t="shared" si="0"/>
        <v>-1.0320949611122579E-2</v>
      </c>
      <c r="D33" s="154">
        <f t="shared" si="0"/>
        <v>2.8324894042553188</v>
      </c>
      <c r="E33" s="154">
        <f t="shared" si="0"/>
        <v>-2.876507289361705</v>
      </c>
      <c r="F33" s="154">
        <f t="shared" si="0"/>
        <v>-0.31200728488138374</v>
      </c>
      <c r="H33" s="155" t="s">
        <v>178</v>
      </c>
      <c r="I33">
        <v>0.37309999999999999</v>
      </c>
      <c r="J33">
        <v>-0.13333333333333999</v>
      </c>
      <c r="K33">
        <v>3.054958302902833E-3</v>
      </c>
      <c r="L33">
        <v>-0.1467119487219595</v>
      </c>
      <c r="N33" s="156">
        <v>2006</v>
      </c>
      <c r="O33">
        <v>4.98521437636242E-2</v>
      </c>
      <c r="P33">
        <v>5.4639467000000002</v>
      </c>
      <c r="Q33">
        <v>3.7191809</v>
      </c>
      <c r="R33">
        <v>4.0486532444171965</v>
      </c>
      <c r="S33">
        <f t="shared" si="1"/>
        <v>0.98794084020418538</v>
      </c>
    </row>
    <row r="34" spans="1:19" ht="15" x14ac:dyDescent="0.2">
      <c r="A34" s="153" t="s">
        <v>147</v>
      </c>
      <c r="B34" s="153">
        <v>2007</v>
      </c>
      <c r="C34" s="154">
        <f t="shared" si="0"/>
        <v>2.1812134824701519E-2</v>
      </c>
      <c r="D34" s="154">
        <f t="shared" si="0"/>
        <v>3.8933032042553188</v>
      </c>
      <c r="E34" s="154">
        <f t="shared" si="0"/>
        <v>-2.784493389361705</v>
      </c>
      <c r="F34" s="154">
        <f t="shared" si="0"/>
        <v>-0.42634646840224111</v>
      </c>
      <c r="H34" s="155" t="s">
        <v>179</v>
      </c>
      <c r="I34">
        <v>0.22586666666666</v>
      </c>
      <c r="J34">
        <v>0.23302878787878981</v>
      </c>
      <c r="K34">
        <v>1.1820348465835051E-2</v>
      </c>
      <c r="L34">
        <v>0.2168859087995374</v>
      </c>
      <c r="N34" s="156">
        <v>2007</v>
      </c>
      <c r="O34">
        <v>8.1985228199448298E-2</v>
      </c>
      <c r="P34">
        <v>6.5247605000000002</v>
      </c>
      <c r="Q34">
        <v>3.8111948</v>
      </c>
      <c r="R34">
        <v>3.9343140608963392</v>
      </c>
      <c r="S34">
        <f t="shared" si="1"/>
        <v>0.95945112830009849</v>
      </c>
    </row>
    <row r="35" spans="1:19" ht="15" x14ac:dyDescent="0.2">
      <c r="A35" s="153" t="s">
        <v>147</v>
      </c>
      <c r="B35" s="153">
        <v>2008</v>
      </c>
      <c r="C35" s="154">
        <f t="shared" si="0"/>
        <v>-2.1722657179057504E-2</v>
      </c>
      <c r="D35" s="154">
        <f t="shared" si="0"/>
        <v>2.941857504255319</v>
      </c>
      <c r="E35" s="154">
        <f t="shared" si="0"/>
        <v>-2.5668791893617051</v>
      </c>
      <c r="F35" s="154">
        <f t="shared" si="0"/>
        <v>-0.13447464918636154</v>
      </c>
      <c r="H35" s="155" t="s">
        <v>180</v>
      </c>
      <c r="I35">
        <v>0.24449999999999991</v>
      </c>
      <c r="J35">
        <v>0.34518198906356989</v>
      </c>
      <c r="K35">
        <v>1.61936393772244E-2</v>
      </c>
      <c r="L35">
        <v>0.370474754835322</v>
      </c>
      <c r="N35" s="156">
        <v>2008</v>
      </c>
      <c r="O35">
        <v>3.8450436195689275E-2</v>
      </c>
      <c r="P35">
        <v>5.5733148000000003</v>
      </c>
      <c r="Q35">
        <v>4.0288089999999999</v>
      </c>
      <c r="R35">
        <v>4.2261858801122187</v>
      </c>
      <c r="S35">
        <f t="shared" si="1"/>
        <v>1.0017696114713408</v>
      </c>
    </row>
    <row r="36" spans="1:19" ht="15" x14ac:dyDescent="0.2">
      <c r="A36" s="153" t="s">
        <v>147</v>
      </c>
      <c r="B36" s="153">
        <v>2009</v>
      </c>
      <c r="C36" s="154">
        <f t="shared" si="0"/>
        <v>-0.12461084592924693</v>
      </c>
      <c r="D36" s="154">
        <f t="shared" si="0"/>
        <v>-3.7874598957446812</v>
      </c>
      <c r="E36" s="154">
        <f t="shared" si="0"/>
        <v>-3.0159446893617048</v>
      </c>
      <c r="F36" s="154">
        <f t="shared" si="0"/>
        <v>0.17861659769663785</v>
      </c>
      <c r="H36" s="155" t="s">
        <v>181</v>
      </c>
      <c r="I36">
        <v>0.43566666666666981</v>
      </c>
      <c r="J36">
        <v>5.6954835705860241E-2</v>
      </c>
      <c r="K36">
        <v>-4.9258832554552609E-3</v>
      </c>
      <c r="L36">
        <v>-0.56154865575793167</v>
      </c>
      <c r="N36" s="156">
        <v>2009</v>
      </c>
      <c r="O36">
        <v>-6.4437752554500155E-2</v>
      </c>
      <c r="P36">
        <v>-1.1560026000000001</v>
      </c>
      <c r="Q36">
        <v>3.5797435000000002</v>
      </c>
      <c r="R36">
        <v>4.5392771269952181</v>
      </c>
      <c r="S36">
        <f t="shared" si="1"/>
        <v>1.1071389828182858</v>
      </c>
    </row>
    <row r="37" spans="1:19" ht="15" x14ac:dyDescent="0.2">
      <c r="A37" s="153" t="s">
        <v>147</v>
      </c>
      <c r="B37" s="153">
        <v>2010</v>
      </c>
      <c r="C37" s="154">
        <f t="shared" si="0"/>
        <v>-2.4981315793823927E-2</v>
      </c>
      <c r="D37" s="154">
        <f t="shared" si="0"/>
        <v>-3.8379863957446814</v>
      </c>
      <c r="E37" s="154">
        <f t="shared" si="0"/>
        <v>-3.4822218893617052</v>
      </c>
      <c r="F37" s="154">
        <f t="shared" si="0"/>
        <v>0.59301832136288457</v>
      </c>
      <c r="H37" s="155" t="s">
        <v>182</v>
      </c>
      <c r="I37">
        <v>0.22426666666667039</v>
      </c>
      <c r="J37">
        <v>-0.1247224211423701</v>
      </c>
      <c r="K37">
        <v>8.7035813893839992E-3</v>
      </c>
      <c r="L37">
        <v>2.555431131188044</v>
      </c>
      <c r="N37" s="156">
        <v>2010</v>
      </c>
      <c r="O37">
        <v>3.5191777580922852E-2</v>
      </c>
      <c r="P37">
        <v>-1.2065291</v>
      </c>
      <c r="Q37">
        <v>3.1134662999999998</v>
      </c>
      <c r="R37">
        <v>4.9536788506614648</v>
      </c>
      <c r="S37">
        <f t="shared" si="1"/>
        <v>0.99608080872666538</v>
      </c>
    </row>
    <row r="38" spans="1:19" ht="15" x14ac:dyDescent="0.2">
      <c r="A38" s="153" t="s">
        <v>147</v>
      </c>
      <c r="B38" s="153">
        <v>2011</v>
      </c>
      <c r="C38" s="154">
        <f t="shared" si="0"/>
        <v>-7.7927231244584866E-3</v>
      </c>
      <c r="D38" s="154">
        <f t="shared" si="0"/>
        <v>-2.2617565957446812</v>
      </c>
      <c r="E38" s="154">
        <f t="shared" si="0"/>
        <v>-3.6790303893617051</v>
      </c>
      <c r="F38" s="154">
        <f t="shared" si="0"/>
        <v>-1.0676979741212551</v>
      </c>
      <c r="H38" s="155" t="s">
        <v>183</v>
      </c>
      <c r="I38">
        <v>-0.24476666666666971</v>
      </c>
      <c r="J38">
        <v>-0.24661661749505989</v>
      </c>
      <c r="K38">
        <v>-2.1475325332096281E-2</v>
      </c>
      <c r="L38">
        <v>-0.73008310782001207</v>
      </c>
      <c r="N38" s="156">
        <v>2011</v>
      </c>
      <c r="O38">
        <v>5.2380370250288293E-2</v>
      </c>
      <c r="P38">
        <v>0.36970069999999999</v>
      </c>
      <c r="Q38">
        <v>2.9166577999999999</v>
      </c>
      <c r="R38">
        <v>3.2929625551773252</v>
      </c>
      <c r="S38">
        <f t="shared" si="1"/>
        <v>0.97794163317131477</v>
      </c>
    </row>
    <row r="39" spans="1:19" ht="15" x14ac:dyDescent="0.2">
      <c r="A39" s="153" t="s">
        <v>147</v>
      </c>
      <c r="B39" s="153">
        <v>2012</v>
      </c>
      <c r="C39" s="154">
        <f t="shared" si="0"/>
        <v>-4.4824453489495333E-2</v>
      </c>
      <c r="D39" s="154">
        <f t="shared" si="0"/>
        <v>-3.3616710957446814</v>
      </c>
      <c r="E39" s="154">
        <f t="shared" si="0"/>
        <v>-3.8085366893617052</v>
      </c>
      <c r="F39" s="154">
        <f t="shared" si="0"/>
        <v>1.7205249352176821E-3</v>
      </c>
      <c r="H39" s="155" t="s">
        <v>184</v>
      </c>
      <c r="I39">
        <v>0.38046666666666962</v>
      </c>
      <c r="J39">
        <v>0.42489038125617018</v>
      </c>
      <c r="K39">
        <v>-2.227073873630275E-2</v>
      </c>
      <c r="L39">
        <v>-1.4714884705264759</v>
      </c>
      <c r="N39" s="156">
        <v>2012</v>
      </c>
      <c r="O39">
        <v>1.5348639885251446E-2</v>
      </c>
      <c r="P39">
        <v>-0.73021380000000002</v>
      </c>
      <c r="Q39">
        <v>2.7871514999999998</v>
      </c>
      <c r="R39">
        <v>4.362381054233798</v>
      </c>
      <c r="S39">
        <f t="shared" si="1"/>
        <v>1.0123335715662789</v>
      </c>
    </row>
    <row r="40" spans="1:19" ht="15" x14ac:dyDescent="0.2">
      <c r="A40" s="153" t="s">
        <v>147</v>
      </c>
      <c r="B40" s="153">
        <v>2013</v>
      </c>
      <c r="C40" s="154">
        <f t="shared" si="0"/>
        <v>-4.3837791912826871E-2</v>
      </c>
      <c r="D40" s="154">
        <f t="shared" si="0"/>
        <v>-3.8824299957446815</v>
      </c>
      <c r="E40" s="154">
        <f t="shared" si="0"/>
        <v>-4.3503870893617052</v>
      </c>
      <c r="F40" s="154">
        <f t="shared" si="0"/>
        <v>-3.0685760152251369</v>
      </c>
      <c r="H40" s="155" t="s">
        <v>185</v>
      </c>
      <c r="I40">
        <v>0.1213333333333297</v>
      </c>
      <c r="J40">
        <v>6.269894284459987E-2</v>
      </c>
      <c r="K40">
        <v>-2.5963123534764069E-3</v>
      </c>
      <c r="L40">
        <v>-1.114821189748042</v>
      </c>
      <c r="N40" s="156">
        <v>2013</v>
      </c>
      <c r="O40">
        <v>1.6335301461919905E-2</v>
      </c>
      <c r="P40">
        <v>-1.2509726999999999</v>
      </c>
      <c r="Q40">
        <v>2.2453010999999998</v>
      </c>
      <c r="R40">
        <v>1.2920845140734434</v>
      </c>
      <c r="S40">
        <f t="shared" si="1"/>
        <v>1.0060193811326639</v>
      </c>
    </row>
    <row r="41" spans="1:19" ht="15" x14ac:dyDescent="0.2">
      <c r="A41" s="153" t="s">
        <v>147</v>
      </c>
      <c r="B41" s="153">
        <v>2014</v>
      </c>
      <c r="C41" s="154">
        <f t="shared" si="0"/>
        <v>-4.7565480843484727E-2</v>
      </c>
      <c r="D41" s="154">
        <f t="shared" si="0"/>
        <v>-4.3878867957446817</v>
      </c>
      <c r="E41" s="154">
        <f t="shared" si="0"/>
        <v>-4.5371070893617045</v>
      </c>
      <c r="F41" s="154">
        <f t="shared" si="0"/>
        <v>-2.6931641422074186</v>
      </c>
      <c r="H41" s="155" t="s">
        <v>186</v>
      </c>
      <c r="I41">
        <v>-0.76713333333333011</v>
      </c>
      <c r="J41">
        <v>-0.50977966622749982</v>
      </c>
      <c r="K41">
        <v>-4.6256671579378829E-2</v>
      </c>
      <c r="L41">
        <v>-1.214801393551012</v>
      </c>
      <c r="N41" s="156">
        <v>2014</v>
      </c>
      <c r="O41">
        <v>1.2607612531262051E-2</v>
      </c>
      <c r="P41">
        <v>-1.7564295000000001</v>
      </c>
      <c r="Q41">
        <v>2.0585811000000001</v>
      </c>
      <c r="R41">
        <v>1.6674963870911614</v>
      </c>
      <c r="S41">
        <f t="shared" si="1"/>
        <v>1.0078788647942261</v>
      </c>
    </row>
    <row r="42" spans="1:19" ht="15" x14ac:dyDescent="0.2">
      <c r="A42" s="153" t="s">
        <v>147</v>
      </c>
      <c r="B42" s="153">
        <v>2015</v>
      </c>
      <c r="C42" s="154">
        <f t="shared" si="0"/>
        <v>-3.8481140373978283E-2</v>
      </c>
      <c r="D42" s="154">
        <f t="shared" si="0"/>
        <v>-3.8988130957446812</v>
      </c>
      <c r="E42" s="154">
        <f t="shared" si="0"/>
        <v>-4.7600428893617046</v>
      </c>
      <c r="F42" s="154">
        <f t="shared" si="0"/>
        <v>-1.5411605647788651</v>
      </c>
      <c r="H42" s="155" t="s">
        <v>187</v>
      </c>
      <c r="I42">
        <v>-2.2029666666666698</v>
      </c>
      <c r="J42">
        <v>-0.17374380764163039</v>
      </c>
      <c r="K42">
        <v>-5.4289522138669638E-2</v>
      </c>
      <c r="L42">
        <v>-0.45283062188402029</v>
      </c>
      <c r="N42" s="156">
        <v>2015</v>
      </c>
      <c r="O42">
        <v>2.1691953000768496E-2</v>
      </c>
      <c r="P42">
        <v>-1.2673558</v>
      </c>
      <c r="Q42">
        <v>1.8356452999999999</v>
      </c>
      <c r="R42">
        <v>2.8194999645197152</v>
      </c>
      <c r="S42">
        <f t="shared" si="1"/>
        <v>0.99673531734201104</v>
      </c>
    </row>
    <row r="43" spans="1:19" ht="15" x14ac:dyDescent="0.2">
      <c r="A43" s="153" t="s">
        <v>147</v>
      </c>
      <c r="B43" s="153">
        <v>2016</v>
      </c>
      <c r="C43" s="154">
        <f t="shared" si="0"/>
        <v>-3.1159681827096709E-2</v>
      </c>
      <c r="D43" s="154">
        <f t="shared" si="0"/>
        <v>-3.2396827957446814</v>
      </c>
      <c r="E43" s="154">
        <f t="shared" si="0"/>
        <v>-4.9542101893617048</v>
      </c>
      <c r="F43" s="154">
        <f t="shared" si="0"/>
        <v>-4.4388149808841959</v>
      </c>
      <c r="H43" s="155" t="s">
        <v>188</v>
      </c>
      <c r="I43">
        <v>-0.70106666666666984</v>
      </c>
      <c r="J43">
        <v>2.029078377762028E-2</v>
      </c>
      <c r="K43">
        <v>-1.372320112466895E-2</v>
      </c>
      <c r="L43">
        <v>-5.3508871637591611</v>
      </c>
      <c r="N43" s="156">
        <v>2016</v>
      </c>
      <c r="O43">
        <v>2.901341154765007E-2</v>
      </c>
      <c r="P43">
        <v>-0.60822549999999997</v>
      </c>
      <c r="Q43">
        <v>1.641478</v>
      </c>
      <c r="R43">
        <v>-7.8154451585615903E-2</v>
      </c>
      <c r="S43">
        <f t="shared" si="1"/>
        <v>0.98775659150185269</v>
      </c>
    </row>
    <row r="44" spans="1:19" ht="15" x14ac:dyDescent="0.2">
      <c r="A44" s="153" t="s">
        <v>147</v>
      </c>
      <c r="B44" s="153">
        <v>2017</v>
      </c>
      <c r="C44" s="154">
        <f t="shared" si="0"/>
        <v>-1.9794825829072459E-2</v>
      </c>
      <c r="D44" s="154">
        <f t="shared" si="0"/>
        <v>-2.2845741957446815</v>
      </c>
      <c r="E44" s="154">
        <f t="shared" si="0"/>
        <v>-5.0649000893617053</v>
      </c>
      <c r="F44" s="154">
        <f t="shared" si="0"/>
        <v>-4.3562416358778711</v>
      </c>
      <c r="H44" s="155" t="s">
        <v>189</v>
      </c>
      <c r="I44">
        <v>-0.44143333333333001</v>
      </c>
      <c r="J44">
        <v>-0.21669007796170001</v>
      </c>
      <c r="K44">
        <v>-3.8053941942564513E-3</v>
      </c>
      <c r="L44">
        <v>-0.56102495842014299</v>
      </c>
      <c r="N44" s="156">
        <v>2017</v>
      </c>
      <c r="O44">
        <v>4.0378267545674321E-2</v>
      </c>
      <c r="P44">
        <v>0.3468831</v>
      </c>
      <c r="Q44">
        <v>1.5307881000000001</v>
      </c>
      <c r="R44">
        <v>4.4188934207095862E-3</v>
      </c>
      <c r="S44">
        <f t="shared" si="1"/>
        <v>0.97590262375932069</v>
      </c>
    </row>
    <row r="45" spans="1:19" ht="15" x14ac:dyDescent="0.2">
      <c r="A45" s="153" t="s">
        <v>147</v>
      </c>
      <c r="B45" s="153">
        <v>2018</v>
      </c>
      <c r="C45" s="154">
        <f t="shared" si="0"/>
        <v>-2.8529397589045428E-2</v>
      </c>
      <c r="D45" s="154">
        <f t="shared" si="0"/>
        <v>-2.5393651957446814</v>
      </c>
      <c r="E45" s="154">
        <f t="shared" si="0"/>
        <v>-5.1170019893617047</v>
      </c>
      <c r="F45" s="154">
        <f t="shared" si="0"/>
        <v>-4.3906439955586141</v>
      </c>
      <c r="H45" s="155" t="s">
        <v>190</v>
      </c>
      <c r="I45">
        <v>-0.14729999999999999</v>
      </c>
      <c r="J45">
        <v>-0.15701333207855009</v>
      </c>
      <c r="K45">
        <v>1.8222671880016462E-2</v>
      </c>
      <c r="L45">
        <v>-0.53557988995388239</v>
      </c>
      <c r="N45" s="156">
        <v>2018</v>
      </c>
      <c r="O45">
        <v>3.1643695785701351E-2</v>
      </c>
      <c r="P45">
        <v>9.2092099999999996E-2</v>
      </c>
      <c r="Q45">
        <v>1.4786862000000001</v>
      </c>
      <c r="R45">
        <v>-2.9983466260033759E-2</v>
      </c>
      <c r="S45">
        <f t="shared" si="1"/>
        <v>0.98366021732642572</v>
      </c>
    </row>
    <row r="46" spans="1:19" ht="15" x14ac:dyDescent="0.2">
      <c r="A46" s="153" t="s">
        <v>147</v>
      </c>
      <c r="B46" s="153">
        <v>2019</v>
      </c>
      <c r="C46" s="154">
        <f t="shared" si="0"/>
        <v>-3.2776771917721589E-2</v>
      </c>
      <c r="D46" s="154">
        <f t="shared" si="0"/>
        <v>-2.7156737957446815</v>
      </c>
      <c r="E46" s="154">
        <f t="shared" si="0"/>
        <v>-5.2263228893617049</v>
      </c>
      <c r="F46" s="154">
        <f t="shared" si="0"/>
        <v>-3.5476795155321019</v>
      </c>
      <c r="H46" s="155" t="s">
        <v>191</v>
      </c>
      <c r="I46">
        <v>-5.9766666666666968E-2</v>
      </c>
      <c r="J46">
        <v>-0.13900824954348989</v>
      </c>
      <c r="K46">
        <v>5.3559887718800922E-2</v>
      </c>
      <c r="L46">
        <v>0.61570636412374347</v>
      </c>
      <c r="N46" s="156">
        <v>2019</v>
      </c>
      <c r="O46">
        <v>2.7396321457025193E-2</v>
      </c>
      <c r="P46">
        <v>-8.42165E-2</v>
      </c>
      <c r="Q46">
        <v>1.3693652999999999</v>
      </c>
      <c r="R46">
        <v>0.81298101376647847</v>
      </c>
      <c r="S46">
        <f t="shared" si="1"/>
        <v>0.98666272384780163</v>
      </c>
    </row>
    <row r="47" spans="1:19" ht="15" x14ac:dyDescent="0.2">
      <c r="A47" s="153" t="s">
        <v>147</v>
      </c>
      <c r="B47" s="153">
        <v>2020</v>
      </c>
      <c r="C47" s="154">
        <f t="shared" si="0"/>
        <v>-6.7760916169900556E-2</v>
      </c>
      <c r="D47" s="154">
        <f t="shared" si="0"/>
        <v>-7.4920257957446816</v>
      </c>
      <c r="E47" s="154">
        <f t="shared" si="0"/>
        <v>-5.5096606893617048</v>
      </c>
      <c r="F47" s="154">
        <f t="shared" si="0"/>
        <v>-0.56714856902333066</v>
      </c>
      <c r="H47" s="155" t="s">
        <v>192</v>
      </c>
      <c r="I47">
        <v>2.413333333333401E-2</v>
      </c>
      <c r="J47">
        <v>-0.27296519922996021</v>
      </c>
      <c r="K47">
        <v>4.2196865378010387E-2</v>
      </c>
      <c r="L47">
        <v>1.166688330468586</v>
      </c>
      <c r="N47" s="156">
        <v>2020</v>
      </c>
      <c r="O47">
        <v>-7.5878227951537711E-3</v>
      </c>
      <c r="P47">
        <v>-4.8605685000000003</v>
      </c>
      <c r="Q47">
        <v>1.0860274999999999</v>
      </c>
      <c r="R47">
        <v>3.7935119602752496</v>
      </c>
      <c r="S47">
        <f t="shared" si="1"/>
        <v>1.0185891489634007</v>
      </c>
    </row>
    <row r="48" spans="1:19" ht="15" x14ac:dyDescent="0.2">
      <c r="A48" s="153" t="s">
        <v>147</v>
      </c>
      <c r="B48" s="153">
        <v>2021</v>
      </c>
      <c r="C48" s="154">
        <f t="shared" si="0"/>
        <v>-6.043080519656456E-3</v>
      </c>
      <c r="D48" s="154">
        <f t="shared" si="0"/>
        <v>-4.8875278957446815</v>
      </c>
      <c r="E48" s="154">
        <f t="shared" si="0"/>
        <v>-5.862716889361705</v>
      </c>
      <c r="F48" s="154">
        <f t="shared" si="0"/>
        <v>-5.5283494219070697</v>
      </c>
      <c r="H48" s="155" t="s">
        <v>193</v>
      </c>
      <c r="I48">
        <v>0.18866666666666601</v>
      </c>
      <c r="J48">
        <v>-0.41990028860029011</v>
      </c>
      <c r="K48">
        <v>-5.2436923370206045E-3</v>
      </c>
      <c r="L48">
        <v>0.62160731810611636</v>
      </c>
      <c r="N48" s="156">
        <v>2021</v>
      </c>
      <c r="O48">
        <v>5.4130012855090323E-2</v>
      </c>
      <c r="P48">
        <v>-2.2560706000000001</v>
      </c>
      <c r="Q48">
        <v>0.73297129999999999</v>
      </c>
      <c r="R48">
        <v>-1.1676888926084894</v>
      </c>
      <c r="S48">
        <f t="shared" si="1"/>
        <v>0.95560291493045291</v>
      </c>
    </row>
    <row r="49" spans="1:19" ht="15" x14ac:dyDescent="0.2">
      <c r="A49" s="153" t="s">
        <v>147</v>
      </c>
      <c r="B49" s="153">
        <v>2022</v>
      </c>
      <c r="C49" s="154">
        <f t="shared" si="0"/>
        <v>1.0454150839613728E-2</v>
      </c>
      <c r="D49" s="154">
        <f t="shared" si="0"/>
        <v>-2.8615006957446814</v>
      </c>
      <c r="E49" s="154">
        <f t="shared" si="0"/>
        <v>-5.7828006893617054</v>
      </c>
      <c r="F49" s="154">
        <f t="shared" si="0"/>
        <v>0.41888124516213932</v>
      </c>
      <c r="H49" s="155" t="s">
        <v>194</v>
      </c>
      <c r="I49">
        <v>0.14553333333333701</v>
      </c>
      <c r="J49">
        <v>0.19511544011543999</v>
      </c>
      <c r="K49">
        <v>3.472908674640976E-2</v>
      </c>
      <c r="L49">
        <v>0.6306853077874075</v>
      </c>
      <c r="N49" s="156">
        <v>2022</v>
      </c>
      <c r="O49">
        <v>7.0627244214360507E-2</v>
      </c>
      <c r="P49">
        <v>-0.23004340000000001</v>
      </c>
      <c r="Q49">
        <v>0.81288749999999999</v>
      </c>
      <c r="R49">
        <v>4.7795417744607196</v>
      </c>
      <c r="S49">
        <f t="shared" si="1"/>
        <v>0.94162452940358088</v>
      </c>
    </row>
    <row r="50" spans="1:19" ht="15" x14ac:dyDescent="0.2">
      <c r="H50" s="155" t="s">
        <v>195</v>
      </c>
      <c r="I50">
        <v>7.2666666666659996E-2</v>
      </c>
      <c r="J50">
        <v>0.49521618043792032</v>
      </c>
      <c r="K50">
        <v>5.0582614284287782E-3</v>
      </c>
      <c r="L50">
        <v>-5.3325320488528893E-2</v>
      </c>
    </row>
    <row r="51" spans="1:19" ht="15" x14ac:dyDescent="0.2">
      <c r="B51" t="s">
        <v>196</v>
      </c>
      <c r="C51" s="154">
        <f>_xlfn.STDEV.P(C3:C49)</f>
        <v>4.9398524090802365E-2</v>
      </c>
      <c r="D51" s="154">
        <f>_xlfn.STDEV.P(D3:D49)</f>
        <v>3.6579474585785392</v>
      </c>
      <c r="E51" s="154">
        <f>_xlfn.STDEV.P(E3:E49)</f>
        <v>3.9331375696395168</v>
      </c>
      <c r="H51" s="155" t="s">
        <v>197</v>
      </c>
      <c r="I51">
        <v>0.31850000000000001</v>
      </c>
      <c r="J51">
        <v>1.4542621870889951E-2</v>
      </c>
      <c r="K51">
        <v>-2.4187858235416262E-2</v>
      </c>
      <c r="L51">
        <v>0.90263505450942649</v>
      </c>
    </row>
    <row r="52" spans="1:19" ht="15" x14ac:dyDescent="0.2">
      <c r="H52" s="155" t="s">
        <v>198</v>
      </c>
      <c r="I52">
        <v>0.15043333333334011</v>
      </c>
      <c r="J52">
        <v>-0.65813457870632019</v>
      </c>
      <c r="K52">
        <v>6.6783284455540579E-3</v>
      </c>
      <c r="L52">
        <v>0.69920202311433466</v>
      </c>
    </row>
    <row r="53" spans="1:19" ht="15" x14ac:dyDescent="0.2">
      <c r="H53" s="155" t="s">
        <v>199</v>
      </c>
      <c r="I53">
        <v>-6.6500000000000004E-2</v>
      </c>
      <c r="J53">
        <v>-0.20894211682038</v>
      </c>
      <c r="K53">
        <v>-2.6584369717756861E-2</v>
      </c>
      <c r="L53">
        <v>-1.8570519515610411</v>
      </c>
    </row>
    <row r="54" spans="1:19" ht="15" x14ac:dyDescent="0.2">
      <c r="H54" s="155" t="s">
        <v>200</v>
      </c>
      <c r="I54">
        <v>-0.45256666666667011</v>
      </c>
      <c r="J54">
        <v>-0.21627734483693969</v>
      </c>
      <c r="K54">
        <v>-2.094569529639045E-3</v>
      </c>
      <c r="L54">
        <v>1.1577850752457679</v>
      </c>
    </row>
    <row r="55" spans="1:19" ht="15" x14ac:dyDescent="0.2">
      <c r="H55" s="155" t="s">
        <v>201</v>
      </c>
      <c r="I55">
        <v>-0.34696666666666698</v>
      </c>
      <c r="J55">
        <v>-0.39809773300000018</v>
      </c>
      <c r="K55">
        <v>-1.2696055806227659E-2</v>
      </c>
      <c r="L55">
        <v>-1.779717433915341</v>
      </c>
    </row>
    <row r="56" spans="1:19" ht="15" x14ac:dyDescent="0.2">
      <c r="H56" s="155" t="s">
        <v>202</v>
      </c>
      <c r="I56">
        <v>-0.33746666666666603</v>
      </c>
      <c r="J56">
        <v>-0.27273834533333008</v>
      </c>
      <c r="K56">
        <v>-4.9316673403978937E-3</v>
      </c>
      <c r="L56">
        <v>-0.40114161041281138</v>
      </c>
    </row>
    <row r="57" spans="1:19" ht="15" x14ac:dyDescent="0.2">
      <c r="H57" s="155" t="s">
        <v>203</v>
      </c>
      <c r="I57">
        <v>-0.16343333333333401</v>
      </c>
      <c r="J57">
        <v>4.6695981515149983E-2</v>
      </c>
      <c r="K57">
        <v>-1.4425296231014781E-3</v>
      </c>
      <c r="L57">
        <v>0.42851548136691758</v>
      </c>
    </row>
    <row r="58" spans="1:19" ht="15" x14ac:dyDescent="0.2">
      <c r="H58" s="155" t="s">
        <v>204</v>
      </c>
      <c r="I58">
        <v>1.6333333333334001E-2</v>
      </c>
      <c r="J58">
        <v>3.7633531121210151E-2</v>
      </c>
      <c r="K58">
        <v>-7.3395040591002214E-3</v>
      </c>
      <c r="L58">
        <v>-0.37855205821009791</v>
      </c>
    </row>
    <row r="59" spans="1:19" ht="15" x14ac:dyDescent="0.2">
      <c r="H59" s="155" t="s">
        <v>205</v>
      </c>
      <c r="I59">
        <v>-4.6666666666669854E-3</v>
      </c>
      <c r="J59">
        <v>-5.7742503987240117E-2</v>
      </c>
      <c r="K59">
        <v>1.646785477173935E-2</v>
      </c>
      <c r="L59">
        <v>0.25679197440655538</v>
      </c>
    </row>
    <row r="60" spans="1:19" ht="15" x14ac:dyDescent="0.2">
      <c r="H60" s="155" t="s">
        <v>206</v>
      </c>
      <c r="I60">
        <v>1.6699999999999989E-2</v>
      </c>
      <c r="J60">
        <v>0.39280133139172019</v>
      </c>
      <c r="K60">
        <v>5.0130722310493068E-3</v>
      </c>
      <c r="L60">
        <v>-8.0271888539100722E-2</v>
      </c>
    </row>
    <row r="61" spans="1:19" ht="15" x14ac:dyDescent="0.2">
      <c r="H61" s="155" t="s">
        <v>207</v>
      </c>
      <c r="I61">
        <v>1.7399999999999999E-2</v>
      </c>
      <c r="J61">
        <v>-5.2678524374180302E-2</v>
      </c>
      <c r="K61">
        <v>-5.3655800525504555E-4</v>
      </c>
      <c r="L61">
        <v>0.124058763432302</v>
      </c>
    </row>
    <row r="62" spans="1:19" ht="15" x14ac:dyDescent="0.2">
      <c r="H62" s="155" t="s">
        <v>208</v>
      </c>
      <c r="I62">
        <v>5.4233333333333023E-2</v>
      </c>
      <c r="J62">
        <v>-6.3333333333329911E-2</v>
      </c>
      <c r="K62">
        <v>-4.4347483223671699E-3</v>
      </c>
      <c r="L62">
        <v>-0.1159689717101253</v>
      </c>
    </row>
    <row r="63" spans="1:19" ht="15" x14ac:dyDescent="0.2">
      <c r="H63" s="155" t="s">
        <v>209</v>
      </c>
      <c r="I63">
        <v>3.433333333333954E-3</v>
      </c>
      <c r="J63">
        <v>-0.24</v>
      </c>
      <c r="K63">
        <v>-6.1705566290856948E-3</v>
      </c>
      <c r="L63">
        <v>-0.20014362833535021</v>
      </c>
    </row>
    <row r="64" spans="1:19" ht="15" x14ac:dyDescent="0.2">
      <c r="H64" s="155" t="s">
        <v>210</v>
      </c>
      <c r="I64">
        <v>-0.13400000000000001</v>
      </c>
      <c r="J64">
        <v>-0.4766666666666699</v>
      </c>
      <c r="K64">
        <v>-4.4491523065914866E-6</v>
      </c>
      <c r="L64">
        <v>-0.29510323897536672</v>
      </c>
    </row>
    <row r="65" spans="8:12" ht="15" x14ac:dyDescent="0.2">
      <c r="H65" s="155" t="s">
        <v>211</v>
      </c>
      <c r="I65">
        <v>-8.3099999999999993E-2</v>
      </c>
      <c r="J65">
        <v>-0.28956899999999608</v>
      </c>
      <c r="K65">
        <v>-2.6649764978803597E-3</v>
      </c>
      <c r="L65">
        <v>-0.85151284668067162</v>
      </c>
    </row>
    <row r="66" spans="8:12" ht="15" x14ac:dyDescent="0.2">
      <c r="H66" s="155" t="s">
        <v>212</v>
      </c>
      <c r="I66">
        <v>-3.5433333333333997E-2</v>
      </c>
      <c r="J66">
        <v>-0.44013627272727301</v>
      </c>
      <c r="K66">
        <v>3.7335401489293927E-3</v>
      </c>
      <c r="L66">
        <v>0.84800311281623109</v>
      </c>
    </row>
    <row r="67" spans="8:12" ht="15" x14ac:dyDescent="0.2">
      <c r="H67" s="155" t="s">
        <v>213</v>
      </c>
      <c r="I67">
        <v>-5.2566666666666012E-2</v>
      </c>
      <c r="J67">
        <v>0.17213384415584199</v>
      </c>
      <c r="K67">
        <v>1.3210427142459048E-2</v>
      </c>
      <c r="L67">
        <v>0.93148685322153457</v>
      </c>
    </row>
    <row r="68" spans="8:12" ht="15" x14ac:dyDescent="0.2">
      <c r="H68" s="155" t="s">
        <v>214</v>
      </c>
      <c r="I68">
        <v>-2.1266666666666999E-2</v>
      </c>
      <c r="J68">
        <v>0.24214437543133399</v>
      </c>
      <c r="K68">
        <v>-5.1036855982164297E-3</v>
      </c>
      <c r="L68">
        <v>7.2424583494123951E-3</v>
      </c>
    </row>
    <row r="69" spans="8:12" ht="15" x14ac:dyDescent="0.2">
      <c r="H69" s="155" t="s">
        <v>215</v>
      </c>
      <c r="I69">
        <v>-6.1366666666667007E-2</v>
      </c>
      <c r="J69">
        <v>-8.2670464897422025E-2</v>
      </c>
      <c r="K69">
        <v>5.5665386112366379E-3</v>
      </c>
      <c r="L69">
        <v>-0.92295498111213847</v>
      </c>
    </row>
    <row r="70" spans="8:12" ht="15" x14ac:dyDescent="0.2">
      <c r="H70" s="155" t="s">
        <v>216</v>
      </c>
      <c r="I70">
        <v>-9.6899999999999986E-2</v>
      </c>
      <c r="J70">
        <v>-0.21523898989899001</v>
      </c>
      <c r="K70">
        <v>8.3565879114802042E-3</v>
      </c>
      <c r="L70">
        <v>1.302179117213919</v>
      </c>
    </row>
    <row r="71" spans="8:12" ht="15" x14ac:dyDescent="0.2">
      <c r="H71" s="155" t="s">
        <v>217</v>
      </c>
      <c r="I71">
        <v>-7.2033333333333005E-2</v>
      </c>
      <c r="J71">
        <v>-0.19720317460317399</v>
      </c>
      <c r="K71">
        <v>-1.45000131762751E-2</v>
      </c>
      <c r="L71">
        <v>-1.045232841927259</v>
      </c>
    </row>
    <row r="72" spans="8:12" ht="15" x14ac:dyDescent="0.2">
      <c r="H72" s="155" t="s">
        <v>218</v>
      </c>
      <c r="I72">
        <v>-3.999999999999998E-2</v>
      </c>
      <c r="J72">
        <v>-0.32876548089591601</v>
      </c>
      <c r="K72">
        <v>1.120692177141905E-2</v>
      </c>
      <c r="L72">
        <v>0.65366241752405951</v>
      </c>
    </row>
    <row r="73" spans="8:12" ht="15" x14ac:dyDescent="0.2">
      <c r="H73" s="155" t="s">
        <v>219</v>
      </c>
      <c r="I73">
        <v>-1.440000000000002E-2</v>
      </c>
      <c r="J73">
        <v>0.26181043039086499</v>
      </c>
      <c r="K73">
        <v>-2.321537615477496E-3</v>
      </c>
      <c r="L73">
        <v>1.1450898645591261</v>
      </c>
    </row>
    <row r="74" spans="8:12" ht="15" x14ac:dyDescent="0.2">
      <c r="H74" s="155" t="s">
        <v>220</v>
      </c>
      <c r="I74">
        <v>-1.529999999999998E-2</v>
      </c>
      <c r="J74">
        <v>0.1662047951568871</v>
      </c>
      <c r="K74">
        <v>3.5740417120086933E-3</v>
      </c>
      <c r="L74">
        <v>-0.24247187548879059</v>
      </c>
    </row>
    <row r="75" spans="8:12" ht="15" x14ac:dyDescent="0.2">
      <c r="H75" s="155" t="s">
        <v>221</v>
      </c>
      <c r="I75">
        <v>-2.1666666666670391E-3</v>
      </c>
      <c r="J75">
        <v>-3.377810444049606E-2</v>
      </c>
      <c r="K75">
        <v>1.165429564071147E-2</v>
      </c>
      <c r="L75">
        <v>1.349063040286653</v>
      </c>
    </row>
    <row r="76" spans="8:12" ht="15" x14ac:dyDescent="0.2">
      <c r="H76" s="155" t="s">
        <v>222</v>
      </c>
      <c r="I76">
        <v>3.3333333333401832E-4</v>
      </c>
      <c r="J76">
        <v>0.18477128594352299</v>
      </c>
      <c r="K76">
        <v>-7.7196573193805303E-3</v>
      </c>
      <c r="L76">
        <v>-2.4682211748780429</v>
      </c>
    </row>
    <row r="77" spans="8:12" ht="15" x14ac:dyDescent="0.2">
      <c r="H77" s="155" t="s">
        <v>223</v>
      </c>
      <c r="I77">
        <v>8.3333333333301951E-4</v>
      </c>
      <c r="J77">
        <v>-0.12387404372145901</v>
      </c>
      <c r="K77">
        <v>1.030107599081518E-2</v>
      </c>
      <c r="L77">
        <v>1.944309378815765</v>
      </c>
    </row>
    <row r="78" spans="8:12" ht="15" x14ac:dyDescent="0.2">
      <c r="H78" s="155" t="s">
        <v>224</v>
      </c>
      <c r="I78">
        <v>5.0000000000000044E-4</v>
      </c>
      <c r="J78">
        <v>0.204998635603555</v>
      </c>
      <c r="K78">
        <v>-7.3103014412437516E-3</v>
      </c>
      <c r="L78">
        <v>-8.8338953150961519E-3</v>
      </c>
    </row>
    <row r="79" spans="8:12" ht="15" x14ac:dyDescent="0.2">
      <c r="H79" s="155" t="s">
        <v>225</v>
      </c>
      <c r="I79">
        <v>3.0666666666669951E-3</v>
      </c>
      <c r="J79">
        <v>-0.160827835497277</v>
      </c>
      <c r="K79">
        <v>-9.1550947300720505E-3</v>
      </c>
      <c r="L79">
        <v>-1.1492522642131291</v>
      </c>
    </row>
    <row r="80" spans="8:12" ht="15" x14ac:dyDescent="0.2">
      <c r="H80" s="155" t="s">
        <v>226</v>
      </c>
      <c r="I80">
        <v>5.7333333333329786E-3</v>
      </c>
      <c r="J80">
        <v>6.3333333333333908E-2</v>
      </c>
      <c r="K80">
        <v>1.199023787906128E-4</v>
      </c>
      <c r="L80">
        <v>8.4454085129835432E-2</v>
      </c>
    </row>
    <row r="81" spans="8:12" ht="15" x14ac:dyDescent="0.2">
      <c r="H81" s="155" t="s">
        <v>227</v>
      </c>
      <c r="I81">
        <v>4.1666666666669849E-3</v>
      </c>
      <c r="J81">
        <v>-0.22666666666666699</v>
      </c>
      <c r="K81">
        <v>-5.4142138584131775E-3</v>
      </c>
      <c r="L81">
        <v>-1.7418999003766981E-2</v>
      </c>
    </row>
    <row r="82" spans="8:12" ht="15" x14ac:dyDescent="0.2">
      <c r="H82" s="155" t="s">
        <v>228</v>
      </c>
      <c r="I82">
        <v>6.8000000000000282E-3</v>
      </c>
      <c r="J82">
        <v>-0.206666666666667</v>
      </c>
      <c r="K82">
        <v>-1.7067739278157029E-3</v>
      </c>
      <c r="L82">
        <v>-0.53874274632257346</v>
      </c>
    </row>
    <row r="83" spans="8:12" ht="15" x14ac:dyDescent="0.2">
      <c r="H83" s="155" t="s">
        <v>229</v>
      </c>
      <c r="I83">
        <v>-8.5666666666669999E-3</v>
      </c>
      <c r="J83">
        <v>-0.46</v>
      </c>
      <c r="K83">
        <v>8.2224216286421389E-3</v>
      </c>
      <c r="L83">
        <v>0.96914851416178593</v>
      </c>
    </row>
    <row r="84" spans="8:12" ht="15" x14ac:dyDescent="0.2">
      <c r="H84" s="155" t="s">
        <v>230</v>
      </c>
      <c r="I84">
        <v>-7.9633333333333001E-2</v>
      </c>
      <c r="J84">
        <v>0.14000000000000001</v>
      </c>
      <c r="K84">
        <v>-3.066892273785982E-3</v>
      </c>
      <c r="L84">
        <v>-0.9977550930007012</v>
      </c>
    </row>
    <row r="85" spans="8:12" ht="15" x14ac:dyDescent="0.2">
      <c r="H85" s="155" t="s">
        <v>231</v>
      </c>
      <c r="I85">
        <v>-6.2333333333339791E-3</v>
      </c>
      <c r="J85">
        <v>-3.3333333333333007E-2</v>
      </c>
      <c r="K85">
        <v>-2.8597644930218281E-3</v>
      </c>
      <c r="L85">
        <v>1.677238085009541</v>
      </c>
    </row>
    <row r="86" spans="8:12" ht="15" x14ac:dyDescent="0.2">
      <c r="H86" s="155" t="s">
        <v>232</v>
      </c>
      <c r="I86">
        <v>-2.5333333333330539E-3</v>
      </c>
      <c r="J86">
        <v>5.3333333333333011E-2</v>
      </c>
      <c r="K86">
        <v>5.7715503788713818E-4</v>
      </c>
      <c r="L86">
        <v>-1.9098381126024451</v>
      </c>
    </row>
    <row r="87" spans="8:12" ht="15" x14ac:dyDescent="0.2">
      <c r="H87" s="155" t="s">
        <v>233</v>
      </c>
      <c r="I87">
        <v>0.104833333333333</v>
      </c>
      <c r="J87">
        <v>-0.16666666666666599</v>
      </c>
      <c r="K87">
        <v>-7.1442096254018428E-2</v>
      </c>
      <c r="L87">
        <v>-6.2611390550340804</v>
      </c>
    </row>
    <row r="88" spans="8:12" ht="15" x14ac:dyDescent="0.2">
      <c r="H88" s="155" t="s">
        <v>234</v>
      </c>
      <c r="I88">
        <v>-0.17106666666666601</v>
      </c>
      <c r="J88">
        <v>-0.14333333333333401</v>
      </c>
      <c r="K88">
        <v>3.7295644066982589E-2</v>
      </c>
      <c r="L88">
        <v>2.2731848768205798</v>
      </c>
    </row>
    <row r="89" spans="8:12" ht="15" x14ac:dyDescent="0.2">
      <c r="H89" s="155" t="s">
        <v>235</v>
      </c>
      <c r="I89">
        <v>-5.0966666666667049E-2</v>
      </c>
      <c r="J89">
        <v>0.15668848966666701</v>
      </c>
      <c r="K89">
        <v>2.2772025927555719E-3</v>
      </c>
      <c r="L89">
        <v>-1.5066466632789319</v>
      </c>
    </row>
    <row r="90" spans="8:12" ht="15" x14ac:dyDescent="0.2">
      <c r="H90" s="155" t="s">
        <v>236</v>
      </c>
      <c r="I90">
        <v>-1.9766666666666929E-2</v>
      </c>
      <c r="J90">
        <v>0.22405262133333301</v>
      </c>
      <c r="K90">
        <v>-2.1663832346470709E-3</v>
      </c>
      <c r="L90">
        <v>1.7755965612050559</v>
      </c>
    </row>
    <row r="91" spans="8:12" ht="15" x14ac:dyDescent="0.2">
      <c r="H91" s="155" t="s">
        <v>237</v>
      </c>
      <c r="I91">
        <v>2.0666666666669942E-3</v>
      </c>
      <c r="J91">
        <v>-0.115589595666666</v>
      </c>
      <c r="K91">
        <v>9.2427726261874177E-2</v>
      </c>
      <c r="L91">
        <v>2.236351980895579</v>
      </c>
    </row>
    <row r="92" spans="8:12" ht="15" x14ac:dyDescent="0.2">
      <c r="H92" s="155" t="s">
        <v>238</v>
      </c>
      <c r="I92">
        <v>-5.3999999999999604E-3</v>
      </c>
      <c r="J92">
        <v>0.13862988833333301</v>
      </c>
      <c r="K92">
        <v>-2.523925131216672E-2</v>
      </c>
      <c r="L92">
        <v>1.0099715864981631</v>
      </c>
    </row>
    <row r="93" spans="8:12" ht="15" x14ac:dyDescent="0.2">
      <c r="H93" s="155" t="s">
        <v>239</v>
      </c>
      <c r="I93">
        <v>-2.0600000000000059E-2</v>
      </c>
      <c r="J93">
        <v>0.46146105999999998</v>
      </c>
      <c r="K93">
        <v>1.5640839591229111E-2</v>
      </c>
      <c r="L93">
        <v>0.96286762733457942</v>
      </c>
    </row>
    <row r="94" spans="8:12" ht="15" x14ac:dyDescent="0.2">
      <c r="H94" s="155" t="s">
        <v>240</v>
      </c>
      <c r="I94">
        <v>3.7399999999999989E-2</v>
      </c>
      <c r="J94">
        <v>1.0985035679999999</v>
      </c>
      <c r="K94">
        <v>1.8827055753989441E-3</v>
      </c>
      <c r="L94">
        <v>-0.4714474593078134</v>
      </c>
    </row>
    <row r="95" spans="8:12" ht="15" x14ac:dyDescent="0.2">
      <c r="H95" s="155" t="s">
        <v>241</v>
      </c>
      <c r="I95">
        <v>0.17140000000000011</v>
      </c>
      <c r="J95">
        <v>0.35278658666667018</v>
      </c>
      <c r="K95">
        <v>-8.4840386975130848E-3</v>
      </c>
      <c r="L95">
        <v>0.8994413714817826</v>
      </c>
    </row>
    <row r="96" spans="8:12" ht="15" x14ac:dyDescent="0.2">
      <c r="H96" s="155" t="s">
        <v>242</v>
      </c>
      <c r="I96">
        <v>0.83833333333333293</v>
      </c>
      <c r="J96">
        <v>0.84422655899999999</v>
      </c>
      <c r="K96">
        <v>-4.0498046221773623E-3</v>
      </c>
      <c r="L96">
        <v>0.55486389354915855</v>
      </c>
    </row>
    <row r="97" spans="8:12" ht="15" x14ac:dyDescent="0.2">
      <c r="H97" s="155" t="s">
        <v>243</v>
      </c>
      <c r="I97">
        <v>1.291399999999997</v>
      </c>
      <c r="J97">
        <v>0.13390630233333001</v>
      </c>
      <c r="K97">
        <v>-1.7208911078923278E-2</v>
      </c>
      <c r="L97">
        <v>-1.1847956578460701</v>
      </c>
    </row>
  </sheetData>
  <mergeCells count="3">
    <mergeCell ref="C1:F1"/>
    <mergeCell ref="I1:L1"/>
    <mergeCell ref="O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87F82CBE4CBA6243B265CBD512A8306F" ma:contentTypeVersion="1" ma:contentTypeDescription="Luo uusi asiakirja." ma:contentTypeScope="" ma:versionID="ff5afeb471f6a7b62e1954b345e07c95">
  <xsd:schema xmlns:xsd="http://www.w3.org/2001/XMLSchema" xmlns:xs="http://www.w3.org/2001/XMLSchema" xmlns:p="http://schemas.microsoft.com/office/2006/metadata/properties" xmlns:ns2="68b2ce2a-c09a-44ce-b99b-1ad94686346f" targetNamespace="http://schemas.microsoft.com/office/2006/metadata/properties" ma:root="true" ma:fieldsID="58aa58ccbe9105e308f404517e91b3b2" ns2:_="">
    <xsd:import namespace="68b2ce2a-c09a-44ce-b99b-1ad94686346f"/>
    <xsd:element name="properties">
      <xsd:complexType>
        <xsd:sequence>
          <xsd:element name="documentManagement">
            <xsd:complexType>
              <xsd:all>
                <xsd:element ref="ns2:Vaih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2ce2a-c09a-44ce-b99b-1ad94686346f" elementFormDefault="qualified">
    <xsd:import namespace="http://schemas.microsoft.com/office/2006/documentManagement/types"/>
    <xsd:import namespace="http://schemas.microsoft.com/office/infopath/2007/PartnerControls"/>
    <xsd:element name="Vaihe" ma:index="8" nillable="true" ma:displayName="Vaihe" ma:format="Dropdown" ma:internalName="Vaihe">
      <xsd:simpleType>
        <xsd:restriction base="dms:Choice">
          <xsd:enumeration value="Esitykset"/>
          <xsd:enumeration value="Suunnittelu"/>
          <xsd:enumeration value="Raporttiluonnos"/>
          <xsd:enumeration value="Julkaisu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aihe xmlns="68b2ce2a-c09a-44ce-b99b-1ad94686346f" xsi:nil="true"/>
  </documentManagement>
</p:properties>
</file>

<file path=customXml/itemProps1.xml><?xml version="1.0" encoding="utf-8"?>
<ds:datastoreItem xmlns:ds="http://schemas.openxmlformats.org/officeDocument/2006/customXml" ds:itemID="{70AF0AEE-FCCB-4EDF-99A3-9FD71BE48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2ce2a-c09a-44ce-b99b-1ad946863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5379F7-D4E7-4A0C-87B7-761C7833B4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E1AD19-26CE-486A-AEF9-44A7210D2685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68b2ce2a-c09a-44ce-b99b-1ad94686346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Baseline NFPC</vt:lpstr>
      <vt:lpstr>STOCH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 Etienne (ECFIN)</dc:creator>
  <cp:keywords/>
  <dc:description/>
  <cp:lastModifiedBy>Keskinen Peetu (VTV)</cp:lastModifiedBy>
  <cp:revision/>
  <dcterms:created xsi:type="dcterms:W3CDTF">2013-04-12T08:50:12Z</dcterms:created>
  <dcterms:modified xsi:type="dcterms:W3CDTF">2025-06-05T13:28:41Z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2023-01-31T12:59:42Z</vt:lpwstr>
  </property>
  <property fmtid="{D5CDD505-2E9C-101B-9397-08002B2CF9AE}" pid="4" name="MSIP_Label_6bd9ddd1-4d20-43f6-abfa-fc3c07406f94_Method">
    <vt:lpwstr>Privileged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b0fa60c5-7b78-4404-9a0b-188770adde17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0x01010087F82CBE4CBA6243B265CBD512A8306F</vt:lpwstr>
  </property>
</Properties>
</file>