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10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9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I38" i="1"/>
  <c r="I40" s="1"/>
  <c r="H38"/>
  <c r="H40" s="1"/>
  <c r="O31"/>
  <c r="E31"/>
  <c r="M28"/>
  <c r="M29" s="1"/>
  <c r="H28"/>
  <c r="C26"/>
  <c r="O25"/>
  <c r="O26" s="1"/>
  <c r="O24"/>
  <c r="O27" s="1"/>
  <c r="O23"/>
  <c r="N31" s="1"/>
  <c r="P31" s="1"/>
  <c r="Q31" s="1"/>
  <c r="N2" s="1"/>
  <c r="N4" s="1"/>
  <c r="O22"/>
  <c r="O21"/>
  <c r="N17"/>
  <c r="N15"/>
  <c r="N14"/>
  <c r="N12"/>
  <c r="N13" s="1"/>
  <c r="N11"/>
  <c r="N10"/>
  <c r="N9"/>
  <c r="N7"/>
  <c r="O29" l="1"/>
  <c r="N29"/>
  <c r="P29" s="1"/>
  <c r="Q29" s="1"/>
  <c r="P24"/>
  <c r="P26" s="1"/>
  <c r="P27" s="1"/>
  <c r="Q26" s="1"/>
  <c r="P25"/>
  <c r="M30"/>
  <c r="O30" s="1"/>
</calcChain>
</file>

<file path=xl/sharedStrings.xml><?xml version="1.0" encoding="utf-8"?>
<sst xmlns="http://schemas.openxmlformats.org/spreadsheetml/2006/main" count="42" uniqueCount="42">
  <si>
    <t>Kminvn=</t>
  </si>
  <si>
    <t>K2</t>
  </si>
  <si>
    <t>Xl=</t>
  </si>
  <si>
    <t>XK2=</t>
  </si>
  <si>
    <t>Трехфазные двухобмоточные трансформаторы 110 кВ</t>
  </si>
  <si>
    <t>Квн=</t>
  </si>
  <si>
    <t>200/5</t>
  </si>
  <si>
    <t>Тип</t>
  </si>
  <si>
    <t>Sном, МВА</t>
  </si>
  <si>
    <t>Пределы регулирования ВН НН</t>
  </si>
  <si>
    <t>Каталожные данные</t>
  </si>
  <si>
    <t>Расчетные данные</t>
  </si>
  <si>
    <t>Кнн=</t>
  </si>
  <si>
    <t>1500/5</t>
  </si>
  <si>
    <t>Uном обмоток</t>
  </si>
  <si>
    <t>Uк,%</t>
  </si>
  <si>
    <t xml:space="preserve"> ΔРк, кВт</t>
  </si>
  <si>
    <t>Рх, кВт</t>
  </si>
  <si>
    <t>Iх, %</t>
  </si>
  <si>
    <t>Rт, Ом</t>
  </si>
  <si>
    <t xml:space="preserve"> Хт, Ом</t>
  </si>
  <si>
    <t>ΔQх, кВАр</t>
  </si>
  <si>
    <t>Ktp=</t>
  </si>
  <si>
    <t>115/6.6</t>
  </si>
  <si>
    <t>ВН</t>
  </si>
  <si>
    <t>НН</t>
  </si>
  <si>
    <t>Umin=</t>
  </si>
  <si>
    <t>ТДН-10000/110</t>
  </si>
  <si>
    <t>±9*1,78%</t>
  </si>
  <si>
    <t>6,6;11</t>
  </si>
  <si>
    <t>Umax=</t>
  </si>
  <si>
    <t>Ikz max</t>
  </si>
  <si>
    <t>Ikz min</t>
  </si>
  <si>
    <t>Выбор трасформаторов тока</t>
  </si>
  <si>
    <t>Наименование величины</t>
  </si>
  <si>
    <t>Числовое значение для стороны</t>
  </si>
  <si>
    <t>Первичный ток на сторонах защищаемого трансформатора, соответствующий его номинальной мощности, А</t>
  </si>
  <si>
    <t>Коэффициент трансформации трансформатора тока</t>
  </si>
  <si>
    <t>100/5</t>
  </si>
  <si>
    <t>1000/5</t>
  </si>
  <si>
    <t>Вторичный ток в плечах защиты, соответствующий номинальной мощности защищаемого трансформатора, А</t>
  </si>
  <si>
    <t>Для ввода в устройство принимаются ближайшие величины токов с дискретностью 0,1, 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</si>
</sst>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Fill="0" applyBorder="0"/>
  </cellStyleXfs>
  <cellXfs count="28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 wrapText="1"/>
    </xf>
  </cellXfs>
  <cellStyles count="2">
    <cellStyle name="Обычный" xfId="0" builtinId="0"/>
    <cellStyle name="Стиль 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3" Type="http://schemas.openxmlformats.org/officeDocument/2006/relationships/image" Target="../media/image8.emf"/><Relationship Id="rId7" Type="http://schemas.openxmlformats.org/officeDocument/2006/relationships/image" Target="../media/image12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11.emf"/><Relationship Id="rId5" Type="http://schemas.openxmlformats.org/officeDocument/2006/relationships/image" Target="../media/image10.emf"/><Relationship Id="rId4" Type="http://schemas.openxmlformats.org/officeDocument/2006/relationships/image" Target="../media/image9.emf"/><Relationship Id="rId9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29</xdr:row>
      <xdr:rowOff>0</xdr:rowOff>
    </xdr:from>
    <xdr:to>
      <xdr:col>3</xdr:col>
      <xdr:colOff>266700</xdr:colOff>
      <xdr:row>31</xdr:row>
      <xdr:rowOff>161925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5676900"/>
          <a:ext cx="1781175" cy="542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33</xdr:row>
      <xdr:rowOff>0</xdr:rowOff>
    </xdr:from>
    <xdr:to>
      <xdr:col>4</xdr:col>
      <xdr:colOff>142875</xdr:colOff>
      <xdr:row>34</xdr:row>
      <xdr:rowOff>219075</xdr:rowOff>
    </xdr:to>
    <xdr:pic>
      <xdr:nvPicPr>
        <xdr:cNvPr id="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0" y="6438900"/>
          <a:ext cx="2486025" cy="55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361950</xdr:colOff>
      <xdr:row>36</xdr:row>
      <xdr:rowOff>161925</xdr:rowOff>
    </xdr:from>
    <xdr:to>
      <xdr:col>3</xdr:col>
      <xdr:colOff>257175</xdr:colOff>
      <xdr:row>37</xdr:row>
      <xdr:rowOff>142875</xdr:rowOff>
    </xdr:to>
    <xdr:pic>
      <xdr:nvPicPr>
        <xdr:cNvPr id="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1950" y="7315200"/>
          <a:ext cx="172402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361950</xdr:colOff>
      <xdr:row>41</xdr:row>
      <xdr:rowOff>0</xdr:rowOff>
    </xdr:from>
    <xdr:to>
      <xdr:col>3</xdr:col>
      <xdr:colOff>66675</xdr:colOff>
      <xdr:row>42</xdr:row>
      <xdr:rowOff>171450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61950" y="11915775"/>
          <a:ext cx="1533525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3</xdr:col>
      <xdr:colOff>390525</xdr:colOff>
      <xdr:row>45</xdr:row>
      <xdr:rowOff>57150</xdr:rowOff>
    </xdr:to>
    <xdr:pic>
      <xdr:nvPicPr>
        <xdr:cNvPr id="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2630150"/>
          <a:ext cx="2219325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oleObject" Target="../embeddings/oleObject10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4.bin"/><Relationship Id="rId12" Type="http://schemas.openxmlformats.org/officeDocument/2006/relationships/oleObject" Target="../embeddings/oleObject9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45"/>
  <sheetViews>
    <sheetView tabSelected="1" workbookViewId="0">
      <selection activeCell="G38" sqref="G38"/>
    </sheetView>
  </sheetViews>
  <sheetFormatPr defaultRowHeight="15"/>
  <cols>
    <col min="7" max="7" width="29.42578125" customWidth="1"/>
  </cols>
  <sheetData>
    <row r="2" spans="14:14">
      <c r="N2">
        <f>Q31/H38</f>
        <v>10.448423291578496</v>
      </c>
    </row>
    <row r="4" spans="14:14">
      <c r="N4">
        <f>1.2*0.7*N2</f>
        <v>8.7766755649259363</v>
      </c>
    </row>
    <row r="7" spans="14:14">
      <c r="N7">
        <f>8.8*H38</f>
        <v>441.79846685814846</v>
      </c>
    </row>
    <row r="9" spans="14:14">
      <c r="N9">
        <f>((SQRT(3)/2)*N18)*1000</f>
        <v>5213.47293078232</v>
      </c>
    </row>
    <row r="10" spans="14:14">
      <c r="N10">
        <f>N9/N7</f>
        <v>11.800568181818178</v>
      </c>
    </row>
    <row r="11" spans="14:14">
      <c r="N11">
        <f>2*1*0.1 + 0.16+ 0.04</f>
        <v>0.39999999999999997</v>
      </c>
    </row>
    <row r="12" spans="14:14">
      <c r="N12">
        <f>1.3*524</f>
        <v>681.2</v>
      </c>
    </row>
    <row r="13" spans="14:14">
      <c r="N13">
        <f>N12/(100/5)</f>
        <v>34.06</v>
      </c>
    </row>
    <row r="14" spans="14:14">
      <c r="N14">
        <f>H38</f>
        <v>50.204371233880501</v>
      </c>
    </row>
    <row r="15" spans="14:14">
      <c r="N15">
        <f>((1.2*1.5)/0.92)*H38</f>
        <v>98.225943718461835</v>
      </c>
    </row>
    <row r="17" spans="1:17">
      <c r="N17">
        <f>N15/(100/5)</f>
        <v>4.9112971859230914</v>
      </c>
    </row>
    <row r="18" spans="1:17">
      <c r="M18" t="s">
        <v>0</v>
      </c>
      <c r="N18">
        <v>6.02</v>
      </c>
    </row>
    <row r="19" spans="1:17">
      <c r="P19" t="s">
        <v>1</v>
      </c>
    </row>
    <row r="20" spans="1:17" ht="15.75" thickBot="1">
      <c r="M20" t="s">
        <v>2</v>
      </c>
      <c r="N20">
        <v>9.26</v>
      </c>
      <c r="O20" t="s">
        <v>3</v>
      </c>
      <c r="P20">
        <v>0.45700000000000002</v>
      </c>
    </row>
    <row r="21" spans="1:17" ht="15.75" thickBot="1">
      <c r="A21" s="1" t="s">
        <v>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  <c r="M21" t="s">
        <v>5</v>
      </c>
      <c r="N21" t="s">
        <v>6</v>
      </c>
      <c r="O21">
        <f>200/5</f>
        <v>40</v>
      </c>
    </row>
    <row r="22" spans="1:17">
      <c r="A22" s="4" t="s">
        <v>7</v>
      </c>
      <c r="B22" s="5" t="s">
        <v>8</v>
      </c>
      <c r="C22" s="5" t="s">
        <v>9</v>
      </c>
      <c r="D22" s="6" t="s">
        <v>10</v>
      </c>
      <c r="E22" s="6"/>
      <c r="F22" s="6"/>
      <c r="G22" s="6"/>
      <c r="H22" s="6"/>
      <c r="I22" s="6"/>
      <c r="J22" s="6" t="s">
        <v>11</v>
      </c>
      <c r="K22" s="6"/>
      <c r="L22" s="7"/>
      <c r="M22" t="s">
        <v>12</v>
      </c>
      <c r="N22" t="s">
        <v>13</v>
      </c>
      <c r="O22">
        <f>1500/5</f>
        <v>300</v>
      </c>
    </row>
    <row r="23" spans="1:17">
      <c r="A23" s="8"/>
      <c r="B23" s="9"/>
      <c r="C23" s="9"/>
      <c r="D23" s="10" t="s">
        <v>14</v>
      </c>
      <c r="E23" s="10"/>
      <c r="F23" s="10" t="s">
        <v>15</v>
      </c>
      <c r="G23" s="9" t="s">
        <v>16</v>
      </c>
      <c r="H23" s="9" t="s">
        <v>17</v>
      </c>
      <c r="I23" s="9" t="s">
        <v>18</v>
      </c>
      <c r="J23" s="9" t="s">
        <v>19</v>
      </c>
      <c r="K23" s="9" t="s">
        <v>20</v>
      </c>
      <c r="L23" s="11" t="s">
        <v>21</v>
      </c>
      <c r="M23" t="s">
        <v>22</v>
      </c>
      <c r="N23" t="s">
        <v>23</v>
      </c>
      <c r="O23">
        <f>115/6.6</f>
        <v>17.424242424242426</v>
      </c>
    </row>
    <row r="24" spans="1:17">
      <c r="A24" s="12"/>
      <c r="B24" s="13"/>
      <c r="C24" s="13"/>
      <c r="D24" s="14" t="s">
        <v>24</v>
      </c>
      <c r="E24" s="14" t="s">
        <v>25</v>
      </c>
      <c r="F24" s="15"/>
      <c r="G24" s="13"/>
      <c r="H24" s="13"/>
      <c r="I24" s="13"/>
      <c r="J24" s="13"/>
      <c r="K24" s="13"/>
      <c r="L24" s="16"/>
      <c r="M24" t="s">
        <v>26</v>
      </c>
      <c r="O24">
        <f>115*(1-((9-1)/2)*(1.78/100))</f>
        <v>106.812</v>
      </c>
      <c r="P24">
        <f>O24/O23</f>
        <v>6.1300799999999995</v>
      </c>
    </row>
    <row r="25" spans="1:17" ht="25.5">
      <c r="A25" s="17" t="s">
        <v>27</v>
      </c>
      <c r="B25" s="18">
        <v>10</v>
      </c>
      <c r="C25" s="18" t="s">
        <v>28</v>
      </c>
      <c r="D25" s="18">
        <v>115</v>
      </c>
      <c r="E25" s="18" t="s">
        <v>29</v>
      </c>
      <c r="F25" s="19">
        <v>10.5</v>
      </c>
      <c r="G25" s="19">
        <v>58</v>
      </c>
      <c r="H25" s="19">
        <v>10</v>
      </c>
      <c r="I25" s="19">
        <v>0.2</v>
      </c>
      <c r="J25" s="19">
        <v>7.95</v>
      </c>
      <c r="K25" s="19">
        <v>139</v>
      </c>
      <c r="L25" s="20">
        <v>70</v>
      </c>
      <c r="M25" t="s">
        <v>30</v>
      </c>
      <c r="O25">
        <f>115*(1+((9-1)/2)*(1.78/100))</f>
        <v>123.18799999999999</v>
      </c>
      <c r="P25">
        <f>O25/O23</f>
        <v>7.0699199999999989</v>
      </c>
    </row>
    <row r="26" spans="1:17">
      <c r="C26">
        <f>F15</f>
        <v>0</v>
      </c>
      <c r="M26" t="s">
        <v>31</v>
      </c>
      <c r="O26">
        <f>O25/(SQRT(3)*N20)</f>
        <v>7.6806290454569792</v>
      </c>
      <c r="P26">
        <f>ROUND(P24/(SQRT(3)*P20),2)</f>
        <v>7.74</v>
      </c>
      <c r="Q26">
        <f>(P27/O23)*1000</f>
        <v>561.28695652173906</v>
      </c>
    </row>
    <row r="27" spans="1:17">
      <c r="M27" t="s">
        <v>32</v>
      </c>
      <c r="O27">
        <f>O24/(SQRT(3)*N20)</f>
        <v>6.659604422535887</v>
      </c>
      <c r="P27">
        <f>ROUND(P26/(SQRT(3)*P20),2)</f>
        <v>9.7799999999999994</v>
      </c>
    </row>
    <row r="28" spans="1:17">
      <c r="H28">
        <f>9*(1.78/100)</f>
        <v>0.16020000000000001</v>
      </c>
      <c r="M28">
        <f>(16/100)*115</f>
        <v>18.400000000000002</v>
      </c>
    </row>
    <row r="29" spans="1:17">
      <c r="M29">
        <f>115-M28</f>
        <v>96.6</v>
      </c>
      <c r="N29">
        <f>M29/O23</f>
        <v>5.5439999999999996</v>
      </c>
      <c r="O29" s="21">
        <f>M29/(SQRT(3)*N20)</f>
        <v>6.0228980565570041</v>
      </c>
      <c r="P29">
        <f>ROUND(N29/(SQRT(3)*P20),2)</f>
        <v>7</v>
      </c>
      <c r="Q29">
        <f>(P29/O23)*1000</f>
        <v>401.73913043478262</v>
      </c>
    </row>
    <row r="30" spans="1:17">
      <c r="M30">
        <f>115+M28</f>
        <v>133.4</v>
      </c>
      <c r="O30">
        <f>M30/(SQRT(3)*N20)</f>
        <v>8.3173354114358631</v>
      </c>
    </row>
    <row r="31" spans="1:17">
      <c r="E31">
        <f>(10.5/100)*(10/10)</f>
        <v>0.105</v>
      </c>
      <c r="M31">
        <v>126</v>
      </c>
      <c r="N31">
        <f>M31/O23</f>
        <v>7.2313043478260868</v>
      </c>
      <c r="O31" s="21">
        <f>M31/(SQRT(3)*N20)</f>
        <v>7.8559539868134838</v>
      </c>
      <c r="P31">
        <f>ROUND(N31/(SQRT(3)*P20),2)</f>
        <v>9.14</v>
      </c>
      <c r="Q31">
        <f>(P31/O23)*1000</f>
        <v>524.55652173913052</v>
      </c>
    </row>
    <row r="34" spans="7:13" ht="18.75">
      <c r="G34" s="22"/>
      <c r="H34" s="22"/>
      <c r="I34" s="22"/>
      <c r="J34" s="22"/>
      <c r="K34" s="22"/>
      <c r="L34" s="22"/>
      <c r="M34" s="22"/>
    </row>
    <row r="35" spans="7:13" ht="18.75">
      <c r="G35" s="23" t="s">
        <v>33</v>
      </c>
      <c r="H35" s="23"/>
      <c r="I35" s="23"/>
      <c r="J35" s="23"/>
      <c r="K35" s="23"/>
      <c r="L35" s="22"/>
      <c r="M35" s="22"/>
    </row>
    <row r="36" spans="7:13" ht="18.75">
      <c r="G36" s="24" t="s">
        <v>34</v>
      </c>
      <c r="H36" s="25" t="s">
        <v>35</v>
      </c>
      <c r="I36" s="25"/>
      <c r="J36" s="22"/>
      <c r="K36" s="22"/>
      <c r="L36" s="22"/>
    </row>
    <row r="37" spans="7:13" ht="18.75">
      <c r="G37" s="24"/>
      <c r="H37" s="26">
        <v>115</v>
      </c>
      <c r="I37" s="26">
        <v>6.6</v>
      </c>
      <c r="J37" s="22"/>
      <c r="K37" s="22"/>
      <c r="L37" s="22"/>
    </row>
    <row r="38" spans="7:13" ht="393.75">
      <c r="G38" s="27" t="s">
        <v>36</v>
      </c>
      <c r="H38" s="26">
        <f>10000/(SQRT(3)*115)</f>
        <v>50.204371233880501</v>
      </c>
      <c r="I38" s="26">
        <f>10000/(SQRT(3)*6.6)</f>
        <v>874.77313513579679</v>
      </c>
      <c r="J38" s="22"/>
      <c r="K38" s="22"/>
      <c r="L38" s="22"/>
    </row>
    <row r="39" spans="7:13" ht="187.5">
      <c r="G39" s="27" t="s">
        <v>37</v>
      </c>
      <c r="H39" s="26" t="s">
        <v>38</v>
      </c>
      <c r="I39" s="26" t="s">
        <v>39</v>
      </c>
      <c r="J39" s="22"/>
      <c r="K39" s="22"/>
      <c r="L39" s="22"/>
    </row>
    <row r="40" spans="7:13" ht="393.75">
      <c r="G40" s="27" t="s">
        <v>40</v>
      </c>
      <c r="H40" s="26">
        <f>H38/(100/5)</f>
        <v>2.5102185616940251</v>
      </c>
      <c r="I40" s="26">
        <f>I38/(1000/5)</f>
        <v>4.3738656756789842</v>
      </c>
      <c r="J40" s="22"/>
      <c r="K40" s="22"/>
      <c r="L40" s="22"/>
    </row>
    <row r="41" spans="7:13" ht="337.5">
      <c r="G41" s="27" t="s">
        <v>41</v>
      </c>
      <c r="H41" s="26">
        <v>2.5</v>
      </c>
      <c r="I41" s="26">
        <v>4.4000000000000004</v>
      </c>
      <c r="J41" s="22"/>
      <c r="K41" s="22"/>
      <c r="L41" s="22"/>
    </row>
    <row r="42" spans="7:13" ht="18.75">
      <c r="G42" s="22"/>
      <c r="H42" s="22"/>
      <c r="I42" s="22"/>
      <c r="J42" s="22"/>
      <c r="K42" s="22"/>
      <c r="L42" s="22"/>
      <c r="M42" s="22"/>
    </row>
    <row r="43" spans="7:13" ht="18.75">
      <c r="G43" s="22"/>
      <c r="H43" s="22"/>
      <c r="I43" s="22"/>
      <c r="J43" s="22"/>
      <c r="K43" s="22"/>
      <c r="L43" s="22"/>
      <c r="M43" s="22"/>
    </row>
    <row r="44" spans="7:13" ht="18.75">
      <c r="G44" s="22"/>
      <c r="H44" s="22"/>
      <c r="I44" s="22"/>
      <c r="J44" s="22"/>
      <c r="K44" s="22"/>
      <c r="L44" s="22"/>
      <c r="M44" s="22"/>
    </row>
    <row r="45" spans="7:13" ht="18.75">
      <c r="G45" s="22"/>
      <c r="H45" s="22"/>
      <c r="I45" s="22"/>
      <c r="J45" s="22"/>
      <c r="K45" s="22"/>
      <c r="L45" s="22"/>
      <c r="M45" s="22"/>
    </row>
  </sheetData>
  <mergeCells count="17">
    <mergeCell ref="I23:I24"/>
    <mergeCell ref="J23:J24"/>
    <mergeCell ref="K23:K24"/>
    <mergeCell ref="L23:L24"/>
    <mergeCell ref="G35:K35"/>
    <mergeCell ref="G36:G37"/>
    <mergeCell ref="H36:I36"/>
    <mergeCell ref="A21:L21"/>
    <mergeCell ref="A22:A24"/>
    <mergeCell ref="B22:B24"/>
    <mergeCell ref="C22:C24"/>
    <mergeCell ref="D22:I22"/>
    <mergeCell ref="J22:L22"/>
    <mergeCell ref="D23:E23"/>
    <mergeCell ref="F23:F24"/>
    <mergeCell ref="G23:G24"/>
    <mergeCell ref="H23:H24"/>
  </mergeCells>
  <pageMargins left="0.7" right="0.7" top="0.75" bottom="0.75" header="0.3" footer="0.3"/>
  <pageSetup paperSize="9" orientation="portrait" horizontalDpi="200" verticalDpi="200" r:id="rId1"/>
  <drawing r:id="rId2"/>
  <legacyDrawing r:id="rId3"/>
  <oleObjects>
    <oleObject progId="Equation.3" shapeId="1025" r:id="rId4"/>
    <oleObject progId="Equation.3" shapeId="1026" r:id="rId5"/>
    <oleObject progId="Equation.3" shapeId="1027" r:id="rId6"/>
    <oleObject progId="Equation.3" shapeId="1028" r:id="rId7"/>
    <oleObject progId="Equation.3" shapeId="1029" r:id="rId8"/>
    <oleObject progId="Equation.3" shapeId="1030" r:id="rId9"/>
    <oleObject progId="Equation.3" shapeId="1031" r:id="rId10"/>
    <oleObject progId="Equation.3" shapeId="1032" r:id="rId11"/>
    <oleObject progId="Equation.3" shapeId="1033" r:id="rId12"/>
    <oleObject progId="Equation.3" shapeId="1034" r:id="rId1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2021-03-28T12:41:51Z</dcterms:created>
  <dcterms:modified xsi:type="dcterms:W3CDTF">2021-03-28T12:46:10Z</dcterms:modified>
</cp:coreProperties>
</file>