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pellegrino-research-group\Grasshopper-ITEC-engineering\day_8\Excel_Example\"/>
    </mc:Choice>
  </mc:AlternateContent>
  <xr:revisionPtr revIDLastSave="0" documentId="13_ncr:1_{45E64C4E-8167-4926-9D86-6BD2129E824C}" xr6:coauthVersionLast="47" xr6:coauthVersionMax="47" xr10:uidLastSave="{00000000-0000-0000-0000-000000000000}"/>
  <bookViews>
    <workbookView xWindow="22932" yWindow="-108" windowWidth="23256" windowHeight="12576" tabRatio="860" activeTab="1" xr2:uid="{E7B1D651-24A8-4D79-8A3E-F98395084855}"/>
  </bookViews>
  <sheets>
    <sheet name="Input" sheetId="1" r:id="rId1"/>
    <sheet name="Formula" sheetId="10" r:id="rId2"/>
    <sheet name="Loads" sheetId="6" r:id="rId3"/>
    <sheet name="Hidden calcs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0" l="1"/>
  <c r="D7" i="10"/>
  <c r="E7" i="10"/>
  <c r="F7" i="10"/>
  <c r="G7" i="10"/>
  <c r="H7" i="10"/>
  <c r="I7" i="10"/>
  <c r="J7" i="10"/>
  <c r="K7" i="10"/>
  <c r="L7" i="10"/>
  <c r="M7" i="10"/>
  <c r="N7" i="10"/>
  <c r="B7" i="10"/>
  <c r="B9" i="1"/>
  <c r="B10" i="1" s="1"/>
  <c r="B10" i="9"/>
  <c r="B24" i="9" s="1"/>
  <c r="B9" i="9"/>
  <c r="B23" i="9" s="1"/>
  <c r="B26" i="9"/>
  <c r="B25" i="9"/>
  <c r="B21" i="9"/>
  <c r="B15" i="9"/>
  <c r="B14" i="9"/>
  <c r="B27" i="1"/>
  <c r="B26" i="1"/>
  <c r="B13" i="9" l="1"/>
  <c r="B16" i="9" s="1"/>
  <c r="B26" i="6" s="1"/>
  <c r="B28" i="9"/>
  <c r="B22" i="9"/>
  <c r="B29" i="9" s="1"/>
  <c r="B30" i="9" l="1"/>
  <c r="B31" i="9" s="1"/>
  <c r="B34" i="9" s="1"/>
  <c r="B14" i="1" s="1"/>
  <c r="B33" i="9" l="1"/>
  <c r="B13" i="1" s="1"/>
</calcChain>
</file>

<file path=xl/sharedStrings.xml><?xml version="1.0" encoding="utf-8"?>
<sst xmlns="http://schemas.openxmlformats.org/spreadsheetml/2006/main" count="145" uniqueCount="102">
  <si>
    <t>Parameter</t>
  </si>
  <si>
    <t>Unit</t>
  </si>
  <si>
    <t>Comment</t>
  </si>
  <si>
    <t>Number of standard panels</t>
  </si>
  <si>
    <t>Thickness standard panel</t>
  </si>
  <si>
    <t>mm</t>
  </si>
  <si>
    <t>There should be standard values</t>
  </si>
  <si>
    <t>Number of buttress panels</t>
  </si>
  <si>
    <t>Type of buttress panels</t>
  </si>
  <si>
    <t>B-Type</t>
  </si>
  <si>
    <t>Position of buttress panels</t>
  </si>
  <si>
    <t>Tank height</t>
  </si>
  <si>
    <t>m</t>
  </si>
  <si>
    <t>Concrete quality</t>
  </si>
  <si>
    <t>Age of concrete, days</t>
  </si>
  <si>
    <t>days</t>
  </si>
  <si>
    <t>Age of concrete when loading started</t>
  </si>
  <si>
    <t>Days</t>
  </si>
  <si>
    <t>Relative humidity</t>
  </si>
  <si>
    <t>%</t>
  </si>
  <si>
    <t>Cement type</t>
  </si>
  <si>
    <t>EPDM thickness</t>
  </si>
  <si>
    <t>EPDM width</t>
  </si>
  <si>
    <r>
      <t>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IDFont+F1"/>
      </rPr>
      <t>Strain modulus - increasing compressive load</t>
    </r>
  </si>
  <si>
    <t>MPa</t>
  </si>
  <si>
    <r>
      <t>S</t>
    </r>
    <r>
      <rPr>
        <vertAlign val="subscript"/>
        <sz val="11"/>
        <color theme="1"/>
        <rFont val="Calibri"/>
        <family val="2"/>
        <scheme val="minor"/>
      </rPr>
      <t xml:space="preserve">d, </t>
    </r>
    <r>
      <rPr>
        <sz val="11"/>
        <color theme="1"/>
        <rFont val="CIDFont+F1"/>
      </rPr>
      <t>Strain modulus - decreasing compressive load</t>
    </r>
  </si>
  <si>
    <t>Spring constant linear movement</t>
  </si>
  <si>
    <t>kN/(m*m)</t>
  </si>
  <si>
    <t>Spring constant rotation</t>
  </si>
  <si>
    <t>Vertical prestressing, force per cable</t>
  </si>
  <si>
    <t>kN</t>
  </si>
  <si>
    <t>Vertical prestressing, line load</t>
  </si>
  <si>
    <t>kN/m</t>
  </si>
  <si>
    <t>Value</t>
  </si>
  <si>
    <t>Tank content</t>
  </si>
  <si>
    <t>Density, liquid</t>
  </si>
  <si>
    <t>kN/m3</t>
  </si>
  <si>
    <t>Working level, liquid</t>
  </si>
  <si>
    <t>Accidental level, liquid</t>
  </si>
  <si>
    <t>Gas, pressure</t>
  </si>
  <si>
    <t>kN/m2</t>
  </si>
  <si>
    <t>External soil, pressure coefficient</t>
  </si>
  <si>
    <t>External soil level</t>
  </si>
  <si>
    <t>External soil, custom levels</t>
  </si>
  <si>
    <t>Is modelled as a Rhino surface (or dwg input to Rhino)</t>
  </si>
  <si>
    <t>Ground water level</t>
  </si>
  <si>
    <t>Set to 0 if no ground water</t>
  </si>
  <si>
    <t>Live load around tank</t>
  </si>
  <si>
    <t>Roof load, SW, vertical</t>
  </si>
  <si>
    <t>Roof load, SW, horizontal</t>
  </si>
  <si>
    <t>Roof load, Snow, vertical</t>
  </si>
  <si>
    <t>Roof load, Snow, horizontal</t>
  </si>
  <si>
    <t>T1, outside ground temp</t>
  </si>
  <si>
    <t>Several temperature load cases needed? No, not at this stage</t>
  </si>
  <si>
    <t>T1, outside air temp</t>
  </si>
  <si>
    <t>T1, inside temp</t>
  </si>
  <si>
    <t>Liquid or Gas+Liquid at the bottom</t>
  </si>
  <si>
    <t>Along top of tank panels</t>
  </si>
  <si>
    <t>Vertical prestressing, cables per panel</t>
  </si>
  <si>
    <t>Liquid</t>
  </si>
  <si>
    <t>Type of standard panels</t>
  </si>
  <si>
    <t>N-Type</t>
  </si>
  <si>
    <t>kNm/(m*rad)</t>
  </si>
  <si>
    <t>Class S</t>
  </si>
  <si>
    <t>Total number of panels</t>
  </si>
  <si>
    <t>°C</t>
  </si>
  <si>
    <t>Panel types</t>
  </si>
  <si>
    <t>S-Type</t>
  </si>
  <si>
    <t>Width [m]</t>
  </si>
  <si>
    <t>Chosen panel width</t>
  </si>
  <si>
    <t>Number of cables per panel</t>
  </si>
  <si>
    <t>Force per cable</t>
  </si>
  <si>
    <t>Calculated through formula, same line load will be applied to buttress panels</t>
  </si>
  <si>
    <t>Vertical prestressing</t>
  </si>
  <si>
    <t>Tank radius</t>
  </si>
  <si>
    <t>Standard panel width</t>
  </si>
  <si>
    <t>Buttress panel width</t>
  </si>
  <si>
    <t>Thickness to pitch</t>
  </si>
  <si>
    <t>A-Type</t>
  </si>
  <si>
    <t>C-Type</t>
  </si>
  <si>
    <t>Angle of rotation for standard panel + EPDM times 0.5</t>
  </si>
  <si>
    <t>Numerator</t>
  </si>
  <si>
    <t>Denominator</t>
  </si>
  <si>
    <t>radians</t>
  </si>
  <si>
    <t>Standard pitch</t>
  </si>
  <si>
    <t>Radius standard inside edge</t>
  </si>
  <si>
    <t>Radius standard inside mid</t>
  </si>
  <si>
    <t>The value should be input as kNm/m/rad using Grasshopper</t>
  </si>
  <si>
    <t>Input</t>
  </si>
  <si>
    <t>Standard panel</t>
  </si>
  <si>
    <t>Butress panel</t>
  </si>
  <si>
    <t>Standard panels</t>
  </si>
  <si>
    <t xml:space="preserve">Starts at counting from 0. Example: Having 20 standard panels, and buttress panels at index "0, 10" will yield a symmetric tank with buttress panels at the first position and on the opposite side, with 10 standard panels in between them both. </t>
  </si>
  <si>
    <t>Tank radius, panel inside, mid</t>
  </si>
  <si>
    <t>Tank radius, panel inside, corners</t>
  </si>
  <si>
    <t>Ka, active earth pressure coefficient</t>
  </si>
  <si>
    <t>0,10</t>
  </si>
  <si>
    <t>C40/50</t>
  </si>
  <si>
    <t>Yes</t>
  </si>
  <si>
    <t>Formula</t>
  </si>
  <si>
    <t>q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</si>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</sst>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IDFont+F1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1" applyNumberFormat="0" applyAlignment="0"/>
    <xf numFmtId="0" fontId="5" fillId="3" borderId="3" applyNumberFormat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1" fillId="2" borderId="1" xfId="1"/>
    <xf numFmtId="164" fontId="1" fillId="2" borderId="1" xfId="1" applyNumberFormat="1"/>
    <xf numFmtId="164" fontId="0" fillId="0" borderId="0" xfId="0" applyNumberFormat="1"/>
    <xf numFmtId="165" fontId="1" fillId="2" borderId="1" xfId="1" applyNumberFormat="1"/>
    <xf numFmtId="0" fontId="2" fillId="0" borderId="2" xfId="0" applyFont="1" applyBorder="1"/>
    <xf numFmtId="0" fontId="0" fillId="0" borderId="0" xfId="0" applyAlignment="1">
      <alignment wrapText="1"/>
    </xf>
    <xf numFmtId="0" fontId="5" fillId="3" borderId="3" xfId="2"/>
    <xf numFmtId="164" fontId="5" fillId="3" borderId="3" xfId="2" applyNumberFormat="1"/>
    <xf numFmtId="2" fontId="5" fillId="3" borderId="3" xfId="2" applyNumberFormat="1"/>
    <xf numFmtId="165" fontId="5" fillId="3" borderId="3" xfId="2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6" fillId="0" borderId="0" xfId="3"/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4" xfId="0" applyFont="1" applyBorder="1"/>
    <xf numFmtId="0" fontId="0" fillId="0" borderId="4" xfId="0" applyBorder="1"/>
    <xf numFmtId="0" fontId="1" fillId="2" borderId="1" xfId="1" applyProtection="1">
      <protection locked="0"/>
    </xf>
    <xf numFmtId="165" fontId="1" fillId="2" borderId="1" xfId="1" applyNumberFormat="1" applyProtection="1">
      <protection locked="0"/>
    </xf>
    <xf numFmtId="165" fontId="1" fillId="2" borderId="6" xfId="1" applyNumberFormat="1" applyBorder="1" applyProtection="1">
      <protection locked="0"/>
    </xf>
    <xf numFmtId="165" fontId="1" fillId="2" borderId="5" xfId="1" applyNumberFormat="1" applyBorder="1" applyProtection="1">
      <protection locked="0"/>
    </xf>
    <xf numFmtId="0" fontId="0" fillId="0" borderId="0" xfId="0" applyProtection="1">
      <protection locked="0"/>
    </xf>
    <xf numFmtId="164" fontId="1" fillId="2" borderId="1" xfId="1" applyNumberFormat="1" applyProtection="1">
      <protection locked="0"/>
    </xf>
    <xf numFmtId="2" fontId="1" fillId="2" borderId="1" xfId="1" applyNumberFormat="1" applyProtection="1">
      <protection locked="0"/>
    </xf>
    <xf numFmtId="1" fontId="1" fillId="2" borderId="1" xfId="1" applyNumberFormat="1" applyProtection="1">
      <protection locked="0"/>
    </xf>
  </cellXfs>
  <cellStyles count="4">
    <cellStyle name="Input" xfId="1" builtinId="20" customBuiltin="1"/>
    <cellStyle name="Normal" xfId="0" builtinId="0"/>
    <cellStyle name="Output" xfId="2" builtinId="21"/>
    <cellStyle name="Warning Text" xfId="3" builtinId="11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76200</xdr:rowOff>
    </xdr:from>
    <xdr:to>
      <xdr:col>9</xdr:col>
      <xdr:colOff>38100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258EC1-1FDB-131B-B798-AEA279A3A9BA}"/>
            </a:ext>
          </a:extLst>
        </xdr:cNvPr>
        <xdr:cNvSpPr txBox="1"/>
      </xdr:nvSpPr>
      <xdr:spPr>
        <a:xfrm>
          <a:off x="3295650" y="266700"/>
          <a:ext cx="3533775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NOTES</a:t>
          </a:r>
        </a:p>
        <a:p>
          <a:r>
            <a:rPr lang="en-GB" sz="1100"/>
            <a:t>Updating the widths of the panels in this sheet will not affect the sections used in FEM-Design unless these are also updated in the grasshopper script.</a:t>
          </a:r>
        </a:p>
      </xdr:txBody>
    </xdr:sp>
    <xdr:clientData/>
  </xdr:twoCellAnchor>
  <xdr:twoCellAnchor editAs="oneCell">
    <xdr:from>
      <xdr:col>6</xdr:col>
      <xdr:colOff>295275</xdr:colOff>
      <xdr:row>19</xdr:row>
      <xdr:rowOff>171450</xdr:rowOff>
    </xdr:from>
    <xdr:to>
      <xdr:col>15</xdr:col>
      <xdr:colOff>3810</xdr:colOff>
      <xdr:row>40</xdr:row>
      <xdr:rowOff>49530</xdr:rowOff>
    </xdr:to>
    <xdr:pic>
      <xdr:nvPicPr>
        <xdr:cNvPr id="3" name="Picture 2" descr="A picture containing text, receipt&#10;&#10;Description automatically generated">
          <a:extLst>
            <a:ext uri="{FF2B5EF4-FFF2-40B4-BE49-F238E27FC236}">
              <a16:creationId xmlns:a16="http://schemas.microsoft.com/office/drawing/2014/main" id="{ACF89715-993D-0C93-0D2A-31DAED32F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3028950"/>
          <a:ext cx="5194935" cy="4069080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24</xdr:row>
      <xdr:rowOff>9525</xdr:rowOff>
    </xdr:from>
    <xdr:to>
      <xdr:col>5</xdr:col>
      <xdr:colOff>561975</xdr:colOff>
      <xdr:row>26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C57373A-79F8-05B4-5564-3ABAC0510DAF}"/>
            </a:ext>
          </a:extLst>
        </xdr:cNvPr>
        <xdr:cNvSpPr txBox="1"/>
      </xdr:nvSpPr>
      <xdr:spPr>
        <a:xfrm>
          <a:off x="3514725" y="3819525"/>
          <a:ext cx="15621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TODO</a:t>
          </a:r>
        </a:p>
        <a:p>
          <a:r>
            <a:rPr lang="en-GB" sz="1100" b="0"/>
            <a:t>Check thickness to</a:t>
          </a:r>
          <a:r>
            <a:rPr lang="en-GB" sz="1100" b="0" baseline="0"/>
            <a:t> pitch</a:t>
          </a:r>
          <a:endParaRPr lang="en-GB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C70C-55C8-4A45-A1FD-569CD9DA1592}">
  <sheetPr codeName="Sheet1"/>
  <dimension ref="A1:D27"/>
  <sheetViews>
    <sheetView zoomScale="115" zoomScaleNormal="115" workbookViewId="0">
      <selection activeCell="B2" sqref="B2"/>
    </sheetView>
  </sheetViews>
  <sheetFormatPr defaultRowHeight="15"/>
  <cols>
    <col min="1" max="1" width="47.42578125" customWidth="1"/>
    <col min="2" max="2" width="19.5703125" bestFit="1" customWidth="1"/>
    <col min="3" max="3" width="13.5703125" bestFit="1" customWidth="1"/>
    <col min="4" max="4" width="120" bestFit="1" customWidth="1"/>
  </cols>
  <sheetData>
    <row r="1" spans="1:4">
      <c r="A1" s="6" t="s">
        <v>0</v>
      </c>
      <c r="B1" s="6" t="s">
        <v>33</v>
      </c>
      <c r="C1" s="6" t="s">
        <v>1</v>
      </c>
      <c r="D1" s="6" t="s">
        <v>2</v>
      </c>
    </row>
    <row r="2" spans="1:4">
      <c r="A2" t="s">
        <v>60</v>
      </c>
      <c r="B2" s="2" t="s">
        <v>67</v>
      </c>
    </row>
    <row r="3" spans="1:4">
      <c r="A3" t="s">
        <v>4</v>
      </c>
      <c r="B3" s="2">
        <v>160</v>
      </c>
      <c r="C3" t="s">
        <v>5</v>
      </c>
      <c r="D3" t="s">
        <v>6</v>
      </c>
    </row>
    <row r="4" spans="1:4">
      <c r="A4" t="s">
        <v>8</v>
      </c>
      <c r="B4" s="2" t="s">
        <v>78</v>
      </c>
    </row>
    <row r="7" spans="1:4">
      <c r="A7" t="s">
        <v>3</v>
      </c>
      <c r="B7" s="2">
        <v>13</v>
      </c>
      <c r="D7" t="s">
        <v>91</v>
      </c>
    </row>
    <row r="8" spans="1:4">
      <c r="A8" t="s">
        <v>10</v>
      </c>
      <c r="B8" s="2" t="s">
        <v>96</v>
      </c>
      <c r="D8" t="s">
        <v>92</v>
      </c>
    </row>
    <row r="9" spans="1:4">
      <c r="A9" t="s">
        <v>7</v>
      </c>
      <c r="B9" s="8">
        <f>IF(ISNUMBER(SEARCH(",",B8)),LEN(B8)-LEN(SUBSTITUTE(B8,",","")) + 1,IF(ISNUMBER(B8), 1, 0))</f>
        <v>2</v>
      </c>
    </row>
    <row r="10" spans="1:4">
      <c r="A10" t="s">
        <v>64</v>
      </c>
      <c r="B10" s="8">
        <f>B7+B9</f>
        <v>15</v>
      </c>
    </row>
    <row r="12" spans="1:4">
      <c r="A12" t="s">
        <v>11</v>
      </c>
      <c r="B12" s="3">
        <v>5</v>
      </c>
      <c r="C12" t="s">
        <v>12</v>
      </c>
    </row>
    <row r="13" spans="1:4">
      <c r="A13" t="s">
        <v>94</v>
      </c>
      <c r="B13" s="9">
        <f>'Hidden calcs'!B33</f>
        <v>3.9269200286832393</v>
      </c>
      <c r="C13" t="s">
        <v>12</v>
      </c>
    </row>
    <row r="14" spans="1:4">
      <c r="A14" t="s">
        <v>93</v>
      </c>
      <c r="B14" s="9">
        <f>'Hidden calcs'!B34</f>
        <v>3.8477499452112944</v>
      </c>
      <c r="C14" t="s">
        <v>12</v>
      </c>
    </row>
    <row r="16" spans="1:4">
      <c r="A16" t="s">
        <v>13</v>
      </c>
      <c r="B16" s="2" t="s">
        <v>97</v>
      </c>
    </row>
    <row r="17" spans="1:4">
      <c r="A17" t="s">
        <v>14</v>
      </c>
      <c r="B17" s="2">
        <v>18250</v>
      </c>
      <c r="C17" t="s">
        <v>15</v>
      </c>
    </row>
    <row r="18" spans="1:4">
      <c r="A18" t="s">
        <v>16</v>
      </c>
      <c r="B18" s="2">
        <v>28</v>
      </c>
      <c r="C18" t="s">
        <v>17</v>
      </c>
    </row>
    <row r="19" spans="1:4">
      <c r="A19" t="s">
        <v>18</v>
      </c>
      <c r="B19" s="2">
        <v>85</v>
      </c>
      <c r="C19" t="s">
        <v>19</v>
      </c>
    </row>
    <row r="20" spans="1:4">
      <c r="A20" t="s">
        <v>20</v>
      </c>
      <c r="B20" s="2" t="s">
        <v>63</v>
      </c>
      <c r="D20" s="7"/>
    </row>
    <row r="22" spans="1:4">
      <c r="A22" t="s">
        <v>21</v>
      </c>
      <c r="B22" s="2">
        <v>6</v>
      </c>
      <c r="C22" t="s">
        <v>5</v>
      </c>
    </row>
    <row r="23" spans="1:4">
      <c r="A23" t="s">
        <v>22</v>
      </c>
      <c r="B23" s="2">
        <v>80</v>
      </c>
      <c r="C23" t="s">
        <v>5</v>
      </c>
    </row>
    <row r="24" spans="1:4" ht="18">
      <c r="A24" t="s">
        <v>23</v>
      </c>
      <c r="B24" s="2">
        <v>47.3</v>
      </c>
      <c r="C24" t="s">
        <v>24</v>
      </c>
    </row>
    <row r="25" spans="1:4" ht="18">
      <c r="A25" t="s">
        <v>25</v>
      </c>
      <c r="B25" s="5">
        <v>170</v>
      </c>
      <c r="C25" t="s">
        <v>24</v>
      </c>
    </row>
    <row r="26" spans="1:4">
      <c r="A26" t="s">
        <v>26</v>
      </c>
      <c r="B26" s="11">
        <f>B24*B$23/B$22 * 1000</f>
        <v>630666.66666666663</v>
      </c>
      <c r="C26" t="s">
        <v>27</v>
      </c>
    </row>
    <row r="27" spans="1:4">
      <c r="A27" t="s">
        <v>28</v>
      </c>
      <c r="B27" s="11">
        <f>(B24+B25)*B23*B23*B23 / 2 / 12 / B22 /1000</f>
        <v>772.62222222222215</v>
      </c>
      <c r="C27" t="s">
        <v>62</v>
      </c>
      <c r="D27" t="s">
        <v>87</v>
      </c>
    </row>
  </sheetData>
  <protectedRanges>
    <protectedRange sqref="B2:B5 B7:B8 B12 B16:B20 B22:B25" name="Input"/>
  </protectedRanges>
  <dataValidations count="5">
    <dataValidation type="list" allowBlank="1" showInputMessage="1" showErrorMessage="1" sqref="B16" xr:uid="{2B170B5A-47C0-4FFB-8A79-E9C0521D2845}">
      <formula1>"C12/15,C16/20,C20/25,C25/30,C30/37,C35/45,C40/50,C45/55,C50/60,C28/35,C32/40,C54/65,C55/67,C58/70,C60/75,C70/85,C80/95,C90/105"</formula1>
    </dataValidation>
    <dataValidation type="list" allowBlank="1" showInputMessage="1" showErrorMessage="1" sqref="B20" xr:uid="{56E3E4EE-97F2-4388-BA8B-83EF9EC9DEBB}">
      <formula1>"Class S,Class N,Class R"</formula1>
    </dataValidation>
    <dataValidation type="list" allowBlank="1" showInputMessage="1" showErrorMessage="1" sqref="B2" xr:uid="{48F0D970-F355-4D9C-9F5C-F7F2505C05DE}">
      <formula1>"N-Type,S-Type"</formula1>
    </dataValidation>
    <dataValidation type="list" allowBlank="1" showInputMessage="1" showErrorMessage="1" sqref="B4" xr:uid="{6A7B4CBB-E67D-4B28-9D1B-4537BA1600F3}">
      <formula1>"A-Type,B-Type,C-Type"</formula1>
    </dataValidation>
    <dataValidation type="decimal" operator="greaterThan" showInputMessage="1" showErrorMessage="1" sqref="B7" xr:uid="{B95FFFD7-2DDF-4625-BEE9-4A36828A4AA2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1D7D-A17D-41D5-BAD3-DD7FE0692BB8}">
  <dimension ref="A2:N7"/>
  <sheetViews>
    <sheetView tabSelected="1" workbookViewId="0"/>
  </sheetViews>
  <sheetFormatPr defaultRowHeight="15"/>
  <sheetData>
    <row r="2" spans="1:14">
      <c r="A2" t="s">
        <v>100</v>
      </c>
    </row>
    <row r="3" spans="1:14">
      <c r="A3" t="s">
        <v>101</v>
      </c>
    </row>
    <row r="7" spans="1:14">
      <c r="A7" s="1" t="s">
        <v>99</v>
      </c>
      <c r="B7">
        <f>B2*B3</f>
        <v>0</v>
      </c>
      <c r="C7">
        <f t="shared" ref="C7:N7" si="0">C2*C3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18FD-733D-4E21-9D58-37FF75A6F83C}">
  <sheetPr codeName="Sheet2"/>
  <dimension ref="A1:D26"/>
  <sheetViews>
    <sheetView zoomScale="130" zoomScaleNormal="130" workbookViewId="0">
      <selection activeCell="D7" sqref="D7"/>
    </sheetView>
  </sheetViews>
  <sheetFormatPr defaultRowHeight="15"/>
  <cols>
    <col min="1" max="1" width="37.28515625" customWidth="1"/>
    <col min="2" max="2" width="10.28515625" bestFit="1" customWidth="1"/>
    <col min="3" max="3" width="7" bestFit="1" customWidth="1"/>
    <col min="4" max="4" width="70.85546875" bestFit="1" customWidth="1"/>
  </cols>
  <sheetData>
    <row r="1" spans="1:4">
      <c r="A1" s="6" t="s">
        <v>0</v>
      </c>
      <c r="B1" s="6" t="s">
        <v>33</v>
      </c>
      <c r="C1" s="6" t="s">
        <v>1</v>
      </c>
      <c r="D1" s="6" t="s">
        <v>2</v>
      </c>
    </row>
    <row r="2" spans="1:4">
      <c r="A2" t="s">
        <v>34</v>
      </c>
      <c r="B2" s="20" t="s">
        <v>59</v>
      </c>
      <c r="D2" t="s">
        <v>56</v>
      </c>
    </row>
    <row r="3" spans="1:4">
      <c r="A3" t="s">
        <v>35</v>
      </c>
      <c r="B3" s="21">
        <v>10</v>
      </c>
      <c r="C3" t="s">
        <v>36</v>
      </c>
    </row>
    <row r="4" spans="1:4">
      <c r="A4" t="s">
        <v>37</v>
      </c>
      <c r="B4" s="21">
        <v>2.5</v>
      </c>
      <c r="C4" t="s">
        <v>12</v>
      </c>
    </row>
    <row r="5" spans="1:4">
      <c r="A5" t="s">
        <v>38</v>
      </c>
      <c r="B5" s="22">
        <v>4</v>
      </c>
      <c r="C5" t="s">
        <v>12</v>
      </c>
    </row>
    <row r="6" spans="1:4">
      <c r="A6" t="s">
        <v>39</v>
      </c>
      <c r="B6" s="23">
        <v>2</v>
      </c>
      <c r="C6" t="s">
        <v>40</v>
      </c>
    </row>
    <row r="7" spans="1:4">
      <c r="B7" s="24"/>
    </row>
    <row r="8" spans="1:4">
      <c r="A8" t="s">
        <v>95</v>
      </c>
      <c r="B8" s="25">
        <v>0.17150000000000001</v>
      </c>
    </row>
    <row r="9" spans="1:4">
      <c r="A9" t="s">
        <v>41</v>
      </c>
      <c r="B9" s="21">
        <v>8</v>
      </c>
      <c r="C9" t="s">
        <v>40</v>
      </c>
    </row>
    <row r="10" spans="1:4">
      <c r="A10" t="s">
        <v>43</v>
      </c>
      <c r="B10" s="21" t="s">
        <v>98</v>
      </c>
      <c r="D10" t="s">
        <v>44</v>
      </c>
    </row>
    <row r="11" spans="1:4">
      <c r="A11" t="s">
        <v>42</v>
      </c>
      <c r="B11" s="21">
        <v>3</v>
      </c>
      <c r="C11" t="s">
        <v>12</v>
      </c>
    </row>
    <row r="12" spans="1:4">
      <c r="A12" t="s">
        <v>45</v>
      </c>
      <c r="B12" s="21">
        <v>0</v>
      </c>
      <c r="C12" t="s">
        <v>12</v>
      </c>
      <c r="D12" t="s">
        <v>46</v>
      </c>
    </row>
    <row r="13" spans="1:4">
      <c r="A13" t="s">
        <v>47</v>
      </c>
      <c r="B13" s="21">
        <v>5</v>
      </c>
      <c r="C13" t="s">
        <v>40</v>
      </c>
    </row>
    <row r="14" spans="1:4">
      <c r="B14" s="24"/>
    </row>
    <row r="15" spans="1:4">
      <c r="A15" t="s">
        <v>48</v>
      </c>
      <c r="B15" s="21">
        <v>2</v>
      </c>
      <c r="C15" t="s">
        <v>32</v>
      </c>
      <c r="D15" t="s">
        <v>57</v>
      </c>
    </row>
    <row r="16" spans="1:4">
      <c r="A16" t="s">
        <v>49</v>
      </c>
      <c r="B16" s="21">
        <v>1</v>
      </c>
      <c r="C16" t="s">
        <v>32</v>
      </c>
      <c r="D16" t="s">
        <v>57</v>
      </c>
    </row>
    <row r="17" spans="1:4">
      <c r="A17" t="s">
        <v>50</v>
      </c>
      <c r="B17" s="21">
        <v>2.5</v>
      </c>
      <c r="C17" t="s">
        <v>32</v>
      </c>
      <c r="D17" t="s">
        <v>57</v>
      </c>
    </row>
    <row r="18" spans="1:4">
      <c r="A18" t="s">
        <v>51</v>
      </c>
      <c r="B18" s="26">
        <v>1.25</v>
      </c>
      <c r="C18" t="s">
        <v>32</v>
      </c>
      <c r="D18" t="s">
        <v>57</v>
      </c>
    </row>
    <row r="19" spans="1:4">
      <c r="B19" s="24"/>
    </row>
    <row r="20" spans="1:4">
      <c r="A20" t="s">
        <v>52</v>
      </c>
      <c r="B20" s="27">
        <v>0</v>
      </c>
      <c r="C20" t="s">
        <v>65</v>
      </c>
      <c r="D20" t="s">
        <v>53</v>
      </c>
    </row>
    <row r="21" spans="1:4">
      <c r="A21" t="s">
        <v>54</v>
      </c>
      <c r="B21" s="27">
        <v>-10</v>
      </c>
      <c r="C21" t="s">
        <v>65</v>
      </c>
    </row>
    <row r="22" spans="1:4">
      <c r="A22" t="s">
        <v>55</v>
      </c>
      <c r="B22" s="27">
        <v>10</v>
      </c>
      <c r="C22" t="s">
        <v>65</v>
      </c>
    </row>
    <row r="23" spans="1:4">
      <c r="B23" s="24"/>
    </row>
    <row r="24" spans="1:4">
      <c r="A24" t="s">
        <v>58</v>
      </c>
      <c r="B24" s="27">
        <v>7</v>
      </c>
    </row>
    <row r="25" spans="1:4">
      <c r="A25" t="s">
        <v>29</v>
      </c>
      <c r="B25" s="21">
        <v>20</v>
      </c>
      <c r="C25" t="s">
        <v>30</v>
      </c>
    </row>
    <row r="26" spans="1:4">
      <c r="A26" t="s">
        <v>31</v>
      </c>
      <c r="B26" s="10">
        <f>'Hidden calcs'!B16</f>
        <v>86.956521739130423</v>
      </c>
      <c r="C26" t="s">
        <v>32</v>
      </c>
      <c r="D26" t="s">
        <v>72</v>
      </c>
    </row>
  </sheetData>
  <sheetProtection sheet="1" objects="1" scenarios="1"/>
  <conditionalFormatting sqref="A6:C6">
    <cfRule type="expression" dxfId="1" priority="3">
      <formula>$B$2="Liquid"</formula>
    </cfRule>
  </conditionalFormatting>
  <conditionalFormatting sqref="A11:C11">
    <cfRule type="expression" dxfId="0" priority="1">
      <formula>$B$10="Yes"</formula>
    </cfRule>
  </conditionalFormatting>
  <dataValidations count="2">
    <dataValidation type="list" allowBlank="1" showInputMessage="1" showErrorMessage="1" sqref="B10" xr:uid="{96F5375C-A9B4-4A9C-9E04-3DB051EF3315}">
      <formula1>"Yes,No"</formula1>
    </dataValidation>
    <dataValidation type="list" allowBlank="1" showInputMessage="1" showErrorMessage="1" sqref="B2" xr:uid="{2A47163B-A538-40A3-B998-F05815296E98}">
      <formula1>"Liquid,Liquid+gas"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30AB-E2CA-4003-ACC3-0471B59009D4}">
  <sheetPr codeName="Sheet3">
    <tabColor theme="0" tint="-0.34998626667073579"/>
  </sheetPr>
  <dimension ref="A1:C34"/>
  <sheetViews>
    <sheetView workbookViewId="0">
      <selection activeCell="B29" sqref="B29"/>
    </sheetView>
  </sheetViews>
  <sheetFormatPr defaultRowHeight="15"/>
  <cols>
    <col min="1" max="1" width="28.42578125" bestFit="1" customWidth="1"/>
    <col min="2" max="2" width="11.85546875" bestFit="1" customWidth="1"/>
  </cols>
  <sheetData>
    <row r="1" spans="1:3">
      <c r="A1" s="18" t="s">
        <v>66</v>
      </c>
      <c r="B1" s="18" t="s">
        <v>68</v>
      </c>
      <c r="C1" s="19"/>
    </row>
    <row r="2" spans="1:3" ht="15" customHeight="1">
      <c r="A2" t="s">
        <v>61</v>
      </c>
      <c r="B2" s="4">
        <v>2.11</v>
      </c>
    </row>
    <row r="3" spans="1:3">
      <c r="A3" t="s">
        <v>67</v>
      </c>
      <c r="B3" s="4">
        <v>1.61</v>
      </c>
    </row>
    <row r="4" spans="1:3">
      <c r="A4" t="s">
        <v>78</v>
      </c>
      <c r="B4" s="4">
        <v>2.11</v>
      </c>
    </row>
    <row r="5" spans="1:3">
      <c r="A5" t="s">
        <v>9</v>
      </c>
      <c r="B5" s="4">
        <v>1.05</v>
      </c>
    </row>
    <row r="6" spans="1:3">
      <c r="A6" t="s">
        <v>79</v>
      </c>
      <c r="B6" s="4">
        <v>2.11</v>
      </c>
    </row>
    <row r="8" spans="1:3">
      <c r="A8" s="18" t="s">
        <v>88</v>
      </c>
      <c r="B8" s="18" t="s">
        <v>33</v>
      </c>
      <c r="C8" s="19"/>
    </row>
    <row r="9" spans="1:3">
      <c r="A9" t="s">
        <v>89</v>
      </c>
      <c r="B9" t="str">
        <f>Input!B2</f>
        <v>S-Type</v>
      </c>
    </row>
    <row r="10" spans="1:3">
      <c r="A10" t="s">
        <v>90</v>
      </c>
      <c r="B10" t="str">
        <f>Input!B4</f>
        <v>A-Type</v>
      </c>
    </row>
    <row r="12" spans="1:3">
      <c r="A12" s="18" t="s">
        <v>73</v>
      </c>
      <c r="B12" s="19"/>
      <c r="C12" s="19"/>
    </row>
    <row r="13" spans="1:3">
      <c r="A13" t="s">
        <v>69</v>
      </c>
      <c r="B13">
        <f>VLOOKUP(B9,$A$2:$B$6, 2, FALSE)</f>
        <v>1.61</v>
      </c>
      <c r="C13" t="s">
        <v>12</v>
      </c>
    </row>
    <row r="14" spans="1:3">
      <c r="A14" t="s">
        <v>70</v>
      </c>
      <c r="B14" s="12">
        <f>Loads!B24</f>
        <v>7</v>
      </c>
    </row>
    <row r="15" spans="1:3">
      <c r="A15" t="s">
        <v>71</v>
      </c>
      <c r="B15" s="13">
        <f>Loads!B25</f>
        <v>20</v>
      </c>
      <c r="C15" t="s">
        <v>30</v>
      </c>
    </row>
    <row r="16" spans="1:3">
      <c r="A16" s="1" t="s">
        <v>31</v>
      </c>
      <c r="B16" s="14">
        <f>B14*B15 / B13</f>
        <v>86.956521739130423</v>
      </c>
      <c r="C16" t="s">
        <v>32</v>
      </c>
    </row>
    <row r="20" spans="1:3">
      <c r="A20" s="18" t="s">
        <v>74</v>
      </c>
      <c r="B20" s="19"/>
      <c r="C20" s="19"/>
    </row>
    <row r="21" spans="1:3">
      <c r="A21" t="s">
        <v>3</v>
      </c>
      <c r="B21">
        <f>Input!B7</f>
        <v>13</v>
      </c>
    </row>
    <row r="22" spans="1:3">
      <c r="A22" t="s">
        <v>7</v>
      </c>
      <c r="B22">
        <f>Input!B9</f>
        <v>2</v>
      </c>
    </row>
    <row r="23" spans="1:3">
      <c r="A23" t="s">
        <v>75</v>
      </c>
      <c r="B23">
        <f>VLOOKUP(B9,$A$2:$B$6, 2, FALSE)</f>
        <v>1.61</v>
      </c>
      <c r="C23" t="s">
        <v>12</v>
      </c>
    </row>
    <row r="24" spans="1:3">
      <c r="A24" t="s">
        <v>76</v>
      </c>
      <c r="B24">
        <f>VLOOKUP(B10,$A$2:$B$6, 2, FALSE)</f>
        <v>2.11</v>
      </c>
      <c r="C24" t="s">
        <v>12</v>
      </c>
    </row>
    <row r="25" spans="1:3">
      <c r="A25" t="s">
        <v>21</v>
      </c>
      <c r="B25">
        <f>Input!B22</f>
        <v>6</v>
      </c>
      <c r="C25" t="s">
        <v>5</v>
      </c>
    </row>
    <row r="26" spans="1:3">
      <c r="A26" s="15" t="s">
        <v>77</v>
      </c>
      <c r="B26" s="15">
        <f>Input!B3 - 45</f>
        <v>115</v>
      </c>
      <c r="C26" s="15" t="s">
        <v>5</v>
      </c>
    </row>
    <row r="28" spans="1:3">
      <c r="A28" t="s">
        <v>81</v>
      </c>
      <c r="B28">
        <f>B23+B25/1000</f>
        <v>1.6160000000000001</v>
      </c>
      <c r="C28" t="s">
        <v>12</v>
      </c>
    </row>
    <row r="29" spans="1:3">
      <c r="A29" t="s">
        <v>82</v>
      </c>
      <c r="B29">
        <f>B21*(B23+B25/1000) + B22*(B24+B25/1000)</f>
        <v>25.240000000000002</v>
      </c>
      <c r="C29" t="s">
        <v>12</v>
      </c>
    </row>
    <row r="30" spans="1:3" ht="30">
      <c r="A30" s="7" t="s">
        <v>80</v>
      </c>
      <c r="B30" s="4">
        <f>B28/B29*PI()</f>
        <v>0.20114158986533698</v>
      </c>
      <c r="C30" t="s">
        <v>83</v>
      </c>
    </row>
    <row r="31" spans="1:3">
      <c r="A31" t="s">
        <v>84</v>
      </c>
      <c r="B31" s="4">
        <f>TAN(B30)*B26</f>
        <v>23.448363203509043</v>
      </c>
      <c r="C31" t="s">
        <v>5</v>
      </c>
    </row>
    <row r="33" spans="1:3">
      <c r="A33" s="16" t="s">
        <v>85</v>
      </c>
      <c r="B33" s="17">
        <f>(B23/2 - B31 / 1000 + B25 / 1000 / 2) / SIN(B30)</f>
        <v>3.9269200286832393</v>
      </c>
      <c r="C33" s="1" t="s">
        <v>12</v>
      </c>
    </row>
    <row r="34" spans="1:3">
      <c r="A34" s="16" t="s">
        <v>86</v>
      </c>
      <c r="B34" s="17">
        <f>(B23/2 - B31 / 1000 + B25 / 1000 / 2) / TAN(B30)</f>
        <v>3.8477499452112944</v>
      </c>
      <c r="C34" s="1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Formula</vt:lpstr>
      <vt:lpstr>Loads</vt:lpstr>
      <vt:lpstr>Hidden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Radne</dc:creator>
  <cp:lastModifiedBy>Marco Pellegrino</cp:lastModifiedBy>
  <dcterms:created xsi:type="dcterms:W3CDTF">2022-10-18T08:44:29Z</dcterms:created>
  <dcterms:modified xsi:type="dcterms:W3CDTF">2023-05-10T21:49:51Z</dcterms:modified>
</cp:coreProperties>
</file>